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Data Profile" sheetId="3" state="visible" r:id="rId3"/>
    <sheet xmlns:r="http://schemas.openxmlformats.org/officeDocument/2006/relationships" name="Invoice Lines" sheetId="4" state="visible" r:id="rId4"/>
    <sheet xmlns:r="http://schemas.openxmlformats.org/officeDocument/2006/relationships" name="Category Rules" sheetId="5" state="visible" r:id="rId5"/>
    <sheet xmlns:r="http://schemas.openxmlformats.org/officeDocument/2006/relationships" name="Revenue by Service" sheetId="6" state="visible" r:id="rId6"/>
    <sheet xmlns:r="http://schemas.openxmlformats.org/officeDocument/2006/relationships" name="Recode Journals" sheetId="7" state="visible" r:id="rId7"/>
    <sheet xmlns:r="http://schemas.openxmlformats.org/officeDocument/2006/relationships" name="Review Queue" sheetId="8" state="visible" r:id="rId8"/>
    <sheet xmlns:r="http://schemas.openxmlformats.org/officeDocument/2006/relationships" name="Tax Review" sheetId="9" state="visible" r:id="rId9"/>
    <sheet xmlns:r="http://schemas.openxmlformats.org/officeDocument/2006/relationships" name="Contacts" sheetId="10" state="visible" r:id="rId10"/>
    <sheet xmlns:r="http://schemas.openxmlformats.org/officeDocument/2006/relationships" name="COA Fix Map" sheetId="11" state="visible" r:id="rId11"/>
    <sheet xmlns:r="http://schemas.openxmlformats.org/officeDocument/2006/relationships" name="Chart of Accounts" sheetId="12" state="visible" r:id="rId12"/>
    <sheet xmlns:r="http://schemas.openxmlformats.org/officeDocument/2006/relationships" name="Asset Log" sheetId="13" state="visible" r:id="rId13"/>
    <sheet xmlns:r="http://schemas.openxmlformats.org/officeDocument/2006/relationships" name="Log Issues" sheetId="14" state="visible" r:id="rId14"/>
    <sheet xmlns:r="http://schemas.openxmlformats.org/officeDocument/2006/relationships" name="Asset Position" sheetId="15" state="visible" r:id="rId15"/>
    <sheet xmlns:r="http://schemas.openxmlformats.org/officeDocument/2006/relationships" name="Fleet Reconciliation" sheetId="16" state="visible" r:id="rId16"/>
    <sheet xmlns:r="http://schemas.openxmlformats.org/officeDocument/2006/relationships" name="Hire Cycles" sheetId="17" state="visible" r:id="rId17"/>
    <sheet xmlns:r="http://schemas.openxmlformats.org/officeDocument/2006/relationships" name="Hire Billing Check" sheetId="18" state="visible" r:id="rId18"/>
    <sheet xmlns:r="http://schemas.openxmlformats.org/officeDocument/2006/relationships" name="Exceptions" sheetId="19" state="visible" r:id="rId19"/>
    <sheet xmlns:r="http://schemas.openxmlformats.org/officeDocument/2006/relationships" name="Airtable Schema" sheetId="20" state="visible" r:id="rId20"/>
    <sheet xmlns:r="http://schemas.openxmlformats.org/officeDocument/2006/relationships" name="Glide Screens" sheetId="21" state="visible" r:id="rId21"/>
    <sheet xmlns:r="http://schemas.openxmlformats.org/officeDocument/2006/relationships" name="Make Scenarios" sheetId="22" state="visible" r:id="rId22"/>
    <sheet xmlns:r="http://schemas.openxmlformats.org/officeDocument/2006/relationships" name="Make Modules" sheetId="23" state="visible" r:id="rId23"/>
    <sheet xmlns:r="http://schemas.openxmlformats.org/officeDocument/2006/relationships" name="Make July Run" sheetId="24" state="visible" r:id="rId24"/>
    <sheet xmlns:r="http://schemas.openxmlformats.org/officeDocument/2006/relationships" name="Make Run Log" sheetId="25" state="visible" r:id="rId25"/>
    <sheet xmlns:r="http://schemas.openxmlformats.org/officeDocument/2006/relationships" name="Make Incidents" sheetId="26" state="visible" r:id="rId26"/>
    <sheet xmlns:r="http://schemas.openxmlformats.org/officeDocument/2006/relationships" name="Controls" sheetId="27" state="visible" r:id="rId27"/>
    <sheet xmlns:r="http://schemas.openxmlformats.org/officeDocument/2006/relationships" name="Test Log" sheetId="28" state="visible" r:id="rId28"/>
  </sheets>
  <definedNames>
    <definedName name="_xlnm._FilterDatabase" localSheetId="3" hidden="1">'Invoice Lines'!$A$4:$V$2542</definedName>
    <definedName name="_xlnm._FilterDatabase" localSheetId="4" hidden="1">'Category Rules'!$A$4:$H$17</definedName>
    <definedName name="_xlnm._FilterDatabase" localSheetId="6" hidden="1">'Recode Journals'!$A$4:$H$366</definedName>
    <definedName name="_xlnm._FilterDatabase" localSheetId="7" hidden="1">'Review Queue'!$A$4:$K$50</definedName>
    <definedName name="_xlnm._FilterDatabase" localSheetId="8" hidden="1">'Tax Review'!$A$4:$J$87</definedName>
    <definedName name="_xlnm._FilterDatabase" localSheetId="9" hidden="1">'Contacts'!$A$4:$O$157</definedName>
    <definedName name="_xlnm._FilterDatabase" localSheetId="10" hidden="1">'COA Fix Map'!$A$4:$F$21</definedName>
    <definedName name="_xlnm._FilterDatabase" localSheetId="11" hidden="1">'Chart of Accounts'!$A$4:$H$53</definedName>
    <definedName name="_xlnm._FilterDatabase" localSheetId="12" hidden="1">'Asset Log'!$A$4:$M$1379</definedName>
    <definedName name="_xlnm._FilterDatabase" localSheetId="13" hidden="1">'Log Issues'!$A$4:$I$54</definedName>
    <definedName name="_xlnm._FilterDatabase" localSheetId="14" hidden="1">'Asset Position'!$A$4:$F$138</definedName>
    <definedName name="_xlnm._FilterDatabase" localSheetId="16" hidden="1">'Hire Cycles'!$A$4:$G$1069</definedName>
    <definedName name="_xlnm._FilterDatabase" localSheetId="17" hidden="1">'Hire Billing Check'!$A$4:$L$450</definedName>
    <definedName name="_xlnm._FilterDatabase" localSheetId="18" hidden="1">'Exceptions'!$A$4:$G$227</definedName>
    <definedName name="_xlnm._FilterDatabase" localSheetId="19" hidden="1">'Airtable Schema'!$A$4:$C$35</definedName>
    <definedName name="_xlnm._FilterDatabase" localSheetId="20" hidden="1">'Glide Screens'!$A$4:$C$12</definedName>
    <definedName name="_xlnm._FilterDatabase" localSheetId="21" hidden="1">'Make Scenarios'!$A$4:$I$14</definedName>
    <definedName name="_xlnm._FilterDatabase" localSheetId="22" hidden="1">'Make Modules'!$A$4:$C$24</definedName>
    <definedName name="_xlnm._FilterDatabase" localSheetId="23" hidden="1">'Make July Run'!$A$4:$L$80</definedName>
    <definedName name="_xlnm._FilterDatabase" localSheetId="24" hidden="1">'Make Run Log'!$A$4:$K$287</definedName>
    <definedName name="_xlnm._FilterDatabase" localSheetId="25" hidden="1">'Make Incidents'!$A$4:$H$16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#,##0.00;[Red]-#,##0.00;&quot;-&quot;"/>
    <numFmt numFmtId="166" formatCode="dd/mm/yyyy"/>
    <numFmt numFmtId="167" formatCode="#,##0.##"/>
    <numFmt numFmtId="168" formatCode="0.0%"/>
    <numFmt numFmtId="169" formatCode="#,##0.##;-#,##0.##;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5B6776"/>
      <sz val="9"/>
    </font>
    <font>
      <b val="1"/>
    </font>
    <font>
      <b val="1"/>
      <color rgb="000E7C86"/>
    </font>
    <font>
      <b val="1"/>
      <color rgb="00FFFFFF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B1F33"/>
      </patternFill>
    </fill>
    <fill>
      <patternFill patternType="solid">
        <fgColor rgb="000E7C8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6" fillId="3" borderId="0" applyAlignment="1" pivotButton="0" quotePrefix="0" xfId="0">
      <alignment vertical="center" wrapText="1"/>
    </xf>
    <xf numFmtId="167" fontId="0" fillId="0" borderId="0" pivotButton="0" quotePrefix="0" xfId="0"/>
    <xf numFmtId="165" fontId="0" fillId="0" borderId="0" pivotButton="0" quotePrefix="0" xfId="0"/>
    <xf numFmtId="168" fontId="0" fillId="0" borderId="0" pivotButton="0" quotePrefix="0" xfId="0"/>
    <xf numFmtId="166" fontId="0" fillId="0" borderId="0" pivotButton="0" quotePrefix="0" xfId="0"/>
    <xf numFmtId="169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CEBD5"/>
        </patternFill>
      </fill>
    </dxf>
    <dxf>
      <fill>
        <patternFill patternType="solid">
          <fgColor rgb="00F6E0DE"/>
        </patternFill>
      </fill>
    </dxf>
    <dxf>
      <fill>
        <patternFill patternType="solid">
          <fgColor rgb="00DEF0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styles" Target="styles.xml" Id="rId29"/><Relationship Type="http://schemas.openxmlformats.org/officeDocument/2006/relationships/theme" Target="theme/theme1.xml" Id="rId3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selection activeCell="A1" sqref="A1"/>
    </sheetView>
  </sheetViews>
  <sheetFormatPr baseColWidth="8" defaultRowHeight="15"/>
  <cols>
    <col width="28" customWidth="1" min="1" max="1"/>
    <col width="110" customWidth="1" min="2" max="2"/>
  </cols>
  <sheetData>
    <row r="1">
      <c r="A1" s="1" t="inlineStr">
        <is>
          <t>Hire billing clean-up and asset tracking: Xero, Airtable, Glide, Make (FY26)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4" t="inlineStr">
        <is>
          <t>Scenario</t>
        </is>
      </c>
      <c r="B4" t="inlineStr">
        <is>
          <t>Melbourne temporary fencing, scaffolding, make-safe and roof repair business, FY26 (1 Jul 2025 to 30 Jun 2026)</t>
        </is>
      </c>
    </row>
    <row r="5">
      <c r="A5" s="4" t="inlineStr">
        <is>
          <t>Inputs</t>
        </is>
      </c>
      <c r="B5" t="inlineStr">
        <is>
          <t>Xero sales invoice lines, contacts, chart of accounts and expense balances; a paper asset movement log transcribed by the office; the yard stocktake</t>
        </is>
      </c>
    </row>
    <row r="6">
      <c r="A6" s="4" t="inlineStr">
        <is>
          <t>Outputs</t>
        </is>
      </c>
      <c r="B6" t="inlineStr">
        <is>
          <t>Re-coded income, merged contacts, tax fixes, a clean asset ledger, a hire billing check and the Airtable/Glide/Make design</t>
        </is>
      </c>
    </row>
    <row r="7">
      <c r="A7" s="4" t="inlineStr">
        <is>
          <t>How to use</t>
        </is>
      </c>
      <c r="B7" t="inlineStr">
        <is>
          <t>Every summary is a formula. Change a decision in Review Queue or a value on a data tab and Dashboard and Controls update.</t>
        </is>
      </c>
    </row>
    <row r="9">
      <c r="A9" s="4" t="inlineStr">
        <is>
          <t>Sheets</t>
        </is>
      </c>
    </row>
    <row r="10">
      <c r="A10" s="5" t="inlineStr">
        <is>
          <t>Dashboard</t>
        </is>
      </c>
      <c r="B10" t="inlineStr">
        <is>
          <t>Headline figures, every one a formula over the tabs below</t>
        </is>
      </c>
    </row>
    <row r="11">
      <c r="A11" s="5" t="inlineStr">
        <is>
          <t>Data Profile</t>
        </is>
      </c>
      <c r="B11" t="inlineStr">
        <is>
          <t>What the exports look like before any change</t>
        </is>
      </c>
    </row>
    <row r="12">
      <c r="A12" s="5" t="inlineStr">
        <is>
          <t>Invoice Lines</t>
        </is>
      </c>
      <c r="B12" t="inlineStr">
        <is>
          <t>All FY26 sales invoice lines from Xero, re-coded by rule (account, service line, expected tax)</t>
        </is>
      </c>
    </row>
    <row r="13">
      <c r="A13" s="5" t="inlineStr">
        <is>
          <t>Category Rules</t>
        </is>
      </c>
      <c r="B13" t="inlineStr">
        <is>
          <t>The 13 rules, with lines and value caught by each</t>
        </is>
      </c>
    </row>
    <row r="14">
      <c r="A14" s="5" t="inlineStr">
        <is>
          <t>Revenue by Service</t>
        </is>
      </c>
      <c r="B14" t="inlineStr">
        <is>
          <t>FY26 income by new account and service line, by month</t>
        </is>
      </c>
    </row>
    <row r="15">
      <c r="A15" s="5" t="inlineStr">
        <is>
          <t>Recode Journals</t>
        </is>
      </c>
      <c r="B15" t="inlineStr">
        <is>
          <t>One manual journal per month moving income out of 200/260</t>
        </is>
      </c>
    </row>
    <row r="16">
      <c r="A16" s="5" t="inlineStr">
        <is>
          <t>Review Queue</t>
        </is>
      </c>
      <c r="B16" t="inlineStr">
        <is>
          <t>Lines a person has to decide, with a drop-down for the decision</t>
        </is>
      </c>
    </row>
    <row r="17">
      <c r="A17" s="5" t="inlineStr">
        <is>
          <t>Tax Review</t>
        </is>
      </c>
      <c r="B17" t="inlineStr">
        <is>
          <t>Lines on the wrong tax rate, the GST effect and the BAS quarter</t>
        </is>
      </c>
    </row>
    <row r="18">
      <c r="A18" s="5" t="inlineStr">
        <is>
          <t>Contacts</t>
        </is>
      </c>
      <c r="B18" t="inlineStr">
        <is>
          <t>Every Xero contact, its master record and the matching rule</t>
        </is>
      </c>
    </row>
    <row r="19">
      <c r="A19" s="5" t="inlineStr">
        <is>
          <t>COA Fix Map</t>
        </is>
      </c>
      <c r="B19" t="inlineStr">
        <is>
          <t>Chart of accounts changes and the balances they move</t>
        </is>
      </c>
    </row>
    <row r="20">
      <c r="A20" s="5" t="inlineStr">
        <is>
          <t>Chart of Accounts</t>
        </is>
      </c>
      <c r="B20" t="inlineStr">
        <is>
          <t>The current chart with the proposed action per account</t>
        </is>
      </c>
    </row>
    <row r="21">
      <c r="A21" s="5" t="inlineStr">
        <is>
          <t>Asset Log</t>
        </is>
      </c>
      <c r="B21" t="inlineStr">
        <is>
          <t>The transcribed asset movement log after clean-up</t>
        </is>
      </c>
    </row>
    <row r="22">
      <c r="A22" s="5" t="inlineStr">
        <is>
          <t>Log Issues</t>
        </is>
      </c>
      <c r="B22" t="inlineStr">
        <is>
          <t>Duplicate dockets, wrong-site returns and other log problems</t>
        </is>
      </c>
    </row>
    <row r="23">
      <c r="A23" s="5" t="inlineStr">
        <is>
          <t>Asset Position</t>
        </is>
      </c>
      <c r="B23" t="inlineStr">
        <is>
          <t>Units on each site at 30 June 2026, from the log</t>
        </is>
      </c>
    </row>
    <row r="24">
      <c r="A24" s="5" t="inlineStr">
        <is>
          <t>Fleet Reconciliation</t>
        </is>
      </c>
      <c r="B24" t="inlineStr">
        <is>
          <t>Register + purchases - lost = yard + on hire + not returned</t>
        </is>
      </c>
    </row>
    <row r="25">
      <c r="A25" s="5" t="inlineStr">
        <is>
          <t>Hire Cycles</t>
        </is>
      </c>
      <c r="B25" t="inlineStr">
        <is>
          <t>4-weekly hire cycles rebuilt from the log</t>
        </is>
      </c>
    </row>
    <row r="26">
      <c r="A26" s="5" t="inlineStr">
        <is>
          <t>Hire Billing Check</t>
        </is>
      </c>
      <c r="B26" t="inlineStr">
        <is>
          <t>Billable unit-weeks against what was invoiced, per site and asset</t>
        </is>
      </c>
    </row>
    <row r="27">
      <c r="A27" s="5" t="inlineStr">
        <is>
          <t>Exceptions</t>
        </is>
      </c>
      <c r="B27" t="inlineStr">
        <is>
          <t>Everything that needs a person, with owner and status</t>
        </is>
      </c>
    </row>
    <row r="28">
      <c r="A28" s="5" t="inlineStr">
        <is>
          <t>Airtable Schema</t>
        </is>
      </c>
      <c r="B28" t="inlineStr">
        <is>
          <t>Target base: tables and fields</t>
        </is>
      </c>
    </row>
    <row r="29">
      <c r="A29" s="5" t="inlineStr">
        <is>
          <t>Glide Screens</t>
        </is>
      </c>
      <c r="B29" t="inlineStr">
        <is>
          <t>Yard and driver app screens and actions</t>
        </is>
      </c>
    </row>
    <row r="30">
      <c r="A30" s="5" t="inlineStr">
        <is>
          <t>Make Scenarios</t>
        </is>
      </c>
      <c r="B30" t="inlineStr">
        <is>
          <t>The ten scenarios: trigger, schedule, error handling and alert</t>
        </is>
      </c>
    </row>
    <row r="31">
      <c r="A31" s="5" t="inlineStr">
        <is>
          <t>Make Modules</t>
        </is>
      </c>
      <c r="B31" t="inlineStr">
        <is>
          <t>S01 to S05, module by module</t>
        </is>
      </c>
    </row>
    <row r="32">
      <c r="A32" s="5" t="inlineStr">
        <is>
          <t>Make July Run</t>
        </is>
      </c>
      <c r="B32" t="inlineStr">
        <is>
          <t>Simulated S02 billing run for July 2026 with idempotency keys</t>
        </is>
      </c>
    </row>
    <row r="33">
      <c r="A33" s="5" t="inlineStr">
        <is>
          <t>Make Run Log</t>
        </is>
      </c>
      <c r="B33" t="inlineStr">
        <is>
          <t>July 2026 run history, by scenario and day</t>
        </is>
      </c>
    </row>
    <row r="34">
      <c r="A34" s="5" t="inlineStr">
        <is>
          <t>Make Incidents</t>
        </is>
      </c>
      <c r="B34" t="inlineStr">
        <is>
          <t>Every error execution in July 2026 and how it was handled</t>
        </is>
      </c>
    </row>
    <row r="35">
      <c r="A35" s="5" t="inlineStr">
        <is>
          <t>Controls</t>
        </is>
      </c>
      <c r="B35" t="inlineStr">
        <is>
          <t>Formula checks, all must PASS</t>
        </is>
      </c>
    </row>
    <row r="36">
      <c r="A36" s="5" t="inlineStr">
        <is>
          <t>Test Log</t>
        </is>
      </c>
      <c r="B36" t="inlineStr">
        <is>
          <t>Engine regression and scenario tests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6" customWidth="1" min="3" max="3"/>
  </cols>
  <sheetData>
    <row r="1">
      <c r="A1" s="6" t="inlineStr">
        <is>
          <t>Dashboard (all formulas)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Area</t>
        </is>
      </c>
      <c r="B4" s="7" t="inlineStr">
        <is>
          <t>Measure</t>
        </is>
      </c>
      <c r="C4" s="7" t="inlineStr">
        <is>
          <t>Value</t>
        </is>
      </c>
    </row>
    <row r="5">
      <c r="A5" t="inlineStr">
        <is>
          <t>Income</t>
        </is>
      </c>
      <c r="B5" t="inlineStr">
        <is>
          <t>Counted invoice lines</t>
        </is>
      </c>
      <c r="C5" s="8">
        <f>SUM('Invoice Lines'!$M$5:$M$2542)</f>
        <v>2524</v>
      </c>
    </row>
    <row r="6">
      <c r="A6" t="inlineStr">
        <is>
          <t>Income</t>
        </is>
      </c>
      <c r="B6" t="inlineStr">
        <is>
          <t>Income in the export (ex GST)</t>
        </is>
      </c>
      <c r="C6" s="9">
        <f>SUMIFS('Invoice Lines'!$K$5:$K$2542,'Invoice Lines'!$M$5:$M$2542,1)</f>
        <v>1758394.15</v>
      </c>
    </row>
    <row r="7">
      <c r="A7" t="inlineStr">
        <is>
          <t>Income</t>
        </is>
      </c>
      <c r="B7" t="inlineStr">
        <is>
          <t>Lines coded by a rule</t>
        </is>
      </c>
      <c r="C7" s="8">
        <f>COUNTIFS('Invoice Lines'!$M$5:$M$2542,1,'Invoice Lines'!$R$5:$R$2542,"&lt;&gt;")-COUNTIFS('Invoice Lines'!$M$5:$M$2542,1,'Invoice Lines'!$R$5:$R$2542,"")</f>
        <v>2478</v>
      </c>
    </row>
    <row r="8">
      <c r="A8" t="inlineStr">
        <is>
          <t>Income</t>
        </is>
      </c>
      <c r="B8" t="inlineStr">
        <is>
          <t>Share of lines coded by a rule</t>
        </is>
      </c>
      <c r="C8" s="10">
        <f>ROUND(C7/C5,4)</f>
        <v>0.9818</v>
      </c>
    </row>
    <row r="9">
      <c r="A9" t="inlineStr">
        <is>
          <t>Income</t>
        </is>
      </c>
      <c r="B9" t="inlineStr">
        <is>
          <t>Lines in the review queue</t>
        </is>
      </c>
      <c r="C9" s="8">
        <f>COUNTA('Review Queue'!A5:A50)</f>
        <v>46</v>
      </c>
    </row>
    <row r="10">
      <c r="A10" t="inlineStr">
        <is>
          <t>Income</t>
        </is>
      </c>
      <c r="B10" t="inlineStr">
        <is>
          <t>Income re-coded to 4010-4040</t>
        </is>
      </c>
      <c r="C10" s="9">
        <f>SUM('Revenue by Service'!P5:P14)-SUMIFS('Revenue by Service'!P5:P14,'Revenue by Service'!A5:A14,835)</f>
        <v>1640453.04</v>
      </c>
    </row>
    <row r="11">
      <c r="A11" t="inlineStr">
        <is>
          <t>Income</t>
        </is>
      </c>
      <c r="B11" t="inlineStr">
        <is>
          <t>Deposits moved to 835 (liability)</t>
        </is>
      </c>
      <c r="C11" s="9">
        <f>SUMIFS('Revenue by Service'!P5:P14,'Revenue by Service'!A5:A14,835)</f>
        <v>19000</v>
      </c>
    </row>
    <row r="12">
      <c r="A12" t="inlineStr">
        <is>
          <t>Tax</t>
        </is>
      </c>
      <c r="B12" t="inlineStr">
        <is>
          <t>Lines on the wrong tax rate</t>
        </is>
      </c>
      <c r="C12" s="8">
        <f>COUNTA('Tax Review'!A5:A87)</f>
        <v>83</v>
      </c>
    </row>
    <row r="13">
      <c r="A13" t="inlineStr">
        <is>
          <t>Tax</t>
        </is>
      </c>
      <c r="B13" t="inlineStr">
        <is>
          <t>Net GST to correct</t>
        </is>
      </c>
      <c r="C13" s="9">
        <f>'Tax Review'!N9</f>
        <v>3317.29</v>
      </c>
    </row>
    <row r="14">
      <c r="A14" t="inlineStr">
        <is>
          <t>Contacts</t>
        </is>
      </c>
      <c r="B14" t="inlineStr">
        <is>
          <t>Xero contacts</t>
        </is>
      </c>
      <c r="C14" s="8">
        <f>COUNTA('Contacts'!$A$5:$A$157)</f>
        <v>153</v>
      </c>
    </row>
    <row r="15">
      <c r="A15" t="inlineStr">
        <is>
          <t>Contacts</t>
        </is>
      </c>
      <c r="B15" t="inlineStr">
        <is>
          <t>Duplicates merged</t>
        </is>
      </c>
      <c r="C15" s="8">
        <f>COUNTIF('Contacts'!$L$5:$L$157,"Merge*")</f>
        <v>29</v>
      </c>
    </row>
    <row r="16">
      <c r="A16" t="inlineStr">
        <is>
          <t>Contacts</t>
        </is>
      </c>
      <c r="B16" t="inlineStr">
        <is>
          <t>Customers after merge</t>
        </is>
      </c>
      <c r="C16" s="8">
        <f>C14-C15</f>
        <v>124</v>
      </c>
    </row>
    <row r="17">
      <c r="A17" t="inlineStr">
        <is>
          <t>Assets</t>
        </is>
      </c>
      <c r="B17" t="inlineStr">
        <is>
          <t>Log issues fixed</t>
        </is>
      </c>
      <c r="C17" s="8">
        <f>COUNTIF('Log Issues'!$I$5:$I$54,"Fixed")</f>
        <v>34</v>
      </c>
    </row>
    <row r="18">
      <c r="A18" t="inlineStr">
        <is>
          <t>Assets</t>
        </is>
      </c>
      <c r="B18" t="inlineStr">
        <is>
          <t>Log issues open</t>
        </is>
      </c>
      <c r="C18" s="8">
        <f>COUNTIF('Log Issues'!$I$5:$I$54,"Open")</f>
        <v>16</v>
      </c>
    </row>
    <row r="19">
      <c r="A19" t="inlineStr">
        <is>
          <t>Assets</t>
        </is>
      </c>
      <c r="B19" t="inlineStr">
        <is>
          <t>Panels (FP) not returned from collected sites</t>
        </is>
      </c>
      <c r="C19" s="8">
        <f>SUMIFS('Asset Position'!$E$5:$E$138,'Asset Position'!$D$5:$D$138,"FP",'Asset Position'!$F$5:$F$138,"&lt;&gt;On hire")</f>
        <v>79</v>
      </c>
    </row>
    <row r="20">
      <c r="A20" t="inlineStr">
        <is>
          <t>Billing</t>
        </is>
      </c>
      <c r="B20" t="inlineStr">
        <is>
          <t>Site-asset pairs checked</t>
        </is>
      </c>
      <c r="C20" s="8">
        <f>COUNTA('Hire Billing Check'!$A$5:$A$450)</f>
        <v>446</v>
      </c>
    </row>
    <row r="21">
      <c r="A21" t="inlineStr">
        <is>
          <t>Billing</t>
        </is>
      </c>
      <c r="B21" t="inlineStr">
        <is>
          <t>Under-billed value</t>
        </is>
      </c>
      <c r="C21" s="9">
        <f>SUMIFS('Hire Billing Check'!$H$5:$H$450,'Hire Billing Check'!$H$5:$H$450,"&gt;0")</f>
        <v>60258.7</v>
      </c>
    </row>
    <row r="22">
      <c r="A22" t="inlineStr">
        <is>
          <t>Billing</t>
        </is>
      </c>
      <c r="B22" t="inlineStr">
        <is>
          <t>Over-billed value</t>
        </is>
      </c>
      <c r="C22" s="9">
        <f>-SUMIFS('Hire Billing Check'!$H$5:$H$450,'Hire Billing Check'!$H$5:$H$450,"&lt;0")</f>
        <v>2578.5</v>
      </c>
    </row>
    <row r="23">
      <c r="A23" t="inlineStr">
        <is>
          <t>Billing</t>
        </is>
      </c>
      <c r="B23" t="inlineStr">
        <is>
          <t>July 2026 drafts from S2</t>
        </is>
      </c>
      <c r="C23" s="8">
        <f>COUNTA('Make July Run'!$A$5:$A$80)</f>
        <v>76</v>
      </c>
    </row>
    <row r="24">
      <c r="A24" t="inlineStr">
        <is>
          <t>Billing</t>
        </is>
      </c>
      <c r="B24" t="inlineStr">
        <is>
          <t>July 2026 draft value (ex GST)</t>
        </is>
      </c>
      <c r="C24" s="9">
        <f>SUM('Make July Run'!$J$5:$J$80)</f>
        <v>75582</v>
      </c>
    </row>
    <row r="25">
      <c r="A25" t="inlineStr">
        <is>
          <t>Exceptions</t>
        </is>
      </c>
      <c r="B25" t="inlineStr">
        <is>
          <t>Open exceptions</t>
        </is>
      </c>
      <c r="C25" s="8">
        <f>COUNTIF('Exceptions'!$G$5:$G$227,"Open")</f>
        <v>223</v>
      </c>
    </row>
    <row r="26">
      <c r="A26" t="inlineStr">
        <is>
          <t>Make</t>
        </is>
      </c>
      <c r="B26" t="inlineStr">
        <is>
          <t>Make scenarios</t>
        </is>
      </c>
      <c r="C26" s="8">
        <f>COUNTA('Make Scenarios'!A5:A14)</f>
        <v>10</v>
      </c>
    </row>
    <row r="27">
      <c r="A27" t="inlineStr">
        <is>
          <t>Make</t>
        </is>
      </c>
      <c r="B27" t="inlineStr">
        <is>
          <t>Make executions, July 2026</t>
        </is>
      </c>
      <c r="C27" s="8">
        <f>SUM('Make Run Log'!$D$5:$D$287)</f>
        <v>13416</v>
      </c>
    </row>
    <row r="28">
      <c r="A28" t="inlineStr">
        <is>
          <t>Make</t>
        </is>
      </c>
      <c r="B28" t="inlineStr">
        <is>
          <t>Make operations, July 2026</t>
        </is>
      </c>
      <c r="C28" s="8">
        <f>SUM('Make Run Log'!$F$5:$F$287)</f>
        <v>21907</v>
      </c>
    </row>
    <row r="29">
      <c r="A29" t="inlineStr">
        <is>
          <t>Make</t>
        </is>
      </c>
      <c r="B29" t="inlineStr">
        <is>
          <t>Make errors, July 2026</t>
        </is>
      </c>
      <c r="C29" s="8">
        <f>SUM('Make Run Log'!$G$5:$G$287)</f>
        <v>12</v>
      </c>
    </row>
    <row r="30">
      <c r="A30" t="inlineStr">
        <is>
          <t>Make</t>
        </is>
      </c>
      <c r="B30" t="inlineStr">
        <is>
          <t>Make errors unresolved</t>
        </is>
      </c>
      <c r="C30" s="8">
        <f>SUM('Make Run Log'!$K$5:$K$287)</f>
        <v>0</v>
      </c>
    </row>
    <row r="31">
      <c r="A31" t="inlineStr">
        <is>
          <t>Controls</t>
        </is>
      </c>
      <c r="B31" t="inlineStr">
        <is>
          <t>Controls passed</t>
        </is>
      </c>
      <c r="C31" s="8">
        <f>Controls!C41</f>
        <v>35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70" customWidth="1" min="3" max="3"/>
  </cols>
  <sheetData>
    <row r="1">
      <c r="A1" s="6" t="inlineStr">
        <is>
          <t>Data profile: the exports before any change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Measure</t>
        </is>
      </c>
      <c r="B4" s="7" t="inlineStr">
        <is>
          <t>Value</t>
        </is>
      </c>
      <c r="C4" s="7" t="inlineStr">
        <is>
          <t>How it is counted</t>
        </is>
      </c>
    </row>
    <row r="5">
      <c r="A5" t="inlineStr">
        <is>
          <t>Invoice lines in the export</t>
        </is>
      </c>
      <c r="B5" s="8">
        <f>COUNTA('Invoice Lines'!$A$5:$A$2542)</f>
        <v>2538</v>
      </c>
      <c r="C5" t="inlineStr">
        <is>
          <t>Rows in Invoice Lines</t>
        </is>
      </c>
    </row>
    <row r="6">
      <c r="A6" t="inlineStr">
        <is>
          <t>Invoices</t>
        </is>
      </c>
      <c r="B6" s="8" t="n">
        <v>1853</v>
      </c>
      <c r="C6" t="inlineStr">
        <is>
          <t>Distinct invoice numbers</t>
        </is>
      </c>
    </row>
    <row r="7">
      <c r="A7" t="inlineStr">
        <is>
          <t>Lines on VOIDED invoices</t>
        </is>
      </c>
      <c r="B7" s="8">
        <f>COUNTIF('Invoice Lines'!$L$5:$L$2542,"VOIDED")</f>
        <v>14</v>
      </c>
      <c r="C7" t="inlineStr">
        <is>
          <t>Excluded from every total</t>
        </is>
      </c>
    </row>
    <row r="8">
      <c r="A8" t="inlineStr">
        <is>
          <t>Lines coded to 200 Sales</t>
        </is>
      </c>
      <c r="B8" s="8">
        <f>COUNTIFS('Invoice Lines'!$N$5:$N$2542,200,'Invoice Lines'!$M$5:$M$2542,1)</f>
        <v>2382</v>
      </c>
      <c r="C8" t="inlineStr">
        <is>
          <t>One account for every kind of income</t>
        </is>
      </c>
    </row>
    <row r="9">
      <c r="A9" t="inlineStr">
        <is>
          <t>Lines coded to 260 Other Revenue</t>
        </is>
      </c>
      <c r="B9" s="8">
        <f>COUNTIFS('Invoice Lines'!$N$5:$N$2542,260,'Invoice Lines'!$M$5:$M$2542,1)</f>
        <v>142</v>
      </c>
      <c r="C9" t="inlineStr">
        <is>
          <t>Used at random by whoever keyed the invoice</t>
        </is>
      </c>
    </row>
    <row r="10">
      <c r="A10" t="inlineStr">
        <is>
          <t>Lines on GST Free Income</t>
        </is>
      </c>
      <c r="B10" s="8">
        <f>COUNTIFS('Invoice Lines'!$O$5:$O$2542,"GST Free Income",'Invoice Lines'!$M$5:$M$2542,1)</f>
        <v>45</v>
      </c>
      <c r="C10" t="inlineStr">
        <is>
          <t>200's default tax is GST Free</t>
        </is>
      </c>
    </row>
    <row r="11">
      <c r="A11" t="inlineStr">
        <is>
          <t>Lines on BAS Excluded</t>
        </is>
      </c>
      <c r="B11" s="8">
        <f>COUNTIFS('Invoice Lines'!$O$5:$O$2542,"BAS Excluded",'Invoice Lines'!$M$5:$M$2542,1)</f>
        <v>30</v>
      </c>
      <c r="C11" t="inlineStr"/>
    </row>
    <row r="12">
      <c r="A12" t="inlineStr">
        <is>
          <t>Lines with a site reference</t>
        </is>
      </c>
      <c r="B12" s="8">
        <f>COUNTIFS('Invoice Lines'!$H$5:$H$2542,"S*",'Invoice Lines'!$M$5:$M$2542,1)</f>
        <v>2502</v>
      </c>
      <c r="C12" t="inlineStr">
        <is>
          <t>Reference holds the site ID</t>
        </is>
      </c>
    </row>
    <row r="13">
      <c r="A13" t="inlineStr">
        <is>
          <t>Credit notes (negative lines)</t>
        </is>
      </c>
      <c r="B13" s="8">
        <f>COUNTIFS('Invoice Lines'!$K$5:$K$2542,"&lt;0",'Invoice Lines'!$M$5:$M$2542,1)</f>
        <v>14</v>
      </c>
      <c r="C13" t="inlineStr"/>
    </row>
    <row r="14">
      <c r="A14" t="inlineStr">
        <is>
          <t>Income in the export (ex GST)</t>
        </is>
      </c>
      <c r="B14" s="8">
        <f>SUMIFS('Invoice Lines'!$K$5:$K$2542,'Invoice Lines'!$M$5:$M$2542,1)</f>
        <v>1758394.15</v>
      </c>
      <c r="C14" t="inlineStr">
        <is>
          <t>Counted lines</t>
        </is>
      </c>
    </row>
    <row r="15">
      <c r="A15" t="inlineStr">
        <is>
          <t>Xero contacts</t>
        </is>
      </c>
      <c r="B15" s="8">
        <f>COUNTA('Contacts'!$A$5:$A$157)</f>
        <v>153</v>
      </c>
      <c r="C15" t="inlineStr"/>
    </row>
    <row r="16">
      <c r="A16" t="inlineStr">
        <is>
          <t>Contacts with no tax number</t>
        </is>
      </c>
      <c r="B16" s="8">
        <f>COUNTIF('Contacts'!$C$5:$C$157,"")</f>
        <v>69</v>
      </c>
      <c r="C16" t="inlineStr">
        <is>
          <t>Makes duplicate checks harder</t>
        </is>
      </c>
    </row>
    <row r="17">
      <c r="A17" t="inlineStr">
        <is>
          <t>Asset log rows as transcribed</t>
        </is>
      </c>
      <c r="B17" s="8" t="n">
        <v>1396</v>
      </c>
      <c r="C17" t="inlineStr">
        <is>
          <t>Paper dockets typed in by the office</t>
        </is>
      </c>
    </row>
    <row r="18">
      <c r="A18" t="inlineStr">
        <is>
          <t>Distinct ways a site was written</t>
        </is>
      </c>
      <c r="B18" s="8" t="n">
        <v>608</v>
      </c>
      <c r="C18" t="inlineStr">
        <is>
          <t>For 397 real sites</t>
        </is>
      </c>
    </row>
    <row r="19">
      <c r="A19" t="inlineStr">
        <is>
          <t>Distinct ways an asset class was written</t>
        </is>
      </c>
      <c r="B19" s="8" t="n">
        <v>12</v>
      </c>
      <c r="C19" t="inlineStr">
        <is>
          <t>For 5 classes</t>
        </is>
      </c>
    </row>
    <row r="20">
      <c r="A20" t="inlineStr">
        <is>
          <t>Sites</t>
        </is>
      </c>
      <c r="B20" s="8" t="n">
        <v>546</v>
      </c>
      <c r="C20" t="inlineStr">
        <is>
          <t>Fencing, scaffolding, make-safe and roofing jobs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V254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9" customWidth="1" min="5" max="5"/>
    <col width="9" customWidth="1" min="6" max="6"/>
    <col width="30" customWidth="1" min="7" max="7"/>
    <col width="9" customWidth="1" min="8" max="8"/>
    <col width="46" customWidth="1" min="9" max="9"/>
    <col width="6" customWidth="1" min="10" max="10"/>
    <col width="11" customWidth="1" min="11" max="11"/>
    <col width="11" customWidth="1" min="12" max="12"/>
    <col width="8" customWidth="1" min="13" max="13"/>
    <col width="8" customWidth="1" min="14" max="14"/>
    <col width="15" customWidth="1" min="15" max="15"/>
    <col width="6" customWidth="1" min="16" max="16"/>
    <col width="10" customWidth="1" min="17" max="17"/>
    <col width="9" customWidth="1" min="18" max="18"/>
    <col width="11" customWidth="1" min="19" max="19"/>
    <col width="14" customWidth="1" min="20" max="20"/>
    <col width="7" customWidth="1" min="21" max="21"/>
    <col width="10" customWidth="1" min="22" max="22"/>
  </cols>
  <sheetData>
    <row r="1">
      <c r="A1" s="6" t="inlineStr">
        <is>
          <t>FY26 sales invoice lines (Xero export), re-coded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Line ID</t>
        </is>
      </c>
      <c r="B4" s="7" t="inlineStr">
        <is>
          <t>Invoice</t>
        </is>
      </c>
      <c r="C4" s="7" t="inlineStr">
        <is>
          <t>Date</t>
        </is>
      </c>
      <c r="D4" s="7" t="inlineStr">
        <is>
          <t>Month</t>
        </is>
      </c>
      <c r="E4" s="7" t="inlineStr">
        <is>
          <t>Contact ID</t>
        </is>
      </c>
      <c r="F4" s="7" t="inlineStr">
        <is>
          <t>Master ID</t>
        </is>
      </c>
      <c r="G4" s="7" t="inlineStr">
        <is>
          <t>Contact (master)</t>
        </is>
      </c>
      <c r="H4" s="7" t="inlineStr">
        <is>
          <t>Reference</t>
        </is>
      </c>
      <c r="I4" s="7" t="inlineStr">
        <is>
          <t>Description</t>
        </is>
      </c>
      <c r="J4" s="7" t="inlineStr">
        <is>
          <t>Qty</t>
        </is>
      </c>
      <c r="K4" s="7" t="inlineStr">
        <is>
          <t>Amount</t>
        </is>
      </c>
      <c r="L4" s="7" t="inlineStr">
        <is>
          <t>Status</t>
        </is>
      </c>
      <c r="M4" s="7" t="inlineStr">
        <is>
          <t>Counted</t>
        </is>
      </c>
      <c r="N4" s="7" t="inlineStr">
        <is>
          <t>Old account</t>
        </is>
      </c>
      <c r="O4" s="7" t="inlineStr">
        <is>
          <t>Tax type</t>
        </is>
      </c>
      <c r="P4" s="7" t="inlineStr">
        <is>
          <t>Rule</t>
        </is>
      </c>
      <c r="Q4" s="7" t="inlineStr">
        <is>
          <t>Category</t>
        </is>
      </c>
      <c r="R4" s="7" t="inlineStr">
        <is>
          <t>New account</t>
        </is>
      </c>
      <c r="S4" s="7" t="inlineStr">
        <is>
          <t>Service line</t>
        </is>
      </c>
      <c r="T4" s="7" t="inlineStr">
        <is>
          <t>Expected tax</t>
        </is>
      </c>
      <c r="U4" s="7" t="inlineStr">
        <is>
          <t>Tax OK</t>
        </is>
      </c>
      <c r="V4" s="7" t="inlineStr">
        <is>
          <t>GST effect</t>
        </is>
      </c>
    </row>
    <row r="5">
      <c r="A5" t="inlineStr">
        <is>
          <t>INV-4557-1</t>
        </is>
      </c>
      <c r="B5" t="inlineStr">
        <is>
          <t>INV-4557</t>
        </is>
      </c>
      <c r="C5" s="11" t="n">
        <v>45839</v>
      </c>
      <c r="D5" t="inlineStr">
        <is>
          <t>2025-07</t>
        </is>
      </c>
      <c r="E5" t="inlineStr">
        <is>
          <t>C0014</t>
        </is>
      </c>
      <c r="F5" t="inlineStr">
        <is>
          <t>C0014</t>
        </is>
      </c>
      <c r="G5" t="inlineStr">
        <is>
          <t>Riverbend Homes Pty Ltd</t>
        </is>
      </c>
      <c r="H5" t="inlineStr">
        <is>
          <t>S0091</t>
        </is>
      </c>
      <c r="I5" t="inlineStr">
        <is>
          <t>Delivery and installation - temporary fencing</t>
        </is>
      </c>
      <c r="J5" t="n">
        <v>1</v>
      </c>
      <c r="K5" s="9" t="n">
        <v>165</v>
      </c>
      <c r="L5" t="inlineStr">
        <is>
          <t>PAID</t>
        </is>
      </c>
      <c r="M5">
        <f>IF(L5="VOIDED",0,1)</f>
        <v>1</v>
      </c>
      <c r="N5" t="n">
        <v>200</v>
      </c>
      <c r="O5" t="inlineStr">
        <is>
          <t>GST on Income</t>
        </is>
      </c>
      <c r="P5" t="inlineStr">
        <is>
          <t>R07</t>
        </is>
      </c>
      <c r="Q5" t="inlineStr">
        <is>
          <t>DEL-FP</t>
        </is>
      </c>
      <c r="R5">
        <f>IF(OR(Q5="CONTEXT",Q5="REVIEW"),"",INDEX('Category Rules'!$D$5:$D$17,MATCH(P5,'Category Rules'!$A$5:$A$17,0)))</f>
        <v>4020</v>
      </c>
      <c r="S5" t="str">
        <f>IF(Q5="CONTEXT","Fencing",IF(Q5="REVIEW","",INDEX('Category Rules'!$E$5:$E$17,MATCH(P5,'Category Rules'!$A$5:$A$17,0))))</f>
        <v>Fencing</v>
      </c>
      <c r="T5" t="str">
        <f>IF(Q5="DEP","BAS Excluded","GST on Income")</f>
        <v>GST on Income</v>
      </c>
      <c r="U5">
        <f>IF(O5=T5,1,0)</f>
        <v>1</v>
      </c>
      <c r="V5" s="9">
        <f>IF(OR(M5=0,U5=1),0,IF(T5="GST on Income",ROUND(K5*0.1,2),ROUND(-K5*0.1,2)))</f>
        <v>0</v>
      </c>
    </row>
    <row r="6">
      <c r="A6" t="inlineStr">
        <is>
          <t>INV-4557-2</t>
        </is>
      </c>
      <c r="B6" t="inlineStr">
        <is>
          <t>INV-4557</t>
        </is>
      </c>
      <c r="C6" s="11" t="n">
        <v>45839</v>
      </c>
      <c r="D6" t="inlineStr">
        <is>
          <t>2025-07</t>
        </is>
      </c>
      <c r="E6" t="inlineStr">
        <is>
          <t>C0014</t>
        </is>
      </c>
      <c r="F6" t="inlineStr">
        <is>
          <t>C0014</t>
        </is>
      </c>
      <c r="G6" t="inlineStr">
        <is>
          <t>Riverbend Homes Pty Ltd</t>
        </is>
      </c>
      <c r="H6" t="inlineStr">
        <is>
          <t>S0091</t>
        </is>
      </c>
      <c r="I6" t="inlineStr">
        <is>
          <t>Installation labour - 32 panels @ 2.20</t>
        </is>
      </c>
      <c r="J6" t="n">
        <v>32</v>
      </c>
      <c r="K6" s="9" t="n">
        <v>70.40000000000001</v>
      </c>
      <c r="L6" t="inlineStr">
        <is>
          <t>PAID</t>
        </is>
      </c>
      <c r="M6">
        <f>IF(L6="VOIDED",0,1)</f>
        <v>1</v>
      </c>
      <c r="N6" t="n">
        <v>200</v>
      </c>
      <c r="O6" t="inlineStr">
        <is>
          <t>GST on Income</t>
        </is>
      </c>
      <c r="P6" t="inlineStr">
        <is>
          <t>R07</t>
        </is>
      </c>
      <c r="Q6" t="inlineStr">
        <is>
          <t>DEL-FP</t>
        </is>
      </c>
      <c r="R6">
        <f>IF(OR(Q6="CONTEXT",Q6="REVIEW"),"",INDEX('Category Rules'!$D$5:$D$17,MATCH(P6,'Category Rules'!$A$5:$A$17,0)))</f>
        <v>4020</v>
      </c>
      <c r="S6" t="str">
        <f>IF(Q6="CONTEXT","Fencing",IF(Q6="REVIEW","",INDEX('Category Rules'!$E$5:$E$17,MATCH(P6,'Category Rules'!$A$5:$A$17,0))))</f>
        <v>Fencing</v>
      </c>
      <c r="T6" t="str">
        <f>IF(Q6="DEP","BAS Excluded","GST on Income")</f>
        <v>GST on Income</v>
      </c>
      <c r="U6">
        <f>IF(O6=T6,1,0)</f>
        <v>1</v>
      </c>
      <c r="V6" s="9">
        <f>IF(OR(M6=0,U6=1),0,IF(T6="GST on Income",ROUND(K6*0.1,2),ROUND(-K6*0.1,2)))</f>
        <v>0</v>
      </c>
    </row>
    <row r="7">
      <c r="A7" t="inlineStr">
        <is>
          <t>INV-4317-1</t>
        </is>
      </c>
      <c r="B7" t="inlineStr">
        <is>
          <t>INV-4317</t>
        </is>
      </c>
      <c r="C7" s="11" t="n">
        <v>45840</v>
      </c>
      <c r="D7" t="inlineStr">
        <is>
          <t>2025-07</t>
        </is>
      </c>
      <c r="E7" t="inlineStr">
        <is>
          <t>C0074</t>
        </is>
      </c>
      <c r="F7" t="inlineStr">
        <is>
          <t>C0074</t>
        </is>
      </c>
      <c r="G7" t="inlineStr">
        <is>
          <t>Ironbark Events Pty Ltd</t>
        </is>
      </c>
      <c r="H7" t="inlineStr">
        <is>
          <t>S0046</t>
        </is>
      </c>
      <c r="I7" t="inlineStr">
        <is>
          <t>Temporary fence hire 3 wks (17/06/25-01/07/25) - 58 panels</t>
        </is>
      </c>
      <c r="J7" t="n">
        <v>174</v>
      </c>
      <c r="K7" s="9" t="n">
        <v>783</v>
      </c>
      <c r="L7" t="inlineStr">
        <is>
          <t>PAID</t>
        </is>
      </c>
      <c r="M7">
        <f>IF(L7="VOIDED",0,1)</f>
        <v>1</v>
      </c>
      <c r="N7" t="n">
        <v>200</v>
      </c>
      <c r="O7" t="inlineStr">
        <is>
          <t>GST on Income</t>
        </is>
      </c>
      <c r="P7" t="inlineStr">
        <is>
          <t>R03</t>
        </is>
      </c>
      <c r="Q7" t="inlineStr">
        <is>
          <t>HIRE-FP</t>
        </is>
      </c>
      <c r="R7">
        <f>IF(OR(Q7="CONTEXT",Q7="REVIEW"),"",INDEX('Category Rules'!$D$5:$D$17,MATCH(P7,'Category Rules'!$A$5:$A$17,0)))</f>
        <v>4010</v>
      </c>
      <c r="S7" t="str">
        <f>IF(Q7="CONTEXT","Fencing",IF(Q7="REVIEW","",INDEX('Category Rules'!$E$5:$E$17,MATCH(P7,'Category Rules'!$A$5:$A$17,0))))</f>
        <v>Fencing</v>
      </c>
      <c r="T7" t="str">
        <f>IF(Q7="DEP","BAS Excluded","GST on Income")</f>
        <v>GST on Income</v>
      </c>
      <c r="U7">
        <f>IF(O7=T7,1,0)</f>
        <v>1</v>
      </c>
      <c r="V7" s="9">
        <f>IF(OR(M7=0,U7=1),0,IF(T7="GST on Income",ROUND(K7*0.1,2),ROUND(-K7*0.1,2)))</f>
        <v>0</v>
      </c>
    </row>
    <row r="8">
      <c r="A8" t="inlineStr">
        <is>
          <t>INV-4318-1</t>
        </is>
      </c>
      <c r="B8" t="inlineStr">
        <is>
          <t>INV-4318</t>
        </is>
      </c>
      <c r="C8" s="11" t="n">
        <v>45840</v>
      </c>
      <c r="D8" t="inlineStr">
        <is>
          <t>2025-07</t>
        </is>
      </c>
      <c r="E8" t="inlineStr">
        <is>
          <t>C0074</t>
        </is>
      </c>
      <c r="F8" t="inlineStr">
        <is>
          <t>C0074</t>
        </is>
      </c>
      <c r="G8" t="inlineStr">
        <is>
          <t>Ironbark Events Pty Ltd</t>
        </is>
      </c>
      <c r="H8" t="inlineStr">
        <is>
          <t>S0046</t>
        </is>
      </c>
      <c r="I8" t="inlineStr">
        <is>
          <t>Collection and dismantle - temporary fencing</t>
        </is>
      </c>
      <c r="J8" t="n">
        <v>1</v>
      </c>
      <c r="K8" s="9" t="n">
        <v>165</v>
      </c>
      <c r="L8" t="inlineStr">
        <is>
          <t>PAID</t>
        </is>
      </c>
      <c r="M8">
        <f>IF(L8="VOIDED",0,1)</f>
        <v>1</v>
      </c>
      <c r="N8" t="n">
        <v>200</v>
      </c>
      <c r="O8" t="inlineStr">
        <is>
          <t>GST on Income</t>
        </is>
      </c>
      <c r="P8" t="inlineStr">
        <is>
          <t>R07</t>
        </is>
      </c>
      <c r="Q8" t="inlineStr">
        <is>
          <t>DEL-FP</t>
        </is>
      </c>
      <c r="R8">
        <f>IF(OR(Q8="CONTEXT",Q8="REVIEW"),"",INDEX('Category Rules'!$D$5:$D$17,MATCH(P8,'Category Rules'!$A$5:$A$17,0)))</f>
        <v>4020</v>
      </c>
      <c r="S8" t="str">
        <f>IF(Q8="CONTEXT","Fencing",IF(Q8="REVIEW","",INDEX('Category Rules'!$E$5:$E$17,MATCH(P8,'Category Rules'!$A$5:$A$17,0))))</f>
        <v>Fencing</v>
      </c>
      <c r="T8" t="str">
        <f>IF(Q8="DEP","BAS Excluded","GST on Income")</f>
        <v>GST on Income</v>
      </c>
      <c r="U8">
        <f>IF(O8=T8,1,0)</f>
        <v>1</v>
      </c>
      <c r="V8" s="9">
        <f>IF(OR(M8=0,U8=1),0,IF(T8="GST on Income",ROUND(K8*0.1,2),ROUND(-K8*0.1,2)))</f>
        <v>0</v>
      </c>
    </row>
    <row r="9">
      <c r="A9" t="inlineStr">
        <is>
          <t>INV-4318-2</t>
        </is>
      </c>
      <c r="B9" t="inlineStr">
        <is>
          <t>INV-4318</t>
        </is>
      </c>
      <c r="C9" s="11" t="n">
        <v>45840</v>
      </c>
      <c r="D9" t="inlineStr">
        <is>
          <t>2025-07</t>
        </is>
      </c>
      <c r="E9" t="inlineStr">
        <is>
          <t>C0074</t>
        </is>
      </c>
      <c r="F9" t="inlineStr">
        <is>
          <t>C0074</t>
        </is>
      </c>
      <c r="G9" t="inlineStr">
        <is>
          <t>Ironbark Events Pty Ltd</t>
        </is>
      </c>
      <c r="H9" t="inlineStr">
        <is>
          <t>S0046</t>
        </is>
      </c>
      <c r="I9" t="inlineStr">
        <is>
          <t>Lost/damaged panels charged - 3 @ 145.00</t>
        </is>
      </c>
      <c r="J9" t="n">
        <v>3</v>
      </c>
      <c r="K9" s="9" t="n">
        <v>435</v>
      </c>
      <c r="L9" t="inlineStr">
        <is>
          <t>PAID</t>
        </is>
      </c>
      <c r="M9">
        <f>IF(L9="VOIDED",0,1)</f>
        <v>1</v>
      </c>
      <c r="N9" t="n">
        <v>200</v>
      </c>
      <c r="O9" t="inlineStr">
        <is>
          <t>GST on Income</t>
        </is>
      </c>
      <c r="P9" t="inlineStr">
        <is>
          <t>R02</t>
        </is>
      </c>
      <c r="Q9" t="inlineStr">
        <is>
          <t>LOSS</t>
        </is>
      </c>
      <c r="R9">
        <f>IF(OR(Q9="CONTEXT",Q9="REVIEW"),"",INDEX('Category Rules'!$D$5:$D$17,MATCH(P9,'Category Rules'!$A$5:$A$17,0)))</f>
        <v>4040</v>
      </c>
      <c r="S9" t="str">
        <f>IF(Q9="CONTEXT","Fencing",IF(Q9="REVIEW","",INDEX('Category Rules'!$E$5:$E$17,MATCH(P9,'Category Rules'!$A$5:$A$17,0))))</f>
        <v>Fencing</v>
      </c>
      <c r="T9" t="str">
        <f>IF(Q9="DEP","BAS Excluded","GST on Income")</f>
        <v>GST on Income</v>
      </c>
      <c r="U9">
        <f>IF(O9=T9,1,0)</f>
        <v>1</v>
      </c>
      <c r="V9" s="9">
        <f>IF(OR(M9=0,U9=1),0,IF(T9="GST on Income",ROUND(K9*0.1,2),ROUND(-K9*0.1,2)))</f>
        <v>0</v>
      </c>
    </row>
    <row r="10">
      <c r="A10" t="inlineStr">
        <is>
          <t>INV-5454-1</t>
        </is>
      </c>
      <c r="B10" t="inlineStr">
        <is>
          <t>INV-5454</t>
        </is>
      </c>
      <c r="C10" s="11" t="n">
        <v>45840</v>
      </c>
      <c r="D10" t="inlineStr">
        <is>
          <t>2025-07</t>
        </is>
      </c>
      <c r="E10" t="inlineStr">
        <is>
          <t>C0001</t>
        </is>
      </c>
      <c r="F10" t="inlineStr">
        <is>
          <t>C0001</t>
        </is>
      </c>
      <c r="G10" t="inlineStr">
        <is>
          <t>Parkview Projects Pty Ltd</t>
        </is>
      </c>
      <c r="H10" t="inlineStr">
        <is>
          <t>S0299</t>
        </is>
      </c>
      <c r="I10" t="inlineStr">
        <is>
          <t>Emergency make safe call-out - after hours</t>
        </is>
      </c>
      <c r="J10" t="n">
        <v>1</v>
      </c>
      <c r="K10" s="9" t="n">
        <v>560</v>
      </c>
      <c r="L10" t="inlineStr">
        <is>
          <t>PAID</t>
        </is>
      </c>
      <c r="M10">
        <f>IF(L10="VOIDED",0,1)</f>
        <v>1</v>
      </c>
      <c r="N10" t="n">
        <v>200</v>
      </c>
      <c r="O10" t="inlineStr">
        <is>
          <t>GST on Income</t>
        </is>
      </c>
      <c r="P10" t="inlineStr">
        <is>
          <t>R09</t>
        </is>
      </c>
      <c r="Q10" t="inlineStr">
        <is>
          <t>MS</t>
        </is>
      </c>
      <c r="R10">
        <f>IF(OR(Q10="CONTEXT",Q10="REVIEW"),"",INDEX('Category Rules'!$D$5:$D$17,MATCH(P10,'Category Rules'!$A$5:$A$17,0)))</f>
        <v>4020</v>
      </c>
      <c r="S10" t="str">
        <f>IF(Q10="CONTEXT","Make-safe",IF(Q10="REVIEW","",INDEX('Category Rules'!$E$5:$E$17,MATCH(P10,'Category Rules'!$A$5:$A$17,0))))</f>
        <v>Make-safe</v>
      </c>
      <c r="T10" t="str">
        <f>IF(Q10="DEP","BAS Excluded","GST on Income")</f>
        <v>GST on Income</v>
      </c>
      <c r="U10">
        <f>IF(O10=T10,1,0)</f>
        <v>1</v>
      </c>
      <c r="V10" s="9">
        <f>IF(OR(M10=0,U10=1),0,IF(T10="GST on Income",ROUND(K10*0.1,2),ROUND(-K10*0.1,2)))</f>
        <v>0</v>
      </c>
    </row>
    <row r="11">
      <c r="A11" t="inlineStr">
        <is>
          <t>INV-4293-1</t>
        </is>
      </c>
      <c r="B11" t="inlineStr">
        <is>
          <t>INV-4293</t>
        </is>
      </c>
      <c r="C11" s="11" t="n">
        <v>45841</v>
      </c>
      <c r="D11" t="inlineStr">
        <is>
          <t>2025-07</t>
        </is>
      </c>
      <c r="E11" t="inlineStr">
        <is>
          <t>C0036</t>
        </is>
      </c>
      <c r="F11" t="inlineStr">
        <is>
          <t>C0036</t>
        </is>
      </c>
      <c r="G11" t="inlineStr">
        <is>
          <t>Summit Homes Pty Ltd</t>
        </is>
      </c>
      <c r="H11" t="inlineStr">
        <is>
          <t>S0039</t>
        </is>
      </c>
      <c r="I11" t="inlineStr">
        <is>
          <t>Delivery and installation - temporary fencing</t>
        </is>
      </c>
      <c r="J11" t="n">
        <v>1</v>
      </c>
      <c r="K11" s="9" t="n">
        <v>165</v>
      </c>
      <c r="L11" t="inlineStr">
        <is>
          <t>PAID</t>
        </is>
      </c>
      <c r="M11">
        <f>IF(L11="VOIDED",0,1)</f>
        <v>1</v>
      </c>
      <c r="N11" t="n">
        <v>200</v>
      </c>
      <c r="O11" t="inlineStr">
        <is>
          <t>GST on Income</t>
        </is>
      </c>
      <c r="P11" t="inlineStr">
        <is>
          <t>R07</t>
        </is>
      </c>
      <c r="Q11" t="inlineStr">
        <is>
          <t>DEL-FP</t>
        </is>
      </c>
      <c r="R11">
        <f>IF(OR(Q11="CONTEXT",Q11="REVIEW"),"",INDEX('Category Rules'!$D$5:$D$17,MATCH(P11,'Category Rules'!$A$5:$A$17,0)))</f>
        <v>4020</v>
      </c>
      <c r="S11" t="str">
        <f>IF(Q11="CONTEXT","Fencing",IF(Q11="REVIEW","",INDEX('Category Rules'!$E$5:$E$17,MATCH(P11,'Category Rules'!$A$5:$A$17,0))))</f>
        <v>Fencing</v>
      </c>
      <c r="T11" t="str">
        <f>IF(Q11="DEP","BAS Excluded","GST on Income")</f>
        <v>GST on Income</v>
      </c>
      <c r="U11">
        <f>IF(O11=T11,1,0)</f>
        <v>1</v>
      </c>
      <c r="V11" s="9">
        <f>IF(OR(M11=0,U11=1),0,IF(T11="GST on Income",ROUND(K11*0.1,2),ROUND(-K11*0.1,2)))</f>
        <v>0</v>
      </c>
    </row>
    <row r="12">
      <c r="A12" t="inlineStr">
        <is>
          <t>INV-4293-2</t>
        </is>
      </c>
      <c r="B12" t="inlineStr">
        <is>
          <t>INV-4293</t>
        </is>
      </c>
      <c r="C12" s="11" t="n">
        <v>45841</v>
      </c>
      <c r="D12" t="inlineStr">
        <is>
          <t>2025-07</t>
        </is>
      </c>
      <c r="E12" t="inlineStr">
        <is>
          <t>C0036</t>
        </is>
      </c>
      <c r="F12" t="inlineStr">
        <is>
          <t>C0036</t>
        </is>
      </c>
      <c r="G12" t="inlineStr">
        <is>
          <t>Summit Homes Pty Ltd</t>
        </is>
      </c>
      <c r="H12" t="inlineStr">
        <is>
          <t>S0039</t>
        </is>
      </c>
      <c r="I12" t="inlineStr">
        <is>
          <t>Installation labour - 99 panels @ 2.20</t>
        </is>
      </c>
      <c r="J12" t="n">
        <v>99</v>
      </c>
      <c r="K12" s="9" t="n">
        <v>217.8</v>
      </c>
      <c r="L12" t="inlineStr">
        <is>
          <t>PAID</t>
        </is>
      </c>
      <c r="M12">
        <f>IF(L12="VOIDED",0,1)</f>
        <v>1</v>
      </c>
      <c r="N12" t="n">
        <v>200</v>
      </c>
      <c r="O12" t="inlineStr">
        <is>
          <t>GST on Income</t>
        </is>
      </c>
      <c r="P12" t="inlineStr">
        <is>
          <t>R07</t>
        </is>
      </c>
      <c r="Q12" t="inlineStr">
        <is>
          <t>DEL-FP</t>
        </is>
      </c>
      <c r="R12">
        <f>IF(OR(Q12="CONTEXT",Q12="REVIEW"),"",INDEX('Category Rules'!$D$5:$D$17,MATCH(P12,'Category Rules'!$A$5:$A$17,0)))</f>
        <v>4020</v>
      </c>
      <c r="S12" t="str">
        <f>IF(Q12="CONTEXT","Fencing",IF(Q12="REVIEW","",INDEX('Category Rules'!$E$5:$E$17,MATCH(P12,'Category Rules'!$A$5:$A$17,0))))</f>
        <v>Fencing</v>
      </c>
      <c r="T12" t="str">
        <f>IF(Q12="DEP","BAS Excluded","GST on Income")</f>
        <v>GST on Income</v>
      </c>
      <c r="U12">
        <f>IF(O12=T12,1,0)</f>
        <v>1</v>
      </c>
      <c r="V12" s="9">
        <f>IF(OR(M12=0,U12=1),0,IF(T12="GST on Income",ROUND(K12*0.1,2),ROUND(-K12*0.1,2)))</f>
        <v>0</v>
      </c>
    </row>
    <row r="13">
      <c r="A13" t="inlineStr">
        <is>
          <t>INV-4674-1</t>
        </is>
      </c>
      <c r="B13" t="inlineStr">
        <is>
          <t>INV-4674</t>
        </is>
      </c>
      <c r="C13" s="11" t="n">
        <v>45841</v>
      </c>
      <c r="D13" t="inlineStr">
        <is>
          <t>2025-07</t>
        </is>
      </c>
      <c r="E13" t="inlineStr">
        <is>
          <t>C0073</t>
        </is>
      </c>
      <c r="F13" t="inlineStr">
        <is>
          <t>C0073</t>
        </is>
      </c>
      <c r="G13" t="inlineStr">
        <is>
          <t>Juniper Festivals</t>
        </is>
      </c>
      <c r="H13" t="inlineStr">
        <is>
          <t>S0120</t>
        </is>
      </c>
      <c r="I13" t="inlineStr">
        <is>
          <t>Temporary fence hire 4 wks (11/06/25-02/07/25) - 85 panels</t>
        </is>
      </c>
      <c r="J13" t="n">
        <v>340</v>
      </c>
      <c r="K13" s="9" t="n">
        <v>1530</v>
      </c>
      <c r="L13" t="inlineStr">
        <is>
          <t>PAID</t>
        </is>
      </c>
      <c r="M13">
        <f>IF(L13="VOIDED",0,1)</f>
        <v>1</v>
      </c>
      <c r="N13" t="n">
        <v>260</v>
      </c>
      <c r="O13" t="inlineStr">
        <is>
          <t>GST on Income</t>
        </is>
      </c>
      <c r="P13" t="inlineStr">
        <is>
          <t>R03</t>
        </is>
      </c>
      <c r="Q13" t="inlineStr">
        <is>
          <t>HIRE-FP</t>
        </is>
      </c>
      <c r="R13">
        <f>IF(OR(Q13="CONTEXT",Q13="REVIEW"),"",INDEX('Category Rules'!$D$5:$D$17,MATCH(P13,'Category Rules'!$A$5:$A$17,0)))</f>
        <v>4010</v>
      </c>
      <c r="S13" t="str">
        <f>IF(Q13="CONTEXT","Fencing",IF(Q13="REVIEW","",INDEX('Category Rules'!$E$5:$E$17,MATCH(P13,'Category Rules'!$A$5:$A$17,0))))</f>
        <v>Fencing</v>
      </c>
      <c r="T13" t="str">
        <f>IF(Q13="DEP","BAS Excluded","GST on Income")</f>
        <v>GST on Income</v>
      </c>
      <c r="U13">
        <f>IF(O13=T13,1,0)</f>
        <v>1</v>
      </c>
      <c r="V13" s="9">
        <f>IF(OR(M13=0,U13=1),0,IF(T13="GST on Income",ROUND(K13*0.1,2),ROUND(-K13*0.1,2)))</f>
        <v>0</v>
      </c>
    </row>
    <row r="14">
      <c r="A14" t="inlineStr">
        <is>
          <t>INV-4675-1</t>
        </is>
      </c>
      <c r="B14" t="inlineStr">
        <is>
          <t>INV-4675</t>
        </is>
      </c>
      <c r="C14" s="11" t="n">
        <v>45841</v>
      </c>
      <c r="D14" t="inlineStr">
        <is>
          <t>2025-07</t>
        </is>
      </c>
      <c r="E14" t="inlineStr">
        <is>
          <t>C0073</t>
        </is>
      </c>
      <c r="F14" t="inlineStr">
        <is>
          <t>C0073</t>
        </is>
      </c>
      <c r="G14" t="inlineStr">
        <is>
          <t>Juniper Festivals</t>
        </is>
      </c>
      <c r="H14" t="inlineStr">
        <is>
          <t>S0120</t>
        </is>
      </c>
      <c r="I14" t="inlineStr">
        <is>
          <t>Pedestrian barrier hire 4 wks (11/06/25-02/07/25) - 15 barriers</t>
        </is>
      </c>
      <c r="J14" t="n">
        <v>60</v>
      </c>
      <c r="K14" s="9" t="n">
        <v>192</v>
      </c>
      <c r="L14" t="inlineStr">
        <is>
          <t>PAID</t>
        </is>
      </c>
      <c r="M14">
        <f>IF(L14="VOIDED",0,1)</f>
        <v>1</v>
      </c>
      <c r="N14" t="n">
        <v>200</v>
      </c>
      <c r="O14" t="inlineStr">
        <is>
          <t>GST on Income</t>
        </is>
      </c>
      <c r="P14" t="inlineStr">
        <is>
          <t>R04</t>
        </is>
      </c>
      <c r="Q14" t="inlineStr">
        <is>
          <t>HIRE-BR</t>
        </is>
      </c>
      <c r="R14">
        <f>IF(OR(Q14="CONTEXT",Q14="REVIEW"),"",INDEX('Category Rules'!$D$5:$D$17,MATCH(P14,'Category Rules'!$A$5:$A$17,0)))</f>
        <v>4010</v>
      </c>
      <c r="S14" t="str">
        <f>IF(Q14="CONTEXT","Fencing",IF(Q14="REVIEW","",INDEX('Category Rules'!$E$5:$E$17,MATCH(P14,'Category Rules'!$A$5:$A$17,0))))</f>
        <v>Fencing</v>
      </c>
      <c r="T14" t="str">
        <f>IF(Q14="DEP","BAS Excluded","GST on Income")</f>
        <v>GST on Income</v>
      </c>
      <c r="U14">
        <f>IF(O14=T14,1,0)</f>
        <v>1</v>
      </c>
      <c r="V14" s="9">
        <f>IF(OR(M14=0,U14=1),0,IF(T14="GST on Income",ROUND(K14*0.1,2),ROUND(-K14*0.1,2)))</f>
        <v>0</v>
      </c>
    </row>
    <row r="15">
      <c r="A15" t="inlineStr">
        <is>
          <t>INV-4676-1</t>
        </is>
      </c>
      <c r="B15" t="inlineStr">
        <is>
          <t>INV-4676</t>
        </is>
      </c>
      <c r="C15" s="11" t="n">
        <v>45841</v>
      </c>
      <c r="D15" t="inlineStr">
        <is>
          <t>2025-07</t>
        </is>
      </c>
      <c r="E15" t="inlineStr">
        <is>
          <t>C0073</t>
        </is>
      </c>
      <c r="F15" t="inlineStr">
        <is>
          <t>C0073</t>
        </is>
      </c>
      <c r="G15" t="inlineStr">
        <is>
          <t>Juniper Festivals</t>
        </is>
      </c>
      <c r="H15" t="inlineStr">
        <is>
          <t>S0120</t>
        </is>
      </c>
      <c r="I15" t="inlineStr">
        <is>
          <t>Collection and dismantle - temporary fencing</t>
        </is>
      </c>
      <c r="J15" t="n">
        <v>1</v>
      </c>
      <c r="K15" s="9" t="n">
        <v>165</v>
      </c>
      <c r="L15" t="inlineStr">
        <is>
          <t>PAID</t>
        </is>
      </c>
      <c r="M15">
        <f>IF(L15="VOIDED",0,1)</f>
        <v>1</v>
      </c>
      <c r="N15" t="n">
        <v>200</v>
      </c>
      <c r="O15" t="inlineStr">
        <is>
          <t>GST on Income</t>
        </is>
      </c>
      <c r="P15" t="inlineStr">
        <is>
          <t>R07</t>
        </is>
      </c>
      <c r="Q15" t="inlineStr">
        <is>
          <t>DEL-FP</t>
        </is>
      </c>
      <c r="R15">
        <f>IF(OR(Q15="CONTEXT",Q15="REVIEW"),"",INDEX('Category Rules'!$D$5:$D$17,MATCH(P15,'Category Rules'!$A$5:$A$17,0)))</f>
        <v>4020</v>
      </c>
      <c r="S15" t="str">
        <f>IF(Q15="CONTEXT","Fencing",IF(Q15="REVIEW","",INDEX('Category Rules'!$E$5:$E$17,MATCH(P15,'Category Rules'!$A$5:$A$17,0))))</f>
        <v>Fencing</v>
      </c>
      <c r="T15" t="str">
        <f>IF(Q15="DEP","BAS Excluded","GST on Income")</f>
        <v>GST on Income</v>
      </c>
      <c r="U15">
        <f>IF(O15=T15,1,0)</f>
        <v>1</v>
      </c>
      <c r="V15" s="9">
        <f>IF(OR(M15=0,U15=1),0,IF(T15="GST on Income",ROUND(K15*0.1,2),ROUND(-K15*0.1,2)))</f>
        <v>0</v>
      </c>
    </row>
    <row r="16">
      <c r="A16" t="inlineStr">
        <is>
          <t>INV-4988-1</t>
        </is>
      </c>
      <c r="B16" t="inlineStr">
        <is>
          <t>INV-4988</t>
        </is>
      </c>
      <c r="C16" s="11" t="n">
        <v>45841</v>
      </c>
      <c r="D16" t="inlineStr">
        <is>
          <t>2025-07</t>
        </is>
      </c>
      <c r="E16" t="inlineStr">
        <is>
          <t>C0034</t>
        </is>
      </c>
      <c r="F16" t="inlineStr">
        <is>
          <t>C0034</t>
        </is>
      </c>
      <c r="G16" t="inlineStr">
        <is>
          <t>Norfolk Constructions Pty Ltd</t>
        </is>
      </c>
      <c r="H16" t="inlineStr">
        <is>
          <t>S0191</t>
        </is>
      </c>
      <c r="I16" t="inlineStr">
        <is>
          <t>Temporary fence hire 2 wks (22/06/25-02/07/25) - 114 panels</t>
        </is>
      </c>
      <c r="J16" t="n">
        <v>228</v>
      </c>
      <c r="K16" s="9" t="n">
        <v>1026</v>
      </c>
      <c r="L16" t="inlineStr">
        <is>
          <t>PAID</t>
        </is>
      </c>
      <c r="M16">
        <f>IF(L16="VOIDED",0,1)</f>
        <v>1</v>
      </c>
      <c r="N16" t="n">
        <v>200</v>
      </c>
      <c r="O16" t="inlineStr">
        <is>
          <t>GST on Income</t>
        </is>
      </c>
      <c r="P16" t="inlineStr">
        <is>
          <t>R03</t>
        </is>
      </c>
      <c r="Q16" t="inlineStr">
        <is>
          <t>HIRE-FP</t>
        </is>
      </c>
      <c r="R16">
        <f>IF(OR(Q16="CONTEXT",Q16="REVIEW"),"",INDEX('Category Rules'!$D$5:$D$17,MATCH(P16,'Category Rules'!$A$5:$A$17,0)))</f>
        <v>4010</v>
      </c>
      <c r="S16" t="str">
        <f>IF(Q16="CONTEXT","Fencing",IF(Q16="REVIEW","",INDEX('Category Rules'!$E$5:$E$17,MATCH(P16,'Category Rules'!$A$5:$A$17,0))))</f>
        <v>Fencing</v>
      </c>
      <c r="T16" t="str">
        <f>IF(Q16="DEP","BAS Excluded","GST on Income")</f>
        <v>GST on Income</v>
      </c>
      <c r="U16">
        <f>IF(O16=T16,1,0)</f>
        <v>1</v>
      </c>
      <c r="V16" s="9">
        <f>IF(OR(M16=0,U16=1),0,IF(T16="GST on Income",ROUND(K16*0.1,2),ROUND(-K16*0.1,2)))</f>
        <v>0</v>
      </c>
    </row>
    <row r="17">
      <c r="A17" t="inlineStr">
        <is>
          <t>INV-4989-1</t>
        </is>
      </c>
      <c r="B17" t="inlineStr">
        <is>
          <t>INV-4989</t>
        </is>
      </c>
      <c r="C17" s="11" t="n">
        <v>45841</v>
      </c>
      <c r="D17" t="inlineStr">
        <is>
          <t>2025-07</t>
        </is>
      </c>
      <c r="E17" t="inlineStr">
        <is>
          <t>C0034</t>
        </is>
      </c>
      <c r="F17" t="inlineStr">
        <is>
          <t>C0034</t>
        </is>
      </c>
      <c r="G17" t="inlineStr">
        <is>
          <t>Norfolk Constructions Pty Ltd</t>
        </is>
      </c>
      <c r="H17" t="inlineStr">
        <is>
          <t>S0191</t>
        </is>
      </c>
      <c r="I17" t="inlineStr">
        <is>
          <t>Collection and dismantle - temporary fencing</t>
        </is>
      </c>
      <c r="J17" t="n">
        <v>1</v>
      </c>
      <c r="K17" s="9" t="n">
        <v>165</v>
      </c>
      <c r="L17" t="inlineStr">
        <is>
          <t>PAID</t>
        </is>
      </c>
      <c r="M17">
        <f>IF(L17="VOIDED",0,1)</f>
        <v>1</v>
      </c>
      <c r="N17" t="n">
        <v>200</v>
      </c>
      <c r="O17" t="inlineStr">
        <is>
          <t>GST on Income</t>
        </is>
      </c>
      <c r="P17" t="inlineStr">
        <is>
          <t>R07</t>
        </is>
      </c>
      <c r="Q17" t="inlineStr">
        <is>
          <t>DEL-FP</t>
        </is>
      </c>
      <c r="R17">
        <f>IF(OR(Q17="CONTEXT",Q17="REVIEW"),"",INDEX('Category Rules'!$D$5:$D$17,MATCH(P17,'Category Rules'!$A$5:$A$17,0)))</f>
        <v>4020</v>
      </c>
      <c r="S17" t="str">
        <f>IF(Q17="CONTEXT","Fencing",IF(Q17="REVIEW","",INDEX('Category Rules'!$E$5:$E$17,MATCH(P17,'Category Rules'!$A$5:$A$17,0))))</f>
        <v>Fencing</v>
      </c>
      <c r="T17" t="str">
        <f>IF(Q17="DEP","BAS Excluded","GST on Income")</f>
        <v>GST on Income</v>
      </c>
      <c r="U17">
        <f>IF(O17=T17,1,0)</f>
        <v>1</v>
      </c>
      <c r="V17" s="9">
        <f>IF(OR(M17=0,U17=1),0,IF(T17="GST on Income",ROUND(K17*0.1,2),ROUND(-K17*0.1,2)))</f>
        <v>0</v>
      </c>
    </row>
    <row r="18">
      <c r="A18" t="inlineStr">
        <is>
          <t>INV-4276-1</t>
        </is>
      </c>
      <c r="B18" t="inlineStr">
        <is>
          <t>INV-4276</t>
        </is>
      </c>
      <c r="C18" s="11" t="n">
        <v>45842</v>
      </c>
      <c r="D18" t="inlineStr">
        <is>
          <t>2025-07</t>
        </is>
      </c>
      <c r="E18" t="inlineStr">
        <is>
          <t>C0040</t>
        </is>
      </c>
      <c r="F18" t="inlineStr">
        <is>
          <t>C0040</t>
        </is>
      </c>
      <c r="G18" t="inlineStr">
        <is>
          <t>Coastline Projects Pty Ltd</t>
        </is>
      </c>
      <c r="H18" t="inlineStr">
        <is>
          <t>S0037</t>
        </is>
      </c>
      <c r="I18" t="inlineStr">
        <is>
          <t>Temporary fence hire 4 wks (06/06/25-03/07/25) - 132 panels</t>
        </is>
      </c>
      <c r="J18" t="n">
        <v>528</v>
      </c>
      <c r="K18" s="9" t="n">
        <v>2376</v>
      </c>
      <c r="L18" t="inlineStr">
        <is>
          <t>PAID</t>
        </is>
      </c>
      <c r="M18">
        <f>IF(L18="VOIDED",0,1)</f>
        <v>1</v>
      </c>
      <c r="N18" t="n">
        <v>200</v>
      </c>
      <c r="O18" t="inlineStr">
        <is>
          <t>GST on Income</t>
        </is>
      </c>
      <c r="P18" t="inlineStr">
        <is>
          <t>R03</t>
        </is>
      </c>
      <c r="Q18" t="inlineStr">
        <is>
          <t>HIRE-FP</t>
        </is>
      </c>
      <c r="R18">
        <f>IF(OR(Q18="CONTEXT",Q18="REVIEW"),"",INDEX('Category Rules'!$D$5:$D$17,MATCH(P18,'Category Rules'!$A$5:$A$17,0)))</f>
        <v>4010</v>
      </c>
      <c r="S18" t="str">
        <f>IF(Q18="CONTEXT","Fencing",IF(Q18="REVIEW","",INDEX('Category Rules'!$E$5:$E$17,MATCH(P18,'Category Rules'!$A$5:$A$17,0))))</f>
        <v>Fencing</v>
      </c>
      <c r="T18" t="str">
        <f>IF(Q18="DEP","BAS Excluded","GST on Income")</f>
        <v>GST on Income</v>
      </c>
      <c r="U18">
        <f>IF(O18=T18,1,0)</f>
        <v>1</v>
      </c>
      <c r="V18" s="9">
        <f>IF(OR(M18=0,U18=1),0,IF(T18="GST on Income",ROUND(K18*0.1,2),ROUND(-K18*0.1,2)))</f>
        <v>0</v>
      </c>
    </row>
    <row r="19">
      <c r="A19" t="inlineStr">
        <is>
          <t>INV-4528-1</t>
        </is>
      </c>
      <c r="B19" t="inlineStr">
        <is>
          <t>INV-4528</t>
        </is>
      </c>
      <c r="C19" s="11" t="n">
        <v>45842</v>
      </c>
      <c r="D19" t="inlineStr">
        <is>
          <t>2025-07</t>
        </is>
      </c>
      <c r="E19" t="inlineStr">
        <is>
          <t>C0022</t>
        </is>
      </c>
      <c r="F19" t="inlineStr">
        <is>
          <t>C0022</t>
        </is>
      </c>
      <c r="G19" t="inlineStr">
        <is>
          <t>Highpoint Projects</t>
        </is>
      </c>
      <c r="H19" t="inlineStr">
        <is>
          <t>S0085</t>
        </is>
      </c>
      <c r="I19" t="inlineStr">
        <is>
          <t>Delivery and installation - temporary fencing</t>
        </is>
      </c>
      <c r="J19" t="n">
        <v>1</v>
      </c>
      <c r="K19" s="9" t="n">
        <v>165</v>
      </c>
      <c r="L19" t="inlineStr">
        <is>
          <t>PAID</t>
        </is>
      </c>
      <c r="M19">
        <f>IF(L19="VOIDED",0,1)</f>
        <v>1</v>
      </c>
      <c r="N19" t="n">
        <v>200</v>
      </c>
      <c r="O19" t="inlineStr">
        <is>
          <t>GST on Income</t>
        </is>
      </c>
      <c r="P19" t="inlineStr">
        <is>
          <t>R07</t>
        </is>
      </c>
      <c r="Q19" t="inlineStr">
        <is>
          <t>DEL-FP</t>
        </is>
      </c>
      <c r="R19">
        <f>IF(OR(Q19="CONTEXT",Q19="REVIEW"),"",INDEX('Category Rules'!$D$5:$D$17,MATCH(P19,'Category Rules'!$A$5:$A$17,0)))</f>
        <v>4020</v>
      </c>
      <c r="S19" t="str">
        <f>IF(Q19="CONTEXT","Fencing",IF(Q19="REVIEW","",INDEX('Category Rules'!$E$5:$E$17,MATCH(P19,'Category Rules'!$A$5:$A$17,0))))</f>
        <v>Fencing</v>
      </c>
      <c r="T19" t="str">
        <f>IF(Q19="DEP","BAS Excluded","GST on Income")</f>
        <v>GST on Income</v>
      </c>
      <c r="U19">
        <f>IF(O19=T19,1,0)</f>
        <v>1</v>
      </c>
      <c r="V19" s="9">
        <f>IF(OR(M19=0,U19=1),0,IF(T19="GST on Income",ROUND(K19*0.1,2),ROUND(-K19*0.1,2)))</f>
        <v>0</v>
      </c>
    </row>
    <row r="20">
      <c r="A20" t="inlineStr">
        <is>
          <t>INV-4528-2</t>
        </is>
      </c>
      <c r="B20" t="inlineStr">
        <is>
          <t>INV-4528</t>
        </is>
      </c>
      <c r="C20" s="11" t="n">
        <v>45842</v>
      </c>
      <c r="D20" t="inlineStr">
        <is>
          <t>2025-07</t>
        </is>
      </c>
      <c r="E20" t="inlineStr">
        <is>
          <t>C0022</t>
        </is>
      </c>
      <c r="F20" t="inlineStr">
        <is>
          <t>C0022</t>
        </is>
      </c>
      <c r="G20" t="inlineStr">
        <is>
          <t>Highpoint Projects</t>
        </is>
      </c>
      <c r="H20" t="inlineStr">
        <is>
          <t>S0085</t>
        </is>
      </c>
      <c r="I20" t="inlineStr">
        <is>
          <t>Installation labour - 141 panels @ 2.20</t>
        </is>
      </c>
      <c r="J20" t="n">
        <v>141</v>
      </c>
      <c r="K20" s="9" t="n">
        <v>310.2</v>
      </c>
      <c r="L20" t="inlineStr">
        <is>
          <t>PAID</t>
        </is>
      </c>
      <c r="M20">
        <f>IF(L20="VOIDED",0,1)</f>
        <v>1</v>
      </c>
      <c r="N20" t="n">
        <v>200</v>
      </c>
      <c r="O20" t="inlineStr">
        <is>
          <t>GST on Income</t>
        </is>
      </c>
      <c r="P20" t="inlineStr">
        <is>
          <t>R07</t>
        </is>
      </c>
      <c r="Q20" t="inlineStr">
        <is>
          <t>DEL-FP</t>
        </is>
      </c>
      <c r="R20">
        <f>IF(OR(Q20="CONTEXT",Q20="REVIEW"),"",INDEX('Category Rules'!$D$5:$D$17,MATCH(P20,'Category Rules'!$A$5:$A$17,0)))</f>
        <v>4020</v>
      </c>
      <c r="S20" t="str">
        <f>IF(Q20="CONTEXT","Fencing",IF(Q20="REVIEW","",INDEX('Category Rules'!$E$5:$E$17,MATCH(P20,'Category Rules'!$A$5:$A$17,0))))</f>
        <v>Fencing</v>
      </c>
      <c r="T20" t="str">
        <f>IF(Q20="DEP","BAS Excluded","GST on Income")</f>
        <v>GST on Income</v>
      </c>
      <c r="U20">
        <f>IF(O20=T20,1,0)</f>
        <v>1</v>
      </c>
      <c r="V20" s="9">
        <f>IF(OR(M20=0,U20=1),0,IF(T20="GST on Income",ROUND(K20*0.1,2),ROUND(-K20*0.1,2)))</f>
        <v>0</v>
      </c>
    </row>
    <row r="21">
      <c r="A21" t="inlineStr">
        <is>
          <t>INV-4803-1</t>
        </is>
      </c>
      <c r="B21" t="inlineStr">
        <is>
          <t>INV-4803</t>
        </is>
      </c>
      <c r="C21" s="11" t="n">
        <v>45842</v>
      </c>
      <c r="D21" t="inlineStr">
        <is>
          <t>2025-07</t>
        </is>
      </c>
      <c r="E21" t="inlineStr">
        <is>
          <t>C0001</t>
        </is>
      </c>
      <c r="F21" t="inlineStr">
        <is>
          <t>C0001</t>
        </is>
      </c>
      <c r="G21" t="inlineStr">
        <is>
          <t>Parkview Projects Pty Ltd</t>
        </is>
      </c>
      <c r="H21" t="inlineStr">
        <is>
          <t>S0150</t>
        </is>
      </c>
      <c r="I21" t="inlineStr">
        <is>
          <t>Temporary fence hire 4 wks (08/06/25-03/07/25) - 23 panels</t>
        </is>
      </c>
      <c r="J21" t="n">
        <v>92</v>
      </c>
      <c r="K21" s="9" t="n">
        <v>414</v>
      </c>
      <c r="L21" t="inlineStr">
        <is>
          <t>PAID</t>
        </is>
      </c>
      <c r="M21">
        <f>IF(L21="VOIDED",0,1)</f>
        <v>1</v>
      </c>
      <c r="N21" t="n">
        <v>200</v>
      </c>
      <c r="O21" t="inlineStr">
        <is>
          <t>GST on Income</t>
        </is>
      </c>
      <c r="P21" t="inlineStr">
        <is>
          <t>R03</t>
        </is>
      </c>
      <c r="Q21" t="inlineStr">
        <is>
          <t>HIRE-FP</t>
        </is>
      </c>
      <c r="R21">
        <f>IF(OR(Q21="CONTEXT",Q21="REVIEW"),"",INDEX('Category Rules'!$D$5:$D$17,MATCH(P21,'Category Rules'!$A$5:$A$17,0)))</f>
        <v>4010</v>
      </c>
      <c r="S21" t="str">
        <f>IF(Q21="CONTEXT","Fencing",IF(Q21="REVIEW","",INDEX('Category Rules'!$E$5:$E$17,MATCH(P21,'Category Rules'!$A$5:$A$17,0))))</f>
        <v>Fencing</v>
      </c>
      <c r="T21" t="str">
        <f>IF(Q21="DEP","BAS Excluded","GST on Income")</f>
        <v>GST on Income</v>
      </c>
      <c r="U21">
        <f>IF(O21=T21,1,0)</f>
        <v>1</v>
      </c>
      <c r="V21" s="9">
        <f>IF(OR(M21=0,U21=1),0,IF(T21="GST on Income",ROUND(K21*0.1,2),ROUND(-K21*0.1,2)))</f>
        <v>0</v>
      </c>
    </row>
    <row r="22">
      <c r="A22" t="inlineStr">
        <is>
          <t>INV-4804-1</t>
        </is>
      </c>
      <c r="B22" t="inlineStr">
        <is>
          <t>INV-4804</t>
        </is>
      </c>
      <c r="C22" s="11" t="n">
        <v>45842</v>
      </c>
      <c r="D22" t="inlineStr">
        <is>
          <t>2025-07</t>
        </is>
      </c>
      <c r="E22" t="inlineStr">
        <is>
          <t>C0001</t>
        </is>
      </c>
      <c r="F22" t="inlineStr">
        <is>
          <t>C0001</t>
        </is>
      </c>
      <c r="G22" t="inlineStr">
        <is>
          <t>Parkview Projects Pty Ltd</t>
        </is>
      </c>
      <c r="H22" t="inlineStr">
        <is>
          <t>S0150</t>
        </is>
      </c>
      <c r="I22" t="inlineStr">
        <is>
          <t>Pedestrian barrier hire 4 wks (08/06/25-03/07/25) - 10 barriers</t>
        </is>
      </c>
      <c r="J22" t="n">
        <v>40</v>
      </c>
      <c r="K22" s="9" t="n">
        <v>128</v>
      </c>
      <c r="L22" t="inlineStr">
        <is>
          <t>PAID</t>
        </is>
      </c>
      <c r="M22">
        <f>IF(L22="VOIDED",0,1)</f>
        <v>1</v>
      </c>
      <c r="N22" t="n">
        <v>200</v>
      </c>
      <c r="O22" t="inlineStr">
        <is>
          <t>GST on Income</t>
        </is>
      </c>
      <c r="P22" t="inlineStr">
        <is>
          <t>R04</t>
        </is>
      </c>
      <c r="Q22" t="inlineStr">
        <is>
          <t>HIRE-BR</t>
        </is>
      </c>
      <c r="R22">
        <f>IF(OR(Q22="CONTEXT",Q22="REVIEW"),"",INDEX('Category Rules'!$D$5:$D$17,MATCH(P22,'Category Rules'!$A$5:$A$17,0)))</f>
        <v>4010</v>
      </c>
      <c r="S22" t="str">
        <f>IF(Q22="CONTEXT","Fencing",IF(Q22="REVIEW","",INDEX('Category Rules'!$E$5:$E$17,MATCH(P22,'Category Rules'!$A$5:$A$17,0))))</f>
        <v>Fencing</v>
      </c>
      <c r="T22" t="str">
        <f>IF(Q22="DEP","BAS Excluded","GST on Income")</f>
        <v>GST on Income</v>
      </c>
      <c r="U22">
        <f>IF(O22=T22,1,0)</f>
        <v>1</v>
      </c>
      <c r="V22" s="9">
        <f>IF(OR(M22=0,U22=1),0,IF(T22="GST on Income",ROUND(K22*0.1,2),ROUND(-K22*0.1,2)))</f>
        <v>0</v>
      </c>
    </row>
    <row r="23">
      <c r="A23" t="inlineStr">
        <is>
          <t>INV-4805-1</t>
        </is>
      </c>
      <c r="B23" t="inlineStr">
        <is>
          <t>INV-4805</t>
        </is>
      </c>
      <c r="C23" s="11" t="n">
        <v>45842</v>
      </c>
      <c r="D23" t="inlineStr">
        <is>
          <t>2025-07</t>
        </is>
      </c>
      <c r="E23" t="inlineStr">
        <is>
          <t>C0001</t>
        </is>
      </c>
      <c r="F23" t="inlineStr">
        <is>
          <t>C0001</t>
        </is>
      </c>
      <c r="G23" t="inlineStr">
        <is>
          <t>Parkview Projects Pty Ltd</t>
        </is>
      </c>
      <c r="H23" t="inlineStr">
        <is>
          <t>S0150</t>
        </is>
      </c>
      <c r="I23" t="inlineStr">
        <is>
          <t>Collection and dismantle - temporary fencing</t>
        </is>
      </c>
      <c r="J23" t="n">
        <v>1</v>
      </c>
      <c r="K23" s="9" t="n">
        <v>165</v>
      </c>
      <c r="L23" t="inlineStr">
        <is>
          <t>PAID</t>
        </is>
      </c>
      <c r="M23">
        <f>IF(L23="VOIDED",0,1)</f>
        <v>1</v>
      </c>
      <c r="N23" t="n">
        <v>200</v>
      </c>
      <c r="O23" t="inlineStr">
        <is>
          <t>GST on Income</t>
        </is>
      </c>
      <c r="P23" t="inlineStr">
        <is>
          <t>R07</t>
        </is>
      </c>
      <c r="Q23" t="inlineStr">
        <is>
          <t>DEL-FP</t>
        </is>
      </c>
      <c r="R23">
        <f>IF(OR(Q23="CONTEXT",Q23="REVIEW"),"",INDEX('Category Rules'!$D$5:$D$17,MATCH(P23,'Category Rules'!$A$5:$A$17,0)))</f>
        <v>4020</v>
      </c>
      <c r="S23" t="str">
        <f>IF(Q23="CONTEXT","Fencing",IF(Q23="REVIEW","",INDEX('Category Rules'!$E$5:$E$17,MATCH(P23,'Category Rules'!$A$5:$A$17,0))))</f>
        <v>Fencing</v>
      </c>
      <c r="T23" t="str">
        <f>IF(Q23="DEP","BAS Excluded","GST on Income")</f>
        <v>GST on Income</v>
      </c>
      <c r="U23">
        <f>IF(O23=T23,1,0)</f>
        <v>1</v>
      </c>
      <c r="V23" s="9">
        <f>IF(OR(M23=0,U23=1),0,IF(T23="GST on Income",ROUND(K23*0.1,2),ROUND(-K23*0.1,2)))</f>
        <v>0</v>
      </c>
    </row>
    <row r="24">
      <c r="A24" t="inlineStr">
        <is>
          <t>INV-5622-1</t>
        </is>
      </c>
      <c r="B24" t="inlineStr">
        <is>
          <t>INV-5622</t>
        </is>
      </c>
      <c r="C24" s="11" t="n">
        <v>45842</v>
      </c>
      <c r="D24" t="inlineStr">
        <is>
          <t>2025-07</t>
        </is>
      </c>
      <c r="E24" t="inlineStr">
        <is>
          <t>C0064</t>
        </is>
      </c>
      <c r="F24" t="inlineStr">
        <is>
          <t>C0064</t>
        </is>
      </c>
      <c r="G24" t="inlineStr">
        <is>
          <t>Lakeside Claims Services Pty Ltd</t>
        </is>
      </c>
      <c r="H24" t="inlineStr">
        <is>
          <t>S0391</t>
        </is>
      </c>
      <c r="I24" t="inlineStr">
        <is>
          <t>Emergency make safe call-out - after hours</t>
        </is>
      </c>
      <c r="J24" t="n">
        <v>1</v>
      </c>
      <c r="K24" s="9" t="n">
        <v>560</v>
      </c>
      <c r="L24" t="inlineStr">
        <is>
          <t>PAID</t>
        </is>
      </c>
      <c r="M24">
        <f>IF(L24="VOIDED",0,1)</f>
        <v>1</v>
      </c>
      <c r="N24" t="n">
        <v>260</v>
      </c>
      <c r="O24" t="inlineStr">
        <is>
          <t>GST on Income</t>
        </is>
      </c>
      <c r="P24" t="inlineStr">
        <is>
          <t>R09</t>
        </is>
      </c>
      <c r="Q24" t="inlineStr">
        <is>
          <t>MS</t>
        </is>
      </c>
      <c r="R24">
        <f>IF(OR(Q24="CONTEXT",Q24="REVIEW"),"",INDEX('Category Rules'!$D$5:$D$17,MATCH(P24,'Category Rules'!$A$5:$A$17,0)))</f>
        <v>4020</v>
      </c>
      <c r="S24" t="str">
        <f>IF(Q24="CONTEXT","Make-safe",IF(Q24="REVIEW","",INDEX('Category Rules'!$E$5:$E$17,MATCH(P24,'Category Rules'!$A$5:$A$17,0))))</f>
        <v>Make-safe</v>
      </c>
      <c r="T24" t="str">
        <f>IF(Q24="DEP","BAS Excluded","GST on Income")</f>
        <v>GST on Income</v>
      </c>
      <c r="U24">
        <f>IF(O24=T24,1,0)</f>
        <v>1</v>
      </c>
      <c r="V24" s="9">
        <f>IF(OR(M24=0,U24=1),0,IF(T24="GST on Income",ROUND(K24*0.1,2),ROUND(-K24*0.1,2)))</f>
        <v>0</v>
      </c>
    </row>
    <row r="25">
      <c r="A25" t="inlineStr">
        <is>
          <t>INV-5622-2</t>
        </is>
      </c>
      <c r="B25" t="inlineStr">
        <is>
          <t>INV-5622</t>
        </is>
      </c>
      <c r="C25" s="11" t="n">
        <v>45842</v>
      </c>
      <c r="D25" t="inlineStr">
        <is>
          <t>2025-07</t>
        </is>
      </c>
      <c r="E25" t="inlineStr">
        <is>
          <t>C0064</t>
        </is>
      </c>
      <c r="F25" t="inlineStr">
        <is>
          <t>C0064</t>
        </is>
      </c>
      <c r="G25" t="inlineStr">
        <is>
          <t>Lakeside Claims Services Pty Ltd</t>
        </is>
      </c>
      <c r="H25" t="inlineStr">
        <is>
          <t>S0391</t>
        </is>
      </c>
      <c r="I25" t="inlineStr">
        <is>
          <t>Tarp supply and install - 3 tarp(s)</t>
        </is>
      </c>
      <c r="J25" t="n">
        <v>3</v>
      </c>
      <c r="K25" s="9" t="n">
        <v>720</v>
      </c>
      <c r="L25" t="inlineStr">
        <is>
          <t>PAID</t>
        </is>
      </c>
      <c r="M25">
        <f>IF(L25="VOIDED",0,1)</f>
        <v>1</v>
      </c>
      <c r="N25" t="n">
        <v>200</v>
      </c>
      <c r="O25" t="inlineStr">
        <is>
          <t>GST on Income</t>
        </is>
      </c>
      <c r="P25" t="inlineStr">
        <is>
          <t>R09</t>
        </is>
      </c>
      <c r="Q25" t="inlineStr">
        <is>
          <t>MS</t>
        </is>
      </c>
      <c r="R25">
        <f>IF(OR(Q25="CONTEXT",Q25="REVIEW"),"",INDEX('Category Rules'!$D$5:$D$17,MATCH(P25,'Category Rules'!$A$5:$A$17,0)))</f>
        <v>4020</v>
      </c>
      <c r="S25" t="str">
        <f>IF(Q25="CONTEXT","Make-safe",IF(Q25="REVIEW","",INDEX('Category Rules'!$E$5:$E$17,MATCH(P25,'Category Rules'!$A$5:$A$17,0))))</f>
        <v>Make-safe</v>
      </c>
      <c r="T25" t="str">
        <f>IF(Q25="DEP","BAS Excluded","GST on Income")</f>
        <v>GST on Income</v>
      </c>
      <c r="U25">
        <f>IF(O25=T25,1,0)</f>
        <v>1</v>
      </c>
      <c r="V25" s="9">
        <f>IF(OR(M25=0,U25=1),0,IF(T25="GST on Income",ROUND(K25*0.1,2),ROUND(-K25*0.1,2)))</f>
        <v>0</v>
      </c>
    </row>
    <row r="26">
      <c r="A26" t="inlineStr">
        <is>
          <t>INV-5910-1</t>
        </is>
      </c>
      <c r="B26" t="inlineStr">
        <is>
          <t>INV-5910</t>
        </is>
      </c>
      <c r="C26" s="11" t="n">
        <v>45842</v>
      </c>
      <c r="D26" t="inlineStr">
        <is>
          <t>2025-07</t>
        </is>
      </c>
      <c r="E26" t="inlineStr">
        <is>
          <t>C0034</t>
        </is>
      </c>
      <c r="F26" t="inlineStr">
        <is>
          <t>C0034</t>
        </is>
      </c>
      <c r="G26" t="inlineStr">
        <is>
          <t>Norfolk Constructions Pty Ltd</t>
        </is>
      </c>
      <c r="H26" t="inlineStr">
        <is>
          <t>S0255</t>
        </is>
      </c>
      <c r="I26" t="inlineStr">
        <is>
          <t>Fence and make safe package - Job 1311</t>
        </is>
      </c>
      <c r="J26" t="n">
        <v>1</v>
      </c>
      <c r="K26" s="9" t="n">
        <v>1093</v>
      </c>
      <c r="L26" t="inlineStr">
        <is>
          <t>PAID</t>
        </is>
      </c>
      <c r="M26">
        <f>IF(L26="VOIDED",0,1)</f>
        <v>1</v>
      </c>
      <c r="N26" t="n">
        <v>200</v>
      </c>
      <c r="O26" t="inlineStr">
        <is>
          <t>GST on Income</t>
        </is>
      </c>
      <c r="P26" t="inlineStr">
        <is>
          <t>R00</t>
        </is>
      </c>
      <c r="Q26" t="inlineStr">
        <is>
          <t>CONTEXT</t>
        </is>
      </c>
      <c r="R26">
        <f>IF(OR(Q26="CONTEXT",Q26="REVIEW"),"",INDEX('Category Rules'!$D$5:$D$17,MATCH(P26,'Category Rules'!$A$5:$A$17,0)))</f>
      </c>
      <c r="S26" t="str">
        <f>IF(Q26="CONTEXT","Scaffolding",IF(Q26="REVIEW","",INDEX('Category Rules'!$E$5:$E$17,MATCH(P26,'Category Rules'!$A$5:$A$17,0))))</f>
        <v>Scaffolding</v>
      </c>
      <c r="T26" t="str">
        <f>IF(Q26="DEP","BAS Excluded","GST on Income")</f>
        <v>GST on Income</v>
      </c>
      <c r="U26">
        <f>IF(O26=T26,1,0)</f>
        <v>1</v>
      </c>
      <c r="V26" s="9">
        <f>IF(OR(M26=0,U26=1),0,IF(T26="GST on Income",ROUND(K26*0.1,2),ROUND(-K26*0.1,2)))</f>
        <v>0</v>
      </c>
    </row>
    <row r="27">
      <c r="A27" t="inlineStr">
        <is>
          <t>INV-4277-1</t>
        </is>
      </c>
      <c r="B27" t="inlineStr">
        <is>
          <t>INV-4277</t>
        </is>
      </c>
      <c r="C27" s="11" t="n">
        <v>45843</v>
      </c>
      <c r="D27" t="inlineStr">
        <is>
          <t>2025-07</t>
        </is>
      </c>
      <c r="E27" t="inlineStr">
        <is>
          <t>C0151</t>
        </is>
      </c>
      <c r="F27" t="inlineStr">
        <is>
          <t>C0040</t>
        </is>
      </c>
      <c r="G27" t="inlineStr">
        <is>
          <t>Coastline Projects Pty Ltd</t>
        </is>
      </c>
      <c r="H27" t="inlineStr">
        <is>
          <t>S0037</t>
        </is>
      </c>
      <c r="I27" t="inlineStr">
        <is>
          <t>Temporary fence hire 1 wks (04/07/25-04/07/25) - 132 panels</t>
        </is>
      </c>
      <c r="J27" t="n">
        <v>132</v>
      </c>
      <c r="K27" s="9" t="n">
        <v>594</v>
      </c>
      <c r="L27" t="inlineStr">
        <is>
          <t>PAID</t>
        </is>
      </c>
      <c r="M27">
        <f>IF(L27="VOIDED",0,1)</f>
        <v>1</v>
      </c>
      <c r="N27" t="n">
        <v>200</v>
      </c>
      <c r="O27" t="inlineStr">
        <is>
          <t>GST on Income</t>
        </is>
      </c>
      <c r="P27" t="inlineStr">
        <is>
          <t>R03</t>
        </is>
      </c>
      <c r="Q27" t="inlineStr">
        <is>
          <t>HIRE-FP</t>
        </is>
      </c>
      <c r="R27">
        <f>IF(OR(Q27="CONTEXT",Q27="REVIEW"),"",INDEX('Category Rules'!$D$5:$D$17,MATCH(P27,'Category Rules'!$A$5:$A$17,0)))</f>
        <v>4010</v>
      </c>
      <c r="S27" t="str">
        <f>IF(Q27="CONTEXT","Fencing",IF(Q27="REVIEW","",INDEX('Category Rules'!$E$5:$E$17,MATCH(P27,'Category Rules'!$A$5:$A$17,0))))</f>
        <v>Fencing</v>
      </c>
      <c r="T27" t="str">
        <f>IF(Q27="DEP","BAS Excluded","GST on Income")</f>
        <v>GST on Income</v>
      </c>
      <c r="U27">
        <f>IF(O27=T27,1,0)</f>
        <v>1</v>
      </c>
      <c r="V27" s="9">
        <f>IF(OR(M27=0,U27=1),0,IF(T27="GST on Income",ROUND(K27*0.1,2),ROUND(-K27*0.1,2)))</f>
        <v>0</v>
      </c>
    </row>
    <row r="28">
      <c r="A28" t="inlineStr">
        <is>
          <t>INV-4278-1</t>
        </is>
      </c>
      <c r="B28" t="inlineStr">
        <is>
          <t>INV-4278</t>
        </is>
      </c>
      <c r="C28" s="11" t="n">
        <v>45843</v>
      </c>
      <c r="D28" t="inlineStr">
        <is>
          <t>2025-07</t>
        </is>
      </c>
      <c r="E28" t="inlineStr">
        <is>
          <t>C0040</t>
        </is>
      </c>
      <c r="F28" t="inlineStr">
        <is>
          <t>C0040</t>
        </is>
      </c>
      <c r="G28" t="inlineStr">
        <is>
          <t>Coastline Projects Pty Ltd</t>
        </is>
      </c>
      <c r="H28" t="inlineStr">
        <is>
          <t>S0037</t>
        </is>
      </c>
      <c r="I28" t="inlineStr">
        <is>
          <t>Collection and dismantle - temporary fencing</t>
        </is>
      </c>
      <c r="J28" t="n">
        <v>1</v>
      </c>
      <c r="K28" s="9" t="n">
        <v>165</v>
      </c>
      <c r="L28" t="inlineStr">
        <is>
          <t>PAID</t>
        </is>
      </c>
      <c r="M28">
        <f>IF(L28="VOIDED",0,1)</f>
        <v>1</v>
      </c>
      <c r="N28" t="n">
        <v>200</v>
      </c>
      <c r="O28" t="inlineStr">
        <is>
          <t>GST on Income</t>
        </is>
      </c>
      <c r="P28" t="inlineStr">
        <is>
          <t>R07</t>
        </is>
      </c>
      <c r="Q28" t="inlineStr">
        <is>
          <t>DEL-FP</t>
        </is>
      </c>
      <c r="R28">
        <f>IF(OR(Q28="CONTEXT",Q28="REVIEW"),"",INDEX('Category Rules'!$D$5:$D$17,MATCH(P28,'Category Rules'!$A$5:$A$17,0)))</f>
        <v>4020</v>
      </c>
      <c r="S28" t="str">
        <f>IF(Q28="CONTEXT","Fencing",IF(Q28="REVIEW","",INDEX('Category Rules'!$E$5:$E$17,MATCH(P28,'Category Rules'!$A$5:$A$17,0))))</f>
        <v>Fencing</v>
      </c>
      <c r="T28" t="str">
        <f>IF(Q28="DEP","BAS Excluded","GST on Income")</f>
        <v>GST on Income</v>
      </c>
      <c r="U28">
        <f>IF(O28=T28,1,0)</f>
        <v>1</v>
      </c>
      <c r="V28" s="9">
        <f>IF(OR(M28=0,U28=1),0,IF(T28="GST on Income",ROUND(K28*0.1,2),ROUND(-K28*0.1,2)))</f>
        <v>0</v>
      </c>
    </row>
    <row r="29">
      <c r="A29" t="inlineStr">
        <is>
          <t>INV-4564-1</t>
        </is>
      </c>
      <c r="B29" t="inlineStr">
        <is>
          <t>INV-4564</t>
        </is>
      </c>
      <c r="C29" s="11" t="n">
        <v>45843</v>
      </c>
      <c r="D29" t="inlineStr">
        <is>
          <t>2025-07</t>
        </is>
      </c>
      <c r="E29" t="inlineStr">
        <is>
          <t>C0041</t>
        </is>
      </c>
      <c r="F29" t="inlineStr">
        <is>
          <t>C0041</t>
        </is>
      </c>
      <c r="G29" t="inlineStr">
        <is>
          <t>Summit Builders Pty Ltd</t>
        </is>
      </c>
      <c r="H29" t="inlineStr">
        <is>
          <t>S0093</t>
        </is>
      </c>
      <c r="I29" t="inlineStr">
        <is>
          <t>Delivery and installation - temporary fencing</t>
        </is>
      </c>
      <c r="J29" t="n">
        <v>1</v>
      </c>
      <c r="K29" s="9" t="n">
        <v>165</v>
      </c>
      <c r="L29" t="inlineStr">
        <is>
          <t>PAID</t>
        </is>
      </c>
      <c r="M29">
        <f>IF(L29="VOIDED",0,1)</f>
        <v>1</v>
      </c>
      <c r="N29" t="n">
        <v>200</v>
      </c>
      <c r="O29" t="inlineStr">
        <is>
          <t>GST on Income</t>
        </is>
      </c>
      <c r="P29" t="inlineStr">
        <is>
          <t>R07</t>
        </is>
      </c>
      <c r="Q29" t="inlineStr">
        <is>
          <t>DEL-FP</t>
        </is>
      </c>
      <c r="R29">
        <f>IF(OR(Q29="CONTEXT",Q29="REVIEW"),"",INDEX('Category Rules'!$D$5:$D$17,MATCH(P29,'Category Rules'!$A$5:$A$17,0)))</f>
        <v>4020</v>
      </c>
      <c r="S29" t="str">
        <f>IF(Q29="CONTEXT","Fencing",IF(Q29="REVIEW","",INDEX('Category Rules'!$E$5:$E$17,MATCH(P29,'Category Rules'!$A$5:$A$17,0))))</f>
        <v>Fencing</v>
      </c>
      <c r="T29" t="str">
        <f>IF(Q29="DEP","BAS Excluded","GST on Income")</f>
        <v>GST on Income</v>
      </c>
      <c r="U29">
        <f>IF(O29=T29,1,0)</f>
        <v>1</v>
      </c>
      <c r="V29" s="9">
        <f>IF(OR(M29=0,U29=1),0,IF(T29="GST on Income",ROUND(K29*0.1,2),ROUND(-K29*0.1,2)))</f>
        <v>0</v>
      </c>
    </row>
    <row r="30">
      <c r="A30" t="inlineStr">
        <is>
          <t>INV-4564-2</t>
        </is>
      </c>
      <c r="B30" t="inlineStr">
        <is>
          <t>INV-4564</t>
        </is>
      </c>
      <c r="C30" s="11" t="n">
        <v>45843</v>
      </c>
      <c r="D30" t="inlineStr">
        <is>
          <t>2025-07</t>
        </is>
      </c>
      <c r="E30" t="inlineStr">
        <is>
          <t>C0041</t>
        </is>
      </c>
      <c r="F30" t="inlineStr">
        <is>
          <t>C0041</t>
        </is>
      </c>
      <c r="G30" t="inlineStr">
        <is>
          <t>Summit Builders Pty Ltd</t>
        </is>
      </c>
      <c r="H30" t="inlineStr">
        <is>
          <t>S0093</t>
        </is>
      </c>
      <c r="I30" t="inlineStr">
        <is>
          <t>Installation labour - 139 panels @ 2.20</t>
        </is>
      </c>
      <c r="J30" t="n">
        <v>139</v>
      </c>
      <c r="K30" s="9" t="n">
        <v>305.8</v>
      </c>
      <c r="L30" t="inlineStr">
        <is>
          <t>PAID</t>
        </is>
      </c>
      <c r="M30">
        <f>IF(L30="VOIDED",0,1)</f>
        <v>1</v>
      </c>
      <c r="N30" t="n">
        <v>200</v>
      </c>
      <c r="O30" t="inlineStr">
        <is>
          <t>GST on Income</t>
        </is>
      </c>
      <c r="P30" t="inlineStr">
        <is>
          <t>R07</t>
        </is>
      </c>
      <c r="Q30" t="inlineStr">
        <is>
          <t>DEL-FP</t>
        </is>
      </c>
      <c r="R30">
        <f>IF(OR(Q30="CONTEXT",Q30="REVIEW"),"",INDEX('Category Rules'!$D$5:$D$17,MATCH(P30,'Category Rules'!$A$5:$A$17,0)))</f>
        <v>4020</v>
      </c>
      <c r="S30" t="str">
        <f>IF(Q30="CONTEXT","Fencing",IF(Q30="REVIEW","",INDEX('Category Rules'!$E$5:$E$17,MATCH(P30,'Category Rules'!$A$5:$A$17,0))))</f>
        <v>Fencing</v>
      </c>
      <c r="T30" t="str">
        <f>IF(Q30="DEP","BAS Excluded","GST on Income")</f>
        <v>GST on Income</v>
      </c>
      <c r="U30">
        <f>IF(O30=T30,1,0)</f>
        <v>1</v>
      </c>
      <c r="V30" s="9">
        <f>IF(OR(M30=0,U30=1),0,IF(T30="GST on Income",ROUND(K30*0.1,2),ROUND(-K30*0.1,2)))</f>
        <v>0</v>
      </c>
    </row>
    <row r="31">
      <c r="A31" t="inlineStr">
        <is>
          <t>INV-5731-1</t>
        </is>
      </c>
      <c r="B31" t="inlineStr">
        <is>
          <t>INV-5731</t>
        </is>
      </c>
      <c r="C31" s="11" t="n">
        <v>45843</v>
      </c>
      <c r="D31" t="inlineStr">
        <is>
          <t>2025-07</t>
        </is>
      </c>
      <c r="E31" t="inlineStr">
        <is>
          <t>C0091</t>
        </is>
      </c>
      <c r="F31" t="inlineStr">
        <is>
          <t>C0091</t>
        </is>
      </c>
      <c r="G31" t="inlineStr">
        <is>
          <t>Zoe Martin</t>
        </is>
      </c>
      <c r="H31" t="inlineStr">
        <is>
          <t>S0450</t>
        </is>
      </c>
      <c r="I31" t="inlineStr">
        <is>
          <t>Make safe call-out</t>
        </is>
      </c>
      <c r="J31" t="n">
        <v>1</v>
      </c>
      <c r="K31" s="9" t="n">
        <v>385</v>
      </c>
      <c r="L31" t="inlineStr">
        <is>
          <t>PAID</t>
        </is>
      </c>
      <c r="M31">
        <f>IF(L31="VOIDED",0,1)</f>
        <v>1</v>
      </c>
      <c r="N31" t="n">
        <v>200</v>
      </c>
      <c r="O31" t="inlineStr">
        <is>
          <t>GST on Income</t>
        </is>
      </c>
      <c r="P31" t="inlineStr">
        <is>
          <t>R09</t>
        </is>
      </c>
      <c r="Q31" t="inlineStr">
        <is>
          <t>MS</t>
        </is>
      </c>
      <c r="R31">
        <f>IF(OR(Q31="CONTEXT",Q31="REVIEW"),"",INDEX('Category Rules'!$D$5:$D$17,MATCH(P31,'Category Rules'!$A$5:$A$17,0)))</f>
        <v>4020</v>
      </c>
      <c r="S31" t="str">
        <f>IF(Q31="CONTEXT","Make-safe",IF(Q31="REVIEW","",INDEX('Category Rules'!$E$5:$E$17,MATCH(P31,'Category Rules'!$A$5:$A$17,0))))</f>
        <v>Make-safe</v>
      </c>
      <c r="T31" t="str">
        <f>IF(Q31="DEP","BAS Excluded","GST on Income")</f>
        <v>GST on Income</v>
      </c>
      <c r="U31">
        <f>IF(O31=T31,1,0)</f>
        <v>1</v>
      </c>
      <c r="V31" s="9">
        <f>IF(OR(M31=0,U31=1),0,IF(T31="GST on Income",ROUND(K31*0.1,2),ROUND(-K31*0.1,2)))</f>
        <v>0</v>
      </c>
    </row>
    <row r="32">
      <c r="A32" t="inlineStr">
        <is>
          <t>INV-4657-1</t>
        </is>
      </c>
      <c r="B32" t="inlineStr">
        <is>
          <t>INV-4657</t>
        </is>
      </c>
      <c r="C32" s="11" t="n">
        <v>45844</v>
      </c>
      <c r="D32" t="inlineStr">
        <is>
          <t>2025-07</t>
        </is>
      </c>
      <c r="E32" t="inlineStr">
        <is>
          <t>C0036</t>
        </is>
      </c>
      <c r="F32" t="inlineStr">
        <is>
          <t>C0036</t>
        </is>
      </c>
      <c r="G32" t="inlineStr">
        <is>
          <t>Summit Homes Pty Ltd</t>
        </is>
      </c>
      <c r="H32" t="inlineStr">
        <is>
          <t>S0113</t>
        </is>
      </c>
      <c r="I32" t="inlineStr">
        <is>
          <t>Delivery and installation - temporary fencing</t>
        </is>
      </c>
      <c r="J32" t="n">
        <v>1</v>
      </c>
      <c r="K32" s="9" t="n">
        <v>165</v>
      </c>
      <c r="L32" t="inlineStr">
        <is>
          <t>PAID</t>
        </is>
      </c>
      <c r="M32">
        <f>IF(L32="VOIDED",0,1)</f>
        <v>1</v>
      </c>
      <c r="N32" t="n">
        <v>200</v>
      </c>
      <c r="O32" t="inlineStr">
        <is>
          <t>GST on Income</t>
        </is>
      </c>
      <c r="P32" t="inlineStr">
        <is>
          <t>R07</t>
        </is>
      </c>
      <c r="Q32" t="inlineStr">
        <is>
          <t>DEL-FP</t>
        </is>
      </c>
      <c r="R32">
        <f>IF(OR(Q32="CONTEXT",Q32="REVIEW"),"",INDEX('Category Rules'!$D$5:$D$17,MATCH(P32,'Category Rules'!$A$5:$A$17,0)))</f>
        <v>4020</v>
      </c>
      <c r="S32" t="str">
        <f>IF(Q32="CONTEXT","Fencing",IF(Q32="REVIEW","",INDEX('Category Rules'!$E$5:$E$17,MATCH(P32,'Category Rules'!$A$5:$A$17,0))))</f>
        <v>Fencing</v>
      </c>
      <c r="T32" t="str">
        <f>IF(Q32="DEP","BAS Excluded","GST on Income")</f>
        <v>GST on Income</v>
      </c>
      <c r="U32">
        <f>IF(O32=T32,1,0)</f>
        <v>1</v>
      </c>
      <c r="V32" s="9">
        <f>IF(OR(M32=0,U32=1),0,IF(T32="GST on Income",ROUND(K32*0.1,2),ROUND(-K32*0.1,2)))</f>
        <v>0</v>
      </c>
    </row>
    <row r="33">
      <c r="A33" t="inlineStr">
        <is>
          <t>INV-4657-2</t>
        </is>
      </c>
      <c r="B33" t="inlineStr">
        <is>
          <t>INV-4657</t>
        </is>
      </c>
      <c r="C33" s="11" t="n">
        <v>45844</v>
      </c>
      <c r="D33" t="inlineStr">
        <is>
          <t>2025-07</t>
        </is>
      </c>
      <c r="E33" t="inlineStr">
        <is>
          <t>C0036</t>
        </is>
      </c>
      <c r="F33" t="inlineStr">
        <is>
          <t>C0036</t>
        </is>
      </c>
      <c r="G33" t="inlineStr">
        <is>
          <t>Summit Homes Pty Ltd</t>
        </is>
      </c>
      <c r="H33" t="inlineStr">
        <is>
          <t>S0113</t>
        </is>
      </c>
      <c r="I33" t="inlineStr">
        <is>
          <t>Installation labour - 78 panels @ 2.20</t>
        </is>
      </c>
      <c r="J33" t="n">
        <v>78</v>
      </c>
      <c r="K33" s="9" t="n">
        <v>171.6</v>
      </c>
      <c r="L33" t="inlineStr">
        <is>
          <t>PAID</t>
        </is>
      </c>
      <c r="M33">
        <f>IF(L33="VOIDED",0,1)</f>
        <v>1</v>
      </c>
      <c r="N33" t="n">
        <v>200</v>
      </c>
      <c r="O33" t="inlineStr">
        <is>
          <t>GST on Income</t>
        </is>
      </c>
      <c r="P33" t="inlineStr">
        <is>
          <t>R07</t>
        </is>
      </c>
      <c r="Q33" t="inlineStr">
        <is>
          <t>DEL-FP</t>
        </is>
      </c>
      <c r="R33">
        <f>IF(OR(Q33="CONTEXT",Q33="REVIEW"),"",INDEX('Category Rules'!$D$5:$D$17,MATCH(P33,'Category Rules'!$A$5:$A$17,0)))</f>
        <v>4020</v>
      </c>
      <c r="S33" t="str">
        <f>IF(Q33="CONTEXT","Fencing",IF(Q33="REVIEW","",INDEX('Category Rules'!$E$5:$E$17,MATCH(P33,'Category Rules'!$A$5:$A$17,0))))</f>
        <v>Fencing</v>
      </c>
      <c r="T33" t="str">
        <f>IF(Q33="DEP","BAS Excluded","GST on Income")</f>
        <v>GST on Income</v>
      </c>
      <c r="U33">
        <f>IF(O33=T33,1,0)</f>
        <v>1</v>
      </c>
      <c r="V33" s="9">
        <f>IF(OR(M33=0,U33=1),0,IF(T33="GST on Income",ROUND(K33*0.1,2),ROUND(-K33*0.1,2)))</f>
        <v>0</v>
      </c>
    </row>
    <row r="34">
      <c r="A34" t="inlineStr">
        <is>
          <t>INV-5081-1</t>
        </is>
      </c>
      <c r="B34" t="inlineStr">
        <is>
          <t>INV-5081</t>
        </is>
      </c>
      <c r="C34" s="11" t="n">
        <v>45844</v>
      </c>
      <c r="D34" t="inlineStr">
        <is>
          <t>2025-07</t>
        </is>
      </c>
      <c r="E34" t="inlineStr">
        <is>
          <t>C0022</t>
        </is>
      </c>
      <c r="F34" t="inlineStr">
        <is>
          <t>C0022</t>
        </is>
      </c>
      <c r="G34" t="inlineStr">
        <is>
          <t>Highpoint Projects</t>
        </is>
      </c>
      <c r="H34" t="inlineStr">
        <is>
          <t>S0210</t>
        </is>
      </c>
      <c r="I34" t="inlineStr">
        <is>
          <t>Temporary fence hire 4 wks (10/06/25-05/07/25) - 49 panels</t>
        </is>
      </c>
      <c r="J34" t="n">
        <v>196</v>
      </c>
      <c r="K34" s="9" t="n">
        <v>882</v>
      </c>
      <c r="L34" t="inlineStr">
        <is>
          <t>PAID</t>
        </is>
      </c>
      <c r="M34">
        <f>IF(L34="VOIDED",0,1)</f>
        <v>1</v>
      </c>
      <c r="N34" t="n">
        <v>200</v>
      </c>
      <c r="O34" t="inlineStr">
        <is>
          <t>GST on Income</t>
        </is>
      </c>
      <c r="P34" t="inlineStr">
        <is>
          <t>R03</t>
        </is>
      </c>
      <c r="Q34" t="inlineStr">
        <is>
          <t>HIRE-FP</t>
        </is>
      </c>
      <c r="R34">
        <f>IF(OR(Q34="CONTEXT",Q34="REVIEW"),"",INDEX('Category Rules'!$D$5:$D$17,MATCH(P34,'Category Rules'!$A$5:$A$17,0)))</f>
        <v>4010</v>
      </c>
      <c r="S34" t="str">
        <f>IF(Q34="CONTEXT","Fencing",IF(Q34="REVIEW","",INDEX('Category Rules'!$E$5:$E$17,MATCH(P34,'Category Rules'!$A$5:$A$17,0))))</f>
        <v>Fencing</v>
      </c>
      <c r="T34" t="str">
        <f>IF(Q34="DEP","BAS Excluded","GST on Income")</f>
        <v>GST on Income</v>
      </c>
      <c r="U34">
        <f>IF(O34=T34,1,0)</f>
        <v>1</v>
      </c>
      <c r="V34" s="9">
        <f>IF(OR(M34=0,U34=1),0,IF(T34="GST on Income",ROUND(K34*0.1,2),ROUND(-K34*0.1,2)))</f>
        <v>0</v>
      </c>
    </row>
    <row r="35">
      <c r="A35" t="inlineStr">
        <is>
          <t>INV-5082-1</t>
        </is>
      </c>
      <c r="B35" t="inlineStr">
        <is>
          <t>INV-5082</t>
        </is>
      </c>
      <c r="C35" s="11" t="n">
        <v>45844</v>
      </c>
      <c r="D35" t="inlineStr">
        <is>
          <t>2025-07</t>
        </is>
      </c>
      <c r="E35" t="inlineStr">
        <is>
          <t>C0022</t>
        </is>
      </c>
      <c r="F35" t="inlineStr">
        <is>
          <t>C0022</t>
        </is>
      </c>
      <c r="G35" t="inlineStr">
        <is>
          <t>Highpoint Projects</t>
        </is>
      </c>
      <c r="H35" t="inlineStr">
        <is>
          <t>S0210</t>
        </is>
      </c>
      <c r="I35" t="inlineStr">
        <is>
          <t>Collection and dismantle - temporary fencing</t>
        </is>
      </c>
      <c r="J35" t="n">
        <v>1</v>
      </c>
      <c r="K35" s="9" t="n">
        <v>165</v>
      </c>
      <c r="L35" t="inlineStr">
        <is>
          <t>PAID</t>
        </is>
      </c>
      <c r="M35">
        <f>IF(L35="VOIDED",0,1)</f>
        <v>1</v>
      </c>
      <c r="N35" t="n">
        <v>200</v>
      </c>
      <c r="O35" t="inlineStr">
        <is>
          <t>GST on Income</t>
        </is>
      </c>
      <c r="P35" t="inlineStr">
        <is>
          <t>R07</t>
        </is>
      </c>
      <c r="Q35" t="inlineStr">
        <is>
          <t>DEL-FP</t>
        </is>
      </c>
      <c r="R35">
        <f>IF(OR(Q35="CONTEXT",Q35="REVIEW"),"",INDEX('Category Rules'!$D$5:$D$17,MATCH(P35,'Category Rules'!$A$5:$A$17,0)))</f>
        <v>4020</v>
      </c>
      <c r="S35" t="str">
        <f>IF(Q35="CONTEXT","Fencing",IF(Q35="REVIEW","",INDEX('Category Rules'!$E$5:$E$17,MATCH(P35,'Category Rules'!$A$5:$A$17,0))))</f>
        <v>Fencing</v>
      </c>
      <c r="T35" t="str">
        <f>IF(Q35="DEP","BAS Excluded","GST on Income")</f>
        <v>GST on Income</v>
      </c>
      <c r="U35">
        <f>IF(O35=T35,1,0)</f>
        <v>1</v>
      </c>
      <c r="V35" s="9">
        <f>IF(OR(M35=0,U35=1),0,IF(T35="GST on Income",ROUND(K35*0.1,2),ROUND(-K35*0.1,2)))</f>
        <v>0</v>
      </c>
    </row>
    <row r="36">
      <c r="A36" t="inlineStr">
        <is>
          <t>INV-4341-1</t>
        </is>
      </c>
      <c r="B36" t="inlineStr">
        <is>
          <t>INV-4341</t>
        </is>
      </c>
      <c r="C36" s="11" t="n">
        <v>45845</v>
      </c>
      <c r="D36" t="inlineStr">
        <is>
          <t>2025-07</t>
        </is>
      </c>
      <c r="E36" t="inlineStr">
        <is>
          <t>C0116</t>
        </is>
      </c>
      <c r="F36" t="inlineStr">
        <is>
          <t>C0116</t>
        </is>
      </c>
      <c r="G36" t="inlineStr">
        <is>
          <t>Lucas Patel</t>
        </is>
      </c>
      <c r="H36" t="inlineStr">
        <is>
          <t>S0051</t>
        </is>
      </c>
      <c r="I36" t="inlineStr">
        <is>
          <t>Temporary fence hire 4 wks (09/06/25-06/07/25) - 38 panels</t>
        </is>
      </c>
      <c r="J36" t="n">
        <v>152</v>
      </c>
      <c r="K36" s="9" t="n">
        <v>684</v>
      </c>
      <c r="L36" t="inlineStr">
        <is>
          <t>PAID</t>
        </is>
      </c>
      <c r="M36">
        <f>IF(L36="VOIDED",0,1)</f>
        <v>1</v>
      </c>
      <c r="N36" t="n">
        <v>200</v>
      </c>
      <c r="O36" t="inlineStr">
        <is>
          <t>GST on Income</t>
        </is>
      </c>
      <c r="P36" t="inlineStr">
        <is>
          <t>R03</t>
        </is>
      </c>
      <c r="Q36" t="inlineStr">
        <is>
          <t>HIRE-FP</t>
        </is>
      </c>
      <c r="R36">
        <f>IF(OR(Q36="CONTEXT",Q36="REVIEW"),"",INDEX('Category Rules'!$D$5:$D$17,MATCH(P36,'Category Rules'!$A$5:$A$17,0)))</f>
        <v>4010</v>
      </c>
      <c r="S36" t="str">
        <f>IF(Q36="CONTEXT","Fencing",IF(Q36="REVIEW","",INDEX('Category Rules'!$E$5:$E$17,MATCH(P36,'Category Rules'!$A$5:$A$17,0))))</f>
        <v>Fencing</v>
      </c>
      <c r="T36" t="str">
        <f>IF(Q36="DEP","BAS Excluded","GST on Income")</f>
        <v>GST on Income</v>
      </c>
      <c r="U36">
        <f>IF(O36=T36,1,0)</f>
        <v>1</v>
      </c>
      <c r="V36" s="9">
        <f>IF(OR(M36=0,U36=1),0,IF(T36="GST on Income",ROUND(K36*0.1,2),ROUND(-K36*0.1,2)))</f>
        <v>0</v>
      </c>
    </row>
    <row r="37">
      <c r="A37" t="inlineStr">
        <is>
          <t>INV-4386-1</t>
        </is>
      </c>
      <c r="B37" t="inlineStr">
        <is>
          <t>INV-4386</t>
        </is>
      </c>
      <c r="C37" s="11" t="n">
        <v>45845</v>
      </c>
      <c r="D37" t="inlineStr">
        <is>
          <t>2025-07</t>
        </is>
      </c>
      <c r="E37" t="inlineStr">
        <is>
          <t>C0119</t>
        </is>
      </c>
      <c r="F37" t="inlineStr">
        <is>
          <t>C0119</t>
        </is>
      </c>
      <c r="G37" t="inlineStr">
        <is>
          <t>Northgate Builders Pty Ltd</t>
        </is>
      </c>
      <c r="H37" t="inlineStr">
        <is>
          <t>S0059</t>
        </is>
      </c>
      <c r="I37" t="inlineStr">
        <is>
          <t>Delivery and installation - temporary fencing</t>
        </is>
      </c>
      <c r="J37" t="n">
        <v>1</v>
      </c>
      <c r="K37" s="9" t="n">
        <v>165</v>
      </c>
      <c r="L37" t="inlineStr">
        <is>
          <t>PAID</t>
        </is>
      </c>
      <c r="M37">
        <f>IF(L37="VOIDED",0,1)</f>
        <v>1</v>
      </c>
      <c r="N37" t="n">
        <v>200</v>
      </c>
      <c r="O37" t="inlineStr">
        <is>
          <t>GST on Income</t>
        </is>
      </c>
      <c r="P37" t="inlineStr">
        <is>
          <t>R07</t>
        </is>
      </c>
      <c r="Q37" t="inlineStr">
        <is>
          <t>DEL-FP</t>
        </is>
      </c>
      <c r="R37">
        <f>IF(OR(Q37="CONTEXT",Q37="REVIEW"),"",INDEX('Category Rules'!$D$5:$D$17,MATCH(P37,'Category Rules'!$A$5:$A$17,0)))</f>
        <v>4020</v>
      </c>
      <c r="S37" t="str">
        <f>IF(Q37="CONTEXT","Fencing",IF(Q37="REVIEW","",INDEX('Category Rules'!$E$5:$E$17,MATCH(P37,'Category Rules'!$A$5:$A$17,0))))</f>
        <v>Fencing</v>
      </c>
      <c r="T37" t="str">
        <f>IF(Q37="DEP","BAS Excluded","GST on Income")</f>
        <v>GST on Income</v>
      </c>
      <c r="U37">
        <f>IF(O37=T37,1,0)</f>
        <v>1</v>
      </c>
      <c r="V37" s="9">
        <f>IF(OR(M37=0,U37=1),0,IF(T37="GST on Income",ROUND(K37*0.1,2),ROUND(-K37*0.1,2)))</f>
        <v>0</v>
      </c>
    </row>
    <row r="38">
      <c r="A38" t="inlineStr">
        <is>
          <t>INV-4386-2</t>
        </is>
      </c>
      <c r="B38" t="inlineStr">
        <is>
          <t>INV-4386</t>
        </is>
      </c>
      <c r="C38" s="11" t="n">
        <v>45845</v>
      </c>
      <c r="D38" t="inlineStr">
        <is>
          <t>2025-07</t>
        </is>
      </c>
      <c r="E38" t="inlineStr">
        <is>
          <t>C0119</t>
        </is>
      </c>
      <c r="F38" t="inlineStr">
        <is>
          <t>C0119</t>
        </is>
      </c>
      <c r="G38" t="inlineStr">
        <is>
          <t>Northgate Builders Pty Ltd</t>
        </is>
      </c>
      <c r="H38" t="inlineStr">
        <is>
          <t>S0059</t>
        </is>
      </c>
      <c r="I38" t="inlineStr">
        <is>
          <t>Installation labour - 135 panels @ 2.20</t>
        </is>
      </c>
      <c r="J38" t="n">
        <v>135</v>
      </c>
      <c r="K38" s="9" t="n">
        <v>297</v>
      </c>
      <c r="L38" t="inlineStr">
        <is>
          <t>PAID</t>
        </is>
      </c>
      <c r="M38">
        <f>IF(L38="VOIDED",0,1)</f>
        <v>1</v>
      </c>
      <c r="N38" t="n">
        <v>200</v>
      </c>
      <c r="O38" t="inlineStr">
        <is>
          <t>GST on Income</t>
        </is>
      </c>
      <c r="P38" t="inlineStr">
        <is>
          <t>R07</t>
        </is>
      </c>
      <c r="Q38" t="inlineStr">
        <is>
          <t>DEL-FP</t>
        </is>
      </c>
      <c r="R38">
        <f>IF(OR(Q38="CONTEXT",Q38="REVIEW"),"",INDEX('Category Rules'!$D$5:$D$17,MATCH(P38,'Category Rules'!$A$5:$A$17,0)))</f>
        <v>4020</v>
      </c>
      <c r="S38" t="str">
        <f>IF(Q38="CONTEXT","Fencing",IF(Q38="REVIEW","",INDEX('Category Rules'!$E$5:$E$17,MATCH(P38,'Category Rules'!$A$5:$A$17,0))))</f>
        <v>Fencing</v>
      </c>
      <c r="T38" t="str">
        <f>IF(Q38="DEP","BAS Excluded","GST on Income")</f>
        <v>GST on Income</v>
      </c>
      <c r="U38">
        <f>IF(O38=T38,1,0)</f>
        <v>1</v>
      </c>
      <c r="V38" s="9">
        <f>IF(OR(M38=0,U38=1),0,IF(T38="GST on Income",ROUND(K38*0.1,2),ROUND(-K38*0.1,2)))</f>
        <v>0</v>
      </c>
    </row>
    <row r="39">
      <c r="A39" t="inlineStr">
        <is>
          <t>INV-5902-1</t>
        </is>
      </c>
      <c r="B39" t="inlineStr">
        <is>
          <t>INV-5902</t>
        </is>
      </c>
      <c r="C39" s="11" t="n">
        <v>45845</v>
      </c>
      <c r="D39" t="inlineStr">
        <is>
          <t>2025-07</t>
        </is>
      </c>
      <c r="E39" t="inlineStr">
        <is>
          <t>C0002</t>
        </is>
      </c>
      <c r="F39" t="inlineStr">
        <is>
          <t>C0002</t>
        </is>
      </c>
      <c r="G39" t="inlineStr">
        <is>
          <t>Summit Building Group</t>
        </is>
      </c>
      <c r="H39" t="inlineStr">
        <is>
          <t>S0498</t>
        </is>
      </c>
      <c r="I39" t="inlineStr">
        <is>
          <t>Variation 4593 - additional works</t>
        </is>
      </c>
      <c r="J39" t="n">
        <v>1</v>
      </c>
      <c r="K39" s="9" t="n">
        <v>341.94</v>
      </c>
      <c r="L39" t="inlineStr">
        <is>
          <t>PAID</t>
        </is>
      </c>
      <c r="M39">
        <f>IF(L39="VOIDED",0,1)</f>
        <v>1</v>
      </c>
      <c r="N39" t="n">
        <v>200</v>
      </c>
      <c r="O39" t="inlineStr">
        <is>
          <t>GST on Income</t>
        </is>
      </c>
      <c r="P39" t="inlineStr">
        <is>
          <t>R12</t>
        </is>
      </c>
      <c r="Q39" t="inlineStr">
        <is>
          <t>CONTEXT</t>
        </is>
      </c>
      <c r="R39">
        <f>IF(OR(Q39="CONTEXT",Q39="REVIEW"),"",INDEX('Category Rules'!$D$5:$D$17,MATCH(P39,'Category Rules'!$A$5:$A$17,0)))</f>
      </c>
      <c r="S39" t="str">
        <f>IF(Q39="CONTEXT","Roofing",IF(Q39="REVIEW","",INDEX('Category Rules'!$E$5:$E$17,MATCH(P39,'Category Rules'!$A$5:$A$17,0))))</f>
        <v>Roofing</v>
      </c>
      <c r="T39" t="str">
        <f>IF(Q39="DEP","BAS Excluded","GST on Income")</f>
        <v>GST on Income</v>
      </c>
      <c r="U39">
        <f>IF(O39=T39,1,0)</f>
        <v>1</v>
      </c>
      <c r="V39" s="9">
        <f>IF(OR(M39=0,U39=1),0,IF(T39="GST on Income",ROUND(K39*0.1,2),ROUND(-K39*0.1,2)))</f>
        <v>0</v>
      </c>
    </row>
    <row r="40">
      <c r="A40" t="inlineStr">
        <is>
          <t>INV-5905-1</t>
        </is>
      </c>
      <c r="B40" t="inlineStr">
        <is>
          <t>INV-5905</t>
        </is>
      </c>
      <c r="C40" s="11" t="n">
        <v>45845</v>
      </c>
      <c r="D40" t="inlineStr">
        <is>
          <t>2025-07</t>
        </is>
      </c>
      <c r="E40" t="inlineStr">
        <is>
          <t>C0062</t>
        </is>
      </c>
      <c r="F40" t="inlineStr">
        <is>
          <t>C0062</t>
        </is>
      </c>
      <c r="G40" t="inlineStr">
        <is>
          <t>Wattle Insurance Repairs Pty Ltd</t>
        </is>
      </c>
      <c r="H40" t="inlineStr">
        <is>
          <t>S0318</t>
        </is>
      </c>
      <c r="I40" t="inlineStr">
        <is>
          <t>Variation 1457 - additional works</t>
        </is>
      </c>
      <c r="J40" t="n">
        <v>1</v>
      </c>
      <c r="K40" s="9" t="n">
        <v>2945.37</v>
      </c>
      <c r="L40" t="inlineStr">
        <is>
          <t>PAID</t>
        </is>
      </c>
      <c r="M40">
        <f>IF(L40="VOIDED",0,1)</f>
        <v>1</v>
      </c>
      <c r="N40" t="n">
        <v>200</v>
      </c>
      <c r="O40" t="inlineStr">
        <is>
          <t>GST on Income</t>
        </is>
      </c>
      <c r="P40" t="inlineStr">
        <is>
          <t>R12</t>
        </is>
      </c>
      <c r="Q40" t="inlineStr">
        <is>
          <t>CONTEXT</t>
        </is>
      </c>
      <c r="R40">
        <f>IF(OR(Q40="CONTEXT",Q40="REVIEW"),"",INDEX('Category Rules'!$D$5:$D$17,MATCH(P40,'Category Rules'!$A$5:$A$17,0)))</f>
      </c>
      <c r="S40" t="str">
        <f>IF(Q40="CONTEXT","Roofing",IF(Q40="REVIEW","",INDEX('Category Rules'!$E$5:$E$17,MATCH(P40,'Category Rules'!$A$5:$A$17,0))))</f>
        <v>Roofing</v>
      </c>
      <c r="T40" t="str">
        <f>IF(Q40="DEP","BAS Excluded","GST on Income")</f>
        <v>GST on Income</v>
      </c>
      <c r="U40">
        <f>IF(O40=T40,1,0)</f>
        <v>1</v>
      </c>
      <c r="V40" s="9">
        <f>IF(OR(M40=0,U40=1),0,IF(T40="GST on Income",ROUND(K40*0.1,2),ROUND(-K40*0.1,2)))</f>
        <v>0</v>
      </c>
    </row>
    <row r="41">
      <c r="A41" t="inlineStr">
        <is>
          <t>INV-5111-1</t>
        </is>
      </c>
      <c r="B41" t="inlineStr">
        <is>
          <t>INV-5111</t>
        </is>
      </c>
      <c r="C41" s="11" t="n">
        <v>45846</v>
      </c>
      <c r="D41" t="inlineStr">
        <is>
          <t>2025-07</t>
        </is>
      </c>
      <c r="E41" t="inlineStr">
        <is>
          <t>C0029</t>
        </is>
      </c>
      <c r="F41" t="inlineStr">
        <is>
          <t>C0029</t>
        </is>
      </c>
      <c r="G41" t="inlineStr">
        <is>
          <t>Ironbark Constructions</t>
        </is>
      </c>
      <c r="H41" t="inlineStr">
        <is>
          <t>S0216</t>
        </is>
      </c>
      <c r="I41" t="inlineStr">
        <is>
          <t>Temporary fence hire 4 wks (10/06/25-07/07/25) - 102 panels</t>
        </is>
      </c>
      <c r="J41" t="n">
        <v>408</v>
      </c>
      <c r="K41" s="9" t="n">
        <v>1836</v>
      </c>
      <c r="L41" t="inlineStr">
        <is>
          <t>PAID</t>
        </is>
      </c>
      <c r="M41">
        <f>IF(L41="VOIDED",0,1)</f>
        <v>1</v>
      </c>
      <c r="N41" t="n">
        <v>200</v>
      </c>
      <c r="O41" t="inlineStr">
        <is>
          <t>GST on Income</t>
        </is>
      </c>
      <c r="P41" t="inlineStr">
        <is>
          <t>R03</t>
        </is>
      </c>
      <c r="Q41" t="inlineStr">
        <is>
          <t>HIRE-FP</t>
        </is>
      </c>
      <c r="R41">
        <f>IF(OR(Q41="CONTEXT",Q41="REVIEW"),"",INDEX('Category Rules'!$D$5:$D$17,MATCH(P41,'Category Rules'!$A$5:$A$17,0)))</f>
        <v>4010</v>
      </c>
      <c r="S41" t="str">
        <f>IF(Q41="CONTEXT","Fencing",IF(Q41="REVIEW","",INDEX('Category Rules'!$E$5:$E$17,MATCH(P41,'Category Rules'!$A$5:$A$17,0))))</f>
        <v>Fencing</v>
      </c>
      <c r="T41" t="str">
        <f>IF(Q41="DEP","BAS Excluded","GST on Income")</f>
        <v>GST on Income</v>
      </c>
      <c r="U41">
        <f>IF(O41=T41,1,0)</f>
        <v>1</v>
      </c>
      <c r="V41" s="9">
        <f>IF(OR(M41=0,U41=1),0,IF(T41="GST on Income",ROUND(K41*0.1,2),ROUND(-K41*0.1,2)))</f>
        <v>0</v>
      </c>
    </row>
    <row r="42">
      <c r="A42" t="inlineStr">
        <is>
          <t>INV-5738-1</t>
        </is>
      </c>
      <c r="B42" t="inlineStr">
        <is>
          <t>INV-5738</t>
        </is>
      </c>
      <c r="C42" s="11" t="n">
        <v>45846</v>
      </c>
      <c r="D42" t="inlineStr">
        <is>
          <t>2025-07</t>
        </is>
      </c>
      <c r="E42" t="inlineStr">
        <is>
          <t>C0006</t>
        </is>
      </c>
      <c r="F42" t="inlineStr">
        <is>
          <t>C0006</t>
        </is>
      </c>
      <c r="G42" t="inlineStr">
        <is>
          <t>Harbour Homes</t>
        </is>
      </c>
      <c r="H42" t="inlineStr">
        <is>
          <t>S0454</t>
        </is>
      </c>
      <c r="I42" t="inlineStr">
        <is>
          <t>Make safe call-out</t>
        </is>
      </c>
      <c r="J42" t="n">
        <v>1</v>
      </c>
      <c r="K42" s="9" t="n">
        <v>385</v>
      </c>
      <c r="L42" t="inlineStr">
        <is>
          <t>PAID</t>
        </is>
      </c>
      <c r="M42">
        <f>IF(L42="VOIDED",0,1)</f>
        <v>1</v>
      </c>
      <c r="N42" t="n">
        <v>200</v>
      </c>
      <c r="O42" t="inlineStr">
        <is>
          <t>GST on Income</t>
        </is>
      </c>
      <c r="P42" t="inlineStr">
        <is>
          <t>R09</t>
        </is>
      </c>
      <c r="Q42" t="inlineStr">
        <is>
          <t>MS</t>
        </is>
      </c>
      <c r="R42">
        <f>IF(OR(Q42="CONTEXT",Q42="REVIEW"),"",INDEX('Category Rules'!$D$5:$D$17,MATCH(P42,'Category Rules'!$A$5:$A$17,0)))</f>
        <v>4020</v>
      </c>
      <c r="S42" t="str">
        <f>IF(Q42="CONTEXT","Make-safe",IF(Q42="REVIEW","",INDEX('Category Rules'!$E$5:$E$17,MATCH(P42,'Category Rules'!$A$5:$A$17,0))))</f>
        <v>Make-safe</v>
      </c>
      <c r="T42" t="str">
        <f>IF(Q42="DEP","BAS Excluded","GST on Income")</f>
        <v>GST on Income</v>
      </c>
      <c r="U42">
        <f>IF(O42=T42,1,0)</f>
        <v>1</v>
      </c>
      <c r="V42" s="9">
        <f>IF(OR(M42=0,U42=1),0,IF(T42="GST on Income",ROUND(K42*0.1,2),ROUND(-K42*0.1,2)))</f>
        <v>0</v>
      </c>
    </row>
    <row r="43">
      <c r="A43" t="inlineStr">
        <is>
          <t>INV-5748-1</t>
        </is>
      </c>
      <c r="B43" t="inlineStr">
        <is>
          <t>INV-5748</t>
        </is>
      </c>
      <c r="C43" s="11" t="n">
        <v>45848</v>
      </c>
      <c r="D43" t="inlineStr">
        <is>
          <t>2025-07</t>
        </is>
      </c>
      <c r="E43" t="inlineStr">
        <is>
          <t>C0012</t>
        </is>
      </c>
      <c r="F43" t="inlineStr">
        <is>
          <t>C0012</t>
        </is>
      </c>
      <c r="G43" t="inlineStr">
        <is>
          <t>Kestrel Constructions Pty Ltd</t>
        </is>
      </c>
      <c r="H43" t="inlineStr">
        <is>
          <t>S0459</t>
        </is>
      </c>
      <c r="I43" t="inlineStr">
        <is>
          <t>Emergency make safe call-out - after hours</t>
        </is>
      </c>
      <c r="J43" t="n">
        <v>1</v>
      </c>
      <c r="K43" s="9" t="n">
        <v>560</v>
      </c>
      <c r="L43" t="inlineStr">
        <is>
          <t>PAID</t>
        </is>
      </c>
      <c r="M43">
        <f>IF(L43="VOIDED",0,1)</f>
        <v>1</v>
      </c>
      <c r="N43" t="n">
        <v>200</v>
      </c>
      <c r="O43" t="inlineStr">
        <is>
          <t>GST on Income</t>
        </is>
      </c>
      <c r="P43" t="inlineStr">
        <is>
          <t>R09</t>
        </is>
      </c>
      <c r="Q43" t="inlineStr">
        <is>
          <t>MS</t>
        </is>
      </c>
      <c r="R43">
        <f>IF(OR(Q43="CONTEXT",Q43="REVIEW"),"",INDEX('Category Rules'!$D$5:$D$17,MATCH(P43,'Category Rules'!$A$5:$A$17,0)))</f>
        <v>4020</v>
      </c>
      <c r="S43" t="str">
        <f>IF(Q43="CONTEXT","Make-safe",IF(Q43="REVIEW","",INDEX('Category Rules'!$E$5:$E$17,MATCH(P43,'Category Rules'!$A$5:$A$17,0))))</f>
        <v>Make-safe</v>
      </c>
      <c r="T43" t="str">
        <f>IF(Q43="DEP","BAS Excluded","GST on Income")</f>
        <v>GST on Income</v>
      </c>
      <c r="U43">
        <f>IF(O43=T43,1,0)</f>
        <v>1</v>
      </c>
      <c r="V43" s="9">
        <f>IF(OR(M43=0,U43=1),0,IF(T43="GST on Income",ROUND(K43*0.1,2),ROUND(-K43*0.1,2)))</f>
        <v>0</v>
      </c>
    </row>
    <row r="44">
      <c r="A44" t="inlineStr">
        <is>
          <t>INV-5748-2</t>
        </is>
      </c>
      <c r="B44" t="inlineStr">
        <is>
          <t>INV-5748</t>
        </is>
      </c>
      <c r="C44" s="11" t="n">
        <v>45848</v>
      </c>
      <c r="D44" t="inlineStr">
        <is>
          <t>2025-07</t>
        </is>
      </c>
      <c r="E44" t="inlineStr">
        <is>
          <t>C0012</t>
        </is>
      </c>
      <c r="F44" t="inlineStr">
        <is>
          <t>C0012</t>
        </is>
      </c>
      <c r="G44" t="inlineStr">
        <is>
          <t>Kestrel Constructions Pty Ltd</t>
        </is>
      </c>
      <c r="H44" t="inlineStr">
        <is>
          <t>S0459</t>
        </is>
      </c>
      <c r="I44" t="inlineStr">
        <is>
          <t>Tarp supply and install - 3 tarp(s)</t>
        </is>
      </c>
      <c r="J44" t="n">
        <v>3</v>
      </c>
      <c r="K44" s="9" t="n">
        <v>720</v>
      </c>
      <c r="L44" t="inlineStr">
        <is>
          <t>PAID</t>
        </is>
      </c>
      <c r="M44">
        <f>IF(L44="VOIDED",0,1)</f>
        <v>1</v>
      </c>
      <c r="N44" t="n">
        <v>200</v>
      </c>
      <c r="O44" t="inlineStr">
        <is>
          <t>GST on Income</t>
        </is>
      </c>
      <c r="P44" t="inlineStr">
        <is>
          <t>R09</t>
        </is>
      </c>
      <c r="Q44" t="inlineStr">
        <is>
          <t>MS</t>
        </is>
      </c>
      <c r="R44">
        <f>IF(OR(Q44="CONTEXT",Q44="REVIEW"),"",INDEX('Category Rules'!$D$5:$D$17,MATCH(P44,'Category Rules'!$A$5:$A$17,0)))</f>
        <v>4020</v>
      </c>
      <c r="S44" t="str">
        <f>IF(Q44="CONTEXT","Make-safe",IF(Q44="REVIEW","",INDEX('Category Rules'!$E$5:$E$17,MATCH(P44,'Category Rules'!$A$5:$A$17,0))))</f>
        <v>Make-safe</v>
      </c>
      <c r="T44" t="str">
        <f>IF(Q44="DEP","BAS Excluded","GST on Income")</f>
        <v>GST on Income</v>
      </c>
      <c r="U44">
        <f>IF(O44=T44,1,0)</f>
        <v>1</v>
      </c>
      <c r="V44" s="9">
        <f>IF(OR(M44=0,U44=1),0,IF(T44="GST on Income",ROUND(K44*0.1,2),ROUND(-K44*0.1,2)))</f>
        <v>0</v>
      </c>
    </row>
    <row r="45">
      <c r="A45" t="inlineStr">
        <is>
          <t>INV-5352-1</t>
        </is>
      </c>
      <c r="B45" t="inlineStr">
        <is>
          <t>INV-5352</t>
        </is>
      </c>
      <c r="C45" s="11" t="n">
        <v>45849</v>
      </c>
      <c r="D45" t="inlineStr">
        <is>
          <t>2025-07</t>
        </is>
      </c>
      <c r="E45" t="inlineStr">
        <is>
          <t>C0119</t>
        </is>
      </c>
      <c r="F45" t="inlineStr">
        <is>
          <t>C0119</t>
        </is>
      </c>
      <c r="G45" t="inlineStr">
        <is>
          <t>Northgate Builders Pty Ltd</t>
        </is>
      </c>
      <c r="H45" t="inlineStr">
        <is>
          <t>S0271</t>
        </is>
      </c>
      <c r="I45" t="inlineStr">
        <is>
          <t>Scaffold erect - 4 tower(s)</t>
        </is>
      </c>
      <c r="J45" t="n">
        <v>4</v>
      </c>
      <c r="K45" s="9" t="n">
        <v>1680</v>
      </c>
      <c r="L45" t="inlineStr">
        <is>
          <t>PAID</t>
        </is>
      </c>
      <c r="M45">
        <f>IF(L45="VOIDED",0,1)</f>
        <v>1</v>
      </c>
      <c r="N45" t="n">
        <v>200</v>
      </c>
      <c r="O45" t="inlineStr">
        <is>
          <t>GST on Income</t>
        </is>
      </c>
      <c r="P45" t="inlineStr">
        <is>
          <t>R08</t>
        </is>
      </c>
      <c r="Q45" t="inlineStr">
        <is>
          <t>LAB-ST</t>
        </is>
      </c>
      <c r="R45">
        <f>IF(OR(Q45="CONTEXT",Q45="REVIEW"),"",INDEX('Category Rules'!$D$5:$D$17,MATCH(P45,'Category Rules'!$A$5:$A$17,0)))</f>
        <v>4020</v>
      </c>
      <c r="S45" t="str">
        <f>IF(Q45="CONTEXT","Scaffolding",IF(Q45="REVIEW","",INDEX('Category Rules'!$E$5:$E$17,MATCH(P45,'Category Rules'!$A$5:$A$17,0))))</f>
        <v>Scaffolding</v>
      </c>
      <c r="T45" t="str">
        <f>IF(Q45="DEP","BAS Excluded","GST on Income")</f>
        <v>GST on Income</v>
      </c>
      <c r="U45">
        <f>IF(O45=T45,1,0)</f>
        <v>1</v>
      </c>
      <c r="V45" s="9">
        <f>IF(OR(M45=0,U45=1),0,IF(T45="GST on Income",ROUND(K45*0.1,2),ROUND(-K45*0.1,2)))</f>
        <v>0</v>
      </c>
    </row>
    <row r="46">
      <c r="A46" t="inlineStr">
        <is>
          <t>INV-4192-1</t>
        </is>
      </c>
      <c r="B46" t="inlineStr">
        <is>
          <t>INV-4192</t>
        </is>
      </c>
      <c r="C46" s="11" t="n">
        <v>45850</v>
      </c>
      <c r="D46" t="inlineStr">
        <is>
          <t>2025-07</t>
        </is>
      </c>
      <c r="E46" t="inlineStr">
        <is>
          <t>C0034</t>
        </is>
      </c>
      <c r="F46" t="inlineStr">
        <is>
          <t>C0034</t>
        </is>
      </c>
      <c r="G46" t="inlineStr">
        <is>
          <t>Norfolk Constructions Pty Ltd</t>
        </is>
      </c>
      <c r="H46" t="inlineStr">
        <is>
          <t>S0018</t>
        </is>
      </c>
      <c r="I46" t="inlineStr">
        <is>
          <t>Temporary fence hire 4 wks (14/06/25-11/07/25) - 80 panels</t>
        </is>
      </c>
      <c r="J46" t="n">
        <v>320</v>
      </c>
      <c r="K46" s="9" t="n">
        <v>1440</v>
      </c>
      <c r="L46" t="inlineStr">
        <is>
          <t>PAID</t>
        </is>
      </c>
      <c r="M46">
        <f>IF(L46="VOIDED",0,1)</f>
        <v>1</v>
      </c>
      <c r="N46" t="n">
        <v>200</v>
      </c>
      <c r="O46" t="inlineStr">
        <is>
          <t>GST on Income</t>
        </is>
      </c>
      <c r="P46" t="inlineStr">
        <is>
          <t>R03</t>
        </is>
      </c>
      <c r="Q46" t="inlineStr">
        <is>
          <t>HIRE-FP</t>
        </is>
      </c>
      <c r="R46">
        <f>IF(OR(Q46="CONTEXT",Q46="REVIEW"),"",INDEX('Category Rules'!$D$5:$D$17,MATCH(P46,'Category Rules'!$A$5:$A$17,0)))</f>
        <v>4010</v>
      </c>
      <c r="S46" t="str">
        <f>IF(Q46="CONTEXT","Fencing",IF(Q46="REVIEW","",INDEX('Category Rules'!$E$5:$E$17,MATCH(P46,'Category Rules'!$A$5:$A$17,0))))</f>
        <v>Fencing</v>
      </c>
      <c r="T46" t="str">
        <f>IF(Q46="DEP","BAS Excluded","GST on Income")</f>
        <v>GST on Income</v>
      </c>
      <c r="U46">
        <f>IF(O46=T46,1,0)</f>
        <v>1</v>
      </c>
      <c r="V46" s="9">
        <f>IF(OR(M46=0,U46=1),0,IF(T46="GST on Income",ROUND(K46*0.1,2),ROUND(-K46*0.1,2)))</f>
        <v>0</v>
      </c>
    </row>
    <row r="47">
      <c r="A47" t="inlineStr">
        <is>
          <t>INV-4612-1</t>
        </is>
      </c>
      <c r="B47" t="inlineStr">
        <is>
          <t>INV-4612</t>
        </is>
      </c>
      <c r="C47" s="11" t="n">
        <v>45850</v>
      </c>
      <c r="D47" t="inlineStr">
        <is>
          <t>2025-07</t>
        </is>
      </c>
      <c r="E47" t="inlineStr">
        <is>
          <t>C0011</t>
        </is>
      </c>
      <c r="F47" t="inlineStr">
        <is>
          <t>C0011</t>
        </is>
      </c>
      <c r="G47" t="inlineStr">
        <is>
          <t>Wattle Homes Pty Ltd</t>
        </is>
      </c>
      <c r="H47" t="inlineStr">
        <is>
          <t>S0102</t>
        </is>
      </c>
      <c r="I47" t="inlineStr">
        <is>
          <t>Temporary fence hire 3 wks (23/06/25-11/07/25) - 34 panels</t>
        </is>
      </c>
      <c r="J47" t="n">
        <v>102</v>
      </c>
      <c r="K47" s="9" t="n">
        <v>459</v>
      </c>
      <c r="L47" t="inlineStr">
        <is>
          <t>PAID</t>
        </is>
      </c>
      <c r="M47">
        <f>IF(L47="VOIDED",0,1)</f>
        <v>1</v>
      </c>
      <c r="N47" t="n">
        <v>200</v>
      </c>
      <c r="O47" t="inlineStr">
        <is>
          <t>GST on Income</t>
        </is>
      </c>
      <c r="P47" t="inlineStr">
        <is>
          <t>R03</t>
        </is>
      </c>
      <c r="Q47" t="inlineStr">
        <is>
          <t>HIRE-FP</t>
        </is>
      </c>
      <c r="R47">
        <f>IF(OR(Q47="CONTEXT",Q47="REVIEW"),"",INDEX('Category Rules'!$D$5:$D$17,MATCH(P47,'Category Rules'!$A$5:$A$17,0)))</f>
        <v>4010</v>
      </c>
      <c r="S47" t="str">
        <f>IF(Q47="CONTEXT","Fencing",IF(Q47="REVIEW","",INDEX('Category Rules'!$E$5:$E$17,MATCH(P47,'Category Rules'!$A$5:$A$17,0))))</f>
        <v>Fencing</v>
      </c>
      <c r="T47" t="str">
        <f>IF(Q47="DEP","BAS Excluded","GST on Income")</f>
        <v>GST on Income</v>
      </c>
      <c r="U47">
        <f>IF(O47=T47,1,0)</f>
        <v>1</v>
      </c>
      <c r="V47" s="9">
        <f>IF(OR(M47=0,U47=1),0,IF(T47="GST on Income",ROUND(K47*0.1,2),ROUND(-K47*0.1,2)))</f>
        <v>0</v>
      </c>
    </row>
    <row r="48">
      <c r="A48" t="inlineStr">
        <is>
          <t>INV-4613-1</t>
        </is>
      </c>
      <c r="B48" t="inlineStr">
        <is>
          <t>INV-4613</t>
        </is>
      </c>
      <c r="C48" s="11" t="n">
        <v>45850</v>
      </c>
      <c r="D48" t="inlineStr">
        <is>
          <t>2025-07</t>
        </is>
      </c>
      <c r="E48" t="inlineStr">
        <is>
          <t>C0011</t>
        </is>
      </c>
      <c r="F48" t="inlineStr">
        <is>
          <t>C0011</t>
        </is>
      </c>
      <c r="G48" t="inlineStr">
        <is>
          <t>Wattle Homes Pty Ltd</t>
        </is>
      </c>
      <c r="H48" t="inlineStr">
        <is>
          <t>S0102</t>
        </is>
      </c>
      <c r="I48" t="inlineStr">
        <is>
          <t>Collection and dismantle - temporary fencing</t>
        </is>
      </c>
      <c r="J48" t="n">
        <v>1</v>
      </c>
      <c r="K48" s="9" t="n">
        <v>165</v>
      </c>
      <c r="L48" t="inlineStr">
        <is>
          <t>PAID</t>
        </is>
      </c>
      <c r="M48">
        <f>IF(L48="VOIDED",0,1)</f>
        <v>1</v>
      </c>
      <c r="N48" t="n">
        <v>200</v>
      </c>
      <c r="O48" t="inlineStr">
        <is>
          <t>GST on Income</t>
        </is>
      </c>
      <c r="P48" t="inlineStr">
        <is>
          <t>R07</t>
        </is>
      </c>
      <c r="Q48" t="inlineStr">
        <is>
          <t>DEL-FP</t>
        </is>
      </c>
      <c r="R48">
        <f>IF(OR(Q48="CONTEXT",Q48="REVIEW"),"",INDEX('Category Rules'!$D$5:$D$17,MATCH(P48,'Category Rules'!$A$5:$A$17,0)))</f>
        <v>4020</v>
      </c>
      <c r="S48" t="str">
        <f>IF(Q48="CONTEXT","Fencing",IF(Q48="REVIEW","",INDEX('Category Rules'!$E$5:$E$17,MATCH(P48,'Category Rules'!$A$5:$A$17,0))))</f>
        <v>Fencing</v>
      </c>
      <c r="T48" t="str">
        <f>IF(Q48="DEP","BAS Excluded","GST on Income")</f>
        <v>GST on Income</v>
      </c>
      <c r="U48">
        <f>IF(O48=T48,1,0)</f>
        <v>1</v>
      </c>
      <c r="V48" s="9">
        <f>IF(OR(M48=0,U48=1),0,IF(T48="GST on Income",ROUND(K48*0.1,2),ROUND(-K48*0.1,2)))</f>
        <v>0</v>
      </c>
    </row>
    <row r="49">
      <c r="A49" t="inlineStr">
        <is>
          <t>INV-4671-1</t>
        </is>
      </c>
      <c r="B49" t="inlineStr">
        <is>
          <t>INV-4671</t>
        </is>
      </c>
      <c r="C49" s="11" t="n">
        <v>45850</v>
      </c>
      <c r="D49" t="inlineStr">
        <is>
          <t>2025-07</t>
        </is>
      </c>
      <c r="E49" t="inlineStr">
        <is>
          <t>C0007</t>
        </is>
      </c>
      <c r="F49" t="inlineStr">
        <is>
          <t>C0007</t>
        </is>
      </c>
      <c r="G49" t="inlineStr">
        <is>
          <t>Eastlink Projects</t>
        </is>
      </c>
      <c r="H49" t="inlineStr">
        <is>
          <t>S0116</t>
        </is>
      </c>
      <c r="I49" t="inlineStr">
        <is>
          <t>Delivery and installation - temporary fencing</t>
        </is>
      </c>
      <c r="J49" t="n">
        <v>1</v>
      </c>
      <c r="K49" s="9" t="n">
        <v>165</v>
      </c>
      <c r="L49" t="inlineStr">
        <is>
          <t>PAID</t>
        </is>
      </c>
      <c r="M49">
        <f>IF(L49="VOIDED",0,1)</f>
        <v>1</v>
      </c>
      <c r="N49" t="n">
        <v>200</v>
      </c>
      <c r="O49" t="inlineStr">
        <is>
          <t>GST on Income</t>
        </is>
      </c>
      <c r="P49" t="inlineStr">
        <is>
          <t>R07</t>
        </is>
      </c>
      <c r="Q49" t="inlineStr">
        <is>
          <t>DEL-FP</t>
        </is>
      </c>
      <c r="R49">
        <f>IF(OR(Q49="CONTEXT",Q49="REVIEW"),"",INDEX('Category Rules'!$D$5:$D$17,MATCH(P49,'Category Rules'!$A$5:$A$17,0)))</f>
        <v>4020</v>
      </c>
      <c r="S49" t="str">
        <f>IF(Q49="CONTEXT","Fencing",IF(Q49="REVIEW","",INDEX('Category Rules'!$E$5:$E$17,MATCH(P49,'Category Rules'!$A$5:$A$17,0))))</f>
        <v>Fencing</v>
      </c>
      <c r="T49" t="str">
        <f>IF(Q49="DEP","BAS Excluded","GST on Income")</f>
        <v>GST on Income</v>
      </c>
      <c r="U49">
        <f>IF(O49=T49,1,0)</f>
        <v>1</v>
      </c>
      <c r="V49" s="9">
        <f>IF(OR(M49=0,U49=1),0,IF(T49="GST on Income",ROUND(K49*0.1,2),ROUND(-K49*0.1,2)))</f>
        <v>0</v>
      </c>
    </row>
    <row r="50">
      <c r="A50" t="inlineStr">
        <is>
          <t>INV-4671-2</t>
        </is>
      </c>
      <c r="B50" t="inlineStr">
        <is>
          <t>INV-4671</t>
        </is>
      </c>
      <c r="C50" s="11" t="n">
        <v>45850</v>
      </c>
      <c r="D50" t="inlineStr">
        <is>
          <t>2025-07</t>
        </is>
      </c>
      <c r="E50" t="inlineStr">
        <is>
          <t>C0007</t>
        </is>
      </c>
      <c r="F50" t="inlineStr">
        <is>
          <t>C0007</t>
        </is>
      </c>
      <c r="G50" t="inlineStr">
        <is>
          <t>Eastlink Projects</t>
        </is>
      </c>
      <c r="H50" t="inlineStr">
        <is>
          <t>S0116</t>
        </is>
      </c>
      <c r="I50" t="inlineStr">
        <is>
          <t>Installation labour - 158 panels @ 2.20</t>
        </is>
      </c>
      <c r="J50" t="n">
        <v>158</v>
      </c>
      <c r="K50" s="9" t="n">
        <v>347.6</v>
      </c>
      <c r="L50" t="inlineStr">
        <is>
          <t>PAID</t>
        </is>
      </c>
      <c r="M50">
        <f>IF(L50="VOIDED",0,1)</f>
        <v>1</v>
      </c>
      <c r="N50" t="n">
        <v>200</v>
      </c>
      <c r="O50" t="inlineStr">
        <is>
          <t>GST on Income</t>
        </is>
      </c>
      <c r="P50" t="inlineStr">
        <is>
          <t>R07</t>
        </is>
      </c>
      <c r="Q50" t="inlineStr">
        <is>
          <t>DEL-FP</t>
        </is>
      </c>
      <c r="R50">
        <f>IF(OR(Q50="CONTEXT",Q50="REVIEW"),"",INDEX('Category Rules'!$D$5:$D$17,MATCH(P50,'Category Rules'!$A$5:$A$17,0)))</f>
        <v>4020</v>
      </c>
      <c r="S50" t="str">
        <f>IF(Q50="CONTEXT","Fencing",IF(Q50="REVIEW","",INDEX('Category Rules'!$E$5:$E$17,MATCH(P50,'Category Rules'!$A$5:$A$17,0))))</f>
        <v>Fencing</v>
      </c>
      <c r="T50" t="str">
        <f>IF(Q50="DEP","BAS Excluded","GST on Income")</f>
        <v>GST on Income</v>
      </c>
      <c r="U50">
        <f>IF(O50=T50,1,0)</f>
        <v>1</v>
      </c>
      <c r="V50" s="9">
        <f>IF(OR(M50=0,U50=1),0,IF(T50="GST on Income",ROUND(K50*0.1,2),ROUND(-K50*0.1,2)))</f>
        <v>0</v>
      </c>
    </row>
    <row r="51">
      <c r="A51" t="inlineStr">
        <is>
          <t>INV-5256-1</t>
        </is>
      </c>
      <c r="B51" t="inlineStr">
        <is>
          <t>INV-5256</t>
        </is>
      </c>
      <c r="C51" s="11" t="n">
        <v>45850</v>
      </c>
      <c r="D51" t="inlineStr">
        <is>
          <t>2025-07</t>
        </is>
      </c>
      <c r="E51" t="inlineStr">
        <is>
          <t>C0027</t>
        </is>
      </c>
      <c r="F51" t="inlineStr">
        <is>
          <t>C0027</t>
        </is>
      </c>
      <c r="G51" t="inlineStr">
        <is>
          <t>Metro Projects Pty Ltd</t>
        </is>
      </c>
      <c r="H51" t="inlineStr">
        <is>
          <t>S0248</t>
        </is>
      </c>
      <c r="I51" t="inlineStr">
        <is>
          <t>Scaffold erect - 2 tower(s)</t>
        </is>
      </c>
      <c r="J51" t="n">
        <v>2</v>
      </c>
      <c r="K51" s="9" t="n">
        <v>840</v>
      </c>
      <c r="L51" t="inlineStr">
        <is>
          <t>PAID</t>
        </is>
      </c>
      <c r="M51">
        <f>IF(L51="VOIDED",0,1)</f>
        <v>1</v>
      </c>
      <c r="N51" t="n">
        <v>200</v>
      </c>
      <c r="O51" t="inlineStr">
        <is>
          <t>GST on Income</t>
        </is>
      </c>
      <c r="P51" t="inlineStr">
        <is>
          <t>R08</t>
        </is>
      </c>
      <c r="Q51" t="inlineStr">
        <is>
          <t>LAB-ST</t>
        </is>
      </c>
      <c r="R51">
        <f>IF(OR(Q51="CONTEXT",Q51="REVIEW"),"",INDEX('Category Rules'!$D$5:$D$17,MATCH(P51,'Category Rules'!$A$5:$A$17,0)))</f>
        <v>4020</v>
      </c>
      <c r="S51" t="str">
        <f>IF(Q51="CONTEXT","Scaffolding",IF(Q51="REVIEW","",INDEX('Category Rules'!$E$5:$E$17,MATCH(P51,'Category Rules'!$A$5:$A$17,0))))</f>
        <v>Scaffolding</v>
      </c>
      <c r="T51" t="str">
        <f>IF(Q51="DEP","BAS Excluded","GST on Income")</f>
        <v>GST on Income</v>
      </c>
      <c r="U51">
        <f>IF(O51=T51,1,0)</f>
        <v>1</v>
      </c>
      <c r="V51" s="9">
        <f>IF(OR(M51=0,U51=1),0,IF(T51="GST on Income",ROUND(K51*0.1,2),ROUND(-K51*0.1,2)))</f>
        <v>0</v>
      </c>
    </row>
    <row r="52">
      <c r="A52" t="inlineStr">
        <is>
          <t>INV-5271-1</t>
        </is>
      </c>
      <c r="B52" t="inlineStr">
        <is>
          <t>INV-5271</t>
        </is>
      </c>
      <c r="C52" s="11" t="n">
        <v>45850</v>
      </c>
      <c r="D52" t="inlineStr">
        <is>
          <t>2025-07</t>
        </is>
      </c>
      <c r="E52" t="inlineStr">
        <is>
          <t>C0054</t>
        </is>
      </c>
      <c r="F52" t="inlineStr">
        <is>
          <t>C0054</t>
        </is>
      </c>
      <c r="G52" t="inlineStr">
        <is>
          <t>Westside Strata Management Pty Ltd</t>
        </is>
      </c>
      <c r="H52" t="inlineStr">
        <is>
          <t>S0252</t>
        </is>
      </c>
      <c r="I52" t="inlineStr">
        <is>
          <t>Scaffold erect - 3 tower(s)</t>
        </is>
      </c>
      <c r="J52" t="n">
        <v>3</v>
      </c>
      <c r="K52" s="9" t="n">
        <v>1260</v>
      </c>
      <c r="L52" t="inlineStr">
        <is>
          <t>PAID</t>
        </is>
      </c>
      <c r="M52">
        <f>IF(L52="VOIDED",0,1)</f>
        <v>1</v>
      </c>
      <c r="N52" t="n">
        <v>200</v>
      </c>
      <c r="O52" t="inlineStr">
        <is>
          <t>GST on Income</t>
        </is>
      </c>
      <c r="P52" t="inlineStr">
        <is>
          <t>R08</t>
        </is>
      </c>
      <c r="Q52" t="inlineStr">
        <is>
          <t>LAB-ST</t>
        </is>
      </c>
      <c r="R52">
        <f>IF(OR(Q52="CONTEXT",Q52="REVIEW"),"",INDEX('Category Rules'!$D$5:$D$17,MATCH(P52,'Category Rules'!$A$5:$A$17,0)))</f>
        <v>4020</v>
      </c>
      <c r="S52" t="str">
        <f>IF(Q52="CONTEXT","Scaffolding",IF(Q52="REVIEW","",INDEX('Category Rules'!$E$5:$E$17,MATCH(P52,'Category Rules'!$A$5:$A$17,0))))</f>
        <v>Scaffolding</v>
      </c>
      <c r="T52" t="str">
        <f>IF(Q52="DEP","BAS Excluded","GST on Income")</f>
        <v>GST on Income</v>
      </c>
      <c r="U52">
        <f>IF(O52=T52,1,0)</f>
        <v>1</v>
      </c>
      <c r="V52" s="9">
        <f>IF(OR(M52=0,U52=1),0,IF(T52="GST on Income",ROUND(K52*0.1,2),ROUND(-K52*0.1,2)))</f>
        <v>0</v>
      </c>
    </row>
    <row r="53">
      <c r="A53" t="inlineStr">
        <is>
          <t>INV-5739-1</t>
        </is>
      </c>
      <c r="B53" t="inlineStr">
        <is>
          <t>INV-5739</t>
        </is>
      </c>
      <c r="C53" s="11" t="n">
        <v>45850</v>
      </c>
      <c r="D53" t="inlineStr">
        <is>
          <t>2025-07</t>
        </is>
      </c>
      <c r="E53" t="inlineStr">
        <is>
          <t>C0006</t>
        </is>
      </c>
      <c r="F53" t="inlineStr">
        <is>
          <t>C0006</t>
        </is>
      </c>
      <c r="G53" t="inlineStr">
        <is>
          <t>Harbour Homes</t>
        </is>
      </c>
      <c r="H53" t="inlineStr">
        <is>
          <t>S0454</t>
        </is>
      </c>
      <c r="I53" t="inlineStr">
        <is>
          <t>Roof repair labour - 6 hrs</t>
        </is>
      </c>
      <c r="J53" t="n">
        <v>6</v>
      </c>
      <c r="K53" s="9" t="n">
        <v>588</v>
      </c>
      <c r="L53" t="inlineStr">
        <is>
          <t>PAID</t>
        </is>
      </c>
      <c r="M53">
        <f>IF(L53="VOIDED",0,1)</f>
        <v>1</v>
      </c>
      <c r="N53" t="n">
        <v>200</v>
      </c>
      <c r="O53" t="inlineStr">
        <is>
          <t>GST on Income</t>
        </is>
      </c>
      <c r="P53" t="inlineStr">
        <is>
          <t>R10</t>
        </is>
      </c>
      <c r="Q53" t="inlineStr">
        <is>
          <t>LAB-RF</t>
        </is>
      </c>
      <c r="R53">
        <f>IF(OR(Q53="CONTEXT",Q53="REVIEW"),"",INDEX('Category Rules'!$D$5:$D$17,MATCH(P53,'Category Rules'!$A$5:$A$17,0)))</f>
        <v>4020</v>
      </c>
      <c r="S53" t="str">
        <f>IF(Q53="CONTEXT","Roofing",IF(Q53="REVIEW","",INDEX('Category Rules'!$E$5:$E$17,MATCH(P53,'Category Rules'!$A$5:$A$17,0))))</f>
        <v>Roofing</v>
      </c>
      <c r="T53" t="str">
        <f>IF(Q53="DEP","BAS Excluded","GST on Income")</f>
        <v>GST on Income</v>
      </c>
      <c r="U53">
        <f>IF(O53=T53,1,0)</f>
        <v>1</v>
      </c>
      <c r="V53" s="9">
        <f>IF(OR(M53=0,U53=1),0,IF(T53="GST on Income",ROUND(K53*0.1,2),ROUND(-K53*0.1,2)))</f>
        <v>0</v>
      </c>
    </row>
    <row r="54">
      <c r="A54" t="inlineStr">
        <is>
          <t>INV-5739-2</t>
        </is>
      </c>
      <c r="B54" t="inlineStr">
        <is>
          <t>INV-5739</t>
        </is>
      </c>
      <c r="C54" s="11" t="n">
        <v>45850</v>
      </c>
      <c r="D54" t="inlineStr">
        <is>
          <t>2025-07</t>
        </is>
      </c>
      <c r="E54" t="inlineStr">
        <is>
          <t>C0006</t>
        </is>
      </c>
      <c r="F54" t="inlineStr">
        <is>
          <t>C0006</t>
        </is>
      </c>
      <c r="G54" t="inlineStr">
        <is>
          <t>Harbour Homes</t>
        </is>
      </c>
      <c r="H54" t="inlineStr">
        <is>
          <t>S0454</t>
        </is>
      </c>
      <c r="I54" t="inlineStr">
        <is>
          <t>Materials - ridge capping</t>
        </is>
      </c>
      <c r="J54" t="n">
        <v>1</v>
      </c>
      <c r="K54" s="9" t="n">
        <v>747.11</v>
      </c>
      <c r="L54" t="inlineStr">
        <is>
          <t>PAID</t>
        </is>
      </c>
      <c r="M54">
        <f>IF(L54="VOIDED",0,1)</f>
        <v>1</v>
      </c>
      <c r="N54" t="n">
        <v>200</v>
      </c>
      <c r="O54" t="inlineStr">
        <is>
          <t>GST on Income</t>
        </is>
      </c>
      <c r="P54" t="inlineStr">
        <is>
          <t>R11</t>
        </is>
      </c>
      <c r="Q54" t="inlineStr">
        <is>
          <t>MAT-RF</t>
        </is>
      </c>
      <c r="R54">
        <f>IF(OR(Q54="CONTEXT",Q54="REVIEW"),"",INDEX('Category Rules'!$D$5:$D$17,MATCH(P54,'Category Rules'!$A$5:$A$17,0)))</f>
        <v>4030</v>
      </c>
      <c r="S54" t="str">
        <f>IF(Q54="CONTEXT","Roofing",IF(Q54="REVIEW","",INDEX('Category Rules'!$E$5:$E$17,MATCH(P54,'Category Rules'!$A$5:$A$17,0))))</f>
        <v>Roofing</v>
      </c>
      <c r="T54" t="str">
        <f>IF(Q54="DEP","BAS Excluded","GST on Income")</f>
        <v>GST on Income</v>
      </c>
      <c r="U54">
        <f>IF(O54=T54,1,0)</f>
        <v>1</v>
      </c>
      <c r="V54" s="9">
        <f>IF(OR(M54=0,U54=1),0,IF(T54="GST on Income",ROUND(K54*0.1,2),ROUND(-K54*0.1,2)))</f>
        <v>0</v>
      </c>
    </row>
    <row r="55">
      <c r="A55" t="inlineStr">
        <is>
          <t>INV-5739-3</t>
        </is>
      </c>
      <c r="B55" t="inlineStr">
        <is>
          <t>INV-5739</t>
        </is>
      </c>
      <c r="C55" s="11" t="n">
        <v>45850</v>
      </c>
      <c r="D55" t="inlineStr">
        <is>
          <t>2025-07</t>
        </is>
      </c>
      <c r="E55" t="inlineStr">
        <is>
          <t>C0006</t>
        </is>
      </c>
      <c r="F55" t="inlineStr">
        <is>
          <t>C0006</t>
        </is>
      </c>
      <c r="G55" t="inlineStr">
        <is>
          <t>Harbour Homes</t>
        </is>
      </c>
      <c r="H55" t="inlineStr">
        <is>
          <t>S0454</t>
        </is>
      </c>
      <c r="I55" t="inlineStr">
        <is>
          <t>Materials - roof tiles (matched)</t>
        </is>
      </c>
      <c r="J55" t="n">
        <v>1</v>
      </c>
      <c r="K55" s="9" t="n">
        <v>1380.74</v>
      </c>
      <c r="L55" t="inlineStr">
        <is>
          <t>PAID</t>
        </is>
      </c>
      <c r="M55">
        <f>IF(L55="VOIDED",0,1)</f>
        <v>1</v>
      </c>
      <c r="N55" t="n">
        <v>200</v>
      </c>
      <c r="O55" t="inlineStr">
        <is>
          <t>GST on Income</t>
        </is>
      </c>
      <c r="P55" t="inlineStr">
        <is>
          <t>R11</t>
        </is>
      </c>
      <c r="Q55" t="inlineStr">
        <is>
          <t>MAT-RF</t>
        </is>
      </c>
      <c r="R55">
        <f>IF(OR(Q55="CONTEXT",Q55="REVIEW"),"",INDEX('Category Rules'!$D$5:$D$17,MATCH(P55,'Category Rules'!$A$5:$A$17,0)))</f>
        <v>4030</v>
      </c>
      <c r="S55" t="str">
        <f>IF(Q55="CONTEXT","Roofing",IF(Q55="REVIEW","",INDEX('Category Rules'!$E$5:$E$17,MATCH(P55,'Category Rules'!$A$5:$A$17,0))))</f>
        <v>Roofing</v>
      </c>
      <c r="T55" t="str">
        <f>IF(Q55="DEP","BAS Excluded","GST on Income")</f>
        <v>GST on Income</v>
      </c>
      <c r="U55">
        <f>IF(O55=T55,1,0)</f>
        <v>1</v>
      </c>
      <c r="V55" s="9">
        <f>IF(OR(M55=0,U55=1),0,IF(T55="GST on Income",ROUND(K55*0.1,2),ROUND(-K55*0.1,2)))</f>
        <v>0</v>
      </c>
    </row>
    <row r="56">
      <c r="A56" t="inlineStr">
        <is>
          <t>INV-4324-1</t>
        </is>
      </c>
      <c r="B56" t="inlineStr">
        <is>
          <t>INV-4324</t>
        </is>
      </c>
      <c r="C56" s="11" t="n">
        <v>45851</v>
      </c>
      <c r="D56" t="inlineStr">
        <is>
          <t>2025-07</t>
        </is>
      </c>
      <c r="E56" t="inlineStr">
        <is>
          <t>C0044</t>
        </is>
      </c>
      <c r="F56" t="inlineStr">
        <is>
          <t>C0044</t>
        </is>
      </c>
      <c r="G56" t="inlineStr">
        <is>
          <t>Granite Constructions</t>
        </is>
      </c>
      <c r="H56" t="inlineStr">
        <is>
          <t>S0048</t>
        </is>
      </c>
      <c r="I56" t="inlineStr">
        <is>
          <t>Delivery and installation - temporary fencing</t>
        </is>
      </c>
      <c r="J56" t="n">
        <v>1</v>
      </c>
      <c r="K56" s="9" t="n">
        <v>165</v>
      </c>
      <c r="L56" t="inlineStr">
        <is>
          <t>PAID</t>
        </is>
      </c>
      <c r="M56">
        <f>IF(L56="VOIDED",0,1)</f>
        <v>1</v>
      </c>
      <c r="N56" t="n">
        <v>200</v>
      </c>
      <c r="O56" t="inlineStr">
        <is>
          <t>GST on Income</t>
        </is>
      </c>
      <c r="P56" t="inlineStr">
        <is>
          <t>R07</t>
        </is>
      </c>
      <c r="Q56" t="inlineStr">
        <is>
          <t>DEL-FP</t>
        </is>
      </c>
      <c r="R56">
        <f>IF(OR(Q56="CONTEXT",Q56="REVIEW"),"",INDEX('Category Rules'!$D$5:$D$17,MATCH(P56,'Category Rules'!$A$5:$A$17,0)))</f>
        <v>4020</v>
      </c>
      <c r="S56" t="str">
        <f>IF(Q56="CONTEXT","Fencing",IF(Q56="REVIEW","",INDEX('Category Rules'!$E$5:$E$17,MATCH(P56,'Category Rules'!$A$5:$A$17,0))))</f>
        <v>Fencing</v>
      </c>
      <c r="T56" t="str">
        <f>IF(Q56="DEP","BAS Excluded","GST on Income")</f>
        <v>GST on Income</v>
      </c>
      <c r="U56">
        <f>IF(O56=T56,1,0)</f>
        <v>1</v>
      </c>
      <c r="V56" s="9">
        <f>IF(OR(M56=0,U56=1),0,IF(T56="GST on Income",ROUND(K56*0.1,2),ROUND(-K56*0.1,2)))</f>
        <v>0</v>
      </c>
    </row>
    <row r="57">
      <c r="A57" t="inlineStr">
        <is>
          <t>INV-4324-2</t>
        </is>
      </c>
      <c r="B57" t="inlineStr">
        <is>
          <t>INV-4324</t>
        </is>
      </c>
      <c r="C57" s="11" t="n">
        <v>45851</v>
      </c>
      <c r="D57" t="inlineStr">
        <is>
          <t>2025-07</t>
        </is>
      </c>
      <c r="E57" t="inlineStr">
        <is>
          <t>C0044</t>
        </is>
      </c>
      <c r="F57" t="inlineStr">
        <is>
          <t>C0044</t>
        </is>
      </c>
      <c r="G57" t="inlineStr">
        <is>
          <t>Granite Constructions</t>
        </is>
      </c>
      <c r="H57" t="inlineStr">
        <is>
          <t>S0048</t>
        </is>
      </c>
      <c r="I57" t="inlineStr">
        <is>
          <t>Installation labour - 100 panels @ 2.20</t>
        </is>
      </c>
      <c r="J57" t="n">
        <v>100</v>
      </c>
      <c r="K57" s="9" t="n">
        <v>220</v>
      </c>
      <c r="L57" t="inlineStr">
        <is>
          <t>PAID</t>
        </is>
      </c>
      <c r="M57">
        <f>IF(L57="VOIDED",0,1)</f>
        <v>1</v>
      </c>
      <c r="N57" t="n">
        <v>200</v>
      </c>
      <c r="O57" t="inlineStr">
        <is>
          <t>GST on Income</t>
        </is>
      </c>
      <c r="P57" t="inlineStr">
        <is>
          <t>R07</t>
        </is>
      </c>
      <c r="Q57" t="inlineStr">
        <is>
          <t>DEL-FP</t>
        </is>
      </c>
      <c r="R57">
        <f>IF(OR(Q57="CONTEXT",Q57="REVIEW"),"",INDEX('Category Rules'!$D$5:$D$17,MATCH(P57,'Category Rules'!$A$5:$A$17,0)))</f>
        <v>4020</v>
      </c>
      <c r="S57" t="str">
        <f>IF(Q57="CONTEXT","Fencing",IF(Q57="REVIEW","",INDEX('Category Rules'!$E$5:$E$17,MATCH(P57,'Category Rules'!$A$5:$A$17,0))))</f>
        <v>Fencing</v>
      </c>
      <c r="T57" t="str">
        <f>IF(Q57="DEP","BAS Excluded","GST on Income")</f>
        <v>GST on Income</v>
      </c>
      <c r="U57">
        <f>IF(O57=T57,1,0)</f>
        <v>1</v>
      </c>
      <c r="V57" s="9">
        <f>IF(OR(M57=0,U57=1),0,IF(T57="GST on Income",ROUND(K57*0.1,2),ROUND(-K57*0.1,2)))</f>
        <v>0</v>
      </c>
    </row>
    <row r="58">
      <c r="A58" t="inlineStr">
        <is>
          <t>INV-5109-1</t>
        </is>
      </c>
      <c r="B58" t="inlineStr">
        <is>
          <t>INV-5109</t>
        </is>
      </c>
      <c r="C58" s="11" t="n">
        <v>45851</v>
      </c>
      <c r="D58" t="inlineStr">
        <is>
          <t>2025-07</t>
        </is>
      </c>
      <c r="E58" t="inlineStr">
        <is>
          <t>C0002</t>
        </is>
      </c>
      <c r="F58" t="inlineStr">
        <is>
          <t>C0002</t>
        </is>
      </c>
      <c r="G58" t="inlineStr">
        <is>
          <t>Summit Building Group</t>
        </is>
      </c>
      <c r="H58" t="inlineStr">
        <is>
          <t>S0215</t>
        </is>
      </c>
      <c r="I58" t="inlineStr">
        <is>
          <t>Delivery and installation - temporary fencing</t>
        </is>
      </c>
      <c r="J58" t="n">
        <v>1</v>
      </c>
      <c r="K58" s="9" t="n">
        <v>165</v>
      </c>
      <c r="L58" t="inlineStr">
        <is>
          <t>PAID</t>
        </is>
      </c>
      <c r="M58">
        <f>IF(L58="VOIDED",0,1)</f>
        <v>1</v>
      </c>
      <c r="N58" t="n">
        <v>260</v>
      </c>
      <c r="O58" t="inlineStr">
        <is>
          <t>GST on Income</t>
        </is>
      </c>
      <c r="P58" t="inlineStr">
        <is>
          <t>R07</t>
        </is>
      </c>
      <c r="Q58" t="inlineStr">
        <is>
          <t>DEL-FP</t>
        </is>
      </c>
      <c r="R58">
        <f>IF(OR(Q58="CONTEXT",Q58="REVIEW"),"",INDEX('Category Rules'!$D$5:$D$17,MATCH(P58,'Category Rules'!$A$5:$A$17,0)))</f>
        <v>4020</v>
      </c>
      <c r="S58" t="str">
        <f>IF(Q58="CONTEXT","Fencing",IF(Q58="REVIEW","",INDEX('Category Rules'!$E$5:$E$17,MATCH(P58,'Category Rules'!$A$5:$A$17,0))))</f>
        <v>Fencing</v>
      </c>
      <c r="T58" t="str">
        <f>IF(Q58="DEP","BAS Excluded","GST on Income")</f>
        <v>GST on Income</v>
      </c>
      <c r="U58">
        <f>IF(O58=T58,1,0)</f>
        <v>1</v>
      </c>
      <c r="V58" s="9">
        <f>IF(OR(M58=0,U58=1),0,IF(T58="GST on Income",ROUND(K58*0.1,2),ROUND(-K58*0.1,2)))</f>
        <v>0</v>
      </c>
    </row>
    <row r="59">
      <c r="A59" t="inlineStr">
        <is>
          <t>INV-5109-2</t>
        </is>
      </c>
      <c r="B59" t="inlineStr">
        <is>
          <t>INV-5109</t>
        </is>
      </c>
      <c r="C59" s="11" t="n">
        <v>45851</v>
      </c>
      <c r="D59" t="inlineStr">
        <is>
          <t>2025-07</t>
        </is>
      </c>
      <c r="E59" t="inlineStr">
        <is>
          <t>C0002</t>
        </is>
      </c>
      <c r="F59" t="inlineStr">
        <is>
          <t>C0002</t>
        </is>
      </c>
      <c r="G59" t="inlineStr">
        <is>
          <t>Summit Building Group</t>
        </is>
      </c>
      <c r="H59" t="inlineStr">
        <is>
          <t>S0215</t>
        </is>
      </c>
      <c r="I59" t="inlineStr">
        <is>
          <t>Installation labour - 91 panels @ 2.20</t>
        </is>
      </c>
      <c r="J59" t="n">
        <v>91</v>
      </c>
      <c r="K59" s="9" t="n">
        <v>200.2</v>
      </c>
      <c r="L59" t="inlineStr">
        <is>
          <t>PAID</t>
        </is>
      </c>
      <c r="M59">
        <f>IF(L59="VOIDED",0,1)</f>
        <v>1</v>
      </c>
      <c r="N59" t="n">
        <v>200</v>
      </c>
      <c r="O59" t="inlineStr">
        <is>
          <t>GST on Income</t>
        </is>
      </c>
      <c r="P59" t="inlineStr">
        <is>
          <t>R07</t>
        </is>
      </c>
      <c r="Q59" t="inlineStr">
        <is>
          <t>DEL-FP</t>
        </is>
      </c>
      <c r="R59">
        <f>IF(OR(Q59="CONTEXT",Q59="REVIEW"),"",INDEX('Category Rules'!$D$5:$D$17,MATCH(P59,'Category Rules'!$A$5:$A$17,0)))</f>
        <v>4020</v>
      </c>
      <c r="S59" t="str">
        <f>IF(Q59="CONTEXT","Fencing",IF(Q59="REVIEW","",INDEX('Category Rules'!$E$5:$E$17,MATCH(P59,'Category Rules'!$A$5:$A$17,0))))</f>
        <v>Fencing</v>
      </c>
      <c r="T59" t="str">
        <f>IF(Q59="DEP","BAS Excluded","GST on Income")</f>
        <v>GST on Income</v>
      </c>
      <c r="U59">
        <f>IF(O59=T59,1,0)</f>
        <v>1</v>
      </c>
      <c r="V59" s="9">
        <f>IF(OR(M59=0,U59=1),0,IF(T59="GST on Income",ROUND(K59*0.1,2),ROUND(-K59*0.1,2)))</f>
        <v>0</v>
      </c>
    </row>
    <row r="60">
      <c r="A60" t="inlineStr">
        <is>
          <t>INV-5421-1</t>
        </is>
      </c>
      <c r="B60" t="inlineStr">
        <is>
          <t>INV-5421</t>
        </is>
      </c>
      <c r="C60" s="11" t="n">
        <v>45851</v>
      </c>
      <c r="D60" t="inlineStr">
        <is>
          <t>2025-07</t>
        </is>
      </c>
      <c r="E60" t="inlineStr">
        <is>
          <t>C0082</t>
        </is>
      </c>
      <c r="F60" t="inlineStr">
        <is>
          <t>C0082</t>
        </is>
      </c>
      <c r="G60" t="inlineStr">
        <is>
          <t>Olivia Hughes</t>
        </is>
      </c>
      <c r="H60" t="inlineStr">
        <is>
          <t>S0289</t>
        </is>
      </c>
      <c r="I60" t="inlineStr">
        <is>
          <t>Scaffold tower hire 4 wks (21/06/25-12/07/25) - 1 towers</t>
        </is>
      </c>
      <c r="J60" t="n">
        <v>4</v>
      </c>
      <c r="K60" s="9" t="n">
        <v>380</v>
      </c>
      <c r="L60" t="inlineStr">
        <is>
          <t>PAID</t>
        </is>
      </c>
      <c r="M60">
        <f>IF(L60="VOIDED",0,1)</f>
        <v>1</v>
      </c>
      <c r="N60" t="n">
        <v>200</v>
      </c>
      <c r="O60" t="inlineStr">
        <is>
          <t>GST on Income</t>
        </is>
      </c>
      <c r="P60" t="inlineStr">
        <is>
          <t>R05</t>
        </is>
      </c>
      <c r="Q60" t="inlineStr">
        <is>
          <t>HIRE-ST</t>
        </is>
      </c>
      <c r="R60">
        <f>IF(OR(Q60="CONTEXT",Q60="REVIEW"),"",INDEX('Category Rules'!$D$5:$D$17,MATCH(P60,'Category Rules'!$A$5:$A$17,0)))</f>
        <v>4010</v>
      </c>
      <c r="S60" t="str">
        <f>IF(Q60="CONTEXT","Scaffolding",IF(Q60="REVIEW","",INDEX('Category Rules'!$E$5:$E$17,MATCH(P60,'Category Rules'!$A$5:$A$17,0))))</f>
        <v>Scaffolding</v>
      </c>
      <c r="T60" t="str">
        <f>IF(Q60="DEP","BAS Excluded","GST on Income")</f>
        <v>GST on Income</v>
      </c>
      <c r="U60">
        <f>IF(O60=T60,1,0)</f>
        <v>1</v>
      </c>
      <c r="V60" s="9">
        <f>IF(OR(M60=0,U60=1),0,IF(T60="GST on Income",ROUND(K60*0.1,2),ROUND(-K60*0.1,2)))</f>
        <v>0</v>
      </c>
    </row>
    <row r="61">
      <c r="A61" t="inlineStr">
        <is>
          <t>INV-5422-1</t>
        </is>
      </c>
      <c r="B61" t="inlineStr">
        <is>
          <t>INV-5422</t>
        </is>
      </c>
      <c r="C61" s="11" t="n">
        <v>45851</v>
      </c>
      <c r="D61" t="inlineStr">
        <is>
          <t>2025-07</t>
        </is>
      </c>
      <c r="E61" t="inlineStr">
        <is>
          <t>C0082</t>
        </is>
      </c>
      <c r="F61" t="inlineStr">
        <is>
          <t>C0082</t>
        </is>
      </c>
      <c r="G61" t="inlineStr">
        <is>
          <t>Olivia Hughes</t>
        </is>
      </c>
      <c r="H61" t="inlineStr">
        <is>
          <t>S0289</t>
        </is>
      </c>
      <c r="I61" t="inlineStr">
        <is>
          <t>Scaffold dismantle - 1 tower(s)</t>
        </is>
      </c>
      <c r="J61" t="n">
        <v>1</v>
      </c>
      <c r="K61" s="9" t="n">
        <v>320</v>
      </c>
      <c r="L61" t="inlineStr">
        <is>
          <t>PAID</t>
        </is>
      </c>
      <c r="M61">
        <f>IF(L61="VOIDED",0,1)</f>
        <v>1</v>
      </c>
      <c r="N61" t="n">
        <v>200</v>
      </c>
      <c r="O61" t="inlineStr">
        <is>
          <t>GST on Income</t>
        </is>
      </c>
      <c r="P61" t="inlineStr">
        <is>
          <t>R08</t>
        </is>
      </c>
      <c r="Q61" t="inlineStr">
        <is>
          <t>LAB-ST</t>
        </is>
      </c>
      <c r="R61">
        <f>IF(OR(Q61="CONTEXT",Q61="REVIEW"),"",INDEX('Category Rules'!$D$5:$D$17,MATCH(P61,'Category Rules'!$A$5:$A$17,0)))</f>
        <v>4020</v>
      </c>
      <c r="S61" t="str">
        <f>IF(Q61="CONTEXT","Scaffolding",IF(Q61="REVIEW","",INDEX('Category Rules'!$E$5:$E$17,MATCH(P61,'Category Rules'!$A$5:$A$17,0))))</f>
        <v>Scaffolding</v>
      </c>
      <c r="T61" t="str">
        <f>IF(Q61="DEP","BAS Excluded","GST on Income")</f>
        <v>GST on Income</v>
      </c>
      <c r="U61">
        <f>IF(O61=T61,1,0)</f>
        <v>1</v>
      </c>
      <c r="V61" s="9">
        <f>IF(OR(M61=0,U61=1),0,IF(T61="GST on Income",ROUND(K61*0.1,2),ROUND(-K61*0.1,2)))</f>
        <v>0</v>
      </c>
    </row>
    <row r="62">
      <c r="A62" t="inlineStr">
        <is>
          <t>INV-5517-1</t>
        </is>
      </c>
      <c r="B62" t="inlineStr">
        <is>
          <t>INV-5517</t>
        </is>
      </c>
      <c r="C62" s="11" t="n">
        <v>45851</v>
      </c>
      <c r="D62" t="inlineStr">
        <is>
          <t>2025-07</t>
        </is>
      </c>
      <c r="E62" t="inlineStr">
        <is>
          <t>C0086</t>
        </is>
      </c>
      <c r="F62" t="inlineStr">
        <is>
          <t>C0086</t>
        </is>
      </c>
      <c r="G62" t="inlineStr">
        <is>
          <t>Mei Ali</t>
        </is>
      </c>
      <c r="H62" t="inlineStr">
        <is>
          <t>S0334</t>
        </is>
      </c>
      <c r="I62" t="inlineStr">
        <is>
          <t>Emergency make safe call-out - after hours</t>
        </is>
      </c>
      <c r="J62" t="n">
        <v>1</v>
      </c>
      <c r="K62" s="9" t="n">
        <v>560</v>
      </c>
      <c r="L62" t="inlineStr">
        <is>
          <t>PAID</t>
        </is>
      </c>
      <c r="M62">
        <f>IF(L62="VOIDED",0,1)</f>
        <v>1</v>
      </c>
      <c r="N62" t="n">
        <v>200</v>
      </c>
      <c r="O62" t="inlineStr">
        <is>
          <t>GST on Income</t>
        </is>
      </c>
      <c r="P62" t="inlineStr">
        <is>
          <t>R09</t>
        </is>
      </c>
      <c r="Q62" t="inlineStr">
        <is>
          <t>MS</t>
        </is>
      </c>
      <c r="R62">
        <f>IF(OR(Q62="CONTEXT",Q62="REVIEW"),"",INDEX('Category Rules'!$D$5:$D$17,MATCH(P62,'Category Rules'!$A$5:$A$17,0)))</f>
        <v>4020</v>
      </c>
      <c r="S62" t="str">
        <f>IF(Q62="CONTEXT","Make-safe",IF(Q62="REVIEW","",INDEX('Category Rules'!$E$5:$E$17,MATCH(P62,'Category Rules'!$A$5:$A$17,0))))</f>
        <v>Make-safe</v>
      </c>
      <c r="T62" t="str">
        <f>IF(Q62="DEP","BAS Excluded","GST on Income")</f>
        <v>GST on Income</v>
      </c>
      <c r="U62">
        <f>IF(O62=T62,1,0)</f>
        <v>1</v>
      </c>
      <c r="V62" s="9">
        <f>IF(OR(M62=0,U62=1),0,IF(T62="GST on Income",ROUND(K62*0.1,2),ROUND(-K62*0.1,2)))</f>
        <v>0</v>
      </c>
    </row>
    <row r="63">
      <c r="A63" t="inlineStr">
        <is>
          <t>INV-5517-2</t>
        </is>
      </c>
      <c r="B63" t="inlineStr">
        <is>
          <t>INV-5517</t>
        </is>
      </c>
      <c r="C63" s="11" t="n">
        <v>45851</v>
      </c>
      <c r="D63" t="inlineStr">
        <is>
          <t>2025-07</t>
        </is>
      </c>
      <c r="E63" t="inlineStr">
        <is>
          <t>C0086</t>
        </is>
      </c>
      <c r="F63" t="inlineStr">
        <is>
          <t>C0086</t>
        </is>
      </c>
      <c r="G63" t="inlineStr">
        <is>
          <t>Mei Ali</t>
        </is>
      </c>
      <c r="H63" t="inlineStr">
        <is>
          <t>S0334</t>
        </is>
      </c>
      <c r="I63" t="inlineStr">
        <is>
          <t>Tarp supply and install - 2 tarp(s)</t>
        </is>
      </c>
      <c r="J63" t="n">
        <v>2</v>
      </c>
      <c r="K63" s="9" t="n">
        <v>480</v>
      </c>
      <c r="L63" t="inlineStr">
        <is>
          <t>PAID</t>
        </is>
      </c>
      <c r="M63">
        <f>IF(L63="VOIDED",0,1)</f>
        <v>1</v>
      </c>
      <c r="N63" t="n">
        <v>260</v>
      </c>
      <c r="O63" t="inlineStr">
        <is>
          <t>GST on Income</t>
        </is>
      </c>
      <c r="P63" t="inlineStr">
        <is>
          <t>R09</t>
        </is>
      </c>
      <c r="Q63" t="inlineStr">
        <is>
          <t>MS</t>
        </is>
      </c>
      <c r="R63">
        <f>IF(OR(Q63="CONTEXT",Q63="REVIEW"),"",INDEX('Category Rules'!$D$5:$D$17,MATCH(P63,'Category Rules'!$A$5:$A$17,0)))</f>
        <v>4020</v>
      </c>
      <c r="S63" t="str">
        <f>IF(Q63="CONTEXT","Make-safe",IF(Q63="REVIEW","",INDEX('Category Rules'!$E$5:$E$17,MATCH(P63,'Category Rules'!$A$5:$A$17,0))))</f>
        <v>Make-safe</v>
      </c>
      <c r="T63" t="str">
        <f>IF(Q63="DEP","BAS Excluded","GST on Income")</f>
        <v>GST on Income</v>
      </c>
      <c r="U63">
        <f>IF(O63=T63,1,0)</f>
        <v>1</v>
      </c>
      <c r="V63" s="9">
        <f>IF(OR(M63=0,U63=1),0,IF(T63="GST on Income",ROUND(K63*0.1,2),ROUND(-K63*0.1,2)))</f>
        <v>0</v>
      </c>
    </row>
    <row r="64">
      <c r="A64" t="inlineStr">
        <is>
          <t>INV-4487-1</t>
        </is>
      </c>
      <c r="B64" t="inlineStr">
        <is>
          <t>INV-4487</t>
        </is>
      </c>
      <c r="C64" s="11" t="n">
        <v>45852</v>
      </c>
      <c r="D64" t="inlineStr">
        <is>
          <t>2025-07</t>
        </is>
      </c>
      <c r="E64" t="inlineStr">
        <is>
          <t>C0022</t>
        </is>
      </c>
      <c r="F64" t="inlineStr">
        <is>
          <t>C0022</t>
        </is>
      </c>
      <c r="G64" t="inlineStr">
        <is>
          <t>Highpoint Projects</t>
        </is>
      </c>
      <c r="H64" t="inlineStr">
        <is>
          <t>S0080</t>
        </is>
      </c>
      <c r="I64" t="inlineStr">
        <is>
          <t>Temporary fence hire 2 wks (30/06/25-13/07/25) - 72 panels</t>
        </is>
      </c>
      <c r="J64" t="n">
        <v>144</v>
      </c>
      <c r="K64" s="9" t="n">
        <v>648</v>
      </c>
      <c r="L64" t="inlineStr">
        <is>
          <t>PAID</t>
        </is>
      </c>
      <c r="M64">
        <f>IF(L64="VOIDED",0,1)</f>
        <v>1</v>
      </c>
      <c r="N64" t="n">
        <v>200</v>
      </c>
      <c r="O64" t="inlineStr">
        <is>
          <t>GST on Income</t>
        </is>
      </c>
      <c r="P64" t="inlineStr">
        <is>
          <t>R03</t>
        </is>
      </c>
      <c r="Q64" t="inlineStr">
        <is>
          <t>HIRE-FP</t>
        </is>
      </c>
      <c r="R64">
        <f>IF(OR(Q64="CONTEXT",Q64="REVIEW"),"",INDEX('Category Rules'!$D$5:$D$17,MATCH(P64,'Category Rules'!$A$5:$A$17,0)))</f>
        <v>4010</v>
      </c>
      <c r="S64" t="str">
        <f>IF(Q64="CONTEXT","Fencing",IF(Q64="REVIEW","",INDEX('Category Rules'!$E$5:$E$17,MATCH(P64,'Category Rules'!$A$5:$A$17,0))))</f>
        <v>Fencing</v>
      </c>
      <c r="T64" t="str">
        <f>IF(Q64="DEP","BAS Excluded","GST on Income")</f>
        <v>GST on Income</v>
      </c>
      <c r="U64">
        <f>IF(O64=T64,1,0)</f>
        <v>1</v>
      </c>
      <c r="V64" s="9">
        <f>IF(OR(M64=0,U64=1),0,IF(T64="GST on Income",ROUND(K64*0.1,2),ROUND(-K64*0.1,2)))</f>
        <v>0</v>
      </c>
    </row>
    <row r="65">
      <c r="A65" t="inlineStr">
        <is>
          <t>INV-4488-1</t>
        </is>
      </c>
      <c r="B65" t="inlineStr">
        <is>
          <t>INV-4488</t>
        </is>
      </c>
      <c r="C65" s="11" t="n">
        <v>45852</v>
      </c>
      <c r="D65" t="inlineStr">
        <is>
          <t>2025-07</t>
        </is>
      </c>
      <c r="E65" t="inlineStr">
        <is>
          <t>C0022</t>
        </is>
      </c>
      <c r="F65" t="inlineStr">
        <is>
          <t>C0022</t>
        </is>
      </c>
      <c r="G65" t="inlineStr">
        <is>
          <t>Highpoint Projects</t>
        </is>
      </c>
      <c r="H65" t="inlineStr">
        <is>
          <t>S0080</t>
        </is>
      </c>
      <c r="I65" t="inlineStr">
        <is>
          <t>Collection and dismantle - temporary fencing</t>
        </is>
      </c>
      <c r="J65" t="n">
        <v>1</v>
      </c>
      <c r="K65" s="9" t="n">
        <v>165</v>
      </c>
      <c r="L65" t="inlineStr">
        <is>
          <t>PAID</t>
        </is>
      </c>
      <c r="M65">
        <f>IF(L65="VOIDED",0,1)</f>
        <v>1</v>
      </c>
      <c r="N65" t="n">
        <v>200</v>
      </c>
      <c r="O65" t="inlineStr">
        <is>
          <t>GST on Income</t>
        </is>
      </c>
      <c r="P65" t="inlineStr">
        <is>
          <t>R07</t>
        </is>
      </c>
      <c r="Q65" t="inlineStr">
        <is>
          <t>DEL-FP</t>
        </is>
      </c>
      <c r="R65">
        <f>IF(OR(Q65="CONTEXT",Q65="REVIEW"),"",INDEX('Category Rules'!$D$5:$D$17,MATCH(P65,'Category Rules'!$A$5:$A$17,0)))</f>
        <v>4020</v>
      </c>
      <c r="S65" t="str">
        <f>IF(Q65="CONTEXT","Fencing",IF(Q65="REVIEW","",INDEX('Category Rules'!$E$5:$E$17,MATCH(P65,'Category Rules'!$A$5:$A$17,0))))</f>
        <v>Fencing</v>
      </c>
      <c r="T65" t="str">
        <f>IF(Q65="DEP","BAS Excluded","GST on Income")</f>
        <v>GST on Income</v>
      </c>
      <c r="U65">
        <f>IF(O65=T65,1,0)</f>
        <v>1</v>
      </c>
      <c r="V65" s="9">
        <f>IF(OR(M65=0,U65=1),0,IF(T65="GST on Income",ROUND(K65*0.1,2),ROUND(-K65*0.1,2)))</f>
        <v>0</v>
      </c>
    </row>
    <row r="66">
      <c r="A66" t="inlineStr">
        <is>
          <t>INV-5899-1</t>
        </is>
      </c>
      <c r="B66" t="inlineStr">
        <is>
          <t>INV-5899</t>
        </is>
      </c>
      <c r="C66" s="11" t="n">
        <v>45852</v>
      </c>
      <c r="D66" t="inlineStr">
        <is>
          <t>2025-07</t>
        </is>
      </c>
      <c r="E66" t="inlineStr">
        <is>
          <t>C0122</t>
        </is>
      </c>
      <c r="F66" t="inlineStr">
        <is>
          <t>C0122</t>
        </is>
      </c>
      <c r="G66" t="inlineStr">
        <is>
          <t>Bluegum Construction Pty Ltd</t>
        </is>
      </c>
      <c r="H66" t="inlineStr">
        <is>
          <t>S0323</t>
        </is>
      </c>
      <c r="I66" t="inlineStr">
        <is>
          <t>Variation 2849 - additional works</t>
        </is>
      </c>
      <c r="J66" t="n">
        <v>1</v>
      </c>
      <c r="K66" s="9" t="n">
        <v>3165.24</v>
      </c>
      <c r="L66" t="inlineStr">
        <is>
          <t>PAID</t>
        </is>
      </c>
      <c r="M66">
        <f>IF(L66="VOIDED",0,1)</f>
        <v>1</v>
      </c>
      <c r="N66" t="n">
        <v>200</v>
      </c>
      <c r="O66" t="inlineStr">
        <is>
          <t>GST on Income</t>
        </is>
      </c>
      <c r="P66" t="inlineStr">
        <is>
          <t>R12</t>
        </is>
      </c>
      <c r="Q66" t="inlineStr">
        <is>
          <t>CONTEXT</t>
        </is>
      </c>
      <c r="R66">
        <f>IF(OR(Q66="CONTEXT",Q66="REVIEW"),"",INDEX('Category Rules'!$D$5:$D$17,MATCH(P66,'Category Rules'!$A$5:$A$17,0)))</f>
      </c>
      <c r="S66" t="str">
        <f>IF(Q66="CONTEXT","Make-safe",IF(Q66="REVIEW","",INDEX('Category Rules'!$E$5:$E$17,MATCH(P66,'Category Rules'!$A$5:$A$17,0))))</f>
        <v>Make-safe</v>
      </c>
      <c r="T66" t="str">
        <f>IF(Q66="DEP","BAS Excluded","GST on Income")</f>
        <v>GST on Income</v>
      </c>
      <c r="U66">
        <f>IF(O66=T66,1,0)</f>
        <v>1</v>
      </c>
      <c r="V66" s="9">
        <f>IF(OR(M66=0,U66=1),0,IF(T66="GST on Income",ROUND(K66*0.1,2),ROUND(-K66*0.1,2)))</f>
        <v>0</v>
      </c>
    </row>
    <row r="67">
      <c r="A67" t="inlineStr">
        <is>
          <t>INV-4385-1</t>
        </is>
      </c>
      <c r="B67" t="inlineStr">
        <is>
          <t>INV-4385</t>
        </is>
      </c>
      <c r="C67" s="11" t="n">
        <v>45853</v>
      </c>
      <c r="D67" t="inlineStr">
        <is>
          <t>2025-07</t>
        </is>
      </c>
      <c r="E67" t="inlineStr">
        <is>
          <t>C0119</t>
        </is>
      </c>
      <c r="F67" t="inlineStr">
        <is>
          <t>C0119</t>
        </is>
      </c>
      <c r="G67" t="inlineStr">
        <is>
          <t>Northgate Builders Pty Ltd</t>
        </is>
      </c>
      <c r="H67" t="inlineStr">
        <is>
          <t>S0059</t>
        </is>
      </c>
      <c r="I67" t="inlineStr">
        <is>
          <t>Temporary fence hire 2 wks (07/07/25-14/07/25) - 135 panels</t>
        </is>
      </c>
      <c r="J67" t="n">
        <v>270</v>
      </c>
      <c r="K67" s="9" t="n">
        <v>1215</v>
      </c>
      <c r="L67" t="inlineStr">
        <is>
          <t>PAID</t>
        </is>
      </c>
      <c r="M67">
        <f>IF(L67="VOIDED",0,1)</f>
        <v>1</v>
      </c>
      <c r="N67" t="n">
        <v>200</v>
      </c>
      <c r="O67" t="inlineStr">
        <is>
          <t>GST on Income</t>
        </is>
      </c>
      <c r="P67" t="inlineStr">
        <is>
          <t>R03</t>
        </is>
      </c>
      <c r="Q67" t="inlineStr">
        <is>
          <t>HIRE-FP</t>
        </is>
      </c>
      <c r="R67">
        <f>IF(OR(Q67="CONTEXT",Q67="REVIEW"),"",INDEX('Category Rules'!$D$5:$D$17,MATCH(P67,'Category Rules'!$A$5:$A$17,0)))</f>
        <v>4010</v>
      </c>
      <c r="S67" t="str">
        <f>IF(Q67="CONTEXT","Fencing",IF(Q67="REVIEW","",INDEX('Category Rules'!$E$5:$E$17,MATCH(P67,'Category Rules'!$A$5:$A$17,0))))</f>
        <v>Fencing</v>
      </c>
      <c r="T67" t="str">
        <f>IF(Q67="DEP","BAS Excluded","GST on Income")</f>
        <v>GST on Income</v>
      </c>
      <c r="U67">
        <f>IF(O67=T67,1,0)</f>
        <v>1</v>
      </c>
      <c r="V67" s="9">
        <f>IF(OR(M67=0,U67=1),0,IF(T67="GST on Income",ROUND(K67*0.1,2),ROUND(-K67*0.1,2)))</f>
        <v>0</v>
      </c>
    </row>
    <row r="68">
      <c r="A68" t="inlineStr">
        <is>
          <t>INV-4387-1</t>
        </is>
      </c>
      <c r="B68" t="inlineStr">
        <is>
          <t>INV-4387</t>
        </is>
      </c>
      <c r="C68" s="11" t="n">
        <v>45853</v>
      </c>
      <c r="D68" t="inlineStr">
        <is>
          <t>2025-07</t>
        </is>
      </c>
      <c r="E68" t="inlineStr">
        <is>
          <t>C0119</t>
        </is>
      </c>
      <c r="F68" t="inlineStr">
        <is>
          <t>C0119</t>
        </is>
      </c>
      <c r="G68" t="inlineStr">
        <is>
          <t>Northgate Builders Pty Ltd</t>
        </is>
      </c>
      <c r="H68" t="inlineStr">
        <is>
          <t>S0059</t>
        </is>
      </c>
      <c r="I68" t="inlineStr">
        <is>
          <t>Collection and dismantle - temporary fencing</t>
        </is>
      </c>
      <c r="J68" t="n">
        <v>1</v>
      </c>
      <c r="K68" s="9" t="n">
        <v>165</v>
      </c>
      <c r="L68" t="inlineStr">
        <is>
          <t>PAID</t>
        </is>
      </c>
      <c r="M68">
        <f>IF(L68="VOIDED",0,1)</f>
        <v>1</v>
      </c>
      <c r="N68" t="n">
        <v>200</v>
      </c>
      <c r="O68" t="inlineStr">
        <is>
          <t>GST on Income</t>
        </is>
      </c>
      <c r="P68" t="inlineStr">
        <is>
          <t>R07</t>
        </is>
      </c>
      <c r="Q68" t="inlineStr">
        <is>
          <t>DEL-FP</t>
        </is>
      </c>
      <c r="R68">
        <f>IF(OR(Q68="CONTEXT",Q68="REVIEW"),"",INDEX('Category Rules'!$D$5:$D$17,MATCH(P68,'Category Rules'!$A$5:$A$17,0)))</f>
        <v>4020</v>
      </c>
      <c r="S68" t="str">
        <f>IF(Q68="CONTEXT","Fencing",IF(Q68="REVIEW","",INDEX('Category Rules'!$E$5:$E$17,MATCH(P68,'Category Rules'!$A$5:$A$17,0))))</f>
        <v>Fencing</v>
      </c>
      <c r="T68" t="str">
        <f>IF(Q68="DEP","BAS Excluded","GST on Income")</f>
        <v>GST on Income</v>
      </c>
      <c r="U68">
        <f>IF(O68=T68,1,0)</f>
        <v>1</v>
      </c>
      <c r="V68" s="9">
        <f>IF(OR(M68=0,U68=1),0,IF(T68="GST on Income",ROUND(K68*0.1,2),ROUND(-K68*0.1,2)))</f>
        <v>0</v>
      </c>
    </row>
    <row r="69">
      <c r="A69" t="inlineStr">
        <is>
          <t>INV-4552-1</t>
        </is>
      </c>
      <c r="B69" t="inlineStr">
        <is>
          <t>INV-4552</t>
        </is>
      </c>
      <c r="C69" s="11" t="n">
        <v>45853</v>
      </c>
      <c r="D69" t="inlineStr">
        <is>
          <t>2025-07</t>
        </is>
      </c>
      <c r="E69" t="inlineStr">
        <is>
          <t>C0003</t>
        </is>
      </c>
      <c r="F69" t="inlineStr">
        <is>
          <t>C0003</t>
        </is>
      </c>
      <c r="G69" t="inlineStr">
        <is>
          <t>Summit Projects Pty Ltd</t>
        </is>
      </c>
      <c r="H69" t="inlineStr">
        <is>
          <t>S0090</t>
        </is>
      </c>
      <c r="I69" t="inlineStr">
        <is>
          <t>Delivery and installation - temporary fencing</t>
        </is>
      </c>
      <c r="J69" t="n">
        <v>1</v>
      </c>
      <c r="K69" s="9" t="n">
        <v>165</v>
      </c>
      <c r="L69" t="inlineStr">
        <is>
          <t>PAID</t>
        </is>
      </c>
      <c r="M69">
        <f>IF(L69="VOIDED",0,1)</f>
        <v>1</v>
      </c>
      <c r="N69" t="n">
        <v>200</v>
      </c>
      <c r="O69" t="inlineStr">
        <is>
          <t>GST on Income</t>
        </is>
      </c>
      <c r="P69" t="inlineStr">
        <is>
          <t>R07</t>
        </is>
      </c>
      <c r="Q69" t="inlineStr">
        <is>
          <t>DEL-FP</t>
        </is>
      </c>
      <c r="R69">
        <f>IF(OR(Q69="CONTEXT",Q69="REVIEW"),"",INDEX('Category Rules'!$D$5:$D$17,MATCH(P69,'Category Rules'!$A$5:$A$17,0)))</f>
        <v>4020</v>
      </c>
      <c r="S69" t="str">
        <f>IF(Q69="CONTEXT","Fencing",IF(Q69="REVIEW","",INDEX('Category Rules'!$E$5:$E$17,MATCH(P69,'Category Rules'!$A$5:$A$17,0))))</f>
        <v>Fencing</v>
      </c>
      <c r="T69" t="str">
        <f>IF(Q69="DEP","BAS Excluded","GST on Income")</f>
        <v>GST on Income</v>
      </c>
      <c r="U69">
        <f>IF(O69=T69,1,0)</f>
        <v>1</v>
      </c>
      <c r="V69" s="9">
        <f>IF(OR(M69=0,U69=1),0,IF(T69="GST on Income",ROUND(K69*0.1,2),ROUND(-K69*0.1,2)))</f>
        <v>0</v>
      </c>
    </row>
    <row r="70">
      <c r="A70" t="inlineStr">
        <is>
          <t>INV-4552-2</t>
        </is>
      </c>
      <c r="B70" t="inlineStr">
        <is>
          <t>INV-4552</t>
        </is>
      </c>
      <c r="C70" s="11" t="n">
        <v>45853</v>
      </c>
      <c r="D70" t="inlineStr">
        <is>
          <t>2025-07</t>
        </is>
      </c>
      <c r="E70" t="inlineStr">
        <is>
          <t>C0003</t>
        </is>
      </c>
      <c r="F70" t="inlineStr">
        <is>
          <t>C0003</t>
        </is>
      </c>
      <c r="G70" t="inlineStr">
        <is>
          <t>Summit Projects Pty Ltd</t>
        </is>
      </c>
      <c r="H70" t="inlineStr">
        <is>
          <t>S0090</t>
        </is>
      </c>
      <c r="I70" t="inlineStr">
        <is>
          <t>Installation labour - 141 panels @ 2.20</t>
        </is>
      </c>
      <c r="J70" t="n">
        <v>141</v>
      </c>
      <c r="K70" s="9" t="n">
        <v>310.2</v>
      </c>
      <c r="L70" t="inlineStr">
        <is>
          <t>PAID</t>
        </is>
      </c>
      <c r="M70">
        <f>IF(L70="VOIDED",0,1)</f>
        <v>1</v>
      </c>
      <c r="N70" t="n">
        <v>200</v>
      </c>
      <c r="O70" t="inlineStr">
        <is>
          <t>GST on Income</t>
        </is>
      </c>
      <c r="P70" t="inlineStr">
        <is>
          <t>R07</t>
        </is>
      </c>
      <c r="Q70" t="inlineStr">
        <is>
          <t>DEL-FP</t>
        </is>
      </c>
      <c r="R70">
        <f>IF(OR(Q70="CONTEXT",Q70="REVIEW"),"",INDEX('Category Rules'!$D$5:$D$17,MATCH(P70,'Category Rules'!$A$5:$A$17,0)))</f>
        <v>4020</v>
      </c>
      <c r="S70" t="str">
        <f>IF(Q70="CONTEXT","Fencing",IF(Q70="REVIEW","",INDEX('Category Rules'!$E$5:$E$17,MATCH(P70,'Category Rules'!$A$5:$A$17,0))))</f>
        <v>Fencing</v>
      </c>
      <c r="T70" t="str">
        <f>IF(Q70="DEP","BAS Excluded","GST on Income")</f>
        <v>GST on Income</v>
      </c>
      <c r="U70">
        <f>IF(O70=T70,1,0)</f>
        <v>1</v>
      </c>
      <c r="V70" s="9">
        <f>IF(OR(M70=0,U70=1),0,IF(T70="GST on Income",ROUND(K70*0.1,2),ROUND(-K70*0.1,2)))</f>
        <v>0</v>
      </c>
    </row>
    <row r="71">
      <c r="A71" t="inlineStr">
        <is>
          <t>INV-5225-1</t>
        </is>
      </c>
      <c r="B71" t="inlineStr">
        <is>
          <t>INV-5225</t>
        </is>
      </c>
      <c r="C71" s="11" t="n">
        <v>45853</v>
      </c>
      <c r="D71" t="inlineStr">
        <is>
          <t>2025-07</t>
        </is>
      </c>
      <c r="E71" t="inlineStr">
        <is>
          <t>C0092</t>
        </is>
      </c>
      <c r="F71" t="inlineStr">
        <is>
          <t>C0092</t>
        </is>
      </c>
      <c r="G71" t="inlineStr">
        <is>
          <t>Leo Jones</t>
        </is>
      </c>
      <c r="H71" t="inlineStr">
        <is>
          <t>S0241</t>
        </is>
      </c>
      <c r="I71" t="inlineStr">
        <is>
          <t>Scaffold tower hire 3 wks (30/06/25-14/07/25) - 2 towers</t>
        </is>
      </c>
      <c r="J71" t="n">
        <v>6</v>
      </c>
      <c r="K71" s="9" t="n">
        <v>570</v>
      </c>
      <c r="L71" t="inlineStr">
        <is>
          <t>PAID</t>
        </is>
      </c>
      <c r="M71">
        <f>IF(L71="VOIDED",0,1)</f>
        <v>1</v>
      </c>
      <c r="N71" t="n">
        <v>200</v>
      </c>
      <c r="O71" t="inlineStr">
        <is>
          <t>GST on Income</t>
        </is>
      </c>
      <c r="P71" t="inlineStr">
        <is>
          <t>R05</t>
        </is>
      </c>
      <c r="Q71" t="inlineStr">
        <is>
          <t>HIRE-ST</t>
        </is>
      </c>
      <c r="R71">
        <f>IF(OR(Q71="CONTEXT",Q71="REVIEW"),"",INDEX('Category Rules'!$D$5:$D$17,MATCH(P71,'Category Rules'!$A$5:$A$17,0)))</f>
        <v>4010</v>
      </c>
      <c r="S71" t="str">
        <f>IF(Q71="CONTEXT","Scaffolding",IF(Q71="REVIEW","",INDEX('Category Rules'!$E$5:$E$17,MATCH(P71,'Category Rules'!$A$5:$A$17,0))))</f>
        <v>Scaffolding</v>
      </c>
      <c r="T71" t="str">
        <f>IF(Q71="DEP","BAS Excluded","GST on Income")</f>
        <v>GST on Income</v>
      </c>
      <c r="U71">
        <f>IF(O71=T71,1,0)</f>
        <v>1</v>
      </c>
      <c r="V71" s="9">
        <f>IF(OR(M71=0,U71=1),0,IF(T71="GST on Income",ROUND(K71*0.1,2),ROUND(-K71*0.1,2)))</f>
        <v>0</v>
      </c>
    </row>
    <row r="72">
      <c r="A72" t="inlineStr">
        <is>
          <t>INV-5226-1</t>
        </is>
      </c>
      <c r="B72" t="inlineStr">
        <is>
          <t>INV-5226</t>
        </is>
      </c>
      <c r="C72" s="11" t="n">
        <v>45853</v>
      </c>
      <c r="D72" t="inlineStr">
        <is>
          <t>2025-07</t>
        </is>
      </c>
      <c r="E72" t="inlineStr">
        <is>
          <t>C0092</t>
        </is>
      </c>
      <c r="F72" t="inlineStr">
        <is>
          <t>C0092</t>
        </is>
      </c>
      <c r="G72" t="inlineStr">
        <is>
          <t>Leo Jones</t>
        </is>
      </c>
      <c r="H72" t="inlineStr">
        <is>
          <t>S0241</t>
        </is>
      </c>
      <c r="I72" t="inlineStr">
        <is>
          <t>Scaffold dismantle - 2 tower(s)</t>
        </is>
      </c>
      <c r="J72" t="n">
        <v>2</v>
      </c>
      <c r="K72" s="9" t="n">
        <v>640</v>
      </c>
      <c r="L72" t="inlineStr">
        <is>
          <t>PAID</t>
        </is>
      </c>
      <c r="M72">
        <f>IF(L72="VOIDED",0,1)</f>
        <v>1</v>
      </c>
      <c r="N72" t="n">
        <v>200</v>
      </c>
      <c r="O72" t="inlineStr">
        <is>
          <t>GST on Income</t>
        </is>
      </c>
      <c r="P72" t="inlineStr">
        <is>
          <t>R08</t>
        </is>
      </c>
      <c r="Q72" t="inlineStr">
        <is>
          <t>LAB-ST</t>
        </is>
      </c>
      <c r="R72">
        <f>IF(OR(Q72="CONTEXT",Q72="REVIEW"),"",INDEX('Category Rules'!$D$5:$D$17,MATCH(P72,'Category Rules'!$A$5:$A$17,0)))</f>
        <v>4020</v>
      </c>
      <c r="S72" t="str">
        <f>IF(Q72="CONTEXT","Scaffolding",IF(Q72="REVIEW","",INDEX('Category Rules'!$E$5:$E$17,MATCH(P72,'Category Rules'!$A$5:$A$17,0))))</f>
        <v>Scaffolding</v>
      </c>
      <c r="T72" t="str">
        <f>IF(Q72="DEP","BAS Excluded","GST on Income")</f>
        <v>GST on Income</v>
      </c>
      <c r="U72">
        <f>IF(O72=T72,1,0)</f>
        <v>1</v>
      </c>
      <c r="V72" s="9">
        <f>IF(OR(M72=0,U72=1),0,IF(T72="GST on Income",ROUND(K72*0.1,2),ROUND(-K72*0.1,2)))</f>
        <v>0</v>
      </c>
    </row>
    <row r="73">
      <c r="A73" t="inlineStr">
        <is>
          <t>INV-5286-1</t>
        </is>
      </c>
      <c r="B73" t="inlineStr">
        <is>
          <t>INV-5286</t>
        </is>
      </c>
      <c r="C73" s="11" t="n">
        <v>45853</v>
      </c>
      <c r="D73" t="inlineStr">
        <is>
          <t>2025-07</t>
        </is>
      </c>
      <c r="E73" t="inlineStr">
        <is>
          <t>C0050</t>
        </is>
      </c>
      <c r="F73" t="inlineStr">
        <is>
          <t>C0050</t>
        </is>
      </c>
      <c r="G73" t="inlineStr">
        <is>
          <t>Southbank Body Corporate Pty Ltd</t>
        </is>
      </c>
      <c r="H73" t="inlineStr">
        <is>
          <t>S0256</t>
        </is>
      </c>
      <c r="I73" t="inlineStr">
        <is>
          <t>Scaffold erect - 2 tower(s)</t>
        </is>
      </c>
      <c r="J73" t="n">
        <v>2</v>
      </c>
      <c r="K73" s="9" t="n">
        <v>840</v>
      </c>
      <c r="L73" t="inlineStr">
        <is>
          <t>PAID</t>
        </is>
      </c>
      <c r="M73">
        <f>IF(L73="VOIDED",0,1)</f>
        <v>1</v>
      </c>
      <c r="N73" t="n">
        <v>200</v>
      </c>
      <c r="O73" t="inlineStr">
        <is>
          <t>GST on Income</t>
        </is>
      </c>
      <c r="P73" t="inlineStr">
        <is>
          <t>R08</t>
        </is>
      </c>
      <c r="Q73" t="inlineStr">
        <is>
          <t>LAB-ST</t>
        </is>
      </c>
      <c r="R73">
        <f>IF(OR(Q73="CONTEXT",Q73="REVIEW"),"",INDEX('Category Rules'!$D$5:$D$17,MATCH(P73,'Category Rules'!$A$5:$A$17,0)))</f>
        <v>4020</v>
      </c>
      <c r="S73" t="str">
        <f>IF(Q73="CONTEXT","Scaffolding",IF(Q73="REVIEW","",INDEX('Category Rules'!$E$5:$E$17,MATCH(P73,'Category Rules'!$A$5:$A$17,0))))</f>
        <v>Scaffolding</v>
      </c>
      <c r="T73" t="str">
        <f>IF(Q73="DEP","BAS Excluded","GST on Income")</f>
        <v>GST on Income</v>
      </c>
      <c r="U73">
        <f>IF(O73=T73,1,0)</f>
        <v>1</v>
      </c>
      <c r="V73" s="9">
        <f>IF(OR(M73=0,U73=1),0,IF(T73="GST on Income",ROUND(K73*0.1,2),ROUND(-K73*0.1,2)))</f>
        <v>0</v>
      </c>
    </row>
    <row r="74">
      <c r="A74" t="inlineStr">
        <is>
          <t>INV-5623-1</t>
        </is>
      </c>
      <c r="B74" t="inlineStr">
        <is>
          <t>INV-5623</t>
        </is>
      </c>
      <c r="C74" s="11" t="n">
        <v>45853</v>
      </c>
      <c r="D74" t="inlineStr">
        <is>
          <t>2025-07</t>
        </is>
      </c>
      <c r="E74" t="inlineStr">
        <is>
          <t>C0064</t>
        </is>
      </c>
      <c r="F74" t="inlineStr">
        <is>
          <t>C0064</t>
        </is>
      </c>
      <c r="G74" t="inlineStr">
        <is>
          <t>Lakeside Claims Services Pty Ltd</t>
        </is>
      </c>
      <c r="H74" t="inlineStr">
        <is>
          <t>S0391</t>
        </is>
      </c>
      <c r="I74" t="inlineStr">
        <is>
          <t>Roof repair labour - 8 hrs</t>
        </is>
      </c>
      <c r="J74" t="n">
        <v>8</v>
      </c>
      <c r="K74" s="9" t="n">
        <v>784</v>
      </c>
      <c r="L74" t="inlineStr">
        <is>
          <t>PAID</t>
        </is>
      </c>
      <c r="M74">
        <f>IF(L74="VOIDED",0,1)</f>
        <v>1</v>
      </c>
      <c r="N74" t="n">
        <v>200</v>
      </c>
      <c r="O74" t="inlineStr">
        <is>
          <t>GST on Income</t>
        </is>
      </c>
      <c r="P74" t="inlineStr">
        <is>
          <t>R10</t>
        </is>
      </c>
      <c r="Q74" t="inlineStr">
        <is>
          <t>LAB-RF</t>
        </is>
      </c>
      <c r="R74">
        <f>IF(OR(Q74="CONTEXT",Q74="REVIEW"),"",INDEX('Category Rules'!$D$5:$D$17,MATCH(P74,'Category Rules'!$A$5:$A$17,0)))</f>
        <v>4020</v>
      </c>
      <c r="S74" t="str">
        <f>IF(Q74="CONTEXT","Roofing",IF(Q74="REVIEW","",INDEX('Category Rules'!$E$5:$E$17,MATCH(P74,'Category Rules'!$A$5:$A$17,0))))</f>
        <v>Roofing</v>
      </c>
      <c r="T74" t="str">
        <f>IF(Q74="DEP","BAS Excluded","GST on Income")</f>
        <v>GST on Income</v>
      </c>
      <c r="U74">
        <f>IF(O74=T74,1,0)</f>
        <v>1</v>
      </c>
      <c r="V74" s="9">
        <f>IF(OR(M74=0,U74=1),0,IF(T74="GST on Income",ROUND(K74*0.1,2),ROUND(-K74*0.1,2)))</f>
        <v>0</v>
      </c>
    </row>
    <row r="75">
      <c r="A75" t="inlineStr">
        <is>
          <t>INV-5623-2</t>
        </is>
      </c>
      <c r="B75" t="inlineStr">
        <is>
          <t>INV-5623</t>
        </is>
      </c>
      <c r="C75" s="11" t="n">
        <v>45853</v>
      </c>
      <c r="D75" t="inlineStr">
        <is>
          <t>2025-07</t>
        </is>
      </c>
      <c r="E75" t="inlineStr">
        <is>
          <t>C0064</t>
        </is>
      </c>
      <c r="F75" t="inlineStr">
        <is>
          <t>C0064</t>
        </is>
      </c>
      <c r="G75" t="inlineStr">
        <is>
          <t>Lakeside Claims Services Pty Ltd</t>
        </is>
      </c>
      <c r="H75" t="inlineStr">
        <is>
          <t>S0391</t>
        </is>
      </c>
      <c r="I75" t="inlineStr">
        <is>
          <t>Materials - ridge capping</t>
        </is>
      </c>
      <c r="J75" t="n">
        <v>1</v>
      </c>
      <c r="K75" s="9" t="n">
        <v>315.81</v>
      </c>
      <c r="L75" t="inlineStr">
        <is>
          <t>PAID</t>
        </is>
      </c>
      <c r="M75">
        <f>IF(L75="VOIDED",0,1)</f>
        <v>1</v>
      </c>
      <c r="N75" t="n">
        <v>200</v>
      </c>
      <c r="O75" t="inlineStr">
        <is>
          <t>GST on Income</t>
        </is>
      </c>
      <c r="P75" t="inlineStr">
        <is>
          <t>R11</t>
        </is>
      </c>
      <c r="Q75" t="inlineStr">
        <is>
          <t>MAT-RF</t>
        </is>
      </c>
      <c r="R75">
        <f>IF(OR(Q75="CONTEXT",Q75="REVIEW"),"",INDEX('Category Rules'!$D$5:$D$17,MATCH(P75,'Category Rules'!$A$5:$A$17,0)))</f>
        <v>4030</v>
      </c>
      <c r="S75" t="str">
        <f>IF(Q75="CONTEXT","Roofing",IF(Q75="REVIEW","",INDEX('Category Rules'!$E$5:$E$17,MATCH(P75,'Category Rules'!$A$5:$A$17,0))))</f>
        <v>Roofing</v>
      </c>
      <c r="T75" t="str">
        <f>IF(Q75="DEP","BAS Excluded","GST on Income")</f>
        <v>GST on Income</v>
      </c>
      <c r="U75">
        <f>IF(O75=T75,1,0)</f>
        <v>1</v>
      </c>
      <c r="V75" s="9">
        <f>IF(OR(M75=0,U75=1),0,IF(T75="GST on Income",ROUND(K75*0.1,2),ROUND(-K75*0.1,2)))</f>
        <v>0</v>
      </c>
    </row>
    <row r="76">
      <c r="A76" t="inlineStr">
        <is>
          <t>INV-5623-3</t>
        </is>
      </c>
      <c r="B76" t="inlineStr">
        <is>
          <t>INV-5623</t>
        </is>
      </c>
      <c r="C76" s="11" t="n">
        <v>45853</v>
      </c>
      <c r="D76" t="inlineStr">
        <is>
          <t>2025-07</t>
        </is>
      </c>
      <c r="E76" t="inlineStr">
        <is>
          <t>C0064</t>
        </is>
      </c>
      <c r="F76" t="inlineStr">
        <is>
          <t>C0064</t>
        </is>
      </c>
      <c r="G76" t="inlineStr">
        <is>
          <t>Lakeside Claims Services Pty Ltd</t>
        </is>
      </c>
      <c r="H76" t="inlineStr">
        <is>
          <t>S0391</t>
        </is>
      </c>
      <c r="I76" t="inlineStr">
        <is>
          <t>Waste removal and tip fees</t>
        </is>
      </c>
      <c r="J76" t="n">
        <v>1</v>
      </c>
      <c r="K76" s="9" t="n">
        <v>120</v>
      </c>
      <c r="L76" t="inlineStr">
        <is>
          <t>PAID</t>
        </is>
      </c>
      <c r="M76">
        <f>IF(L76="VOIDED",0,1)</f>
        <v>1</v>
      </c>
      <c r="N76" t="n">
        <v>200</v>
      </c>
      <c r="O76" t="inlineStr">
        <is>
          <t>GST on Income</t>
        </is>
      </c>
      <c r="P76" t="inlineStr">
        <is>
          <t>R11</t>
        </is>
      </c>
      <c r="Q76" t="inlineStr">
        <is>
          <t>MAT-RF</t>
        </is>
      </c>
      <c r="R76">
        <f>IF(OR(Q76="CONTEXT",Q76="REVIEW"),"",INDEX('Category Rules'!$D$5:$D$17,MATCH(P76,'Category Rules'!$A$5:$A$17,0)))</f>
        <v>4030</v>
      </c>
      <c r="S76" t="str">
        <f>IF(Q76="CONTEXT","Roofing",IF(Q76="REVIEW","",INDEX('Category Rules'!$E$5:$E$17,MATCH(P76,'Category Rules'!$A$5:$A$17,0))))</f>
        <v>Roofing</v>
      </c>
      <c r="T76" t="str">
        <f>IF(Q76="DEP","BAS Excluded","GST on Income")</f>
        <v>GST on Income</v>
      </c>
      <c r="U76">
        <f>IF(O76=T76,1,0)</f>
        <v>1</v>
      </c>
      <c r="V76" s="9">
        <f>IF(OR(M76=0,U76=1),0,IF(T76="GST on Income",ROUND(K76*0.1,2),ROUND(-K76*0.1,2)))</f>
        <v>0</v>
      </c>
    </row>
    <row r="77">
      <c r="A77" t="inlineStr">
        <is>
          <t>INV-4825-1</t>
        </is>
      </c>
      <c r="B77" t="inlineStr">
        <is>
          <t>INV-4825</t>
        </is>
      </c>
      <c r="C77" s="11" t="n">
        <v>45855</v>
      </c>
      <c r="D77" t="inlineStr">
        <is>
          <t>2025-07</t>
        </is>
      </c>
      <c r="E77" t="inlineStr">
        <is>
          <t>C0036</t>
        </is>
      </c>
      <c r="F77" t="inlineStr">
        <is>
          <t>C0036</t>
        </is>
      </c>
      <c r="G77" t="inlineStr">
        <is>
          <t>Summit Homes Pty Ltd</t>
        </is>
      </c>
      <c r="H77" t="inlineStr">
        <is>
          <t>S0156</t>
        </is>
      </c>
      <c r="I77" t="inlineStr">
        <is>
          <t>Delivery and installation - temporary fencing</t>
        </is>
      </c>
      <c r="J77" t="n">
        <v>1</v>
      </c>
      <c r="K77" s="9" t="n">
        <v>165</v>
      </c>
      <c r="L77" t="inlineStr">
        <is>
          <t>PAID</t>
        </is>
      </c>
      <c r="M77">
        <f>IF(L77="VOIDED",0,1)</f>
        <v>1</v>
      </c>
      <c r="N77" t="n">
        <v>200</v>
      </c>
      <c r="O77" t="inlineStr">
        <is>
          <t>GST on Income</t>
        </is>
      </c>
      <c r="P77" t="inlineStr">
        <is>
          <t>R07</t>
        </is>
      </c>
      <c r="Q77" t="inlineStr">
        <is>
          <t>DEL-FP</t>
        </is>
      </c>
      <c r="R77">
        <f>IF(OR(Q77="CONTEXT",Q77="REVIEW"),"",INDEX('Category Rules'!$D$5:$D$17,MATCH(P77,'Category Rules'!$A$5:$A$17,0)))</f>
        <v>4020</v>
      </c>
      <c r="S77" t="str">
        <f>IF(Q77="CONTEXT","Fencing",IF(Q77="REVIEW","",INDEX('Category Rules'!$E$5:$E$17,MATCH(P77,'Category Rules'!$A$5:$A$17,0))))</f>
        <v>Fencing</v>
      </c>
      <c r="T77" t="str">
        <f>IF(Q77="DEP","BAS Excluded","GST on Income")</f>
        <v>GST on Income</v>
      </c>
      <c r="U77">
        <f>IF(O77=T77,1,0)</f>
        <v>1</v>
      </c>
      <c r="V77" s="9">
        <f>IF(OR(M77=0,U77=1),0,IF(T77="GST on Income",ROUND(K77*0.1,2),ROUND(-K77*0.1,2)))</f>
        <v>0</v>
      </c>
    </row>
    <row r="78">
      <c r="A78" t="inlineStr">
        <is>
          <t>INV-4825-2</t>
        </is>
      </c>
      <c r="B78" t="inlineStr">
        <is>
          <t>INV-4825</t>
        </is>
      </c>
      <c r="C78" s="11" t="n">
        <v>45855</v>
      </c>
      <c r="D78" t="inlineStr">
        <is>
          <t>2025-07</t>
        </is>
      </c>
      <c r="E78" t="inlineStr">
        <is>
          <t>C0036</t>
        </is>
      </c>
      <c r="F78" t="inlineStr">
        <is>
          <t>C0036</t>
        </is>
      </c>
      <c r="G78" t="inlineStr">
        <is>
          <t>Summit Homes Pty Ltd</t>
        </is>
      </c>
      <c r="H78" t="inlineStr">
        <is>
          <t>S0156</t>
        </is>
      </c>
      <c r="I78" t="inlineStr">
        <is>
          <t>Installation labour - 141 panels @ 2.20</t>
        </is>
      </c>
      <c r="J78" t="n">
        <v>141</v>
      </c>
      <c r="K78" s="9" t="n">
        <v>310.2</v>
      </c>
      <c r="L78" t="inlineStr">
        <is>
          <t>PAID</t>
        </is>
      </c>
      <c r="M78">
        <f>IF(L78="VOIDED",0,1)</f>
        <v>1</v>
      </c>
      <c r="N78" t="n">
        <v>200</v>
      </c>
      <c r="O78" t="inlineStr">
        <is>
          <t>GST on Income</t>
        </is>
      </c>
      <c r="P78" t="inlineStr">
        <is>
          <t>R07</t>
        </is>
      </c>
      <c r="Q78" t="inlineStr">
        <is>
          <t>DEL-FP</t>
        </is>
      </c>
      <c r="R78">
        <f>IF(OR(Q78="CONTEXT",Q78="REVIEW"),"",INDEX('Category Rules'!$D$5:$D$17,MATCH(P78,'Category Rules'!$A$5:$A$17,0)))</f>
        <v>4020</v>
      </c>
      <c r="S78" t="str">
        <f>IF(Q78="CONTEXT","Fencing",IF(Q78="REVIEW","",INDEX('Category Rules'!$E$5:$E$17,MATCH(P78,'Category Rules'!$A$5:$A$17,0))))</f>
        <v>Fencing</v>
      </c>
      <c r="T78" t="str">
        <f>IF(Q78="DEP","BAS Excluded","GST on Income")</f>
        <v>GST on Income</v>
      </c>
      <c r="U78">
        <f>IF(O78=T78,1,0)</f>
        <v>1</v>
      </c>
      <c r="V78" s="9">
        <f>IF(OR(M78=0,U78=1),0,IF(T78="GST on Income",ROUND(K78*0.1,2),ROUND(-K78*0.1,2)))</f>
        <v>0</v>
      </c>
    </row>
    <row r="79">
      <c r="A79" t="inlineStr">
        <is>
          <t>INV-4969-1</t>
        </is>
      </c>
      <c r="B79" t="inlineStr">
        <is>
          <t>INV-4969</t>
        </is>
      </c>
      <c r="C79" s="11" t="n">
        <v>45855</v>
      </c>
      <c r="D79" t="inlineStr">
        <is>
          <t>2025-07</t>
        </is>
      </c>
      <c r="E79" t="inlineStr">
        <is>
          <t>C0017</t>
        </is>
      </c>
      <c r="F79" t="inlineStr">
        <is>
          <t>C0017</t>
        </is>
      </c>
      <c r="G79" t="inlineStr">
        <is>
          <t>Cobalt Developments Pty Ltd</t>
        </is>
      </c>
      <c r="H79" t="inlineStr">
        <is>
          <t>S0184</t>
        </is>
      </c>
      <c r="I79" t="inlineStr">
        <is>
          <t>Delivery and installation - temporary fencing</t>
        </is>
      </c>
      <c r="J79" t="n">
        <v>1</v>
      </c>
      <c r="K79" s="9" t="n">
        <v>165</v>
      </c>
      <c r="L79" t="inlineStr">
        <is>
          <t>PAID</t>
        </is>
      </c>
      <c r="M79">
        <f>IF(L79="VOIDED",0,1)</f>
        <v>1</v>
      </c>
      <c r="N79" t="n">
        <v>200</v>
      </c>
      <c r="O79" t="inlineStr">
        <is>
          <t>GST on Income</t>
        </is>
      </c>
      <c r="P79" t="inlineStr">
        <is>
          <t>R07</t>
        </is>
      </c>
      <c r="Q79" t="inlineStr">
        <is>
          <t>DEL-FP</t>
        </is>
      </c>
      <c r="R79">
        <f>IF(OR(Q79="CONTEXT",Q79="REVIEW"),"",INDEX('Category Rules'!$D$5:$D$17,MATCH(P79,'Category Rules'!$A$5:$A$17,0)))</f>
        <v>4020</v>
      </c>
      <c r="S79" t="str">
        <f>IF(Q79="CONTEXT","Fencing",IF(Q79="REVIEW","",INDEX('Category Rules'!$E$5:$E$17,MATCH(P79,'Category Rules'!$A$5:$A$17,0))))</f>
        <v>Fencing</v>
      </c>
      <c r="T79" t="str">
        <f>IF(Q79="DEP","BAS Excluded","GST on Income")</f>
        <v>GST on Income</v>
      </c>
      <c r="U79">
        <f>IF(O79=T79,1,0)</f>
        <v>1</v>
      </c>
      <c r="V79" s="9">
        <f>IF(OR(M79=0,U79=1),0,IF(T79="GST on Income",ROUND(K79*0.1,2),ROUND(-K79*0.1,2)))</f>
        <v>0</v>
      </c>
    </row>
    <row r="80">
      <c r="A80" t="inlineStr">
        <is>
          <t>INV-4969-2</t>
        </is>
      </c>
      <c r="B80" t="inlineStr">
        <is>
          <t>INV-4969</t>
        </is>
      </c>
      <c r="C80" s="11" t="n">
        <v>45855</v>
      </c>
      <c r="D80" t="inlineStr">
        <is>
          <t>2025-07</t>
        </is>
      </c>
      <c r="E80" t="inlineStr">
        <is>
          <t>C0017</t>
        </is>
      </c>
      <c r="F80" t="inlineStr">
        <is>
          <t>C0017</t>
        </is>
      </c>
      <c r="G80" t="inlineStr">
        <is>
          <t>Cobalt Developments Pty Ltd</t>
        </is>
      </c>
      <c r="H80" t="inlineStr">
        <is>
          <t>S0184</t>
        </is>
      </c>
      <c r="I80" t="inlineStr">
        <is>
          <t>Installation labour - 44 panels @ 2.20</t>
        </is>
      </c>
      <c r="J80" t="n">
        <v>44</v>
      </c>
      <c r="K80" s="9" t="n">
        <v>96.8</v>
      </c>
      <c r="L80" t="inlineStr">
        <is>
          <t>PAID</t>
        </is>
      </c>
      <c r="M80">
        <f>IF(L80="VOIDED",0,1)</f>
        <v>1</v>
      </c>
      <c r="N80" t="n">
        <v>200</v>
      </c>
      <c r="O80" t="inlineStr">
        <is>
          <t>GST on Income</t>
        </is>
      </c>
      <c r="P80" t="inlineStr">
        <is>
          <t>R07</t>
        </is>
      </c>
      <c r="Q80" t="inlineStr">
        <is>
          <t>DEL-FP</t>
        </is>
      </c>
      <c r="R80">
        <f>IF(OR(Q80="CONTEXT",Q80="REVIEW"),"",INDEX('Category Rules'!$D$5:$D$17,MATCH(P80,'Category Rules'!$A$5:$A$17,0)))</f>
        <v>4020</v>
      </c>
      <c r="S80" t="str">
        <f>IF(Q80="CONTEXT","Fencing",IF(Q80="REVIEW","",INDEX('Category Rules'!$E$5:$E$17,MATCH(P80,'Category Rules'!$A$5:$A$17,0))))</f>
        <v>Fencing</v>
      </c>
      <c r="T80" t="str">
        <f>IF(Q80="DEP","BAS Excluded","GST on Income")</f>
        <v>GST on Income</v>
      </c>
      <c r="U80">
        <f>IF(O80=T80,1,0)</f>
        <v>1</v>
      </c>
      <c r="V80" s="9">
        <f>IF(OR(M80=0,U80=1),0,IF(T80="GST on Income",ROUND(K80*0.1,2),ROUND(-K80*0.1,2)))</f>
        <v>0</v>
      </c>
    </row>
    <row r="81">
      <c r="A81" t="inlineStr">
        <is>
          <t>INV-4291-1</t>
        </is>
      </c>
      <c r="B81" t="inlineStr">
        <is>
          <t>INV-4291</t>
        </is>
      </c>
      <c r="C81" s="11" t="n">
        <v>45856</v>
      </c>
      <c r="D81" t="inlineStr">
        <is>
          <t>2025-07</t>
        </is>
      </c>
      <c r="E81" t="inlineStr">
        <is>
          <t>C0036</t>
        </is>
      </c>
      <c r="F81" t="inlineStr">
        <is>
          <t>C0036</t>
        </is>
      </c>
      <c r="G81" t="inlineStr">
        <is>
          <t>Summit Homes Pty Ltd</t>
        </is>
      </c>
      <c r="H81" t="inlineStr">
        <is>
          <t>S0039</t>
        </is>
      </c>
      <c r="I81" t="inlineStr">
        <is>
          <t>Temporary fence hire 3 wks (03/07/25-17/07/25) - 99 panels</t>
        </is>
      </c>
      <c r="J81" t="n">
        <v>297</v>
      </c>
      <c r="K81" s="9" t="n">
        <v>1336.5</v>
      </c>
      <c r="L81" t="inlineStr">
        <is>
          <t>PAID</t>
        </is>
      </c>
      <c r="M81">
        <f>IF(L81="VOIDED",0,1)</f>
        <v>1</v>
      </c>
      <c r="N81" t="n">
        <v>200</v>
      </c>
      <c r="O81" t="inlineStr">
        <is>
          <t>GST on Income</t>
        </is>
      </c>
      <c r="P81" t="inlineStr">
        <is>
          <t>R03</t>
        </is>
      </c>
      <c r="Q81" t="inlineStr">
        <is>
          <t>HIRE-FP</t>
        </is>
      </c>
      <c r="R81">
        <f>IF(OR(Q81="CONTEXT",Q81="REVIEW"),"",INDEX('Category Rules'!$D$5:$D$17,MATCH(P81,'Category Rules'!$A$5:$A$17,0)))</f>
        <v>4010</v>
      </c>
      <c r="S81" t="str">
        <f>IF(Q81="CONTEXT","Fencing",IF(Q81="REVIEW","",INDEX('Category Rules'!$E$5:$E$17,MATCH(P81,'Category Rules'!$A$5:$A$17,0))))</f>
        <v>Fencing</v>
      </c>
      <c r="T81" t="str">
        <f>IF(Q81="DEP","BAS Excluded","GST on Income")</f>
        <v>GST on Income</v>
      </c>
      <c r="U81">
        <f>IF(O81=T81,1,0)</f>
        <v>1</v>
      </c>
      <c r="V81" s="9">
        <f>IF(OR(M81=0,U81=1),0,IF(T81="GST on Income",ROUND(K81*0.1,2),ROUND(-K81*0.1,2)))</f>
        <v>0</v>
      </c>
    </row>
    <row r="82">
      <c r="A82" t="inlineStr">
        <is>
          <t>INV-4292-1</t>
        </is>
      </c>
      <c r="B82" t="inlineStr">
        <is>
          <t>INV-4292</t>
        </is>
      </c>
      <c r="C82" s="11" t="n">
        <v>45856</v>
      </c>
      <c r="D82" t="inlineStr">
        <is>
          <t>2025-07</t>
        </is>
      </c>
      <c r="E82" t="inlineStr">
        <is>
          <t>C0036</t>
        </is>
      </c>
      <c r="F82" t="inlineStr">
        <is>
          <t>C0036</t>
        </is>
      </c>
      <c r="G82" t="inlineStr">
        <is>
          <t>Summit Homes Pty Ltd</t>
        </is>
      </c>
      <c r="H82" t="inlineStr">
        <is>
          <t>S0039</t>
        </is>
      </c>
      <c r="I82" t="inlineStr">
        <is>
          <t>Pedestrian barrier hire 3 wks (03/07/25-17/07/25) - 21 barriers</t>
        </is>
      </c>
      <c r="J82" t="n">
        <v>63</v>
      </c>
      <c r="K82" s="9" t="n">
        <v>201.6</v>
      </c>
      <c r="L82" t="inlineStr">
        <is>
          <t>PAID</t>
        </is>
      </c>
      <c r="M82">
        <f>IF(L82="VOIDED",0,1)</f>
        <v>1</v>
      </c>
      <c r="N82" t="n">
        <v>200</v>
      </c>
      <c r="O82" t="inlineStr">
        <is>
          <t>GST on Income</t>
        </is>
      </c>
      <c r="P82" t="inlineStr">
        <is>
          <t>R04</t>
        </is>
      </c>
      <c r="Q82" t="inlineStr">
        <is>
          <t>HIRE-BR</t>
        </is>
      </c>
      <c r="R82">
        <f>IF(OR(Q82="CONTEXT",Q82="REVIEW"),"",INDEX('Category Rules'!$D$5:$D$17,MATCH(P82,'Category Rules'!$A$5:$A$17,0)))</f>
        <v>4010</v>
      </c>
      <c r="S82" t="str">
        <f>IF(Q82="CONTEXT","Fencing",IF(Q82="REVIEW","",INDEX('Category Rules'!$E$5:$E$17,MATCH(P82,'Category Rules'!$A$5:$A$17,0))))</f>
        <v>Fencing</v>
      </c>
      <c r="T82" t="str">
        <f>IF(Q82="DEP","BAS Excluded","GST on Income")</f>
        <v>GST on Income</v>
      </c>
      <c r="U82">
        <f>IF(O82=T82,1,0)</f>
        <v>1</v>
      </c>
      <c r="V82" s="9">
        <f>IF(OR(M82=0,U82=1),0,IF(T82="GST on Income",ROUND(K82*0.1,2),ROUND(-K82*0.1,2)))</f>
        <v>0</v>
      </c>
    </row>
    <row r="83">
      <c r="A83" t="inlineStr">
        <is>
          <t>INV-4294-1</t>
        </is>
      </c>
      <c r="B83" t="inlineStr">
        <is>
          <t>INV-4294</t>
        </is>
      </c>
      <c r="C83" s="11" t="n">
        <v>45856</v>
      </c>
      <c r="D83" t="inlineStr">
        <is>
          <t>2025-07</t>
        </is>
      </c>
      <c r="E83" t="inlineStr">
        <is>
          <t>C0036</t>
        </is>
      </c>
      <c r="F83" t="inlineStr">
        <is>
          <t>C0036</t>
        </is>
      </c>
      <c r="G83" t="inlineStr">
        <is>
          <t>Summit Homes Pty Ltd</t>
        </is>
      </c>
      <c r="H83" t="inlineStr">
        <is>
          <t>S0039</t>
        </is>
      </c>
      <c r="I83" t="inlineStr">
        <is>
          <t>Collection and dismantle - temporary fencing</t>
        </is>
      </c>
      <c r="J83" t="n">
        <v>1</v>
      </c>
      <c r="K83" s="9" t="n">
        <v>165</v>
      </c>
      <c r="L83" t="inlineStr">
        <is>
          <t>PAID</t>
        </is>
      </c>
      <c r="M83">
        <f>IF(L83="VOIDED",0,1)</f>
        <v>1</v>
      </c>
      <c r="N83" t="n">
        <v>200</v>
      </c>
      <c r="O83" t="inlineStr">
        <is>
          <t>GST on Income</t>
        </is>
      </c>
      <c r="P83" t="inlineStr">
        <is>
          <t>R07</t>
        </is>
      </c>
      <c r="Q83" t="inlineStr">
        <is>
          <t>DEL-FP</t>
        </is>
      </c>
      <c r="R83">
        <f>IF(OR(Q83="CONTEXT",Q83="REVIEW"),"",INDEX('Category Rules'!$D$5:$D$17,MATCH(P83,'Category Rules'!$A$5:$A$17,0)))</f>
        <v>4020</v>
      </c>
      <c r="S83" t="str">
        <f>IF(Q83="CONTEXT","Fencing",IF(Q83="REVIEW","",INDEX('Category Rules'!$E$5:$E$17,MATCH(P83,'Category Rules'!$A$5:$A$17,0))))</f>
        <v>Fencing</v>
      </c>
      <c r="T83" t="str">
        <f>IF(Q83="DEP","BAS Excluded","GST on Income")</f>
        <v>GST on Income</v>
      </c>
      <c r="U83">
        <f>IF(O83=T83,1,0)</f>
        <v>1</v>
      </c>
      <c r="V83" s="9">
        <f>IF(OR(M83=0,U83=1),0,IF(T83="GST on Income",ROUND(K83*0.1,2),ROUND(-K83*0.1,2)))</f>
        <v>0</v>
      </c>
    </row>
    <row r="84">
      <c r="A84" t="inlineStr">
        <is>
          <t>INV-4975-1</t>
        </is>
      </c>
      <c r="B84" t="inlineStr">
        <is>
          <t>INV-4975</t>
        </is>
      </c>
      <c r="C84" s="11" t="n">
        <v>45856</v>
      </c>
      <c r="D84" t="inlineStr">
        <is>
          <t>2025-07</t>
        </is>
      </c>
      <c r="E84" t="inlineStr">
        <is>
          <t>C0007</t>
        </is>
      </c>
      <c r="F84" t="inlineStr">
        <is>
          <t>C0007</t>
        </is>
      </c>
      <c r="G84" t="inlineStr">
        <is>
          <t>Eastlink Projects</t>
        </is>
      </c>
      <c r="H84" t="inlineStr">
        <is>
          <t>S0186</t>
        </is>
      </c>
      <c r="I84" t="inlineStr">
        <is>
          <t>Temporary fence hire 4 wks (20/06/25-17/07/25) - 142 panels</t>
        </is>
      </c>
      <c r="J84" t="n">
        <v>568</v>
      </c>
      <c r="K84" s="9" t="n">
        <v>2556</v>
      </c>
      <c r="L84" t="inlineStr">
        <is>
          <t>PAID</t>
        </is>
      </c>
      <c r="M84">
        <f>IF(L84="VOIDED",0,1)</f>
        <v>1</v>
      </c>
      <c r="N84" t="n">
        <v>200</v>
      </c>
      <c r="O84" t="inlineStr">
        <is>
          <t>GST on Income</t>
        </is>
      </c>
      <c r="P84" t="inlineStr">
        <is>
          <t>R03</t>
        </is>
      </c>
      <c r="Q84" t="inlineStr">
        <is>
          <t>HIRE-FP</t>
        </is>
      </c>
      <c r="R84">
        <f>IF(OR(Q84="CONTEXT",Q84="REVIEW"),"",INDEX('Category Rules'!$D$5:$D$17,MATCH(P84,'Category Rules'!$A$5:$A$17,0)))</f>
        <v>4010</v>
      </c>
      <c r="S84" t="str">
        <f>IF(Q84="CONTEXT","Fencing",IF(Q84="REVIEW","",INDEX('Category Rules'!$E$5:$E$17,MATCH(P84,'Category Rules'!$A$5:$A$17,0))))</f>
        <v>Fencing</v>
      </c>
      <c r="T84" t="str">
        <f>IF(Q84="DEP","BAS Excluded","GST on Income")</f>
        <v>GST on Income</v>
      </c>
      <c r="U84">
        <f>IF(O84=T84,1,0)</f>
        <v>1</v>
      </c>
      <c r="V84" s="9">
        <f>IF(OR(M84=0,U84=1),0,IF(T84="GST on Income",ROUND(K84*0.1,2),ROUND(-K84*0.1,2)))</f>
        <v>0</v>
      </c>
    </row>
    <row r="85">
      <c r="A85" t="inlineStr">
        <is>
          <t>INV-5763-1</t>
        </is>
      </c>
      <c r="B85" t="inlineStr">
        <is>
          <t>INV-5763</t>
        </is>
      </c>
      <c r="C85" s="11" t="n">
        <v>45856</v>
      </c>
      <c r="D85" t="inlineStr">
        <is>
          <t>2025-07</t>
        </is>
      </c>
      <c r="E85" t="inlineStr">
        <is>
          <t>C0050</t>
        </is>
      </c>
      <c r="F85" t="inlineStr">
        <is>
          <t>C0050</t>
        </is>
      </c>
      <c r="G85" t="inlineStr">
        <is>
          <t>Southbank Body Corporate Pty Ltd</t>
        </is>
      </c>
      <c r="H85" t="inlineStr">
        <is>
          <t>S0468</t>
        </is>
      </c>
      <c r="I85" t="inlineStr">
        <is>
          <t>Emergency make safe call-out - after hours</t>
        </is>
      </c>
      <c r="J85" t="n">
        <v>1</v>
      </c>
      <c r="K85" s="9" t="n">
        <v>560</v>
      </c>
      <c r="L85" t="inlineStr">
        <is>
          <t>PAID</t>
        </is>
      </c>
      <c r="M85">
        <f>IF(L85="VOIDED",0,1)</f>
        <v>1</v>
      </c>
      <c r="N85" t="n">
        <v>200</v>
      </c>
      <c r="O85" t="inlineStr">
        <is>
          <t>GST on Income</t>
        </is>
      </c>
      <c r="P85" t="inlineStr">
        <is>
          <t>R09</t>
        </is>
      </c>
      <c r="Q85" t="inlineStr">
        <is>
          <t>MS</t>
        </is>
      </c>
      <c r="R85">
        <f>IF(OR(Q85="CONTEXT",Q85="REVIEW"),"",INDEX('Category Rules'!$D$5:$D$17,MATCH(P85,'Category Rules'!$A$5:$A$17,0)))</f>
        <v>4020</v>
      </c>
      <c r="S85" t="str">
        <f>IF(Q85="CONTEXT","Make-safe",IF(Q85="REVIEW","",INDEX('Category Rules'!$E$5:$E$17,MATCH(P85,'Category Rules'!$A$5:$A$17,0))))</f>
        <v>Make-safe</v>
      </c>
      <c r="T85" t="str">
        <f>IF(Q85="DEP","BAS Excluded","GST on Income")</f>
        <v>GST on Income</v>
      </c>
      <c r="U85">
        <f>IF(O85=T85,1,0)</f>
        <v>1</v>
      </c>
      <c r="V85" s="9">
        <f>IF(OR(M85=0,U85=1),0,IF(T85="GST on Income",ROUND(K85*0.1,2),ROUND(-K85*0.1,2)))</f>
        <v>0</v>
      </c>
    </row>
    <row r="86">
      <c r="A86" t="inlineStr">
        <is>
          <t>INV-5763-2</t>
        </is>
      </c>
      <c r="B86" t="inlineStr">
        <is>
          <t>INV-5763</t>
        </is>
      </c>
      <c r="C86" s="11" t="n">
        <v>45856</v>
      </c>
      <c r="D86" t="inlineStr">
        <is>
          <t>2025-07</t>
        </is>
      </c>
      <c r="E86" t="inlineStr">
        <is>
          <t>C0050</t>
        </is>
      </c>
      <c r="F86" t="inlineStr">
        <is>
          <t>C0050</t>
        </is>
      </c>
      <c r="G86" t="inlineStr">
        <is>
          <t>Southbank Body Corporate Pty Ltd</t>
        </is>
      </c>
      <c r="H86" t="inlineStr">
        <is>
          <t>S0468</t>
        </is>
      </c>
      <c r="I86" t="inlineStr">
        <is>
          <t>Tarp supply and install - 1 tarp(s)</t>
        </is>
      </c>
      <c r="J86" t="n">
        <v>1</v>
      </c>
      <c r="K86" s="9" t="n">
        <v>240</v>
      </c>
      <c r="L86" t="inlineStr">
        <is>
          <t>PAID</t>
        </is>
      </c>
      <c r="M86">
        <f>IF(L86="VOIDED",0,1)</f>
        <v>1</v>
      </c>
      <c r="N86" t="n">
        <v>200</v>
      </c>
      <c r="O86" t="inlineStr">
        <is>
          <t>GST on Income</t>
        </is>
      </c>
      <c r="P86" t="inlineStr">
        <is>
          <t>R09</t>
        </is>
      </c>
      <c r="Q86" t="inlineStr">
        <is>
          <t>MS</t>
        </is>
      </c>
      <c r="R86">
        <f>IF(OR(Q86="CONTEXT",Q86="REVIEW"),"",INDEX('Category Rules'!$D$5:$D$17,MATCH(P86,'Category Rules'!$A$5:$A$17,0)))</f>
        <v>4020</v>
      </c>
      <c r="S86" t="str">
        <f>IF(Q86="CONTEXT","Make-safe",IF(Q86="REVIEW","",INDEX('Category Rules'!$E$5:$E$17,MATCH(P86,'Category Rules'!$A$5:$A$17,0))))</f>
        <v>Make-safe</v>
      </c>
      <c r="T86" t="str">
        <f>IF(Q86="DEP","BAS Excluded","GST on Income")</f>
        <v>GST on Income</v>
      </c>
      <c r="U86">
        <f>IF(O86=T86,1,0)</f>
        <v>1</v>
      </c>
      <c r="V86" s="9">
        <f>IF(OR(M86=0,U86=1),0,IF(T86="GST on Income",ROUND(K86*0.1,2),ROUND(-K86*0.1,2)))</f>
        <v>0</v>
      </c>
    </row>
    <row r="87">
      <c r="A87" t="inlineStr">
        <is>
          <t>INV-4490-1</t>
        </is>
      </c>
      <c r="B87" t="inlineStr">
        <is>
          <t>INV-4490</t>
        </is>
      </c>
      <c r="C87" s="11" t="n">
        <v>45857</v>
      </c>
      <c r="D87" t="inlineStr">
        <is>
          <t>2025-07</t>
        </is>
      </c>
      <c r="E87" t="inlineStr">
        <is>
          <t>C0075</t>
        </is>
      </c>
      <c r="F87" t="inlineStr">
        <is>
          <t>C0075</t>
        </is>
      </c>
      <c r="G87" t="inlineStr">
        <is>
          <t>Oakridge Productions</t>
        </is>
      </c>
      <c r="H87" t="inlineStr">
        <is>
          <t>S0081</t>
        </is>
      </c>
      <c r="I87" t="inlineStr">
        <is>
          <t>Delivery and installation - temporary fencing</t>
        </is>
      </c>
      <c r="J87" t="n">
        <v>1</v>
      </c>
      <c r="K87" s="9" t="n">
        <v>165</v>
      </c>
      <c r="L87" t="inlineStr">
        <is>
          <t>PAID</t>
        </is>
      </c>
      <c r="M87">
        <f>IF(L87="VOIDED",0,1)</f>
        <v>1</v>
      </c>
      <c r="N87" t="n">
        <v>200</v>
      </c>
      <c r="O87" t="inlineStr">
        <is>
          <t>GST on Income</t>
        </is>
      </c>
      <c r="P87" t="inlineStr">
        <is>
          <t>R07</t>
        </is>
      </c>
      <c r="Q87" t="inlineStr">
        <is>
          <t>DEL-FP</t>
        </is>
      </c>
      <c r="R87">
        <f>IF(OR(Q87="CONTEXT",Q87="REVIEW"),"",INDEX('Category Rules'!$D$5:$D$17,MATCH(P87,'Category Rules'!$A$5:$A$17,0)))</f>
        <v>4020</v>
      </c>
      <c r="S87" t="str">
        <f>IF(Q87="CONTEXT","Fencing",IF(Q87="REVIEW","",INDEX('Category Rules'!$E$5:$E$17,MATCH(P87,'Category Rules'!$A$5:$A$17,0))))</f>
        <v>Fencing</v>
      </c>
      <c r="T87" t="str">
        <f>IF(Q87="DEP","BAS Excluded","GST on Income")</f>
        <v>GST on Income</v>
      </c>
      <c r="U87">
        <f>IF(O87=T87,1,0)</f>
        <v>1</v>
      </c>
      <c r="V87" s="9">
        <f>IF(OR(M87=0,U87=1),0,IF(T87="GST on Income",ROUND(K87*0.1,2),ROUND(-K87*0.1,2)))</f>
        <v>0</v>
      </c>
    </row>
    <row r="88">
      <c r="A88" t="inlineStr">
        <is>
          <t>INV-4490-2</t>
        </is>
      </c>
      <c r="B88" t="inlineStr">
        <is>
          <t>INV-4490</t>
        </is>
      </c>
      <c r="C88" s="11" t="n">
        <v>45857</v>
      </c>
      <c r="D88" t="inlineStr">
        <is>
          <t>2025-07</t>
        </is>
      </c>
      <c r="E88" t="inlineStr">
        <is>
          <t>C0075</t>
        </is>
      </c>
      <c r="F88" t="inlineStr">
        <is>
          <t>C0075</t>
        </is>
      </c>
      <c r="G88" t="inlineStr">
        <is>
          <t>Oakridge Productions</t>
        </is>
      </c>
      <c r="H88" t="inlineStr">
        <is>
          <t>S0081</t>
        </is>
      </c>
      <c r="I88" t="inlineStr">
        <is>
          <t>Installation labour - 115 panels @ 2.20</t>
        </is>
      </c>
      <c r="J88" t="n">
        <v>115</v>
      </c>
      <c r="K88" s="9" t="n">
        <v>253</v>
      </c>
      <c r="L88" t="inlineStr">
        <is>
          <t>PAID</t>
        </is>
      </c>
      <c r="M88">
        <f>IF(L88="VOIDED",0,1)</f>
        <v>1</v>
      </c>
      <c r="N88" t="n">
        <v>200</v>
      </c>
      <c r="O88" t="inlineStr">
        <is>
          <t>GST on Income</t>
        </is>
      </c>
      <c r="P88" t="inlineStr">
        <is>
          <t>R07</t>
        </is>
      </c>
      <c r="Q88" t="inlineStr">
        <is>
          <t>DEL-FP</t>
        </is>
      </c>
      <c r="R88">
        <f>IF(OR(Q88="CONTEXT",Q88="REVIEW"),"",INDEX('Category Rules'!$D$5:$D$17,MATCH(P88,'Category Rules'!$A$5:$A$17,0)))</f>
        <v>4020</v>
      </c>
      <c r="S88" t="str">
        <f>IF(Q88="CONTEXT","Fencing",IF(Q88="REVIEW","",INDEX('Category Rules'!$E$5:$E$17,MATCH(P88,'Category Rules'!$A$5:$A$17,0))))</f>
        <v>Fencing</v>
      </c>
      <c r="T88" t="str">
        <f>IF(Q88="DEP","BAS Excluded","GST on Income")</f>
        <v>GST on Income</v>
      </c>
      <c r="U88">
        <f>IF(O88=T88,1,0)</f>
        <v>1</v>
      </c>
      <c r="V88" s="9">
        <f>IF(OR(M88=0,U88=1),0,IF(T88="GST on Income",ROUND(K88*0.1,2),ROUND(-K88*0.1,2)))</f>
        <v>0</v>
      </c>
    </row>
    <row r="89">
      <c r="A89" t="inlineStr">
        <is>
          <t>INV-4585-1</t>
        </is>
      </c>
      <c r="B89" t="inlineStr">
        <is>
          <t>INV-4585</t>
        </is>
      </c>
      <c r="C89" s="11" t="n">
        <v>45857</v>
      </c>
      <c r="D89" t="inlineStr">
        <is>
          <t>2025-07</t>
        </is>
      </c>
      <c r="E89" t="inlineStr">
        <is>
          <t>C0121</t>
        </is>
      </c>
      <c r="F89" t="inlineStr">
        <is>
          <t>C0121</t>
        </is>
      </c>
      <c r="G89" t="inlineStr">
        <is>
          <t>Bluegum Constructions</t>
        </is>
      </c>
      <c r="H89" t="inlineStr">
        <is>
          <t>S0097</t>
        </is>
      </c>
      <c r="I89" t="inlineStr">
        <is>
          <t>Delivery and installation - temporary fencing</t>
        </is>
      </c>
      <c r="J89" t="n">
        <v>1</v>
      </c>
      <c r="K89" s="9" t="n">
        <v>165</v>
      </c>
      <c r="L89" t="inlineStr">
        <is>
          <t>PAID</t>
        </is>
      </c>
      <c r="M89">
        <f>IF(L89="VOIDED",0,1)</f>
        <v>1</v>
      </c>
      <c r="N89" t="n">
        <v>200</v>
      </c>
      <c r="O89" t="inlineStr">
        <is>
          <t>GST on Income</t>
        </is>
      </c>
      <c r="P89" t="inlineStr">
        <is>
          <t>R07</t>
        </is>
      </c>
      <c r="Q89" t="inlineStr">
        <is>
          <t>DEL-FP</t>
        </is>
      </c>
      <c r="R89">
        <f>IF(OR(Q89="CONTEXT",Q89="REVIEW"),"",INDEX('Category Rules'!$D$5:$D$17,MATCH(P89,'Category Rules'!$A$5:$A$17,0)))</f>
        <v>4020</v>
      </c>
      <c r="S89" t="str">
        <f>IF(Q89="CONTEXT","Fencing",IF(Q89="REVIEW","",INDEX('Category Rules'!$E$5:$E$17,MATCH(P89,'Category Rules'!$A$5:$A$17,0))))</f>
        <v>Fencing</v>
      </c>
      <c r="T89" t="str">
        <f>IF(Q89="DEP","BAS Excluded","GST on Income")</f>
        <v>GST on Income</v>
      </c>
      <c r="U89">
        <f>IF(O89=T89,1,0)</f>
        <v>1</v>
      </c>
      <c r="V89" s="9">
        <f>IF(OR(M89=0,U89=1),0,IF(T89="GST on Income",ROUND(K89*0.1,2),ROUND(-K89*0.1,2)))</f>
        <v>0</v>
      </c>
    </row>
    <row r="90">
      <c r="A90" t="inlineStr">
        <is>
          <t>INV-4585-2</t>
        </is>
      </c>
      <c r="B90" t="inlineStr">
        <is>
          <t>INV-4585</t>
        </is>
      </c>
      <c r="C90" s="11" t="n">
        <v>45857</v>
      </c>
      <c r="D90" t="inlineStr">
        <is>
          <t>2025-07</t>
        </is>
      </c>
      <c r="E90" t="inlineStr">
        <is>
          <t>C0121</t>
        </is>
      </c>
      <c r="F90" t="inlineStr">
        <is>
          <t>C0121</t>
        </is>
      </c>
      <c r="G90" t="inlineStr">
        <is>
          <t>Bluegum Constructions</t>
        </is>
      </c>
      <c r="H90" t="inlineStr">
        <is>
          <t>S0097</t>
        </is>
      </c>
      <c r="I90" t="inlineStr">
        <is>
          <t>Installation labour - 88 panels @ 2.20</t>
        </is>
      </c>
      <c r="J90" t="n">
        <v>88</v>
      </c>
      <c r="K90" s="9" t="n">
        <v>193.6</v>
      </c>
      <c r="L90" t="inlineStr">
        <is>
          <t>PAID</t>
        </is>
      </c>
      <c r="M90">
        <f>IF(L90="VOIDED",0,1)</f>
        <v>1</v>
      </c>
      <c r="N90" t="n">
        <v>200</v>
      </c>
      <c r="O90" t="inlineStr">
        <is>
          <t>GST on Income</t>
        </is>
      </c>
      <c r="P90" t="inlineStr">
        <is>
          <t>R07</t>
        </is>
      </c>
      <c r="Q90" t="inlineStr">
        <is>
          <t>DEL-FP</t>
        </is>
      </c>
      <c r="R90">
        <f>IF(OR(Q90="CONTEXT",Q90="REVIEW"),"",INDEX('Category Rules'!$D$5:$D$17,MATCH(P90,'Category Rules'!$A$5:$A$17,0)))</f>
        <v>4020</v>
      </c>
      <c r="S90" t="str">
        <f>IF(Q90="CONTEXT","Fencing",IF(Q90="REVIEW","",INDEX('Category Rules'!$E$5:$E$17,MATCH(P90,'Category Rules'!$A$5:$A$17,0))))</f>
        <v>Fencing</v>
      </c>
      <c r="T90" t="str">
        <f>IF(Q90="DEP","BAS Excluded","GST on Income")</f>
        <v>GST on Income</v>
      </c>
      <c r="U90">
        <f>IF(O90=T90,1,0)</f>
        <v>1</v>
      </c>
      <c r="V90" s="9">
        <f>IF(OR(M90=0,U90=1),0,IF(T90="GST on Income",ROUND(K90*0.1,2),ROUND(-K90*0.1,2)))</f>
        <v>0</v>
      </c>
    </row>
    <row r="91">
      <c r="A91" t="inlineStr">
        <is>
          <t>INV-4976-1</t>
        </is>
      </c>
      <c r="B91" t="inlineStr">
        <is>
          <t>INV-4976</t>
        </is>
      </c>
      <c r="C91" s="11" t="n">
        <v>45857</v>
      </c>
      <c r="D91" t="inlineStr">
        <is>
          <t>2025-07</t>
        </is>
      </c>
      <c r="E91" t="inlineStr">
        <is>
          <t>C0007</t>
        </is>
      </c>
      <c r="F91" t="inlineStr">
        <is>
          <t>C0007</t>
        </is>
      </c>
      <c r="G91" t="inlineStr">
        <is>
          <t>Eastlink Projects</t>
        </is>
      </c>
      <c r="H91" t="inlineStr">
        <is>
          <t>S0186</t>
        </is>
      </c>
      <c r="I91" t="inlineStr">
        <is>
          <t>Temporary fence hire 1 wks (18/07/25-18/07/25) - 142 panels</t>
        </is>
      </c>
      <c r="J91" t="n">
        <v>142</v>
      </c>
      <c r="K91" s="9" t="n">
        <v>639</v>
      </c>
      <c r="L91" t="inlineStr">
        <is>
          <t>PAID</t>
        </is>
      </c>
      <c r="M91">
        <f>IF(L91="VOIDED",0,1)</f>
        <v>1</v>
      </c>
      <c r="N91" t="n">
        <v>200</v>
      </c>
      <c r="O91" t="inlineStr">
        <is>
          <t>GST on Income</t>
        </is>
      </c>
      <c r="P91" t="inlineStr">
        <is>
          <t>R03</t>
        </is>
      </c>
      <c r="Q91" t="inlineStr">
        <is>
          <t>HIRE-FP</t>
        </is>
      </c>
      <c r="R91">
        <f>IF(OR(Q91="CONTEXT",Q91="REVIEW"),"",INDEX('Category Rules'!$D$5:$D$17,MATCH(P91,'Category Rules'!$A$5:$A$17,0)))</f>
        <v>4010</v>
      </c>
      <c r="S91" t="str">
        <f>IF(Q91="CONTEXT","Fencing",IF(Q91="REVIEW","",INDEX('Category Rules'!$E$5:$E$17,MATCH(P91,'Category Rules'!$A$5:$A$17,0))))</f>
        <v>Fencing</v>
      </c>
      <c r="T91" t="str">
        <f>IF(Q91="DEP","BAS Excluded","GST on Income")</f>
        <v>GST on Income</v>
      </c>
      <c r="U91">
        <f>IF(O91=T91,1,0)</f>
        <v>1</v>
      </c>
      <c r="V91" s="9">
        <f>IF(OR(M91=0,U91=1),0,IF(T91="GST on Income",ROUND(K91*0.1,2),ROUND(-K91*0.1,2)))</f>
        <v>0</v>
      </c>
    </row>
    <row r="92">
      <c r="A92" t="inlineStr">
        <is>
          <t>INV-4977-1</t>
        </is>
      </c>
      <c r="B92" t="inlineStr">
        <is>
          <t>INV-4977</t>
        </is>
      </c>
      <c r="C92" s="11" t="n">
        <v>45857</v>
      </c>
      <c r="D92" t="inlineStr">
        <is>
          <t>2025-07</t>
        </is>
      </c>
      <c r="E92" t="inlineStr">
        <is>
          <t>C0007</t>
        </is>
      </c>
      <c r="F92" t="inlineStr">
        <is>
          <t>C0007</t>
        </is>
      </c>
      <c r="G92" t="inlineStr">
        <is>
          <t>Eastlink Projects</t>
        </is>
      </c>
      <c r="H92" t="inlineStr">
        <is>
          <t>S0186</t>
        </is>
      </c>
      <c r="I92" t="inlineStr">
        <is>
          <t>Collection and dismantle - temporary fencing</t>
        </is>
      </c>
      <c r="J92" t="n">
        <v>1</v>
      </c>
      <c r="K92" s="9" t="n">
        <v>165</v>
      </c>
      <c r="L92" t="inlineStr">
        <is>
          <t>PAID</t>
        </is>
      </c>
      <c r="M92">
        <f>IF(L92="VOIDED",0,1)</f>
        <v>1</v>
      </c>
      <c r="N92" t="n">
        <v>200</v>
      </c>
      <c r="O92" t="inlineStr">
        <is>
          <t>GST on Income</t>
        </is>
      </c>
      <c r="P92" t="inlineStr">
        <is>
          <t>R07</t>
        </is>
      </c>
      <c r="Q92" t="inlineStr">
        <is>
          <t>DEL-FP</t>
        </is>
      </c>
      <c r="R92">
        <f>IF(OR(Q92="CONTEXT",Q92="REVIEW"),"",INDEX('Category Rules'!$D$5:$D$17,MATCH(P92,'Category Rules'!$A$5:$A$17,0)))</f>
        <v>4020</v>
      </c>
      <c r="S92" t="str">
        <f>IF(Q92="CONTEXT","Fencing",IF(Q92="REVIEW","",INDEX('Category Rules'!$E$5:$E$17,MATCH(P92,'Category Rules'!$A$5:$A$17,0))))</f>
        <v>Fencing</v>
      </c>
      <c r="T92" t="str">
        <f>IF(Q92="DEP","BAS Excluded","GST on Income")</f>
        <v>GST on Income</v>
      </c>
      <c r="U92">
        <f>IF(O92=T92,1,0)</f>
        <v>1</v>
      </c>
      <c r="V92" s="9">
        <f>IF(OR(M92=0,U92=1),0,IF(T92="GST on Income",ROUND(K92*0.1,2),ROUND(-K92*0.1,2)))</f>
        <v>0</v>
      </c>
    </row>
    <row r="93">
      <c r="A93" t="inlineStr">
        <is>
          <t>INV-4439-1</t>
        </is>
      </c>
      <c r="B93" t="inlineStr">
        <is>
          <t>INV-4439</t>
        </is>
      </c>
      <c r="C93" s="11" t="n">
        <v>45858</v>
      </c>
      <c r="D93" t="inlineStr">
        <is>
          <t>2025-07</t>
        </is>
      </c>
      <c r="E93" t="inlineStr">
        <is>
          <t>C0022</t>
        </is>
      </c>
      <c r="F93" t="inlineStr">
        <is>
          <t>C0022</t>
        </is>
      </c>
      <c r="G93" t="inlineStr">
        <is>
          <t>Highpoint Projects</t>
        </is>
      </c>
      <c r="H93" t="inlineStr">
        <is>
          <t>S0067</t>
        </is>
      </c>
      <c r="I93" t="inlineStr">
        <is>
          <t>Delivery and installation - temporary fencing</t>
        </is>
      </c>
      <c r="J93" t="n">
        <v>1</v>
      </c>
      <c r="K93" s="9" t="n">
        <v>165</v>
      </c>
      <c r="L93" t="inlineStr">
        <is>
          <t>PAID</t>
        </is>
      </c>
      <c r="M93">
        <f>IF(L93="VOIDED",0,1)</f>
        <v>1</v>
      </c>
      <c r="N93" t="n">
        <v>200</v>
      </c>
      <c r="O93" t="inlineStr">
        <is>
          <t>GST on Income</t>
        </is>
      </c>
      <c r="P93" t="inlineStr">
        <is>
          <t>R07</t>
        </is>
      </c>
      <c r="Q93" t="inlineStr">
        <is>
          <t>DEL-FP</t>
        </is>
      </c>
      <c r="R93">
        <f>IF(OR(Q93="CONTEXT",Q93="REVIEW"),"",INDEX('Category Rules'!$D$5:$D$17,MATCH(P93,'Category Rules'!$A$5:$A$17,0)))</f>
        <v>4020</v>
      </c>
      <c r="S93" t="str">
        <f>IF(Q93="CONTEXT","Fencing",IF(Q93="REVIEW","",INDEX('Category Rules'!$E$5:$E$17,MATCH(P93,'Category Rules'!$A$5:$A$17,0))))</f>
        <v>Fencing</v>
      </c>
      <c r="T93" t="str">
        <f>IF(Q93="DEP","BAS Excluded","GST on Income")</f>
        <v>GST on Income</v>
      </c>
      <c r="U93">
        <f>IF(O93=T93,1,0)</f>
        <v>1</v>
      </c>
      <c r="V93" s="9">
        <f>IF(OR(M93=0,U93=1),0,IF(T93="GST on Income",ROUND(K93*0.1,2),ROUND(-K93*0.1,2)))</f>
        <v>0</v>
      </c>
    </row>
    <row r="94">
      <c r="A94" t="inlineStr">
        <is>
          <t>INV-4439-2</t>
        </is>
      </c>
      <c r="B94" t="inlineStr">
        <is>
          <t>INV-4439</t>
        </is>
      </c>
      <c r="C94" s="11" t="n">
        <v>45858</v>
      </c>
      <c r="D94" t="inlineStr">
        <is>
          <t>2025-07</t>
        </is>
      </c>
      <c r="E94" t="inlineStr">
        <is>
          <t>C0022</t>
        </is>
      </c>
      <c r="F94" t="inlineStr">
        <is>
          <t>C0022</t>
        </is>
      </c>
      <c r="G94" t="inlineStr">
        <is>
          <t>Highpoint Projects</t>
        </is>
      </c>
      <c r="H94" t="inlineStr">
        <is>
          <t>S0067</t>
        </is>
      </c>
      <c r="I94" t="inlineStr">
        <is>
          <t>Installation labour - 136 panels @ 2.20</t>
        </is>
      </c>
      <c r="J94" t="n">
        <v>136</v>
      </c>
      <c r="K94" s="9" t="n">
        <v>299.2</v>
      </c>
      <c r="L94" t="inlineStr">
        <is>
          <t>PAID</t>
        </is>
      </c>
      <c r="M94">
        <f>IF(L94="VOIDED",0,1)</f>
        <v>1</v>
      </c>
      <c r="N94" t="n">
        <v>200</v>
      </c>
      <c r="O94" t="inlineStr">
        <is>
          <t>GST on Income</t>
        </is>
      </c>
      <c r="P94" t="inlineStr">
        <is>
          <t>R07</t>
        </is>
      </c>
      <c r="Q94" t="inlineStr">
        <is>
          <t>DEL-FP</t>
        </is>
      </c>
      <c r="R94">
        <f>IF(OR(Q94="CONTEXT",Q94="REVIEW"),"",INDEX('Category Rules'!$D$5:$D$17,MATCH(P94,'Category Rules'!$A$5:$A$17,0)))</f>
        <v>4020</v>
      </c>
      <c r="S94" t="str">
        <f>IF(Q94="CONTEXT","Fencing",IF(Q94="REVIEW","",INDEX('Category Rules'!$E$5:$E$17,MATCH(P94,'Category Rules'!$A$5:$A$17,0))))</f>
        <v>Fencing</v>
      </c>
      <c r="T94" t="str">
        <f>IF(Q94="DEP","BAS Excluded","GST on Income")</f>
        <v>GST on Income</v>
      </c>
      <c r="U94">
        <f>IF(O94=T94,1,0)</f>
        <v>1</v>
      </c>
      <c r="V94" s="9">
        <f>IF(OR(M94=0,U94=1),0,IF(T94="GST on Income",ROUND(K94*0.1,2),ROUND(-K94*0.1,2)))</f>
        <v>0</v>
      </c>
    </row>
    <row r="95">
      <c r="A95" t="inlineStr">
        <is>
          <t>INV-4986-1</t>
        </is>
      </c>
      <c r="B95" t="inlineStr">
        <is>
          <t>INV-4986</t>
        </is>
      </c>
      <c r="C95" s="11" t="n">
        <v>45858</v>
      </c>
      <c r="D95" t="inlineStr">
        <is>
          <t>2025-07</t>
        </is>
      </c>
      <c r="E95" t="inlineStr">
        <is>
          <t>C0149</t>
        </is>
      </c>
      <c r="F95" t="inlineStr">
        <is>
          <t>C0004</t>
        </is>
      </c>
      <c r="G95" t="inlineStr">
        <is>
          <t>Lakeside Builders Pty Ltd</t>
        </is>
      </c>
      <c r="H95" t="inlineStr">
        <is>
          <t>S0188</t>
        </is>
      </c>
      <c r="I95" t="inlineStr">
        <is>
          <t>Delivery and installation - temporary fencing</t>
        </is>
      </c>
      <c r="J95" t="n">
        <v>1</v>
      </c>
      <c r="K95" s="9" t="n">
        <v>165</v>
      </c>
      <c r="L95" t="inlineStr">
        <is>
          <t>PAID</t>
        </is>
      </c>
      <c r="M95">
        <f>IF(L95="VOIDED",0,1)</f>
        <v>1</v>
      </c>
      <c r="N95" t="n">
        <v>200</v>
      </c>
      <c r="O95" t="inlineStr">
        <is>
          <t>GST on Income</t>
        </is>
      </c>
      <c r="P95" t="inlineStr">
        <is>
          <t>R07</t>
        </is>
      </c>
      <c r="Q95" t="inlineStr">
        <is>
          <t>DEL-FP</t>
        </is>
      </c>
      <c r="R95">
        <f>IF(OR(Q95="CONTEXT",Q95="REVIEW"),"",INDEX('Category Rules'!$D$5:$D$17,MATCH(P95,'Category Rules'!$A$5:$A$17,0)))</f>
        <v>4020</v>
      </c>
      <c r="S95" t="str">
        <f>IF(Q95="CONTEXT","Fencing",IF(Q95="REVIEW","",INDEX('Category Rules'!$E$5:$E$17,MATCH(P95,'Category Rules'!$A$5:$A$17,0))))</f>
        <v>Fencing</v>
      </c>
      <c r="T95" t="str">
        <f>IF(Q95="DEP","BAS Excluded","GST on Income")</f>
        <v>GST on Income</v>
      </c>
      <c r="U95">
        <f>IF(O95=T95,1,0)</f>
        <v>1</v>
      </c>
      <c r="V95" s="9">
        <f>IF(OR(M95=0,U95=1),0,IF(T95="GST on Income",ROUND(K95*0.1,2),ROUND(-K95*0.1,2)))</f>
        <v>0</v>
      </c>
    </row>
    <row r="96">
      <c r="A96" t="inlineStr">
        <is>
          <t>INV-4986-2</t>
        </is>
      </c>
      <c r="B96" t="inlineStr">
        <is>
          <t>INV-4986</t>
        </is>
      </c>
      <c r="C96" s="11" t="n">
        <v>45858</v>
      </c>
      <c r="D96" t="inlineStr">
        <is>
          <t>2025-07</t>
        </is>
      </c>
      <c r="E96" t="inlineStr">
        <is>
          <t>C0149</t>
        </is>
      </c>
      <c r="F96" t="inlineStr">
        <is>
          <t>C0004</t>
        </is>
      </c>
      <c r="G96" t="inlineStr">
        <is>
          <t>Lakeside Builders Pty Ltd</t>
        </is>
      </c>
      <c r="H96" t="inlineStr">
        <is>
          <t>S0188</t>
        </is>
      </c>
      <c r="I96" t="inlineStr">
        <is>
          <t>Installation labour - 24 panels @ 2.20</t>
        </is>
      </c>
      <c r="J96" t="n">
        <v>24</v>
      </c>
      <c r="K96" s="9" t="n">
        <v>52.8</v>
      </c>
      <c r="L96" t="inlineStr">
        <is>
          <t>PAID</t>
        </is>
      </c>
      <c r="M96">
        <f>IF(L96="VOIDED",0,1)</f>
        <v>1</v>
      </c>
      <c r="N96" t="n">
        <v>200</v>
      </c>
      <c r="O96" t="inlineStr">
        <is>
          <t>GST on Income</t>
        </is>
      </c>
      <c r="P96" t="inlineStr">
        <is>
          <t>R07</t>
        </is>
      </c>
      <c r="Q96" t="inlineStr">
        <is>
          <t>DEL-FP</t>
        </is>
      </c>
      <c r="R96">
        <f>IF(OR(Q96="CONTEXT",Q96="REVIEW"),"",INDEX('Category Rules'!$D$5:$D$17,MATCH(P96,'Category Rules'!$A$5:$A$17,0)))</f>
        <v>4020</v>
      </c>
      <c r="S96" t="str">
        <f>IF(Q96="CONTEXT","Fencing",IF(Q96="REVIEW","",INDEX('Category Rules'!$E$5:$E$17,MATCH(P96,'Category Rules'!$A$5:$A$17,0))))</f>
        <v>Fencing</v>
      </c>
      <c r="T96" t="str">
        <f>IF(Q96="DEP","BAS Excluded","GST on Income")</f>
        <v>GST on Income</v>
      </c>
      <c r="U96">
        <f>IF(O96=T96,1,0)</f>
        <v>1</v>
      </c>
      <c r="V96" s="9">
        <f>IF(OR(M96=0,U96=1),0,IF(T96="GST on Income",ROUND(K96*0.1,2),ROUND(-K96*0.1,2)))</f>
        <v>0</v>
      </c>
    </row>
    <row r="97">
      <c r="A97" t="inlineStr">
        <is>
          <t>INV-4724-1</t>
        </is>
      </c>
      <c r="B97" t="inlineStr">
        <is>
          <t>INV-4724</t>
        </is>
      </c>
      <c r="C97" s="11" t="n">
        <v>45859</v>
      </c>
      <c r="D97" t="inlineStr">
        <is>
          <t>2025-07</t>
        </is>
      </c>
      <c r="E97" t="inlineStr">
        <is>
          <t>C0116</t>
        </is>
      </c>
      <c r="F97" t="inlineStr">
        <is>
          <t>C0116</t>
        </is>
      </c>
      <c r="G97" t="inlineStr">
        <is>
          <t>Lucas Patel</t>
        </is>
      </c>
      <c r="H97" t="inlineStr">
        <is>
          <t>S0130</t>
        </is>
      </c>
      <c r="I97" t="inlineStr">
        <is>
          <t>Delivery and installation - temporary fencing</t>
        </is>
      </c>
      <c r="J97" t="n">
        <v>1</v>
      </c>
      <c r="K97" s="9" t="n">
        <v>165</v>
      </c>
      <c r="L97" t="inlineStr">
        <is>
          <t>PAID</t>
        </is>
      </c>
      <c r="M97">
        <f>IF(L97="VOIDED",0,1)</f>
        <v>1</v>
      </c>
      <c r="N97" t="n">
        <v>200</v>
      </c>
      <c r="O97" t="inlineStr">
        <is>
          <t>GST on Income</t>
        </is>
      </c>
      <c r="P97" t="inlineStr">
        <is>
          <t>R07</t>
        </is>
      </c>
      <c r="Q97" t="inlineStr">
        <is>
          <t>DEL-FP</t>
        </is>
      </c>
      <c r="R97">
        <f>IF(OR(Q97="CONTEXT",Q97="REVIEW"),"",INDEX('Category Rules'!$D$5:$D$17,MATCH(P97,'Category Rules'!$A$5:$A$17,0)))</f>
        <v>4020</v>
      </c>
      <c r="S97" t="str">
        <f>IF(Q97="CONTEXT","Fencing",IF(Q97="REVIEW","",INDEX('Category Rules'!$E$5:$E$17,MATCH(P97,'Category Rules'!$A$5:$A$17,0))))</f>
        <v>Fencing</v>
      </c>
      <c r="T97" t="str">
        <f>IF(Q97="DEP","BAS Excluded","GST on Income")</f>
        <v>GST on Income</v>
      </c>
      <c r="U97">
        <f>IF(O97=T97,1,0)</f>
        <v>1</v>
      </c>
      <c r="V97" s="9">
        <f>IF(OR(M97=0,U97=1),0,IF(T97="GST on Income",ROUND(K97*0.1,2),ROUND(-K97*0.1,2)))</f>
        <v>0</v>
      </c>
    </row>
    <row r="98">
      <c r="A98" t="inlineStr">
        <is>
          <t>INV-4724-2</t>
        </is>
      </c>
      <c r="B98" t="inlineStr">
        <is>
          <t>INV-4724</t>
        </is>
      </c>
      <c r="C98" s="11" t="n">
        <v>45859</v>
      </c>
      <c r="D98" t="inlineStr">
        <is>
          <t>2025-07</t>
        </is>
      </c>
      <c r="E98" t="inlineStr">
        <is>
          <t>C0116</t>
        </is>
      </c>
      <c r="F98" t="inlineStr">
        <is>
          <t>C0116</t>
        </is>
      </c>
      <c r="G98" t="inlineStr">
        <is>
          <t>Lucas Patel</t>
        </is>
      </c>
      <c r="H98" t="inlineStr">
        <is>
          <t>S0130</t>
        </is>
      </c>
      <c r="I98" t="inlineStr">
        <is>
          <t>Installation labour - 106 panels @ 2.20</t>
        </is>
      </c>
      <c r="J98" t="n">
        <v>106</v>
      </c>
      <c r="K98" s="9" t="n">
        <v>233.2</v>
      </c>
      <c r="L98" t="inlineStr">
        <is>
          <t>PAID</t>
        </is>
      </c>
      <c r="M98">
        <f>IF(L98="VOIDED",0,1)</f>
        <v>1</v>
      </c>
      <c r="N98" t="n">
        <v>200</v>
      </c>
      <c r="O98" t="inlineStr">
        <is>
          <t>GST on Income</t>
        </is>
      </c>
      <c r="P98" t="inlineStr">
        <is>
          <t>R07</t>
        </is>
      </c>
      <c r="Q98" t="inlineStr">
        <is>
          <t>DEL-FP</t>
        </is>
      </c>
      <c r="R98">
        <f>IF(OR(Q98="CONTEXT",Q98="REVIEW"),"",INDEX('Category Rules'!$D$5:$D$17,MATCH(P98,'Category Rules'!$A$5:$A$17,0)))</f>
        <v>4020</v>
      </c>
      <c r="S98" t="str">
        <f>IF(Q98="CONTEXT","Fencing",IF(Q98="REVIEW","",INDEX('Category Rules'!$E$5:$E$17,MATCH(P98,'Category Rules'!$A$5:$A$17,0))))</f>
        <v>Fencing</v>
      </c>
      <c r="T98" t="str">
        <f>IF(Q98="DEP","BAS Excluded","GST on Income")</f>
        <v>GST on Income</v>
      </c>
      <c r="U98">
        <f>IF(O98=T98,1,0)</f>
        <v>1</v>
      </c>
      <c r="V98" s="9">
        <f>IF(OR(M98=0,U98=1),0,IF(T98="GST on Income",ROUND(K98*0.1,2),ROUND(-K98*0.1,2)))</f>
        <v>0</v>
      </c>
    </row>
    <row r="99">
      <c r="A99" t="inlineStr">
        <is>
          <t>INV-4724-3</t>
        </is>
      </c>
      <c r="B99" t="inlineStr">
        <is>
          <t>INV-4724</t>
        </is>
      </c>
      <c r="C99" s="11" t="n">
        <v>45859</v>
      </c>
      <c r="D99" t="inlineStr">
        <is>
          <t>2025-07</t>
        </is>
      </c>
      <c r="E99" t="inlineStr">
        <is>
          <t>C0116</t>
        </is>
      </c>
      <c r="F99" t="inlineStr">
        <is>
          <t>C0116</t>
        </is>
      </c>
      <c r="G99" t="inlineStr">
        <is>
          <t>Lucas Patel</t>
        </is>
      </c>
      <c r="H99" t="inlineStr">
        <is>
          <t>S0130</t>
        </is>
      </c>
      <c r="I99" t="inlineStr">
        <is>
          <t>Security deposit - fence panels (refundable)</t>
        </is>
      </c>
      <c r="J99" t="n">
        <v>1</v>
      </c>
      <c r="K99" s="9" t="n">
        <v>850</v>
      </c>
      <c r="L99" t="inlineStr">
        <is>
          <t>PAID</t>
        </is>
      </c>
      <c r="M99">
        <f>IF(L99="VOIDED",0,1)</f>
        <v>1</v>
      </c>
      <c r="N99" t="n">
        <v>200</v>
      </c>
      <c r="O99" t="inlineStr">
        <is>
          <t>BAS Excluded</t>
        </is>
      </c>
      <c r="P99" t="inlineStr">
        <is>
          <t>R01</t>
        </is>
      </c>
      <c r="Q99" t="inlineStr">
        <is>
          <t>DEP</t>
        </is>
      </c>
      <c r="R99">
        <f>IF(OR(Q99="CONTEXT",Q99="REVIEW"),"",INDEX('Category Rules'!$D$5:$D$17,MATCH(P99,'Category Rules'!$A$5:$A$17,0)))</f>
        <v>835</v>
      </c>
      <c r="S99" t="str">
        <f>IF(Q99="CONTEXT","Fencing",IF(Q99="REVIEW","",INDEX('Category Rules'!$E$5:$E$17,MATCH(P99,'Category Rules'!$A$5:$A$17,0))))</f>
        <v>Fencing</v>
      </c>
      <c r="T99" t="str">
        <f>IF(Q99="DEP","BAS Excluded","GST on Income")</f>
        <v>BAS Excluded</v>
      </c>
      <c r="U99">
        <f>IF(O99=T99,1,0)</f>
        <v>1</v>
      </c>
      <c r="V99" s="9">
        <f>IF(OR(M99=0,U99=1),0,IF(T99="GST on Income",ROUND(K99*0.1,2),ROUND(-K99*0.1,2)))</f>
        <v>0</v>
      </c>
    </row>
    <row r="100">
      <c r="A100" t="inlineStr">
        <is>
          <t>INV-4368-1</t>
        </is>
      </c>
      <c r="B100" t="inlineStr">
        <is>
          <t>INV-4368</t>
        </is>
      </c>
      <c r="C100" s="11" t="n">
        <v>45860</v>
      </c>
      <c r="D100" t="inlineStr">
        <is>
          <t>2025-07</t>
        </is>
      </c>
      <c r="E100" t="inlineStr">
        <is>
          <t>C0036</t>
        </is>
      </c>
      <c r="F100" t="inlineStr">
        <is>
          <t>C0036</t>
        </is>
      </c>
      <c r="G100" t="inlineStr">
        <is>
          <t>Summit Homes Pty Ltd</t>
        </is>
      </c>
      <c r="H100" t="inlineStr">
        <is>
          <t>S0055</t>
        </is>
      </c>
      <c r="I100" t="inlineStr">
        <is>
          <t>Temporary fence hire 4 wks (24/06/25-21/07/25) - 91 panels</t>
        </is>
      </c>
      <c r="J100" t="n">
        <v>364</v>
      </c>
      <c r="K100" s="9" t="n">
        <v>1638</v>
      </c>
      <c r="L100" t="inlineStr">
        <is>
          <t>PAID</t>
        </is>
      </c>
      <c r="M100">
        <f>IF(L100="VOIDED",0,1)</f>
        <v>1</v>
      </c>
      <c r="N100" t="n">
        <v>200</v>
      </c>
      <c r="O100" t="inlineStr">
        <is>
          <t>GST on Income</t>
        </is>
      </c>
      <c r="P100" t="inlineStr">
        <is>
          <t>R03</t>
        </is>
      </c>
      <c r="Q100" t="inlineStr">
        <is>
          <t>HIRE-FP</t>
        </is>
      </c>
      <c r="R100">
        <f>IF(OR(Q100="CONTEXT",Q100="REVIEW"),"",INDEX('Category Rules'!$D$5:$D$17,MATCH(P100,'Category Rules'!$A$5:$A$17,0)))</f>
        <v>4010</v>
      </c>
      <c r="S100" t="str">
        <f>IF(Q100="CONTEXT","Fencing",IF(Q100="REVIEW","",INDEX('Category Rules'!$E$5:$E$17,MATCH(P100,'Category Rules'!$A$5:$A$17,0))))</f>
        <v>Fencing</v>
      </c>
      <c r="T100" t="str">
        <f>IF(Q100="DEP","BAS Excluded","GST on Income")</f>
        <v>GST on Income</v>
      </c>
      <c r="U100">
        <f>IF(O100=T100,1,0)</f>
        <v>1</v>
      </c>
      <c r="V100" s="9">
        <f>IF(OR(M100=0,U100=1),0,IF(T100="GST on Income",ROUND(K100*0.1,2),ROUND(-K100*0.1,2)))</f>
        <v>0</v>
      </c>
    </row>
    <row r="101">
      <c r="A101" t="inlineStr">
        <is>
          <t>INV-4371-1</t>
        </is>
      </c>
      <c r="B101" t="inlineStr">
        <is>
          <t>INV-4371</t>
        </is>
      </c>
      <c r="C101" s="11" t="n">
        <v>45860</v>
      </c>
      <c r="D101" t="inlineStr">
        <is>
          <t>2025-07</t>
        </is>
      </c>
      <c r="E101" t="inlineStr">
        <is>
          <t>C0036</t>
        </is>
      </c>
      <c r="F101" t="inlineStr">
        <is>
          <t>C0036</t>
        </is>
      </c>
      <c r="G101" t="inlineStr">
        <is>
          <t>Summit Homes Pty Ltd</t>
        </is>
      </c>
      <c r="H101" t="inlineStr">
        <is>
          <t>S0055</t>
        </is>
      </c>
      <c r="I101" t="inlineStr">
        <is>
          <t>Pedestrian barrier hire 4 wks (24/06/25-21/07/25) - 22 barriers</t>
        </is>
      </c>
      <c r="J101" t="n">
        <v>88</v>
      </c>
      <c r="K101" s="9" t="n">
        <v>281.6</v>
      </c>
      <c r="L101" t="inlineStr">
        <is>
          <t>PAID</t>
        </is>
      </c>
      <c r="M101">
        <f>IF(L101="VOIDED",0,1)</f>
        <v>1</v>
      </c>
      <c r="N101" t="n">
        <v>200</v>
      </c>
      <c r="O101" t="inlineStr">
        <is>
          <t>GST on Income</t>
        </is>
      </c>
      <c r="P101" t="inlineStr">
        <is>
          <t>R04</t>
        </is>
      </c>
      <c r="Q101" t="inlineStr">
        <is>
          <t>HIRE-BR</t>
        </is>
      </c>
      <c r="R101">
        <f>IF(OR(Q101="CONTEXT",Q101="REVIEW"),"",INDEX('Category Rules'!$D$5:$D$17,MATCH(P101,'Category Rules'!$A$5:$A$17,0)))</f>
        <v>4010</v>
      </c>
      <c r="S101" t="str">
        <f>IF(Q101="CONTEXT","Fencing",IF(Q101="REVIEW","",INDEX('Category Rules'!$E$5:$E$17,MATCH(P101,'Category Rules'!$A$5:$A$17,0))))</f>
        <v>Fencing</v>
      </c>
      <c r="T101" t="str">
        <f>IF(Q101="DEP","BAS Excluded","GST on Income")</f>
        <v>GST on Income</v>
      </c>
      <c r="U101">
        <f>IF(O101=T101,1,0)</f>
        <v>1</v>
      </c>
      <c r="V101" s="9">
        <f>IF(OR(M101=0,U101=1),0,IF(T101="GST on Income",ROUND(K101*0.1,2),ROUND(-K101*0.1,2)))</f>
        <v>0</v>
      </c>
    </row>
    <row r="102">
      <c r="A102" t="inlineStr">
        <is>
          <t>INV-5412-1</t>
        </is>
      </c>
      <c r="B102" t="inlineStr">
        <is>
          <t>INV-5412</t>
        </is>
      </c>
      <c r="C102" s="11" t="n">
        <v>45860</v>
      </c>
      <c r="D102" t="inlineStr">
        <is>
          <t>2025-07</t>
        </is>
      </c>
      <c r="E102" t="inlineStr">
        <is>
          <t>C0039</t>
        </is>
      </c>
      <c r="F102" t="inlineStr">
        <is>
          <t>C0039</t>
        </is>
      </c>
      <c r="G102" t="inlineStr">
        <is>
          <t>Coastline Developments Pty Ltd</t>
        </is>
      </c>
      <c r="H102" t="inlineStr">
        <is>
          <t>S0286</t>
        </is>
      </c>
      <c r="I102" t="inlineStr">
        <is>
          <t>Scaffold erect - 2 tower(s)</t>
        </is>
      </c>
      <c r="J102" t="n">
        <v>2</v>
      </c>
      <c r="K102" s="9" t="n">
        <v>840</v>
      </c>
      <c r="L102" t="inlineStr">
        <is>
          <t>PAID</t>
        </is>
      </c>
      <c r="M102">
        <f>IF(L102="VOIDED",0,1)</f>
        <v>1</v>
      </c>
      <c r="N102" t="n">
        <v>200</v>
      </c>
      <c r="O102" t="inlineStr">
        <is>
          <t>GST on Income</t>
        </is>
      </c>
      <c r="P102" t="inlineStr">
        <is>
          <t>R08</t>
        </is>
      </c>
      <c r="Q102" t="inlineStr">
        <is>
          <t>LAB-ST</t>
        </is>
      </c>
      <c r="R102">
        <f>IF(OR(Q102="CONTEXT",Q102="REVIEW"),"",INDEX('Category Rules'!$D$5:$D$17,MATCH(P102,'Category Rules'!$A$5:$A$17,0)))</f>
        <v>4020</v>
      </c>
      <c r="S102" t="str">
        <f>IF(Q102="CONTEXT","Scaffolding",IF(Q102="REVIEW","",INDEX('Category Rules'!$E$5:$E$17,MATCH(P102,'Category Rules'!$A$5:$A$17,0))))</f>
        <v>Scaffolding</v>
      </c>
      <c r="T102" t="str">
        <f>IF(Q102="DEP","BAS Excluded","GST on Income")</f>
        <v>GST on Income</v>
      </c>
      <c r="U102">
        <f>IF(O102=T102,1,0)</f>
        <v>1</v>
      </c>
      <c r="V102" s="9">
        <f>IF(OR(M102=0,U102=1),0,IF(T102="GST on Income",ROUND(K102*0.1,2),ROUND(-K102*0.1,2)))</f>
        <v>0</v>
      </c>
    </row>
    <row r="103">
      <c r="A103" t="inlineStr">
        <is>
          <t>INV-5484-1</t>
        </is>
      </c>
      <c r="B103" t="inlineStr">
        <is>
          <t>INV-5484</t>
        </is>
      </c>
      <c r="C103" s="11" t="n">
        <v>45860</v>
      </c>
      <c r="D103" t="inlineStr">
        <is>
          <t>2025-07</t>
        </is>
      </c>
      <c r="E103" t="inlineStr">
        <is>
          <t>C0059</t>
        </is>
      </c>
      <c r="F103" t="inlineStr">
        <is>
          <t>C0059</t>
        </is>
      </c>
      <c r="G103" t="inlineStr">
        <is>
          <t>Silverleaf Insurance Repairs Pty Ltd</t>
        </is>
      </c>
      <c r="H103" t="inlineStr">
        <is>
          <t>S0317</t>
        </is>
      </c>
      <c r="I103" t="inlineStr">
        <is>
          <t>Emergency make safe call-out - after hours</t>
        </is>
      </c>
      <c r="J103" t="n">
        <v>1</v>
      </c>
      <c r="K103" s="9" t="n">
        <v>560</v>
      </c>
      <c r="L103" t="inlineStr">
        <is>
          <t>PAID</t>
        </is>
      </c>
      <c r="M103">
        <f>IF(L103="VOIDED",0,1)</f>
        <v>1</v>
      </c>
      <c r="N103" t="n">
        <v>200</v>
      </c>
      <c r="O103" t="inlineStr">
        <is>
          <t>GST on Income</t>
        </is>
      </c>
      <c r="P103" t="inlineStr">
        <is>
          <t>R09</t>
        </is>
      </c>
      <c r="Q103" t="inlineStr">
        <is>
          <t>MS</t>
        </is>
      </c>
      <c r="R103">
        <f>IF(OR(Q103="CONTEXT",Q103="REVIEW"),"",INDEX('Category Rules'!$D$5:$D$17,MATCH(P103,'Category Rules'!$A$5:$A$17,0)))</f>
        <v>4020</v>
      </c>
      <c r="S103" t="str">
        <f>IF(Q103="CONTEXT","Make-safe",IF(Q103="REVIEW","",INDEX('Category Rules'!$E$5:$E$17,MATCH(P103,'Category Rules'!$A$5:$A$17,0))))</f>
        <v>Make-safe</v>
      </c>
      <c r="T103" t="str">
        <f>IF(Q103="DEP","BAS Excluded","GST on Income")</f>
        <v>GST on Income</v>
      </c>
      <c r="U103">
        <f>IF(O103=T103,1,0)</f>
        <v>1</v>
      </c>
      <c r="V103" s="9">
        <f>IF(OR(M103=0,U103=1),0,IF(T103="GST on Income",ROUND(K103*0.1,2),ROUND(-K103*0.1,2)))</f>
        <v>0</v>
      </c>
    </row>
    <row r="104">
      <c r="A104" t="inlineStr">
        <is>
          <t>INV-5067-1</t>
        </is>
      </c>
      <c r="B104" t="inlineStr">
        <is>
          <t>INV-5067</t>
        </is>
      </c>
      <c r="C104" s="11" t="n">
        <v>45861</v>
      </c>
      <c r="D104" t="inlineStr">
        <is>
          <t>2025-07</t>
        </is>
      </c>
      <c r="E104" t="inlineStr">
        <is>
          <t>C0033</t>
        </is>
      </c>
      <c r="F104" t="inlineStr">
        <is>
          <t>C0033</t>
        </is>
      </c>
      <c r="G104" t="inlineStr">
        <is>
          <t>Granite Projects Pty Ltd</t>
        </is>
      </c>
      <c r="H104" t="inlineStr">
        <is>
          <t>S0207</t>
        </is>
      </c>
      <c r="I104" t="inlineStr">
        <is>
          <t>Temporary fence hire 4 wks (25/06/25-22/07/25) - 98 panels</t>
        </is>
      </c>
      <c r="J104" t="n">
        <v>392</v>
      </c>
      <c r="K104" s="9" t="n">
        <v>1764</v>
      </c>
      <c r="L104" t="inlineStr">
        <is>
          <t>PAID</t>
        </is>
      </c>
      <c r="M104">
        <f>IF(L104="VOIDED",0,1)</f>
        <v>1</v>
      </c>
      <c r="N104" t="n">
        <v>200</v>
      </c>
      <c r="O104" t="inlineStr">
        <is>
          <t>GST on Income</t>
        </is>
      </c>
      <c r="P104" t="inlineStr">
        <is>
          <t>R03</t>
        </is>
      </c>
      <c r="Q104" t="inlineStr">
        <is>
          <t>HIRE-FP</t>
        </is>
      </c>
      <c r="R104">
        <f>IF(OR(Q104="CONTEXT",Q104="REVIEW"),"",INDEX('Category Rules'!$D$5:$D$17,MATCH(P104,'Category Rules'!$A$5:$A$17,0)))</f>
        <v>4010</v>
      </c>
      <c r="S104" t="str">
        <f>IF(Q104="CONTEXT","Fencing",IF(Q104="REVIEW","",INDEX('Category Rules'!$E$5:$E$17,MATCH(P104,'Category Rules'!$A$5:$A$17,0))))</f>
        <v>Fencing</v>
      </c>
      <c r="T104" t="str">
        <f>IF(Q104="DEP","BAS Excluded","GST on Income")</f>
        <v>GST on Income</v>
      </c>
      <c r="U104">
        <f>IF(O104=T104,1,0)</f>
        <v>1</v>
      </c>
      <c r="V104" s="9">
        <f>IF(OR(M104=0,U104=1),0,IF(T104="GST on Income",ROUND(K104*0.1,2),ROUND(-K104*0.1,2)))</f>
        <v>0</v>
      </c>
    </row>
    <row r="105">
      <c r="A105" t="inlineStr">
        <is>
          <t>INV-5779-1</t>
        </is>
      </c>
      <c r="B105" t="inlineStr">
        <is>
          <t>INV-5779</t>
        </is>
      </c>
      <c r="C105" s="11" t="n">
        <v>45861</v>
      </c>
      <c r="D105" t="inlineStr">
        <is>
          <t>2025-07</t>
        </is>
      </c>
      <c r="E105" t="inlineStr">
        <is>
          <t>C0064</t>
        </is>
      </c>
      <c r="F105" t="inlineStr">
        <is>
          <t>C0064</t>
        </is>
      </c>
      <c r="G105" t="inlineStr">
        <is>
          <t>Lakeside Claims Services Pty Ltd</t>
        </is>
      </c>
      <c r="H105" t="inlineStr">
        <is>
          <t>S0479</t>
        </is>
      </c>
      <c r="I105" t="inlineStr">
        <is>
          <t>Emergency make safe call-out - after hours</t>
        </is>
      </c>
      <c r="J105" t="n">
        <v>1</v>
      </c>
      <c r="K105" s="9" t="n">
        <v>560</v>
      </c>
      <c r="L105" t="inlineStr">
        <is>
          <t>PAID</t>
        </is>
      </c>
      <c r="M105">
        <f>IF(L105="VOIDED",0,1)</f>
        <v>1</v>
      </c>
      <c r="N105" t="n">
        <v>200</v>
      </c>
      <c r="O105" t="inlineStr">
        <is>
          <t>GST on Income</t>
        </is>
      </c>
      <c r="P105" t="inlineStr">
        <is>
          <t>R09</t>
        </is>
      </c>
      <c r="Q105" t="inlineStr">
        <is>
          <t>MS</t>
        </is>
      </c>
      <c r="R105">
        <f>IF(OR(Q105="CONTEXT",Q105="REVIEW"),"",INDEX('Category Rules'!$D$5:$D$17,MATCH(P105,'Category Rules'!$A$5:$A$17,0)))</f>
        <v>4020</v>
      </c>
      <c r="S105" t="str">
        <f>IF(Q105="CONTEXT","Make-safe",IF(Q105="REVIEW","",INDEX('Category Rules'!$E$5:$E$17,MATCH(P105,'Category Rules'!$A$5:$A$17,0))))</f>
        <v>Make-safe</v>
      </c>
      <c r="T105" t="str">
        <f>IF(Q105="DEP","BAS Excluded","GST on Income")</f>
        <v>GST on Income</v>
      </c>
      <c r="U105">
        <f>IF(O105=T105,1,0)</f>
        <v>1</v>
      </c>
      <c r="V105" s="9">
        <f>IF(OR(M105=0,U105=1),0,IF(T105="GST on Income",ROUND(K105*0.1,2),ROUND(-K105*0.1,2)))</f>
        <v>0</v>
      </c>
    </row>
    <row r="106">
      <c r="A106" t="inlineStr">
        <is>
          <t>INV-5779-2</t>
        </is>
      </c>
      <c r="B106" t="inlineStr">
        <is>
          <t>INV-5779</t>
        </is>
      </c>
      <c r="C106" s="11" t="n">
        <v>45861</v>
      </c>
      <c r="D106" t="inlineStr">
        <is>
          <t>2025-07</t>
        </is>
      </c>
      <c r="E106" t="inlineStr">
        <is>
          <t>C0064</t>
        </is>
      </c>
      <c r="F106" t="inlineStr">
        <is>
          <t>C0064</t>
        </is>
      </c>
      <c r="G106" t="inlineStr">
        <is>
          <t>Lakeside Claims Services Pty Ltd</t>
        </is>
      </c>
      <c r="H106" t="inlineStr">
        <is>
          <t>S0479</t>
        </is>
      </c>
      <c r="I106" t="inlineStr">
        <is>
          <t>Tarp supply and install - 1 tarp(s)</t>
        </is>
      </c>
      <c r="J106" t="n">
        <v>1</v>
      </c>
      <c r="K106" s="9" t="n">
        <v>240</v>
      </c>
      <c r="L106" t="inlineStr">
        <is>
          <t>PAID</t>
        </is>
      </c>
      <c r="M106">
        <f>IF(L106="VOIDED",0,1)</f>
        <v>1</v>
      </c>
      <c r="N106" t="n">
        <v>200</v>
      </c>
      <c r="O106" t="inlineStr">
        <is>
          <t>GST on Income</t>
        </is>
      </c>
      <c r="P106" t="inlineStr">
        <is>
          <t>R09</t>
        </is>
      </c>
      <c r="Q106" t="inlineStr">
        <is>
          <t>MS</t>
        </is>
      </c>
      <c r="R106">
        <f>IF(OR(Q106="CONTEXT",Q106="REVIEW"),"",INDEX('Category Rules'!$D$5:$D$17,MATCH(P106,'Category Rules'!$A$5:$A$17,0)))</f>
        <v>4020</v>
      </c>
      <c r="S106" t="str">
        <f>IF(Q106="CONTEXT","Make-safe",IF(Q106="REVIEW","",INDEX('Category Rules'!$E$5:$E$17,MATCH(P106,'Category Rules'!$A$5:$A$17,0))))</f>
        <v>Make-safe</v>
      </c>
      <c r="T106" t="str">
        <f>IF(Q106="DEP","BAS Excluded","GST on Income")</f>
        <v>GST on Income</v>
      </c>
      <c r="U106">
        <f>IF(O106=T106,1,0)</f>
        <v>1</v>
      </c>
      <c r="V106" s="9">
        <f>IF(OR(M106=0,U106=1),0,IF(T106="GST on Income",ROUND(K106*0.1,2),ROUND(-K106*0.1,2)))</f>
        <v>0</v>
      </c>
    </row>
    <row r="107">
      <c r="A107" t="inlineStr">
        <is>
          <t>INV-4563-1</t>
        </is>
      </c>
      <c r="B107" t="inlineStr">
        <is>
          <t>INV-4563</t>
        </is>
      </c>
      <c r="C107" s="11" t="n">
        <v>45862</v>
      </c>
      <c r="D107" t="inlineStr">
        <is>
          <t>2025-07</t>
        </is>
      </c>
      <c r="E107" t="inlineStr">
        <is>
          <t>C0041</t>
        </is>
      </c>
      <c r="F107" t="inlineStr">
        <is>
          <t>C0041</t>
        </is>
      </c>
      <c r="G107" t="inlineStr">
        <is>
          <t>Summit Builders Pty Ltd</t>
        </is>
      </c>
      <c r="H107" t="inlineStr">
        <is>
          <t>S0093</t>
        </is>
      </c>
      <c r="I107" t="inlineStr">
        <is>
          <t>Temporary fence hire 3 wks (05/07/25-23/07/25) - 139 panels</t>
        </is>
      </c>
      <c r="J107" t="n">
        <v>417</v>
      </c>
      <c r="K107" s="9" t="n">
        <v>1876.5</v>
      </c>
      <c r="L107" t="inlineStr">
        <is>
          <t>PAID</t>
        </is>
      </c>
      <c r="M107">
        <f>IF(L107="VOIDED",0,1)</f>
        <v>1</v>
      </c>
      <c r="N107" t="n">
        <v>200</v>
      </c>
      <c r="O107" t="inlineStr">
        <is>
          <t>GST on Income</t>
        </is>
      </c>
      <c r="P107" t="inlineStr">
        <is>
          <t>R03</t>
        </is>
      </c>
      <c r="Q107" t="inlineStr">
        <is>
          <t>HIRE-FP</t>
        </is>
      </c>
      <c r="R107">
        <f>IF(OR(Q107="CONTEXT",Q107="REVIEW"),"",INDEX('Category Rules'!$D$5:$D$17,MATCH(P107,'Category Rules'!$A$5:$A$17,0)))</f>
        <v>4010</v>
      </c>
      <c r="S107" t="str">
        <f>IF(Q107="CONTEXT","Fencing",IF(Q107="REVIEW","",INDEX('Category Rules'!$E$5:$E$17,MATCH(P107,'Category Rules'!$A$5:$A$17,0))))</f>
        <v>Fencing</v>
      </c>
      <c r="T107" t="str">
        <f>IF(Q107="DEP","BAS Excluded","GST on Income")</f>
        <v>GST on Income</v>
      </c>
      <c r="U107">
        <f>IF(O107=T107,1,0)</f>
        <v>1</v>
      </c>
      <c r="V107" s="9">
        <f>IF(OR(M107=0,U107=1),0,IF(T107="GST on Income",ROUND(K107*0.1,2),ROUND(-K107*0.1,2)))</f>
        <v>0</v>
      </c>
    </row>
    <row r="108">
      <c r="A108" t="inlineStr">
        <is>
          <t>INV-4565-1</t>
        </is>
      </c>
      <c r="B108" t="inlineStr">
        <is>
          <t>INV-4565</t>
        </is>
      </c>
      <c r="C108" s="11" t="n">
        <v>45862</v>
      </c>
      <c r="D108" t="inlineStr">
        <is>
          <t>2025-07</t>
        </is>
      </c>
      <c r="E108" t="inlineStr">
        <is>
          <t>C0041</t>
        </is>
      </c>
      <c r="F108" t="inlineStr">
        <is>
          <t>C0041</t>
        </is>
      </c>
      <c r="G108" t="inlineStr">
        <is>
          <t>Summit Builders Pty Ltd</t>
        </is>
      </c>
      <c r="H108" t="inlineStr">
        <is>
          <t>S0093</t>
        </is>
      </c>
      <c r="I108" t="inlineStr">
        <is>
          <t>Collection and dismantle - temporary fencing</t>
        </is>
      </c>
      <c r="J108" t="n">
        <v>1</v>
      </c>
      <c r="K108" s="9" t="n">
        <v>165</v>
      </c>
      <c r="L108" t="inlineStr">
        <is>
          <t>PAID</t>
        </is>
      </c>
      <c r="M108">
        <f>IF(L108="VOIDED",0,1)</f>
        <v>1</v>
      </c>
      <c r="N108" t="n">
        <v>200</v>
      </c>
      <c r="O108" t="inlineStr">
        <is>
          <t>GST on Income</t>
        </is>
      </c>
      <c r="P108" t="inlineStr">
        <is>
          <t>R07</t>
        </is>
      </c>
      <c r="Q108" t="inlineStr">
        <is>
          <t>DEL-FP</t>
        </is>
      </c>
      <c r="R108">
        <f>IF(OR(Q108="CONTEXT",Q108="REVIEW"),"",INDEX('Category Rules'!$D$5:$D$17,MATCH(P108,'Category Rules'!$A$5:$A$17,0)))</f>
        <v>4020</v>
      </c>
      <c r="S108" t="str">
        <f>IF(Q108="CONTEXT","Fencing",IF(Q108="REVIEW","",INDEX('Category Rules'!$E$5:$E$17,MATCH(P108,'Category Rules'!$A$5:$A$17,0))))</f>
        <v>Fencing</v>
      </c>
      <c r="T108" t="str">
        <f>IF(Q108="DEP","BAS Excluded","GST on Income")</f>
        <v>GST on Income</v>
      </c>
      <c r="U108">
        <f>IF(O108=T108,1,0)</f>
        <v>1</v>
      </c>
      <c r="V108" s="9">
        <f>IF(OR(M108=0,U108=1),0,IF(T108="GST on Income",ROUND(K108*0.1,2),ROUND(-K108*0.1,2)))</f>
        <v>0</v>
      </c>
    </row>
    <row r="109">
      <c r="A109" t="inlineStr">
        <is>
          <t>INV-4818-1</t>
        </is>
      </c>
      <c r="B109" t="inlineStr">
        <is>
          <t>INV-4818</t>
        </is>
      </c>
      <c r="C109" s="11" t="n">
        <v>45862</v>
      </c>
      <c r="D109" t="inlineStr">
        <is>
          <t>2025-07</t>
        </is>
      </c>
      <c r="E109" t="inlineStr">
        <is>
          <t>C0024</t>
        </is>
      </c>
      <c r="F109" t="inlineStr">
        <is>
          <t>C0024</t>
        </is>
      </c>
      <c r="G109" t="inlineStr">
        <is>
          <t>Parkview Homes Pty Ltd</t>
        </is>
      </c>
      <c r="H109" t="inlineStr">
        <is>
          <t>S0154</t>
        </is>
      </c>
      <c r="I109" t="inlineStr">
        <is>
          <t>Temporary fence hire 4 wks (26/06/25-23/07/25) - 34 panels</t>
        </is>
      </c>
      <c r="J109" t="n">
        <v>136</v>
      </c>
      <c r="K109" s="9" t="n">
        <v>612</v>
      </c>
      <c r="L109" t="inlineStr">
        <is>
          <t>PAID</t>
        </is>
      </c>
      <c r="M109">
        <f>IF(L109="VOIDED",0,1)</f>
        <v>1</v>
      </c>
      <c r="N109" t="n">
        <v>200</v>
      </c>
      <c r="O109" t="inlineStr">
        <is>
          <t>GST on Income</t>
        </is>
      </c>
      <c r="P109" t="inlineStr">
        <is>
          <t>R03</t>
        </is>
      </c>
      <c r="Q109" t="inlineStr">
        <is>
          <t>HIRE-FP</t>
        </is>
      </c>
      <c r="R109">
        <f>IF(OR(Q109="CONTEXT",Q109="REVIEW"),"",INDEX('Category Rules'!$D$5:$D$17,MATCH(P109,'Category Rules'!$A$5:$A$17,0)))</f>
        <v>4010</v>
      </c>
      <c r="S109" t="str">
        <f>IF(Q109="CONTEXT","Fencing",IF(Q109="REVIEW","",INDEX('Category Rules'!$E$5:$E$17,MATCH(P109,'Category Rules'!$A$5:$A$17,0))))</f>
        <v>Fencing</v>
      </c>
      <c r="T109" t="str">
        <f>IF(Q109="DEP","BAS Excluded","GST on Income")</f>
        <v>GST on Income</v>
      </c>
      <c r="U109">
        <f>IF(O109=T109,1,0)</f>
        <v>1</v>
      </c>
      <c r="V109" s="9">
        <f>IF(OR(M109=0,U109=1),0,IF(T109="GST on Income",ROUND(K109*0.1,2),ROUND(-K109*0.1,2)))</f>
        <v>0</v>
      </c>
    </row>
    <row r="110">
      <c r="A110" t="inlineStr">
        <is>
          <t>INV-5251-1</t>
        </is>
      </c>
      <c r="B110" t="inlineStr">
        <is>
          <t>INV-5251</t>
        </is>
      </c>
      <c r="C110" s="11" t="n">
        <v>45862</v>
      </c>
      <c r="D110" t="inlineStr">
        <is>
          <t>2025-07</t>
        </is>
      </c>
      <c r="E110" t="inlineStr">
        <is>
          <t>C0124</t>
        </is>
      </c>
      <c r="F110" t="inlineStr">
        <is>
          <t>C0124</t>
        </is>
      </c>
      <c r="G110" t="inlineStr">
        <is>
          <t>Harbor Strata Management</t>
        </is>
      </c>
      <c r="H110" t="inlineStr">
        <is>
          <t>S0247</t>
        </is>
      </c>
      <c r="I110" t="inlineStr">
        <is>
          <t>Scaffold erect - 2 tower(s)</t>
        </is>
      </c>
      <c r="J110" t="n">
        <v>2</v>
      </c>
      <c r="K110" s="9" t="n">
        <v>840</v>
      </c>
      <c r="L110" t="inlineStr">
        <is>
          <t>PAID</t>
        </is>
      </c>
      <c r="M110">
        <f>IF(L110="VOIDED",0,1)</f>
        <v>1</v>
      </c>
      <c r="N110" t="n">
        <v>200</v>
      </c>
      <c r="O110" t="inlineStr">
        <is>
          <t>GST on Income</t>
        </is>
      </c>
      <c r="P110" t="inlineStr">
        <is>
          <t>R08</t>
        </is>
      </c>
      <c r="Q110" t="inlineStr">
        <is>
          <t>LAB-ST</t>
        </is>
      </c>
      <c r="R110">
        <f>IF(OR(Q110="CONTEXT",Q110="REVIEW"),"",INDEX('Category Rules'!$D$5:$D$17,MATCH(P110,'Category Rules'!$A$5:$A$17,0)))</f>
        <v>4020</v>
      </c>
      <c r="S110" t="str">
        <f>IF(Q110="CONTEXT","Scaffolding",IF(Q110="REVIEW","",INDEX('Category Rules'!$E$5:$E$17,MATCH(P110,'Category Rules'!$A$5:$A$17,0))))</f>
        <v>Scaffolding</v>
      </c>
      <c r="T110" t="str">
        <f>IF(Q110="DEP","BAS Excluded","GST on Income")</f>
        <v>GST on Income</v>
      </c>
      <c r="U110">
        <f>IF(O110=T110,1,0)</f>
        <v>1</v>
      </c>
      <c r="V110" s="9">
        <f>IF(OR(M110=0,U110=1),0,IF(T110="GST on Income",ROUND(K110*0.1,2),ROUND(-K110*0.1,2)))</f>
        <v>0</v>
      </c>
    </row>
    <row r="111">
      <c r="A111" t="inlineStr">
        <is>
          <t>INV-5795-1</t>
        </is>
      </c>
      <c r="B111" t="inlineStr">
        <is>
          <t>INV-5795</t>
        </is>
      </c>
      <c r="C111" s="11" t="n">
        <v>45862</v>
      </c>
      <c r="D111" t="inlineStr">
        <is>
          <t>2025-07</t>
        </is>
      </c>
      <c r="E111" t="inlineStr">
        <is>
          <t>C0119</t>
        </is>
      </c>
      <c r="F111" t="inlineStr">
        <is>
          <t>C0119</t>
        </is>
      </c>
      <c r="G111" t="inlineStr">
        <is>
          <t>Northgate Builders Pty Ltd</t>
        </is>
      </c>
      <c r="H111" t="inlineStr">
        <is>
          <t>S0487</t>
        </is>
      </c>
      <c r="I111" t="inlineStr">
        <is>
          <t>Make safe call-out</t>
        </is>
      </c>
      <c r="J111" t="n">
        <v>1</v>
      </c>
      <c r="K111" s="9" t="n">
        <v>385</v>
      </c>
      <c r="L111" t="inlineStr">
        <is>
          <t>PAID</t>
        </is>
      </c>
      <c r="M111">
        <f>IF(L111="VOIDED",0,1)</f>
        <v>1</v>
      </c>
      <c r="N111" t="n">
        <v>200</v>
      </c>
      <c r="O111" t="inlineStr">
        <is>
          <t>GST on Income</t>
        </is>
      </c>
      <c r="P111" t="inlineStr">
        <is>
          <t>R09</t>
        </is>
      </c>
      <c r="Q111" t="inlineStr">
        <is>
          <t>MS</t>
        </is>
      </c>
      <c r="R111">
        <f>IF(OR(Q111="CONTEXT",Q111="REVIEW"),"",INDEX('Category Rules'!$D$5:$D$17,MATCH(P111,'Category Rules'!$A$5:$A$17,0)))</f>
        <v>4020</v>
      </c>
      <c r="S111" t="str">
        <f>IF(Q111="CONTEXT","Make-safe",IF(Q111="REVIEW","",INDEX('Category Rules'!$E$5:$E$17,MATCH(P111,'Category Rules'!$A$5:$A$17,0))))</f>
        <v>Make-safe</v>
      </c>
      <c r="T111" t="str">
        <f>IF(Q111="DEP","BAS Excluded","GST on Income")</f>
        <v>GST on Income</v>
      </c>
      <c r="U111">
        <f>IF(O111=T111,1,0)</f>
        <v>1</v>
      </c>
      <c r="V111" s="9">
        <f>IF(OR(M111=0,U111=1),0,IF(T111="GST on Income",ROUND(K111*0.1,2),ROUND(-K111*0.1,2)))</f>
        <v>0</v>
      </c>
    </row>
    <row r="112">
      <c r="A112" t="inlineStr">
        <is>
          <t>INV-4334-1</t>
        </is>
      </c>
      <c r="B112" t="inlineStr">
        <is>
          <t>INV-4334</t>
        </is>
      </c>
      <c r="C112" s="11" t="n">
        <v>45863</v>
      </c>
      <c r="D112" t="inlineStr">
        <is>
          <t>2025-07</t>
        </is>
      </c>
      <c r="E112" t="inlineStr">
        <is>
          <t>C0042</t>
        </is>
      </c>
      <c r="F112" t="inlineStr">
        <is>
          <t>C0042</t>
        </is>
      </c>
      <c r="G112" t="inlineStr">
        <is>
          <t>Lakeside Constructions Pty Ltd</t>
        </is>
      </c>
      <c r="H112" t="inlineStr">
        <is>
          <t>S0049</t>
        </is>
      </c>
      <c r="I112" t="inlineStr">
        <is>
          <t>Delivery and installation - temporary fencing</t>
        </is>
      </c>
      <c r="J112" t="n">
        <v>1</v>
      </c>
      <c r="K112" s="9" t="n">
        <v>165</v>
      </c>
      <c r="L112" t="inlineStr">
        <is>
          <t>PAID</t>
        </is>
      </c>
      <c r="M112">
        <f>IF(L112="VOIDED",0,1)</f>
        <v>1</v>
      </c>
      <c r="N112" t="n">
        <v>200</v>
      </c>
      <c r="O112" t="inlineStr">
        <is>
          <t>GST on Income</t>
        </is>
      </c>
      <c r="P112" t="inlineStr">
        <is>
          <t>R07</t>
        </is>
      </c>
      <c r="Q112" t="inlineStr">
        <is>
          <t>DEL-FP</t>
        </is>
      </c>
      <c r="R112">
        <f>IF(OR(Q112="CONTEXT",Q112="REVIEW"),"",INDEX('Category Rules'!$D$5:$D$17,MATCH(P112,'Category Rules'!$A$5:$A$17,0)))</f>
        <v>4020</v>
      </c>
      <c r="S112" t="str">
        <f>IF(Q112="CONTEXT","Fencing",IF(Q112="REVIEW","",INDEX('Category Rules'!$E$5:$E$17,MATCH(P112,'Category Rules'!$A$5:$A$17,0))))</f>
        <v>Fencing</v>
      </c>
      <c r="T112" t="str">
        <f>IF(Q112="DEP","BAS Excluded","GST on Income")</f>
        <v>GST on Income</v>
      </c>
      <c r="U112">
        <f>IF(O112=T112,1,0)</f>
        <v>1</v>
      </c>
      <c r="V112" s="9">
        <f>IF(OR(M112=0,U112=1),0,IF(T112="GST on Income",ROUND(K112*0.1,2),ROUND(-K112*0.1,2)))</f>
        <v>0</v>
      </c>
    </row>
    <row r="113">
      <c r="A113" t="inlineStr">
        <is>
          <t>INV-4334-2</t>
        </is>
      </c>
      <c r="B113" t="inlineStr">
        <is>
          <t>INV-4334</t>
        </is>
      </c>
      <c r="C113" s="11" t="n">
        <v>45863</v>
      </c>
      <c r="D113" t="inlineStr">
        <is>
          <t>2025-07</t>
        </is>
      </c>
      <c r="E113" t="inlineStr">
        <is>
          <t>C0042</t>
        </is>
      </c>
      <c r="F113" t="inlineStr">
        <is>
          <t>C0042</t>
        </is>
      </c>
      <c r="G113" t="inlineStr">
        <is>
          <t>Lakeside Constructions Pty Ltd</t>
        </is>
      </c>
      <c r="H113" t="inlineStr">
        <is>
          <t>S0049</t>
        </is>
      </c>
      <c r="I113" t="inlineStr">
        <is>
          <t>Installation labour - 27 panels @ 2.20</t>
        </is>
      </c>
      <c r="J113" t="n">
        <v>27</v>
      </c>
      <c r="K113" s="9" t="n">
        <v>59.4</v>
      </c>
      <c r="L113" t="inlineStr">
        <is>
          <t>PAID</t>
        </is>
      </c>
      <c r="M113">
        <f>IF(L113="VOIDED",0,1)</f>
        <v>1</v>
      </c>
      <c r="N113" t="n">
        <v>200</v>
      </c>
      <c r="O113" t="inlineStr">
        <is>
          <t>GST on Income</t>
        </is>
      </c>
      <c r="P113" t="inlineStr">
        <is>
          <t>R07</t>
        </is>
      </c>
      <c r="Q113" t="inlineStr">
        <is>
          <t>DEL-FP</t>
        </is>
      </c>
      <c r="R113">
        <f>IF(OR(Q113="CONTEXT",Q113="REVIEW"),"",INDEX('Category Rules'!$D$5:$D$17,MATCH(P113,'Category Rules'!$A$5:$A$17,0)))</f>
        <v>4020</v>
      </c>
      <c r="S113" t="str">
        <f>IF(Q113="CONTEXT","Fencing",IF(Q113="REVIEW","",INDEX('Category Rules'!$E$5:$E$17,MATCH(P113,'Category Rules'!$A$5:$A$17,0))))</f>
        <v>Fencing</v>
      </c>
      <c r="T113" t="str">
        <f>IF(Q113="DEP","BAS Excluded","GST on Income")</f>
        <v>GST on Income</v>
      </c>
      <c r="U113">
        <f>IF(O113=T113,1,0)</f>
        <v>1</v>
      </c>
      <c r="V113" s="9">
        <f>IF(OR(M113=0,U113=1),0,IF(T113="GST on Income",ROUND(K113*0.1,2),ROUND(-K113*0.1,2)))</f>
        <v>0</v>
      </c>
    </row>
    <row r="114">
      <c r="A114" t="inlineStr">
        <is>
          <t>INV-4656-1</t>
        </is>
      </c>
      <c r="B114" t="inlineStr">
        <is>
          <t>INV-4656</t>
        </is>
      </c>
      <c r="C114" s="11" t="n">
        <v>45863</v>
      </c>
      <c r="D114" t="inlineStr">
        <is>
          <t>2025-07</t>
        </is>
      </c>
      <c r="E114" t="inlineStr">
        <is>
          <t>C0136</t>
        </is>
      </c>
      <c r="F114" t="inlineStr">
        <is>
          <t>C0036</t>
        </is>
      </c>
      <c r="G114" t="inlineStr">
        <is>
          <t>Summit Homes Pty Ltd</t>
        </is>
      </c>
      <c r="H114" t="inlineStr">
        <is>
          <t>S0113</t>
        </is>
      </c>
      <c r="I114" t="inlineStr">
        <is>
          <t>Temporary fence hire 3 wks (06/07/25-24/07/25) - 78 panels</t>
        </is>
      </c>
      <c r="J114" t="n">
        <v>234</v>
      </c>
      <c r="K114" s="9" t="n">
        <v>1053</v>
      </c>
      <c r="L114" t="inlineStr">
        <is>
          <t>PAID</t>
        </is>
      </c>
      <c r="M114">
        <f>IF(L114="VOIDED",0,1)</f>
        <v>1</v>
      </c>
      <c r="N114" t="n">
        <v>200</v>
      </c>
      <c r="O114" t="inlineStr">
        <is>
          <t>GST on Income</t>
        </is>
      </c>
      <c r="P114" t="inlineStr">
        <is>
          <t>R03</t>
        </is>
      </c>
      <c r="Q114" t="inlineStr">
        <is>
          <t>HIRE-FP</t>
        </is>
      </c>
      <c r="R114">
        <f>IF(OR(Q114="CONTEXT",Q114="REVIEW"),"",INDEX('Category Rules'!$D$5:$D$17,MATCH(P114,'Category Rules'!$A$5:$A$17,0)))</f>
        <v>4010</v>
      </c>
      <c r="S114" t="str">
        <f>IF(Q114="CONTEXT","Fencing",IF(Q114="REVIEW","",INDEX('Category Rules'!$E$5:$E$17,MATCH(P114,'Category Rules'!$A$5:$A$17,0))))</f>
        <v>Fencing</v>
      </c>
      <c r="T114" t="str">
        <f>IF(Q114="DEP","BAS Excluded","GST on Income")</f>
        <v>GST on Income</v>
      </c>
      <c r="U114">
        <f>IF(O114=T114,1,0)</f>
        <v>1</v>
      </c>
      <c r="V114" s="9">
        <f>IF(OR(M114=0,U114=1),0,IF(T114="GST on Income",ROUND(K114*0.1,2),ROUND(-K114*0.1,2)))</f>
        <v>0</v>
      </c>
    </row>
    <row r="115">
      <c r="A115" t="inlineStr">
        <is>
          <t>INV-4658-1</t>
        </is>
      </c>
      <c r="B115" t="inlineStr">
        <is>
          <t>INV-4658</t>
        </is>
      </c>
      <c r="C115" s="11" t="n">
        <v>45863</v>
      </c>
      <c r="D115" t="inlineStr">
        <is>
          <t>2025-07</t>
        </is>
      </c>
      <c r="E115" t="inlineStr">
        <is>
          <t>C0036</t>
        </is>
      </c>
      <c r="F115" t="inlineStr">
        <is>
          <t>C0036</t>
        </is>
      </c>
      <c r="G115" t="inlineStr">
        <is>
          <t>Summit Homes Pty Ltd</t>
        </is>
      </c>
      <c r="H115" t="inlineStr">
        <is>
          <t>S0113</t>
        </is>
      </c>
      <c r="I115" t="inlineStr">
        <is>
          <t>Collection and dismantle - temporary fencing</t>
        </is>
      </c>
      <c r="J115" t="n">
        <v>1</v>
      </c>
      <c r="K115" s="9" t="n">
        <v>165</v>
      </c>
      <c r="L115" t="inlineStr">
        <is>
          <t>PAID</t>
        </is>
      </c>
      <c r="M115">
        <f>IF(L115="VOIDED",0,1)</f>
        <v>1</v>
      </c>
      <c r="N115" t="n">
        <v>200</v>
      </c>
      <c r="O115" t="inlineStr">
        <is>
          <t>GST on Income</t>
        </is>
      </c>
      <c r="P115" t="inlineStr">
        <is>
          <t>R07</t>
        </is>
      </c>
      <c r="Q115" t="inlineStr">
        <is>
          <t>DEL-FP</t>
        </is>
      </c>
      <c r="R115">
        <f>IF(OR(Q115="CONTEXT",Q115="REVIEW"),"",INDEX('Category Rules'!$D$5:$D$17,MATCH(P115,'Category Rules'!$A$5:$A$17,0)))</f>
        <v>4020</v>
      </c>
      <c r="S115" t="str">
        <f>IF(Q115="CONTEXT","Fencing",IF(Q115="REVIEW","",INDEX('Category Rules'!$E$5:$E$17,MATCH(P115,'Category Rules'!$A$5:$A$17,0))))</f>
        <v>Fencing</v>
      </c>
      <c r="T115" t="str">
        <f>IF(Q115="DEP","BAS Excluded","GST on Income")</f>
        <v>GST on Income</v>
      </c>
      <c r="U115">
        <f>IF(O115=T115,1,0)</f>
        <v>1</v>
      </c>
      <c r="V115" s="9">
        <f>IF(OR(M115=0,U115=1),0,IF(T115="GST on Income",ROUND(K115*0.1,2),ROUND(-K115*0.1,2)))</f>
        <v>0</v>
      </c>
    </row>
    <row r="116">
      <c r="A116" t="inlineStr">
        <is>
          <t>INV-4658-2</t>
        </is>
      </c>
      <c r="B116" t="inlineStr">
        <is>
          <t>INV-4658</t>
        </is>
      </c>
      <c r="C116" s="11" t="n">
        <v>45863</v>
      </c>
      <c r="D116" t="inlineStr">
        <is>
          <t>2025-07</t>
        </is>
      </c>
      <c r="E116" t="inlineStr">
        <is>
          <t>C0036</t>
        </is>
      </c>
      <c r="F116" t="inlineStr">
        <is>
          <t>C0036</t>
        </is>
      </c>
      <c r="G116" t="inlineStr">
        <is>
          <t>Summit Homes Pty Ltd</t>
        </is>
      </c>
      <c r="H116" t="inlineStr">
        <is>
          <t>S0113</t>
        </is>
      </c>
      <c r="I116" t="inlineStr">
        <is>
          <t>Lost/damaged panels charged - 4 @ 145.00</t>
        </is>
      </c>
      <c r="J116" t="n">
        <v>4</v>
      </c>
      <c r="K116" s="9" t="n">
        <v>580</v>
      </c>
      <c r="L116" t="inlineStr">
        <is>
          <t>PAID</t>
        </is>
      </c>
      <c r="M116">
        <f>IF(L116="VOIDED",0,1)</f>
        <v>1</v>
      </c>
      <c r="N116" t="n">
        <v>200</v>
      </c>
      <c r="O116" t="inlineStr">
        <is>
          <t>GST Free Income</t>
        </is>
      </c>
      <c r="P116" t="inlineStr">
        <is>
          <t>R02</t>
        </is>
      </c>
      <c r="Q116" t="inlineStr">
        <is>
          <t>LOSS</t>
        </is>
      </c>
      <c r="R116">
        <f>IF(OR(Q116="CONTEXT",Q116="REVIEW"),"",INDEX('Category Rules'!$D$5:$D$17,MATCH(P116,'Category Rules'!$A$5:$A$17,0)))</f>
        <v>4040</v>
      </c>
      <c r="S116" t="str">
        <f>IF(Q116="CONTEXT","Fencing",IF(Q116="REVIEW","",INDEX('Category Rules'!$E$5:$E$17,MATCH(P116,'Category Rules'!$A$5:$A$17,0))))</f>
        <v>Fencing</v>
      </c>
      <c r="T116" t="str">
        <f>IF(Q116="DEP","BAS Excluded","GST on Income")</f>
        <v>GST on Income</v>
      </c>
      <c r="U116">
        <f>IF(O116=T116,1,0)</f>
        <v>0</v>
      </c>
      <c r="V116" s="9">
        <f>IF(OR(M116=0,U116=1),0,IF(T116="GST on Income",ROUND(K116*0.1,2),ROUND(-K116*0.1,2)))</f>
        <v>58</v>
      </c>
    </row>
    <row r="117">
      <c r="A117" t="inlineStr">
        <is>
          <t>INV-4430-1</t>
        </is>
      </c>
      <c r="B117" t="inlineStr">
        <is>
          <t>INV-4430</t>
        </is>
      </c>
      <c r="C117" s="11" t="n">
        <v>45864</v>
      </c>
      <c r="D117" t="inlineStr">
        <is>
          <t>2025-07</t>
        </is>
      </c>
      <c r="E117" t="inlineStr">
        <is>
          <t>C0061</t>
        </is>
      </c>
      <c r="F117" t="inlineStr">
        <is>
          <t>C0061</t>
        </is>
      </c>
      <c r="G117" t="inlineStr">
        <is>
          <t>Southbank Claims Services Pty Ltd</t>
        </is>
      </c>
      <c r="H117" t="inlineStr">
        <is>
          <t>S0065</t>
        </is>
      </c>
      <c r="I117" t="inlineStr">
        <is>
          <t>Delivery and installation - temporary fencing</t>
        </is>
      </c>
      <c r="J117" t="n">
        <v>1</v>
      </c>
      <c r="K117" s="9" t="n">
        <v>165</v>
      </c>
      <c r="L117" t="inlineStr">
        <is>
          <t>PAID</t>
        </is>
      </c>
      <c r="M117">
        <f>IF(L117="VOIDED",0,1)</f>
        <v>1</v>
      </c>
      <c r="N117" t="n">
        <v>200</v>
      </c>
      <c r="O117" t="inlineStr">
        <is>
          <t>GST on Income</t>
        </is>
      </c>
      <c r="P117" t="inlineStr">
        <is>
          <t>R07</t>
        </is>
      </c>
      <c r="Q117" t="inlineStr">
        <is>
          <t>DEL-FP</t>
        </is>
      </c>
      <c r="R117">
        <f>IF(OR(Q117="CONTEXT",Q117="REVIEW"),"",INDEX('Category Rules'!$D$5:$D$17,MATCH(P117,'Category Rules'!$A$5:$A$17,0)))</f>
        <v>4020</v>
      </c>
      <c r="S117" t="str">
        <f>IF(Q117="CONTEXT","Fencing",IF(Q117="REVIEW","",INDEX('Category Rules'!$E$5:$E$17,MATCH(P117,'Category Rules'!$A$5:$A$17,0))))</f>
        <v>Fencing</v>
      </c>
      <c r="T117" t="str">
        <f>IF(Q117="DEP","BAS Excluded","GST on Income")</f>
        <v>GST on Income</v>
      </c>
      <c r="U117">
        <f>IF(O117=T117,1,0)</f>
        <v>1</v>
      </c>
      <c r="V117" s="9">
        <f>IF(OR(M117=0,U117=1),0,IF(T117="GST on Income",ROUND(K117*0.1,2),ROUND(-K117*0.1,2)))</f>
        <v>0</v>
      </c>
    </row>
    <row r="118">
      <c r="A118" t="inlineStr">
        <is>
          <t>INV-4430-2</t>
        </is>
      </c>
      <c r="B118" t="inlineStr">
        <is>
          <t>INV-4430</t>
        </is>
      </c>
      <c r="C118" s="11" t="n">
        <v>45864</v>
      </c>
      <c r="D118" t="inlineStr">
        <is>
          <t>2025-07</t>
        </is>
      </c>
      <c r="E118" t="inlineStr">
        <is>
          <t>C0061</t>
        </is>
      </c>
      <c r="F118" t="inlineStr">
        <is>
          <t>C0061</t>
        </is>
      </c>
      <c r="G118" t="inlineStr">
        <is>
          <t>Southbank Claims Services Pty Ltd</t>
        </is>
      </c>
      <c r="H118" t="inlineStr">
        <is>
          <t>S0065</t>
        </is>
      </c>
      <c r="I118" t="inlineStr">
        <is>
          <t>Installation labour - 130 panels @ 2.20</t>
        </is>
      </c>
      <c r="J118" t="n">
        <v>130</v>
      </c>
      <c r="K118" s="9" t="n">
        <v>286</v>
      </c>
      <c r="L118" t="inlineStr">
        <is>
          <t>PAID</t>
        </is>
      </c>
      <c r="M118">
        <f>IF(L118="VOIDED",0,1)</f>
        <v>1</v>
      </c>
      <c r="N118" t="n">
        <v>200</v>
      </c>
      <c r="O118" t="inlineStr">
        <is>
          <t>GST on Income</t>
        </is>
      </c>
      <c r="P118" t="inlineStr">
        <is>
          <t>R07</t>
        </is>
      </c>
      <c r="Q118" t="inlineStr">
        <is>
          <t>DEL-FP</t>
        </is>
      </c>
      <c r="R118">
        <f>IF(OR(Q118="CONTEXT",Q118="REVIEW"),"",INDEX('Category Rules'!$D$5:$D$17,MATCH(P118,'Category Rules'!$A$5:$A$17,0)))</f>
        <v>4020</v>
      </c>
      <c r="S118" t="str">
        <f>IF(Q118="CONTEXT","Fencing",IF(Q118="REVIEW","",INDEX('Category Rules'!$E$5:$E$17,MATCH(P118,'Category Rules'!$A$5:$A$17,0))))</f>
        <v>Fencing</v>
      </c>
      <c r="T118" t="str">
        <f>IF(Q118="DEP","BAS Excluded","GST on Income")</f>
        <v>GST on Income</v>
      </c>
      <c r="U118">
        <f>IF(O118=T118,1,0)</f>
        <v>1</v>
      </c>
      <c r="V118" s="9">
        <f>IF(OR(M118=0,U118=1),0,IF(T118="GST on Income",ROUND(K118*0.1,2),ROUND(-K118*0.1,2)))</f>
        <v>0</v>
      </c>
    </row>
    <row r="119">
      <c r="A119" t="inlineStr">
        <is>
          <t>INV-4824-1</t>
        </is>
      </c>
      <c r="B119" t="inlineStr">
        <is>
          <t>INV-4824</t>
        </is>
      </c>
      <c r="C119" s="11" t="n">
        <v>45864</v>
      </c>
      <c r="D119" t="inlineStr">
        <is>
          <t>2025-07</t>
        </is>
      </c>
      <c r="E119" t="inlineStr">
        <is>
          <t>C0036</t>
        </is>
      </c>
      <c r="F119" t="inlineStr">
        <is>
          <t>C0036</t>
        </is>
      </c>
      <c r="G119" t="inlineStr">
        <is>
          <t>Summit Homes Pty Ltd</t>
        </is>
      </c>
      <c r="H119" t="inlineStr">
        <is>
          <t>S0156</t>
        </is>
      </c>
      <c r="I119" t="inlineStr">
        <is>
          <t>Temporary fence hire 2 wks (17/07/25-25/07/25) - 141 panels</t>
        </is>
      </c>
      <c r="J119" t="n">
        <v>282</v>
      </c>
      <c r="K119" s="9" t="n">
        <v>1269</v>
      </c>
      <c r="L119" t="inlineStr">
        <is>
          <t>PAID</t>
        </is>
      </c>
      <c r="M119">
        <f>IF(L119="VOIDED",0,1)</f>
        <v>1</v>
      </c>
      <c r="N119" t="n">
        <v>200</v>
      </c>
      <c r="O119" t="inlineStr">
        <is>
          <t>GST on Income</t>
        </is>
      </c>
      <c r="P119" t="inlineStr">
        <is>
          <t>R03</t>
        </is>
      </c>
      <c r="Q119" t="inlineStr">
        <is>
          <t>HIRE-FP</t>
        </is>
      </c>
      <c r="R119">
        <f>IF(OR(Q119="CONTEXT",Q119="REVIEW"),"",INDEX('Category Rules'!$D$5:$D$17,MATCH(P119,'Category Rules'!$A$5:$A$17,0)))</f>
        <v>4010</v>
      </c>
      <c r="S119" t="str">
        <f>IF(Q119="CONTEXT","Fencing",IF(Q119="REVIEW","",INDEX('Category Rules'!$E$5:$E$17,MATCH(P119,'Category Rules'!$A$5:$A$17,0))))</f>
        <v>Fencing</v>
      </c>
      <c r="T119" t="str">
        <f>IF(Q119="DEP","BAS Excluded","GST on Income")</f>
        <v>GST on Income</v>
      </c>
      <c r="U119">
        <f>IF(O119=T119,1,0)</f>
        <v>1</v>
      </c>
      <c r="V119" s="9">
        <f>IF(OR(M119=0,U119=1),0,IF(T119="GST on Income",ROUND(K119*0.1,2),ROUND(-K119*0.1,2)))</f>
        <v>0</v>
      </c>
    </row>
    <row r="120">
      <c r="A120" t="inlineStr">
        <is>
          <t>INV-4826-1</t>
        </is>
      </c>
      <c r="B120" t="inlineStr">
        <is>
          <t>INV-4826</t>
        </is>
      </c>
      <c r="C120" s="11" t="n">
        <v>45864</v>
      </c>
      <c r="D120" t="inlineStr">
        <is>
          <t>2025-07</t>
        </is>
      </c>
      <c r="E120" t="inlineStr">
        <is>
          <t>C0136</t>
        </is>
      </c>
      <c r="F120" t="inlineStr">
        <is>
          <t>C0036</t>
        </is>
      </c>
      <c r="G120" t="inlineStr">
        <is>
          <t>Summit Homes Pty Ltd</t>
        </is>
      </c>
      <c r="H120" t="inlineStr">
        <is>
          <t>S0156</t>
        </is>
      </c>
      <c r="I120" t="inlineStr">
        <is>
          <t>Collection and dismantle - temporary fencing</t>
        </is>
      </c>
      <c r="J120" t="n">
        <v>1</v>
      </c>
      <c r="K120" s="9" t="n">
        <v>165</v>
      </c>
      <c r="L120" t="inlineStr">
        <is>
          <t>PAID</t>
        </is>
      </c>
      <c r="M120">
        <f>IF(L120="VOIDED",0,1)</f>
        <v>1</v>
      </c>
      <c r="N120" t="n">
        <v>200</v>
      </c>
      <c r="O120" t="inlineStr">
        <is>
          <t>GST on Income</t>
        </is>
      </c>
      <c r="P120" t="inlineStr">
        <is>
          <t>R07</t>
        </is>
      </c>
      <c r="Q120" t="inlineStr">
        <is>
          <t>DEL-FP</t>
        </is>
      </c>
      <c r="R120">
        <f>IF(OR(Q120="CONTEXT",Q120="REVIEW"),"",INDEX('Category Rules'!$D$5:$D$17,MATCH(P120,'Category Rules'!$A$5:$A$17,0)))</f>
        <v>4020</v>
      </c>
      <c r="S120" t="str">
        <f>IF(Q120="CONTEXT","Fencing",IF(Q120="REVIEW","",INDEX('Category Rules'!$E$5:$E$17,MATCH(P120,'Category Rules'!$A$5:$A$17,0))))</f>
        <v>Fencing</v>
      </c>
      <c r="T120" t="str">
        <f>IF(Q120="DEP","BAS Excluded","GST on Income")</f>
        <v>GST on Income</v>
      </c>
      <c r="U120">
        <f>IF(O120=T120,1,0)</f>
        <v>1</v>
      </c>
      <c r="V120" s="9">
        <f>IF(OR(M120=0,U120=1),0,IF(T120="GST on Income",ROUND(K120*0.1,2),ROUND(-K120*0.1,2)))</f>
        <v>0</v>
      </c>
    </row>
    <row r="121">
      <c r="A121" t="inlineStr">
        <is>
          <t>INV-4826-2</t>
        </is>
      </c>
      <c r="B121" t="inlineStr">
        <is>
          <t>INV-4826</t>
        </is>
      </c>
      <c r="C121" s="11" t="n">
        <v>45864</v>
      </c>
      <c r="D121" t="inlineStr">
        <is>
          <t>2025-07</t>
        </is>
      </c>
      <c r="E121" t="inlineStr">
        <is>
          <t>C0136</t>
        </is>
      </c>
      <c r="F121" t="inlineStr">
        <is>
          <t>C0036</t>
        </is>
      </c>
      <c r="G121" t="inlineStr">
        <is>
          <t>Summit Homes Pty Ltd</t>
        </is>
      </c>
      <c r="H121" t="inlineStr">
        <is>
          <t>S0156</t>
        </is>
      </c>
      <c r="I121" t="inlineStr">
        <is>
          <t>Lost/damaged panels charged - 4 @ 145.00</t>
        </is>
      </c>
      <c r="J121" t="n">
        <v>4</v>
      </c>
      <c r="K121" s="9" t="n">
        <v>580</v>
      </c>
      <c r="L121" t="inlineStr">
        <is>
          <t>PAID</t>
        </is>
      </c>
      <c r="M121">
        <f>IF(L121="VOIDED",0,1)</f>
        <v>1</v>
      </c>
      <c r="N121" t="n">
        <v>200</v>
      </c>
      <c r="O121" t="inlineStr">
        <is>
          <t>GST on Income</t>
        </is>
      </c>
      <c r="P121" t="inlineStr">
        <is>
          <t>R02</t>
        </is>
      </c>
      <c r="Q121" t="inlineStr">
        <is>
          <t>LOSS</t>
        </is>
      </c>
      <c r="R121">
        <f>IF(OR(Q121="CONTEXT",Q121="REVIEW"),"",INDEX('Category Rules'!$D$5:$D$17,MATCH(P121,'Category Rules'!$A$5:$A$17,0)))</f>
        <v>4040</v>
      </c>
      <c r="S121" t="str">
        <f>IF(Q121="CONTEXT","Fencing",IF(Q121="REVIEW","",INDEX('Category Rules'!$E$5:$E$17,MATCH(P121,'Category Rules'!$A$5:$A$17,0))))</f>
        <v>Fencing</v>
      </c>
      <c r="T121" t="str">
        <f>IF(Q121="DEP","BAS Excluded","GST on Income")</f>
        <v>GST on Income</v>
      </c>
      <c r="U121">
        <f>IF(O121=T121,1,0)</f>
        <v>1</v>
      </c>
      <c r="V121" s="9">
        <f>IF(OR(M121=0,U121=1),0,IF(T121="GST on Income",ROUND(K121*0.1,2),ROUND(-K121*0.1,2)))</f>
        <v>0</v>
      </c>
    </row>
    <row r="122">
      <c r="A122" t="inlineStr">
        <is>
          <t>INV-4230-1</t>
        </is>
      </c>
      <c r="B122" t="inlineStr">
        <is>
          <t>INV-4230</t>
        </is>
      </c>
      <c r="C122" s="11" t="n">
        <v>45865</v>
      </c>
      <c r="D122" t="inlineStr">
        <is>
          <t>2025-07</t>
        </is>
      </c>
      <c r="E122" t="inlineStr">
        <is>
          <t>C0105</t>
        </is>
      </c>
      <c r="F122" t="inlineStr">
        <is>
          <t>C0105</t>
        </is>
      </c>
      <c r="G122" t="inlineStr">
        <is>
          <t>Priya Walker</t>
        </is>
      </c>
      <c r="H122" t="inlineStr">
        <is>
          <t>S0025</t>
        </is>
      </c>
      <c r="I122" t="inlineStr">
        <is>
          <t>Temporary fence hire 4 wks (29/06/25-26/07/25) - 76 panels</t>
        </is>
      </c>
      <c r="J122" t="n">
        <v>304</v>
      </c>
      <c r="K122" s="9" t="n">
        <v>1368</v>
      </c>
      <c r="L122" t="inlineStr">
        <is>
          <t>PAID</t>
        </is>
      </c>
      <c r="M122">
        <f>IF(L122="VOIDED",0,1)</f>
        <v>1</v>
      </c>
      <c r="N122" t="n">
        <v>200</v>
      </c>
      <c r="O122" t="inlineStr">
        <is>
          <t>GST on Income</t>
        </is>
      </c>
      <c r="P122" t="inlineStr">
        <is>
          <t>R03</t>
        </is>
      </c>
      <c r="Q122" t="inlineStr">
        <is>
          <t>HIRE-FP</t>
        </is>
      </c>
      <c r="R122">
        <f>IF(OR(Q122="CONTEXT",Q122="REVIEW"),"",INDEX('Category Rules'!$D$5:$D$17,MATCH(P122,'Category Rules'!$A$5:$A$17,0)))</f>
        <v>4010</v>
      </c>
      <c r="S122" t="str">
        <f>IF(Q122="CONTEXT","Fencing",IF(Q122="REVIEW","",INDEX('Category Rules'!$E$5:$E$17,MATCH(P122,'Category Rules'!$A$5:$A$17,0))))</f>
        <v>Fencing</v>
      </c>
      <c r="T122" t="str">
        <f>IF(Q122="DEP","BAS Excluded","GST on Income")</f>
        <v>GST on Income</v>
      </c>
      <c r="U122">
        <f>IF(O122=T122,1,0)</f>
        <v>1</v>
      </c>
      <c r="V122" s="9">
        <f>IF(OR(M122=0,U122=1),0,IF(T122="GST on Income",ROUND(K122*0.1,2),ROUND(-K122*0.1,2)))</f>
        <v>0</v>
      </c>
    </row>
    <row r="123">
      <c r="A123" t="inlineStr">
        <is>
          <t>INV-4677-1</t>
        </is>
      </c>
      <c r="B123" t="inlineStr">
        <is>
          <t>INV-4677</t>
        </is>
      </c>
      <c r="C123" s="11" t="n">
        <v>45865</v>
      </c>
      <c r="D123" t="inlineStr">
        <is>
          <t>2025-07</t>
        </is>
      </c>
      <c r="E123" t="inlineStr">
        <is>
          <t>C0018</t>
        </is>
      </c>
      <c r="F123" t="inlineStr">
        <is>
          <t>C0018</t>
        </is>
      </c>
      <c r="G123" t="inlineStr">
        <is>
          <t>Wattle Constructions Pty Ltd</t>
        </is>
      </c>
      <c r="H123" t="inlineStr">
        <is>
          <t>S0121</t>
        </is>
      </c>
      <c r="I123" t="inlineStr">
        <is>
          <t>Temporary fence hire 4 wks (29/06/25-26/07/25) - 35 panels</t>
        </is>
      </c>
      <c r="J123" t="n">
        <v>140</v>
      </c>
      <c r="K123" s="9" t="n">
        <v>630</v>
      </c>
      <c r="L123" t="inlineStr">
        <is>
          <t>PAID</t>
        </is>
      </c>
      <c r="M123">
        <f>IF(L123="VOIDED",0,1)</f>
        <v>1</v>
      </c>
      <c r="N123" t="n">
        <v>200</v>
      </c>
      <c r="O123" t="inlineStr">
        <is>
          <t>GST on Income</t>
        </is>
      </c>
      <c r="P123" t="inlineStr">
        <is>
          <t>R03</t>
        </is>
      </c>
      <c r="Q123" t="inlineStr">
        <is>
          <t>HIRE-FP</t>
        </is>
      </c>
      <c r="R123">
        <f>IF(OR(Q123="CONTEXT",Q123="REVIEW"),"",INDEX('Category Rules'!$D$5:$D$17,MATCH(P123,'Category Rules'!$A$5:$A$17,0)))</f>
        <v>4010</v>
      </c>
      <c r="S123" t="str">
        <f>IF(Q123="CONTEXT","Fencing",IF(Q123="REVIEW","",INDEX('Category Rules'!$E$5:$E$17,MATCH(P123,'Category Rules'!$A$5:$A$17,0))))</f>
        <v>Fencing</v>
      </c>
      <c r="T123" t="str">
        <f>IF(Q123="DEP","BAS Excluded","GST on Income")</f>
        <v>GST on Income</v>
      </c>
      <c r="U123">
        <f>IF(O123=T123,1,0)</f>
        <v>1</v>
      </c>
      <c r="V123" s="9">
        <f>IF(OR(M123=0,U123=1),0,IF(T123="GST on Income",ROUND(K123*0.1,2),ROUND(-K123*0.1,2)))</f>
        <v>0</v>
      </c>
    </row>
    <row r="124">
      <c r="A124" t="inlineStr">
        <is>
          <t>INV-4918-1</t>
        </is>
      </c>
      <c r="B124" t="inlineStr">
        <is>
          <t>INV-4918</t>
        </is>
      </c>
      <c r="C124" s="11" t="n">
        <v>45865</v>
      </c>
      <c r="D124" t="inlineStr">
        <is>
          <t>2025-07</t>
        </is>
      </c>
      <c r="E124" t="inlineStr">
        <is>
          <t>C0022</t>
        </is>
      </c>
      <c r="F124" t="inlineStr">
        <is>
          <t>C0022</t>
        </is>
      </c>
      <c r="G124" t="inlineStr">
        <is>
          <t>Highpoint Projects</t>
        </is>
      </c>
      <c r="H124" t="inlineStr">
        <is>
          <t>S0172</t>
        </is>
      </c>
      <c r="I124" t="inlineStr">
        <is>
          <t>Delivery and installation - temporary fencing</t>
        </is>
      </c>
      <c r="J124" t="n">
        <v>1</v>
      </c>
      <c r="K124" s="9" t="n">
        <v>165</v>
      </c>
      <c r="L124" t="inlineStr">
        <is>
          <t>PAID</t>
        </is>
      </c>
      <c r="M124">
        <f>IF(L124="VOIDED",0,1)</f>
        <v>1</v>
      </c>
      <c r="N124" t="n">
        <v>200</v>
      </c>
      <c r="O124" t="inlineStr">
        <is>
          <t>GST on Income</t>
        </is>
      </c>
      <c r="P124" t="inlineStr">
        <is>
          <t>R07</t>
        </is>
      </c>
      <c r="Q124" t="inlineStr">
        <is>
          <t>DEL-FP</t>
        </is>
      </c>
      <c r="R124">
        <f>IF(OR(Q124="CONTEXT",Q124="REVIEW"),"",INDEX('Category Rules'!$D$5:$D$17,MATCH(P124,'Category Rules'!$A$5:$A$17,0)))</f>
        <v>4020</v>
      </c>
      <c r="S124" t="str">
        <f>IF(Q124="CONTEXT","Fencing",IF(Q124="REVIEW","",INDEX('Category Rules'!$E$5:$E$17,MATCH(P124,'Category Rules'!$A$5:$A$17,0))))</f>
        <v>Fencing</v>
      </c>
      <c r="T124" t="str">
        <f>IF(Q124="DEP","BAS Excluded","GST on Income")</f>
        <v>GST on Income</v>
      </c>
      <c r="U124">
        <f>IF(O124=T124,1,0)</f>
        <v>1</v>
      </c>
      <c r="V124" s="9">
        <f>IF(OR(M124=0,U124=1),0,IF(T124="GST on Income",ROUND(K124*0.1,2),ROUND(-K124*0.1,2)))</f>
        <v>0</v>
      </c>
    </row>
    <row r="125">
      <c r="A125" t="inlineStr">
        <is>
          <t>INV-4918-2</t>
        </is>
      </c>
      <c r="B125" t="inlineStr">
        <is>
          <t>INV-4918</t>
        </is>
      </c>
      <c r="C125" s="11" t="n">
        <v>45865</v>
      </c>
      <c r="D125" t="inlineStr">
        <is>
          <t>2025-07</t>
        </is>
      </c>
      <c r="E125" t="inlineStr">
        <is>
          <t>C0022</t>
        </is>
      </c>
      <c r="F125" t="inlineStr">
        <is>
          <t>C0022</t>
        </is>
      </c>
      <c r="G125" t="inlineStr">
        <is>
          <t>Highpoint Projects</t>
        </is>
      </c>
      <c r="H125" t="inlineStr">
        <is>
          <t>S0172</t>
        </is>
      </c>
      <c r="I125" t="inlineStr">
        <is>
          <t>Installation labour - 23 panels @ 2.20</t>
        </is>
      </c>
      <c r="J125" t="n">
        <v>23</v>
      </c>
      <c r="K125" s="9" t="n">
        <v>50.6</v>
      </c>
      <c r="L125" t="inlineStr">
        <is>
          <t>PAID</t>
        </is>
      </c>
      <c r="M125">
        <f>IF(L125="VOIDED",0,1)</f>
        <v>1</v>
      </c>
      <c r="N125" t="n">
        <v>200</v>
      </c>
      <c r="O125" t="inlineStr">
        <is>
          <t>GST on Income</t>
        </is>
      </c>
      <c r="P125" t="inlineStr">
        <is>
          <t>R07</t>
        </is>
      </c>
      <c r="Q125" t="inlineStr">
        <is>
          <t>DEL-FP</t>
        </is>
      </c>
      <c r="R125">
        <f>IF(OR(Q125="CONTEXT",Q125="REVIEW"),"",INDEX('Category Rules'!$D$5:$D$17,MATCH(P125,'Category Rules'!$A$5:$A$17,0)))</f>
        <v>4020</v>
      </c>
      <c r="S125" t="str">
        <f>IF(Q125="CONTEXT","Fencing",IF(Q125="REVIEW","",INDEX('Category Rules'!$E$5:$E$17,MATCH(P125,'Category Rules'!$A$5:$A$17,0))))</f>
        <v>Fencing</v>
      </c>
      <c r="T125" t="str">
        <f>IF(Q125="DEP","BAS Excluded","GST on Income")</f>
        <v>GST on Income</v>
      </c>
      <c r="U125">
        <f>IF(O125=T125,1,0)</f>
        <v>1</v>
      </c>
      <c r="V125" s="9">
        <f>IF(OR(M125=0,U125=1),0,IF(T125="GST on Income",ROUND(K125*0.1,2),ROUND(-K125*0.1,2)))</f>
        <v>0</v>
      </c>
    </row>
    <row r="126">
      <c r="A126" t="inlineStr">
        <is>
          <t>INV-5068-1</t>
        </is>
      </c>
      <c r="B126" t="inlineStr">
        <is>
          <t>INV-5068</t>
        </is>
      </c>
      <c r="C126" s="11" t="n">
        <v>45865</v>
      </c>
      <c r="D126" t="inlineStr">
        <is>
          <t>2025-07</t>
        </is>
      </c>
      <c r="E126" t="inlineStr">
        <is>
          <t>C0033</t>
        </is>
      </c>
      <c r="F126" t="inlineStr">
        <is>
          <t>C0033</t>
        </is>
      </c>
      <c r="G126" t="inlineStr">
        <is>
          <t>Granite Projects Pty Ltd</t>
        </is>
      </c>
      <c r="H126" t="inlineStr">
        <is>
          <t>S0207</t>
        </is>
      </c>
      <c r="I126" t="inlineStr">
        <is>
          <t>Temporary fence hire 1 wks (23/07/25-26/07/25) - 98 panels</t>
        </is>
      </c>
      <c r="J126" t="n">
        <v>98</v>
      </c>
      <c r="K126" s="9" t="n">
        <v>441</v>
      </c>
      <c r="L126" t="inlineStr">
        <is>
          <t>PAID</t>
        </is>
      </c>
      <c r="M126">
        <f>IF(L126="VOIDED",0,1)</f>
        <v>1</v>
      </c>
      <c r="N126" t="n">
        <v>200</v>
      </c>
      <c r="O126" t="inlineStr">
        <is>
          <t>GST on Income</t>
        </is>
      </c>
      <c r="P126" t="inlineStr">
        <is>
          <t>R03</t>
        </is>
      </c>
      <c r="Q126" t="inlineStr">
        <is>
          <t>HIRE-FP</t>
        </is>
      </c>
      <c r="R126">
        <f>IF(OR(Q126="CONTEXT",Q126="REVIEW"),"",INDEX('Category Rules'!$D$5:$D$17,MATCH(P126,'Category Rules'!$A$5:$A$17,0)))</f>
        <v>4010</v>
      </c>
      <c r="S126" t="str">
        <f>IF(Q126="CONTEXT","Fencing",IF(Q126="REVIEW","",INDEX('Category Rules'!$E$5:$E$17,MATCH(P126,'Category Rules'!$A$5:$A$17,0))))</f>
        <v>Fencing</v>
      </c>
      <c r="T126" t="str">
        <f>IF(Q126="DEP","BAS Excluded","GST on Income")</f>
        <v>GST on Income</v>
      </c>
      <c r="U126">
        <f>IF(O126=T126,1,0)</f>
        <v>1</v>
      </c>
      <c r="V126" s="9">
        <f>IF(OR(M126=0,U126=1),0,IF(T126="GST on Income",ROUND(K126*0.1,2),ROUND(-K126*0.1,2)))</f>
        <v>0</v>
      </c>
    </row>
    <row r="127">
      <c r="A127" t="inlineStr">
        <is>
          <t>INV-5069-1</t>
        </is>
      </c>
      <c r="B127" t="inlineStr">
        <is>
          <t>INV-5069</t>
        </is>
      </c>
      <c r="C127" s="11" t="n">
        <v>45865</v>
      </c>
      <c r="D127" t="inlineStr">
        <is>
          <t>2025-07</t>
        </is>
      </c>
      <c r="E127" t="inlineStr">
        <is>
          <t>C0033</t>
        </is>
      </c>
      <c r="F127" t="inlineStr">
        <is>
          <t>C0033</t>
        </is>
      </c>
      <c r="G127" t="inlineStr">
        <is>
          <t>Granite Projects Pty Ltd</t>
        </is>
      </c>
      <c r="H127" t="inlineStr">
        <is>
          <t>S0207</t>
        </is>
      </c>
      <c r="I127" t="inlineStr">
        <is>
          <t>Collection and dismantle - temporary fencing</t>
        </is>
      </c>
      <c r="J127" t="n">
        <v>1</v>
      </c>
      <c r="K127" s="9" t="n">
        <v>165</v>
      </c>
      <c r="L127" t="inlineStr">
        <is>
          <t>PAID</t>
        </is>
      </c>
      <c r="M127">
        <f>IF(L127="VOIDED",0,1)</f>
        <v>1</v>
      </c>
      <c r="N127" t="n">
        <v>200</v>
      </c>
      <c r="O127" t="inlineStr">
        <is>
          <t>GST on Income</t>
        </is>
      </c>
      <c r="P127" t="inlineStr">
        <is>
          <t>R07</t>
        </is>
      </c>
      <c r="Q127" t="inlineStr">
        <is>
          <t>DEL-FP</t>
        </is>
      </c>
      <c r="R127">
        <f>IF(OR(Q127="CONTEXT",Q127="REVIEW"),"",INDEX('Category Rules'!$D$5:$D$17,MATCH(P127,'Category Rules'!$A$5:$A$17,0)))</f>
        <v>4020</v>
      </c>
      <c r="S127" t="str">
        <f>IF(Q127="CONTEXT","Fencing",IF(Q127="REVIEW","",INDEX('Category Rules'!$E$5:$E$17,MATCH(P127,'Category Rules'!$A$5:$A$17,0))))</f>
        <v>Fencing</v>
      </c>
      <c r="T127" t="str">
        <f>IF(Q127="DEP","BAS Excluded","GST on Income")</f>
        <v>GST on Income</v>
      </c>
      <c r="U127">
        <f>IF(O127=T127,1,0)</f>
        <v>1</v>
      </c>
      <c r="V127" s="9">
        <f>IF(OR(M127=0,U127=1),0,IF(T127="GST on Income",ROUND(K127*0.1,2),ROUND(-K127*0.1,2)))</f>
        <v>0</v>
      </c>
    </row>
    <row r="128">
      <c r="A128" t="inlineStr">
        <is>
          <t>INV-5155-1</t>
        </is>
      </c>
      <c r="B128" t="inlineStr">
        <is>
          <t>INV-5155</t>
        </is>
      </c>
      <c r="C128" s="11" t="n">
        <v>45865</v>
      </c>
      <c r="D128" t="inlineStr">
        <is>
          <t>2025-07</t>
        </is>
      </c>
      <c r="E128" t="inlineStr">
        <is>
          <t>C0020</t>
        </is>
      </c>
      <c r="F128" t="inlineStr">
        <is>
          <t>C0020</t>
        </is>
      </c>
      <c r="G128" t="inlineStr">
        <is>
          <t>Eastlink Constructions</t>
        </is>
      </c>
      <c r="H128" t="inlineStr">
        <is>
          <t>S0227</t>
        </is>
      </c>
      <c r="I128" t="inlineStr">
        <is>
          <t>Temporary fence hire 4 wks (29/06/25-26/07/25) - 62 panels</t>
        </is>
      </c>
      <c r="J128" t="n">
        <v>248</v>
      </c>
      <c r="K128" s="9" t="n">
        <v>1116</v>
      </c>
      <c r="L128" t="inlineStr">
        <is>
          <t>PAID</t>
        </is>
      </c>
      <c r="M128">
        <f>IF(L128="VOIDED",0,1)</f>
        <v>1</v>
      </c>
      <c r="N128" t="n">
        <v>200</v>
      </c>
      <c r="O128" t="inlineStr">
        <is>
          <t>GST on Income</t>
        </is>
      </c>
      <c r="P128" t="inlineStr">
        <is>
          <t>R03</t>
        </is>
      </c>
      <c r="Q128" t="inlineStr">
        <is>
          <t>HIRE-FP</t>
        </is>
      </c>
      <c r="R128">
        <f>IF(OR(Q128="CONTEXT",Q128="REVIEW"),"",INDEX('Category Rules'!$D$5:$D$17,MATCH(P128,'Category Rules'!$A$5:$A$17,0)))</f>
        <v>4010</v>
      </c>
      <c r="S128" t="str">
        <f>IF(Q128="CONTEXT","Fencing",IF(Q128="REVIEW","",INDEX('Category Rules'!$E$5:$E$17,MATCH(P128,'Category Rules'!$A$5:$A$17,0))))</f>
        <v>Fencing</v>
      </c>
      <c r="T128" t="str">
        <f>IF(Q128="DEP","BAS Excluded","GST on Income")</f>
        <v>GST on Income</v>
      </c>
      <c r="U128">
        <f>IF(O128=T128,1,0)</f>
        <v>1</v>
      </c>
      <c r="V128" s="9">
        <f>IF(OR(M128=0,U128=1),0,IF(T128="GST on Income",ROUND(K128*0.1,2),ROUND(-K128*0.1,2)))</f>
        <v>0</v>
      </c>
    </row>
    <row r="129">
      <c r="A129" t="inlineStr">
        <is>
          <t>INV-5215-1</t>
        </is>
      </c>
      <c r="B129" t="inlineStr">
        <is>
          <t>INV-5215</t>
        </is>
      </c>
      <c r="C129" s="11" t="n">
        <v>45865</v>
      </c>
      <c r="D129" t="inlineStr">
        <is>
          <t>2025-07</t>
        </is>
      </c>
      <c r="E129" t="inlineStr">
        <is>
          <t>C0006</t>
        </is>
      </c>
      <c r="F129" t="inlineStr">
        <is>
          <t>C0006</t>
        </is>
      </c>
      <c r="G129" t="inlineStr">
        <is>
          <t>Harbour Homes</t>
        </is>
      </c>
      <c r="H129" t="inlineStr">
        <is>
          <t>S0239</t>
        </is>
      </c>
      <c r="I129" t="inlineStr">
        <is>
          <t>Scaffold tower hire 4 wks (29/06/25-26/07/25) - 1 towers</t>
        </is>
      </c>
      <c r="J129" t="n">
        <v>4</v>
      </c>
      <c r="K129" s="9" t="n">
        <v>380</v>
      </c>
      <c r="L129" t="inlineStr">
        <is>
          <t>PAID</t>
        </is>
      </c>
      <c r="M129">
        <f>IF(L129="VOIDED",0,1)</f>
        <v>1</v>
      </c>
      <c r="N129" t="n">
        <v>200</v>
      </c>
      <c r="O129" t="inlineStr">
        <is>
          <t>GST on Income</t>
        </is>
      </c>
      <c r="P129" t="inlineStr">
        <is>
          <t>R05</t>
        </is>
      </c>
      <c r="Q129" t="inlineStr">
        <is>
          <t>HIRE-ST</t>
        </is>
      </c>
      <c r="R129">
        <f>IF(OR(Q129="CONTEXT",Q129="REVIEW"),"",INDEX('Category Rules'!$D$5:$D$17,MATCH(P129,'Category Rules'!$A$5:$A$17,0)))</f>
        <v>4010</v>
      </c>
      <c r="S129" t="str">
        <f>IF(Q129="CONTEXT","Scaffolding",IF(Q129="REVIEW","",INDEX('Category Rules'!$E$5:$E$17,MATCH(P129,'Category Rules'!$A$5:$A$17,0))))</f>
        <v>Scaffolding</v>
      </c>
      <c r="T129" t="str">
        <f>IF(Q129="DEP","BAS Excluded","GST on Income")</f>
        <v>GST on Income</v>
      </c>
      <c r="U129">
        <f>IF(O129=T129,1,0)</f>
        <v>1</v>
      </c>
      <c r="V129" s="9">
        <f>IF(OR(M129=0,U129=1),0,IF(T129="GST on Income",ROUND(K129*0.1,2),ROUND(-K129*0.1,2)))</f>
        <v>0</v>
      </c>
    </row>
    <row r="130">
      <c r="A130" t="inlineStr">
        <is>
          <t>INV-5270-1</t>
        </is>
      </c>
      <c r="B130" t="inlineStr">
        <is>
          <t>INV-5270</t>
        </is>
      </c>
      <c r="C130" s="11" t="n">
        <v>45865</v>
      </c>
      <c r="D130" t="inlineStr">
        <is>
          <t>2025-07</t>
        </is>
      </c>
      <c r="E130" t="inlineStr">
        <is>
          <t>C0054</t>
        </is>
      </c>
      <c r="F130" t="inlineStr">
        <is>
          <t>C0054</t>
        </is>
      </c>
      <c r="G130" t="inlineStr">
        <is>
          <t>Westside Strata Management Pty Ltd</t>
        </is>
      </c>
      <c r="H130" t="inlineStr">
        <is>
          <t>S0252</t>
        </is>
      </c>
      <c r="I130" t="inlineStr">
        <is>
          <t>Scaffold tower hire 3 wks (12/07/25-26/07/25) - 3 towers</t>
        </is>
      </c>
      <c r="J130" t="n">
        <v>9</v>
      </c>
      <c r="K130" s="9" t="n">
        <v>855</v>
      </c>
      <c r="L130" t="inlineStr">
        <is>
          <t>PAID</t>
        </is>
      </c>
      <c r="M130">
        <f>IF(L130="VOIDED",0,1)</f>
        <v>1</v>
      </c>
      <c r="N130" t="n">
        <v>200</v>
      </c>
      <c r="O130" t="inlineStr">
        <is>
          <t>GST on Income</t>
        </is>
      </c>
      <c r="P130" t="inlineStr">
        <is>
          <t>R05</t>
        </is>
      </c>
      <c r="Q130" t="inlineStr">
        <is>
          <t>HIRE-ST</t>
        </is>
      </c>
      <c r="R130">
        <f>IF(OR(Q130="CONTEXT",Q130="REVIEW"),"",INDEX('Category Rules'!$D$5:$D$17,MATCH(P130,'Category Rules'!$A$5:$A$17,0)))</f>
        <v>4010</v>
      </c>
      <c r="S130" t="str">
        <f>IF(Q130="CONTEXT","Scaffolding",IF(Q130="REVIEW","",INDEX('Category Rules'!$E$5:$E$17,MATCH(P130,'Category Rules'!$A$5:$A$17,0))))</f>
        <v>Scaffolding</v>
      </c>
      <c r="T130" t="str">
        <f>IF(Q130="DEP","BAS Excluded","GST on Income")</f>
        <v>GST on Income</v>
      </c>
      <c r="U130">
        <f>IF(O130=T130,1,0)</f>
        <v>1</v>
      </c>
      <c r="V130" s="9">
        <f>IF(OR(M130=0,U130=1),0,IF(T130="GST on Income",ROUND(K130*0.1,2),ROUND(-K130*0.1,2)))</f>
        <v>0</v>
      </c>
    </row>
    <row r="131">
      <c r="A131" t="inlineStr">
        <is>
          <t>INV-5272-1</t>
        </is>
      </c>
      <c r="B131" t="inlineStr">
        <is>
          <t>INV-5272</t>
        </is>
      </c>
      <c r="C131" s="11" t="n">
        <v>45865</v>
      </c>
      <c r="D131" t="inlineStr">
        <is>
          <t>2025-07</t>
        </is>
      </c>
      <c r="E131" t="inlineStr">
        <is>
          <t>C0054</t>
        </is>
      </c>
      <c r="F131" t="inlineStr">
        <is>
          <t>C0054</t>
        </is>
      </c>
      <c r="G131" t="inlineStr">
        <is>
          <t>Westside Strata Management Pty Ltd</t>
        </is>
      </c>
      <c r="H131" t="inlineStr">
        <is>
          <t>S0252</t>
        </is>
      </c>
      <c r="I131" t="inlineStr">
        <is>
          <t>Scaffold dismantle - 3 tower(s)</t>
        </is>
      </c>
      <c r="J131" t="n">
        <v>3</v>
      </c>
      <c r="K131" s="9" t="n">
        <v>960</v>
      </c>
      <c r="L131" t="inlineStr">
        <is>
          <t>PAID</t>
        </is>
      </c>
      <c r="M131">
        <f>IF(L131="VOIDED",0,1)</f>
        <v>1</v>
      </c>
      <c r="N131" t="n">
        <v>200</v>
      </c>
      <c r="O131" t="inlineStr">
        <is>
          <t>GST on Income</t>
        </is>
      </c>
      <c r="P131" t="inlineStr">
        <is>
          <t>R08</t>
        </is>
      </c>
      <c r="Q131" t="inlineStr">
        <is>
          <t>LAB-ST</t>
        </is>
      </c>
      <c r="R131">
        <f>IF(OR(Q131="CONTEXT",Q131="REVIEW"),"",INDEX('Category Rules'!$D$5:$D$17,MATCH(P131,'Category Rules'!$A$5:$A$17,0)))</f>
        <v>4020</v>
      </c>
      <c r="S131" t="str">
        <f>IF(Q131="CONTEXT","Scaffolding",IF(Q131="REVIEW","",INDEX('Category Rules'!$E$5:$E$17,MATCH(P131,'Category Rules'!$A$5:$A$17,0))))</f>
        <v>Scaffolding</v>
      </c>
      <c r="T131" t="str">
        <f>IF(Q131="DEP","BAS Excluded","GST on Income")</f>
        <v>GST on Income</v>
      </c>
      <c r="U131">
        <f>IF(O131=T131,1,0)</f>
        <v>1</v>
      </c>
      <c r="V131" s="9">
        <f>IF(OR(M131=0,U131=1),0,IF(T131="GST on Income",ROUND(K131*0.1,2),ROUND(-K131*0.1,2)))</f>
        <v>0</v>
      </c>
    </row>
    <row r="132">
      <c r="A132" t="inlineStr">
        <is>
          <t>INV-4254-1</t>
        </is>
      </c>
      <c r="B132" t="inlineStr">
        <is>
          <t>INV-4254</t>
        </is>
      </c>
      <c r="C132" s="11" t="n">
        <v>45866</v>
      </c>
      <c r="D132" t="inlineStr">
        <is>
          <t>2025-07</t>
        </is>
      </c>
      <c r="E132" t="inlineStr">
        <is>
          <t>C0071</t>
        </is>
      </c>
      <c r="F132" t="inlineStr">
        <is>
          <t>C0071</t>
        </is>
      </c>
      <c r="G132" t="inlineStr">
        <is>
          <t>Maribyrnong City Council</t>
        </is>
      </c>
      <c r="H132" t="inlineStr">
        <is>
          <t>S0031</t>
        </is>
      </c>
      <c r="I132" t="inlineStr">
        <is>
          <t>Temporary fence hire 4 wks (30/06/25-27/07/25) - 147 panels</t>
        </is>
      </c>
      <c r="J132" t="n">
        <v>588</v>
      </c>
      <c r="K132" s="9" t="n">
        <v>2646</v>
      </c>
      <c r="L132" t="inlineStr">
        <is>
          <t>PAID</t>
        </is>
      </c>
      <c r="M132">
        <f>IF(L132="VOIDED",0,1)</f>
        <v>1</v>
      </c>
      <c r="N132" t="n">
        <v>200</v>
      </c>
      <c r="O132" t="inlineStr">
        <is>
          <t>GST on Income</t>
        </is>
      </c>
      <c r="P132" t="inlineStr">
        <is>
          <t>R03</t>
        </is>
      </c>
      <c r="Q132" t="inlineStr">
        <is>
          <t>HIRE-FP</t>
        </is>
      </c>
      <c r="R132">
        <f>IF(OR(Q132="CONTEXT",Q132="REVIEW"),"",INDEX('Category Rules'!$D$5:$D$17,MATCH(P132,'Category Rules'!$A$5:$A$17,0)))</f>
        <v>4010</v>
      </c>
      <c r="S132" t="str">
        <f>IF(Q132="CONTEXT","Fencing",IF(Q132="REVIEW","",INDEX('Category Rules'!$E$5:$E$17,MATCH(P132,'Category Rules'!$A$5:$A$17,0))))</f>
        <v>Fencing</v>
      </c>
      <c r="T132" t="str">
        <f>IF(Q132="DEP","BAS Excluded","GST on Income")</f>
        <v>GST on Income</v>
      </c>
      <c r="U132">
        <f>IF(O132=T132,1,0)</f>
        <v>1</v>
      </c>
      <c r="V132" s="9">
        <f>IF(OR(M132=0,U132=1),0,IF(T132="GST on Income",ROUND(K132*0.1,2),ROUND(-K132*0.1,2)))</f>
        <v>0</v>
      </c>
    </row>
    <row r="133">
      <c r="A133" t="inlineStr">
        <is>
          <t>INV-4255-1</t>
        </is>
      </c>
      <c r="B133" t="inlineStr">
        <is>
          <t>INV-4255</t>
        </is>
      </c>
      <c r="C133" s="11" t="n">
        <v>45866</v>
      </c>
      <c r="D133" t="inlineStr">
        <is>
          <t>2025-07</t>
        </is>
      </c>
      <c r="E133" t="inlineStr">
        <is>
          <t>C0071</t>
        </is>
      </c>
      <c r="F133" t="inlineStr">
        <is>
          <t>C0071</t>
        </is>
      </c>
      <c r="G133" t="inlineStr">
        <is>
          <t>Maribyrnong City Council</t>
        </is>
      </c>
      <c r="H133" t="inlineStr">
        <is>
          <t>S0031</t>
        </is>
      </c>
      <c r="I133" t="inlineStr">
        <is>
          <t>Collection and dismantle - temporary fencing</t>
        </is>
      </c>
      <c r="J133" t="n">
        <v>1</v>
      </c>
      <c r="K133" s="9" t="n">
        <v>165</v>
      </c>
      <c r="L133" t="inlineStr">
        <is>
          <t>PAID</t>
        </is>
      </c>
      <c r="M133">
        <f>IF(L133="VOIDED",0,1)</f>
        <v>1</v>
      </c>
      <c r="N133" t="n">
        <v>260</v>
      </c>
      <c r="O133" t="inlineStr">
        <is>
          <t>GST on Income</t>
        </is>
      </c>
      <c r="P133" t="inlineStr">
        <is>
          <t>R07</t>
        </is>
      </c>
      <c r="Q133" t="inlineStr">
        <is>
          <t>DEL-FP</t>
        </is>
      </c>
      <c r="R133">
        <f>IF(OR(Q133="CONTEXT",Q133="REVIEW"),"",INDEX('Category Rules'!$D$5:$D$17,MATCH(P133,'Category Rules'!$A$5:$A$17,0)))</f>
        <v>4020</v>
      </c>
      <c r="S133" t="str">
        <f>IF(Q133="CONTEXT","Fencing",IF(Q133="REVIEW","",INDEX('Category Rules'!$E$5:$E$17,MATCH(P133,'Category Rules'!$A$5:$A$17,0))))</f>
        <v>Fencing</v>
      </c>
      <c r="T133" t="str">
        <f>IF(Q133="DEP","BAS Excluded","GST on Income")</f>
        <v>GST on Income</v>
      </c>
      <c r="U133">
        <f>IF(O133=T133,1,0)</f>
        <v>1</v>
      </c>
      <c r="V133" s="9">
        <f>IF(OR(M133=0,U133=1),0,IF(T133="GST on Income",ROUND(K133*0.1,2),ROUND(-K133*0.1,2)))</f>
        <v>0</v>
      </c>
    </row>
    <row r="134">
      <c r="A134" t="inlineStr">
        <is>
          <t>INV-4463-1</t>
        </is>
      </c>
      <c r="B134" t="inlineStr">
        <is>
          <t>INV-4463</t>
        </is>
      </c>
      <c r="C134" s="11" t="n">
        <v>45866</v>
      </c>
      <c r="D134" t="inlineStr">
        <is>
          <t>2025-07</t>
        </is>
      </c>
      <c r="E134" t="inlineStr">
        <is>
          <t>C0022</t>
        </is>
      </c>
      <c r="F134" t="inlineStr">
        <is>
          <t>C0022</t>
        </is>
      </c>
      <c r="G134" t="inlineStr">
        <is>
          <t>Highpoint Projects</t>
        </is>
      </c>
      <c r="H134" t="inlineStr">
        <is>
          <t>S0074</t>
        </is>
      </c>
      <c r="I134" t="inlineStr">
        <is>
          <t>Temporary fence hire 4 wks (30/06/25-27/07/25) - 98 panels</t>
        </is>
      </c>
      <c r="J134" t="n">
        <v>392</v>
      </c>
      <c r="K134" s="9" t="n">
        <v>1764</v>
      </c>
      <c r="L134" t="inlineStr">
        <is>
          <t>PAID</t>
        </is>
      </c>
      <c r="M134">
        <f>IF(L134="VOIDED",0,1)</f>
        <v>1</v>
      </c>
      <c r="N134" t="n">
        <v>200</v>
      </c>
      <c r="O134" t="inlineStr">
        <is>
          <t>GST on Income</t>
        </is>
      </c>
      <c r="P134" t="inlineStr">
        <is>
          <t>R03</t>
        </is>
      </c>
      <c r="Q134" t="inlineStr">
        <is>
          <t>HIRE-FP</t>
        </is>
      </c>
      <c r="R134">
        <f>IF(OR(Q134="CONTEXT",Q134="REVIEW"),"",INDEX('Category Rules'!$D$5:$D$17,MATCH(P134,'Category Rules'!$A$5:$A$17,0)))</f>
        <v>4010</v>
      </c>
      <c r="S134" t="str">
        <f>IF(Q134="CONTEXT","Fencing",IF(Q134="REVIEW","",INDEX('Category Rules'!$E$5:$E$17,MATCH(P134,'Category Rules'!$A$5:$A$17,0))))</f>
        <v>Fencing</v>
      </c>
      <c r="T134" t="str">
        <f>IF(Q134="DEP","BAS Excluded","GST on Income")</f>
        <v>GST on Income</v>
      </c>
      <c r="U134">
        <f>IF(O134=T134,1,0)</f>
        <v>1</v>
      </c>
      <c r="V134" s="9">
        <f>IF(OR(M134=0,U134=1),0,IF(T134="GST on Income",ROUND(K134*0.1,2),ROUND(-K134*0.1,2)))</f>
        <v>0</v>
      </c>
    </row>
    <row r="135">
      <c r="A135" t="inlineStr">
        <is>
          <t>INV-4758-1</t>
        </is>
      </c>
      <c r="B135" t="inlineStr">
        <is>
          <t>INV-4758</t>
        </is>
      </c>
      <c r="C135" s="11" t="n">
        <v>45866</v>
      </c>
      <c r="D135" t="inlineStr">
        <is>
          <t>2025-07</t>
        </is>
      </c>
      <c r="E135" t="inlineStr">
        <is>
          <t>C0039</t>
        </is>
      </c>
      <c r="F135" t="inlineStr">
        <is>
          <t>C0039</t>
        </is>
      </c>
      <c r="G135" t="inlineStr">
        <is>
          <t>Coastline Developments Pty Ltd</t>
        </is>
      </c>
      <c r="H135" t="inlineStr">
        <is>
          <t>S0137</t>
        </is>
      </c>
      <c r="I135" t="inlineStr">
        <is>
          <t>Temporary fence hire 4 wks (30/06/25-27/07/25) - 84 panels</t>
        </is>
      </c>
      <c r="J135" t="n">
        <v>336</v>
      </c>
      <c r="K135" s="9" t="n">
        <v>1512</v>
      </c>
      <c r="L135" t="inlineStr">
        <is>
          <t>PAID</t>
        </is>
      </c>
      <c r="M135">
        <f>IF(L135="VOIDED",0,1)</f>
        <v>1</v>
      </c>
      <c r="N135" t="n">
        <v>260</v>
      </c>
      <c r="O135" t="inlineStr">
        <is>
          <t>GST on Income</t>
        </is>
      </c>
      <c r="P135" t="inlineStr">
        <is>
          <t>R03</t>
        </is>
      </c>
      <c r="Q135" t="inlineStr">
        <is>
          <t>HIRE-FP</t>
        </is>
      </c>
      <c r="R135">
        <f>IF(OR(Q135="CONTEXT",Q135="REVIEW"),"",INDEX('Category Rules'!$D$5:$D$17,MATCH(P135,'Category Rules'!$A$5:$A$17,0)))</f>
        <v>4010</v>
      </c>
      <c r="S135" t="str">
        <f>IF(Q135="CONTEXT","Fencing",IF(Q135="REVIEW","",INDEX('Category Rules'!$E$5:$E$17,MATCH(P135,'Category Rules'!$A$5:$A$17,0))))</f>
        <v>Fencing</v>
      </c>
      <c r="T135" t="str">
        <f>IF(Q135="DEP","BAS Excluded","GST on Income")</f>
        <v>GST on Income</v>
      </c>
      <c r="U135">
        <f>IF(O135=T135,1,0)</f>
        <v>1</v>
      </c>
      <c r="V135" s="9">
        <f>IF(OR(M135=0,U135=1),0,IF(T135="GST on Income",ROUND(K135*0.1,2),ROUND(-K135*0.1,2)))</f>
        <v>0</v>
      </c>
    </row>
    <row r="136">
      <c r="A136" t="inlineStr">
        <is>
          <t>INV-5234-1</t>
        </is>
      </c>
      <c r="B136" t="inlineStr">
        <is>
          <t>INV-5234</t>
        </is>
      </c>
      <c r="C136" s="11" t="n">
        <v>45866</v>
      </c>
      <c r="D136" t="inlineStr">
        <is>
          <t>2025-07</t>
        </is>
      </c>
      <c r="E136" t="inlineStr">
        <is>
          <t>C0016</t>
        </is>
      </c>
      <c r="F136" t="inlineStr">
        <is>
          <t>C0016</t>
        </is>
      </c>
      <c r="G136" t="inlineStr">
        <is>
          <t>Juniper Developments Pty Ltd</t>
        </is>
      </c>
      <c r="H136" t="inlineStr">
        <is>
          <t>S0244</t>
        </is>
      </c>
      <c r="I136" t="inlineStr">
        <is>
          <t>Scaffold tower hire 4 wks (30/06/25-27/07/25) - 1 towers</t>
        </is>
      </c>
      <c r="J136" t="n">
        <v>4</v>
      </c>
      <c r="K136" s="9" t="n">
        <v>380</v>
      </c>
      <c r="L136" t="inlineStr">
        <is>
          <t>PAID</t>
        </is>
      </c>
      <c r="M136">
        <f>IF(L136="VOIDED",0,1)</f>
        <v>1</v>
      </c>
      <c r="N136" t="n">
        <v>200</v>
      </c>
      <c r="O136" t="inlineStr">
        <is>
          <t>GST on Income</t>
        </is>
      </c>
      <c r="P136" t="inlineStr">
        <is>
          <t>R05</t>
        </is>
      </c>
      <c r="Q136" t="inlineStr">
        <is>
          <t>HIRE-ST</t>
        </is>
      </c>
      <c r="R136">
        <f>IF(OR(Q136="CONTEXT",Q136="REVIEW"),"",INDEX('Category Rules'!$D$5:$D$17,MATCH(P136,'Category Rules'!$A$5:$A$17,0)))</f>
        <v>4010</v>
      </c>
      <c r="S136" t="str">
        <f>IF(Q136="CONTEXT","Scaffolding",IF(Q136="REVIEW","",INDEX('Category Rules'!$E$5:$E$17,MATCH(P136,'Category Rules'!$A$5:$A$17,0))))</f>
        <v>Scaffolding</v>
      </c>
      <c r="T136" t="str">
        <f>IF(Q136="DEP","BAS Excluded","GST on Income")</f>
        <v>GST on Income</v>
      </c>
      <c r="U136">
        <f>IF(O136=T136,1,0)</f>
        <v>1</v>
      </c>
      <c r="V136" s="9">
        <f>IF(OR(M136=0,U136=1),0,IF(T136="GST on Income",ROUND(K136*0.1,2),ROUND(-K136*0.1,2)))</f>
        <v>0</v>
      </c>
    </row>
    <row r="137">
      <c r="A137" t="inlineStr">
        <is>
          <t>INV-5908-1</t>
        </is>
      </c>
      <c r="B137" t="inlineStr">
        <is>
          <t>INV-5908</t>
        </is>
      </c>
      <c r="C137" s="11" t="n">
        <v>45866</v>
      </c>
      <c r="D137" t="inlineStr">
        <is>
          <t>2025-07</t>
        </is>
      </c>
      <c r="E137" t="inlineStr">
        <is>
          <t>C0024</t>
        </is>
      </c>
      <c r="F137" t="inlineStr">
        <is>
          <t>C0024</t>
        </is>
      </c>
      <c r="G137" t="inlineStr">
        <is>
          <t>Parkview Homes Pty Ltd</t>
        </is>
      </c>
      <c r="H137" t="inlineStr">
        <is>
          <t>S0072</t>
        </is>
      </c>
      <c r="I137" t="inlineStr">
        <is>
          <t>Site works</t>
        </is>
      </c>
      <c r="J137" t="n">
        <v>1</v>
      </c>
      <c r="K137" s="9" t="n">
        <v>2079.17</v>
      </c>
      <c r="L137" t="inlineStr">
        <is>
          <t>PAID</t>
        </is>
      </c>
      <c r="M137">
        <f>IF(L137="VOIDED",0,1)</f>
        <v>1</v>
      </c>
      <c r="N137" t="n">
        <v>260</v>
      </c>
      <c r="O137" t="inlineStr">
        <is>
          <t>GST on Income</t>
        </is>
      </c>
      <c r="P137" t="inlineStr">
        <is>
          <t>R12</t>
        </is>
      </c>
      <c r="Q137" t="inlineStr">
        <is>
          <t>CONTEXT</t>
        </is>
      </c>
      <c r="R137">
        <f>IF(OR(Q137="CONTEXT",Q137="REVIEW"),"",INDEX('Category Rules'!$D$5:$D$17,MATCH(P137,'Category Rules'!$A$5:$A$17,0)))</f>
      </c>
      <c r="S137" t="str">
        <f>IF(Q137="CONTEXT","Fencing",IF(Q137="REVIEW","",INDEX('Category Rules'!$E$5:$E$17,MATCH(P137,'Category Rules'!$A$5:$A$17,0))))</f>
        <v>Fencing</v>
      </c>
      <c r="T137" t="str">
        <f>IF(Q137="DEP","BAS Excluded","GST on Income")</f>
        <v>GST on Income</v>
      </c>
      <c r="U137">
        <f>IF(O137=T137,1,0)</f>
        <v>1</v>
      </c>
      <c r="V137" s="9">
        <f>IF(OR(M137=0,U137=1),0,IF(T137="GST on Income",ROUND(K137*0.1,2),ROUND(-K137*0.1,2)))</f>
        <v>0</v>
      </c>
    </row>
    <row r="138">
      <c r="A138" t="inlineStr">
        <is>
          <t>INV-4445-1</t>
        </is>
      </c>
      <c r="B138" t="inlineStr">
        <is>
          <t>INV-4445</t>
        </is>
      </c>
      <c r="C138" s="11" t="n">
        <v>45867</v>
      </c>
      <c r="D138" t="inlineStr">
        <is>
          <t>2025-07</t>
        </is>
      </c>
      <c r="E138" t="inlineStr">
        <is>
          <t>C0038</t>
        </is>
      </c>
      <c r="F138" t="inlineStr">
        <is>
          <t>C0038</t>
        </is>
      </c>
      <c r="G138" t="inlineStr">
        <is>
          <t>Cobalt Constructions Pty Ltd</t>
        </is>
      </c>
      <c r="H138" t="inlineStr">
        <is>
          <t>S0068</t>
        </is>
      </c>
      <c r="I138" t="inlineStr">
        <is>
          <t>Delivery and installation - temporary fencing</t>
        </is>
      </c>
      <c r="J138" t="n">
        <v>1</v>
      </c>
      <c r="K138" s="9" t="n">
        <v>165</v>
      </c>
      <c r="L138" t="inlineStr">
        <is>
          <t>PAID</t>
        </is>
      </c>
      <c r="M138">
        <f>IF(L138="VOIDED",0,1)</f>
        <v>1</v>
      </c>
      <c r="N138" t="n">
        <v>200</v>
      </c>
      <c r="O138" t="inlineStr">
        <is>
          <t>GST on Income</t>
        </is>
      </c>
      <c r="P138" t="inlineStr">
        <is>
          <t>R07</t>
        </is>
      </c>
      <c r="Q138" t="inlineStr">
        <is>
          <t>DEL-FP</t>
        </is>
      </c>
      <c r="R138">
        <f>IF(OR(Q138="CONTEXT",Q138="REVIEW"),"",INDEX('Category Rules'!$D$5:$D$17,MATCH(P138,'Category Rules'!$A$5:$A$17,0)))</f>
        <v>4020</v>
      </c>
      <c r="S138" t="str">
        <f>IF(Q138="CONTEXT","Fencing",IF(Q138="REVIEW","",INDEX('Category Rules'!$E$5:$E$17,MATCH(P138,'Category Rules'!$A$5:$A$17,0))))</f>
        <v>Fencing</v>
      </c>
      <c r="T138" t="str">
        <f>IF(Q138="DEP","BAS Excluded","GST on Income")</f>
        <v>GST on Income</v>
      </c>
      <c r="U138">
        <f>IF(O138=T138,1,0)</f>
        <v>1</v>
      </c>
      <c r="V138" s="9">
        <f>IF(OR(M138=0,U138=1),0,IF(T138="GST on Income",ROUND(K138*0.1,2),ROUND(-K138*0.1,2)))</f>
        <v>0</v>
      </c>
    </row>
    <row r="139">
      <c r="A139" t="inlineStr">
        <is>
          <t>INV-4445-2</t>
        </is>
      </c>
      <c r="B139" t="inlineStr">
        <is>
          <t>INV-4445</t>
        </is>
      </c>
      <c r="C139" s="11" t="n">
        <v>45867</v>
      </c>
      <c r="D139" t="inlineStr">
        <is>
          <t>2025-07</t>
        </is>
      </c>
      <c r="E139" t="inlineStr">
        <is>
          <t>C0038</t>
        </is>
      </c>
      <c r="F139" t="inlineStr">
        <is>
          <t>C0038</t>
        </is>
      </c>
      <c r="G139" t="inlineStr">
        <is>
          <t>Cobalt Constructions Pty Ltd</t>
        </is>
      </c>
      <c r="H139" t="inlineStr">
        <is>
          <t>S0068</t>
        </is>
      </c>
      <c r="I139" t="inlineStr">
        <is>
          <t>Installation labour - 38 panels @ 2.20</t>
        </is>
      </c>
      <c r="J139" t="n">
        <v>38</v>
      </c>
      <c r="K139" s="9" t="n">
        <v>83.59999999999999</v>
      </c>
      <c r="L139" t="inlineStr">
        <is>
          <t>PAID</t>
        </is>
      </c>
      <c r="M139">
        <f>IF(L139="VOIDED",0,1)</f>
        <v>1</v>
      </c>
      <c r="N139" t="n">
        <v>200</v>
      </c>
      <c r="O139" t="inlineStr">
        <is>
          <t>GST on Income</t>
        </is>
      </c>
      <c r="P139" t="inlineStr">
        <is>
          <t>R07</t>
        </is>
      </c>
      <c r="Q139" t="inlineStr">
        <is>
          <t>DEL-FP</t>
        </is>
      </c>
      <c r="R139">
        <f>IF(OR(Q139="CONTEXT",Q139="REVIEW"),"",INDEX('Category Rules'!$D$5:$D$17,MATCH(P139,'Category Rules'!$A$5:$A$17,0)))</f>
        <v>4020</v>
      </c>
      <c r="S139" t="str">
        <f>IF(Q139="CONTEXT","Fencing",IF(Q139="REVIEW","",INDEX('Category Rules'!$E$5:$E$17,MATCH(P139,'Category Rules'!$A$5:$A$17,0))))</f>
        <v>Fencing</v>
      </c>
      <c r="T139" t="str">
        <f>IF(Q139="DEP","BAS Excluded","GST on Income")</f>
        <v>GST on Income</v>
      </c>
      <c r="U139">
        <f>IF(O139=T139,1,0)</f>
        <v>1</v>
      </c>
      <c r="V139" s="9">
        <f>IF(OR(M139=0,U139=1),0,IF(T139="GST on Income",ROUND(K139*0.1,2),ROUND(-K139*0.1,2)))</f>
        <v>0</v>
      </c>
    </row>
    <row r="140">
      <c r="A140" t="inlineStr">
        <is>
          <t>INV-4554-1</t>
        </is>
      </c>
      <c r="B140" t="inlineStr">
        <is>
          <t>INV-4554</t>
        </is>
      </c>
      <c r="C140" s="11" t="n">
        <v>45867</v>
      </c>
      <c r="D140" t="inlineStr">
        <is>
          <t>2025-07</t>
        </is>
      </c>
      <c r="E140" t="inlineStr">
        <is>
          <t>C0014</t>
        </is>
      </c>
      <c r="F140" t="inlineStr">
        <is>
          <t>C0014</t>
        </is>
      </c>
      <c r="G140" t="inlineStr">
        <is>
          <t>Riverbend Homes Pty Ltd</t>
        </is>
      </c>
      <c r="H140" t="inlineStr">
        <is>
          <t>S0091</t>
        </is>
      </c>
      <c r="I140" t="inlineStr">
        <is>
          <t>Temporary fence hire 4 wks (01/07/25-28/07/25) - 32 panels</t>
        </is>
      </c>
      <c r="J140" t="n">
        <v>128</v>
      </c>
      <c r="K140" s="9" t="n">
        <v>576</v>
      </c>
      <c r="L140" t="inlineStr">
        <is>
          <t>PAID</t>
        </is>
      </c>
      <c r="M140">
        <f>IF(L140="VOIDED",0,1)</f>
        <v>1</v>
      </c>
      <c r="N140" t="n">
        <v>260</v>
      </c>
      <c r="O140" t="inlineStr">
        <is>
          <t>GST on Income</t>
        </is>
      </c>
      <c r="P140" t="inlineStr">
        <is>
          <t>R03</t>
        </is>
      </c>
      <c r="Q140" t="inlineStr">
        <is>
          <t>HIRE-FP</t>
        </is>
      </c>
      <c r="R140">
        <f>IF(OR(Q140="CONTEXT",Q140="REVIEW"),"",INDEX('Category Rules'!$D$5:$D$17,MATCH(P140,'Category Rules'!$A$5:$A$17,0)))</f>
        <v>4010</v>
      </c>
      <c r="S140" t="str">
        <f>IF(Q140="CONTEXT","Fencing",IF(Q140="REVIEW","",INDEX('Category Rules'!$E$5:$E$17,MATCH(P140,'Category Rules'!$A$5:$A$17,0))))</f>
        <v>Fencing</v>
      </c>
      <c r="T140" t="str">
        <f>IF(Q140="DEP","BAS Excluded","GST on Income")</f>
        <v>GST on Income</v>
      </c>
      <c r="U140">
        <f>IF(O140=T140,1,0)</f>
        <v>1</v>
      </c>
      <c r="V140" s="9">
        <f>IF(OR(M140=0,U140=1),0,IF(T140="GST on Income",ROUND(K140*0.1,2),ROUND(-K140*0.1,2)))</f>
        <v>0</v>
      </c>
    </row>
    <row r="141">
      <c r="A141" t="inlineStr">
        <is>
          <t>INV-4973-1</t>
        </is>
      </c>
      <c r="B141" t="inlineStr">
        <is>
          <t>INV-4973</t>
        </is>
      </c>
      <c r="C141" s="11" t="n">
        <v>45867</v>
      </c>
      <c r="D141" t="inlineStr">
        <is>
          <t>2025-07</t>
        </is>
      </c>
      <c r="E141" t="inlineStr">
        <is>
          <t>C0122</t>
        </is>
      </c>
      <c r="F141" t="inlineStr">
        <is>
          <t>C0122</t>
        </is>
      </c>
      <c r="G141" t="inlineStr">
        <is>
          <t>Bluegum Construction Pty Ltd</t>
        </is>
      </c>
      <c r="H141" t="inlineStr">
        <is>
          <t>S0185</t>
        </is>
      </c>
      <c r="I141" t="inlineStr">
        <is>
          <t>Delivery and installation - temporary fencing</t>
        </is>
      </c>
      <c r="J141" t="n">
        <v>1</v>
      </c>
      <c r="K141" s="9" t="n">
        <v>165</v>
      </c>
      <c r="L141" t="inlineStr">
        <is>
          <t>PAID</t>
        </is>
      </c>
      <c r="M141">
        <f>IF(L141="VOIDED",0,1)</f>
        <v>1</v>
      </c>
      <c r="N141" t="n">
        <v>200</v>
      </c>
      <c r="O141" t="inlineStr">
        <is>
          <t>GST on Income</t>
        </is>
      </c>
      <c r="P141" t="inlineStr">
        <is>
          <t>R07</t>
        </is>
      </c>
      <c r="Q141" t="inlineStr">
        <is>
          <t>DEL-FP</t>
        </is>
      </c>
      <c r="R141">
        <f>IF(OR(Q141="CONTEXT",Q141="REVIEW"),"",INDEX('Category Rules'!$D$5:$D$17,MATCH(P141,'Category Rules'!$A$5:$A$17,0)))</f>
        <v>4020</v>
      </c>
      <c r="S141" t="str">
        <f>IF(Q141="CONTEXT","Fencing",IF(Q141="REVIEW","",INDEX('Category Rules'!$E$5:$E$17,MATCH(P141,'Category Rules'!$A$5:$A$17,0))))</f>
        <v>Fencing</v>
      </c>
      <c r="T141" t="str">
        <f>IF(Q141="DEP","BAS Excluded","GST on Income")</f>
        <v>GST on Income</v>
      </c>
      <c r="U141">
        <f>IF(O141=T141,1,0)</f>
        <v>1</v>
      </c>
      <c r="V141" s="9">
        <f>IF(OR(M141=0,U141=1),0,IF(T141="GST on Income",ROUND(K141*0.1,2),ROUND(-K141*0.1,2)))</f>
        <v>0</v>
      </c>
    </row>
    <row r="142">
      <c r="A142" t="inlineStr">
        <is>
          <t>INV-4973-2</t>
        </is>
      </c>
      <c r="B142" t="inlineStr">
        <is>
          <t>INV-4973</t>
        </is>
      </c>
      <c r="C142" s="11" t="n">
        <v>45867</v>
      </c>
      <c r="D142" t="inlineStr">
        <is>
          <t>2025-07</t>
        </is>
      </c>
      <c r="E142" t="inlineStr">
        <is>
          <t>C0122</t>
        </is>
      </c>
      <c r="F142" t="inlineStr">
        <is>
          <t>C0122</t>
        </is>
      </c>
      <c r="G142" t="inlineStr">
        <is>
          <t>Bluegum Construction Pty Ltd</t>
        </is>
      </c>
      <c r="H142" t="inlineStr">
        <is>
          <t>S0185</t>
        </is>
      </c>
      <c r="I142" t="inlineStr">
        <is>
          <t>Installation labour - 54 panels @ 2.20</t>
        </is>
      </c>
      <c r="J142" t="n">
        <v>54</v>
      </c>
      <c r="K142" s="9" t="n">
        <v>118.8</v>
      </c>
      <c r="L142" t="inlineStr">
        <is>
          <t>PAID</t>
        </is>
      </c>
      <c r="M142">
        <f>IF(L142="VOIDED",0,1)</f>
        <v>1</v>
      </c>
      <c r="N142" t="n">
        <v>200</v>
      </c>
      <c r="O142" t="inlineStr">
        <is>
          <t>GST on Income</t>
        </is>
      </c>
      <c r="P142" t="inlineStr">
        <is>
          <t>R07</t>
        </is>
      </c>
      <c r="Q142" t="inlineStr">
        <is>
          <t>DEL-FP</t>
        </is>
      </c>
      <c r="R142">
        <f>IF(OR(Q142="CONTEXT",Q142="REVIEW"),"",INDEX('Category Rules'!$D$5:$D$17,MATCH(P142,'Category Rules'!$A$5:$A$17,0)))</f>
        <v>4020</v>
      </c>
      <c r="S142" t="str">
        <f>IF(Q142="CONTEXT","Fencing",IF(Q142="REVIEW","",INDEX('Category Rules'!$E$5:$E$17,MATCH(P142,'Category Rules'!$A$5:$A$17,0))))</f>
        <v>Fencing</v>
      </c>
      <c r="T142" t="str">
        <f>IF(Q142="DEP","BAS Excluded","GST on Income")</f>
        <v>GST on Income</v>
      </c>
      <c r="U142">
        <f>IF(O142=T142,1,0)</f>
        <v>1</v>
      </c>
      <c r="V142" s="9">
        <f>IF(OR(M142=0,U142=1),0,IF(T142="GST on Income",ROUND(K142*0.1,2),ROUND(-K142*0.1,2)))</f>
        <v>0</v>
      </c>
    </row>
    <row r="143">
      <c r="A143" t="inlineStr">
        <is>
          <t>INV-5708-1</t>
        </is>
      </c>
      <c r="B143" t="inlineStr">
        <is>
          <t>INV-5708</t>
        </is>
      </c>
      <c r="C143" s="11" t="n">
        <v>45867</v>
      </c>
      <c r="D143" t="inlineStr">
        <is>
          <t>2025-07</t>
        </is>
      </c>
      <c r="E143" t="inlineStr">
        <is>
          <t>C0063</t>
        </is>
      </c>
      <c r="F143" t="inlineStr">
        <is>
          <t>C0063</t>
        </is>
      </c>
      <c r="G143" t="inlineStr">
        <is>
          <t>Highpoint Insurance Repairs Pty Ltd</t>
        </is>
      </c>
      <c r="H143" t="inlineStr">
        <is>
          <t>S0439</t>
        </is>
      </c>
      <c r="I143" t="inlineStr">
        <is>
          <t>Roof repair labour - 16 hrs</t>
        </is>
      </c>
      <c r="J143" t="n">
        <v>16</v>
      </c>
      <c r="K143" s="9" t="n">
        <v>1568</v>
      </c>
      <c r="L143" t="inlineStr">
        <is>
          <t>PAID</t>
        </is>
      </c>
      <c r="M143">
        <f>IF(L143="VOIDED",0,1)</f>
        <v>1</v>
      </c>
      <c r="N143" t="n">
        <v>200</v>
      </c>
      <c r="O143" t="inlineStr">
        <is>
          <t>GST on Income</t>
        </is>
      </c>
      <c r="P143" t="inlineStr">
        <is>
          <t>R10</t>
        </is>
      </c>
      <c r="Q143" t="inlineStr">
        <is>
          <t>LAB-RF</t>
        </is>
      </c>
      <c r="R143">
        <f>IF(OR(Q143="CONTEXT",Q143="REVIEW"),"",INDEX('Category Rules'!$D$5:$D$17,MATCH(P143,'Category Rules'!$A$5:$A$17,0)))</f>
        <v>4020</v>
      </c>
      <c r="S143" t="str">
        <f>IF(Q143="CONTEXT","Roofing",IF(Q143="REVIEW","",INDEX('Category Rules'!$E$5:$E$17,MATCH(P143,'Category Rules'!$A$5:$A$17,0))))</f>
        <v>Roofing</v>
      </c>
      <c r="T143" t="str">
        <f>IF(Q143="DEP","BAS Excluded","GST on Income")</f>
        <v>GST on Income</v>
      </c>
      <c r="U143">
        <f>IF(O143=T143,1,0)</f>
        <v>1</v>
      </c>
      <c r="V143" s="9">
        <f>IF(OR(M143=0,U143=1),0,IF(T143="GST on Income",ROUND(K143*0.1,2),ROUND(-K143*0.1,2)))</f>
        <v>0</v>
      </c>
    </row>
    <row r="144">
      <c r="A144" t="inlineStr">
        <is>
          <t>INV-5708-2</t>
        </is>
      </c>
      <c r="B144" t="inlineStr">
        <is>
          <t>INV-5708</t>
        </is>
      </c>
      <c r="C144" s="11" t="n">
        <v>45867</v>
      </c>
      <c r="D144" t="inlineStr">
        <is>
          <t>2025-07</t>
        </is>
      </c>
      <c r="E144" t="inlineStr">
        <is>
          <t>C0063</t>
        </is>
      </c>
      <c r="F144" t="inlineStr">
        <is>
          <t>C0063</t>
        </is>
      </c>
      <c r="G144" t="inlineStr">
        <is>
          <t>Highpoint Insurance Repairs Pty Ltd</t>
        </is>
      </c>
      <c r="H144" t="inlineStr">
        <is>
          <t>S0439</t>
        </is>
      </c>
      <c r="I144" t="inlineStr">
        <is>
          <t>Materials - Colorbond sheet</t>
        </is>
      </c>
      <c r="J144" t="n">
        <v>1</v>
      </c>
      <c r="K144" s="9" t="n">
        <v>208.2</v>
      </c>
      <c r="L144" t="inlineStr">
        <is>
          <t>PAID</t>
        </is>
      </c>
      <c r="M144">
        <f>IF(L144="VOIDED",0,1)</f>
        <v>1</v>
      </c>
      <c r="N144" t="n">
        <v>200</v>
      </c>
      <c r="O144" t="inlineStr">
        <is>
          <t>GST on Income</t>
        </is>
      </c>
      <c r="P144" t="inlineStr">
        <is>
          <t>R11</t>
        </is>
      </c>
      <c r="Q144" t="inlineStr">
        <is>
          <t>MAT-RF</t>
        </is>
      </c>
      <c r="R144">
        <f>IF(OR(Q144="CONTEXT",Q144="REVIEW"),"",INDEX('Category Rules'!$D$5:$D$17,MATCH(P144,'Category Rules'!$A$5:$A$17,0)))</f>
        <v>4030</v>
      </c>
      <c r="S144" t="str">
        <f>IF(Q144="CONTEXT","Roofing",IF(Q144="REVIEW","",INDEX('Category Rules'!$E$5:$E$17,MATCH(P144,'Category Rules'!$A$5:$A$17,0))))</f>
        <v>Roofing</v>
      </c>
      <c r="T144" t="str">
        <f>IF(Q144="DEP","BAS Excluded","GST on Income")</f>
        <v>GST on Income</v>
      </c>
      <c r="U144">
        <f>IF(O144=T144,1,0)</f>
        <v>1</v>
      </c>
      <c r="V144" s="9">
        <f>IF(OR(M144=0,U144=1),0,IF(T144="GST on Income",ROUND(K144*0.1,2),ROUND(-K144*0.1,2)))</f>
        <v>0</v>
      </c>
    </row>
    <row r="145">
      <c r="A145" t="inlineStr">
        <is>
          <t>INV-5708-3</t>
        </is>
      </c>
      <c r="B145" t="inlineStr">
        <is>
          <t>INV-5708</t>
        </is>
      </c>
      <c r="C145" s="11" t="n">
        <v>45867</v>
      </c>
      <c r="D145" t="inlineStr">
        <is>
          <t>2025-07</t>
        </is>
      </c>
      <c r="E145" t="inlineStr">
        <is>
          <t>C0063</t>
        </is>
      </c>
      <c r="F145" t="inlineStr">
        <is>
          <t>C0063</t>
        </is>
      </c>
      <c r="G145" t="inlineStr">
        <is>
          <t>Highpoint Insurance Repairs Pty Ltd</t>
        </is>
      </c>
      <c r="H145" t="inlineStr">
        <is>
          <t>S0439</t>
        </is>
      </c>
      <c r="I145" t="inlineStr">
        <is>
          <t>Materials - sealant and fixings</t>
        </is>
      </c>
      <c r="J145" t="n">
        <v>1</v>
      </c>
      <c r="K145" s="9" t="n">
        <v>779.33</v>
      </c>
      <c r="L145" t="inlineStr">
        <is>
          <t>PAID</t>
        </is>
      </c>
      <c r="M145">
        <f>IF(L145="VOIDED",0,1)</f>
        <v>1</v>
      </c>
      <c r="N145" t="n">
        <v>200</v>
      </c>
      <c r="O145" t="inlineStr">
        <is>
          <t>GST on Income</t>
        </is>
      </c>
      <c r="P145" t="inlineStr">
        <is>
          <t>R11</t>
        </is>
      </c>
      <c r="Q145" t="inlineStr">
        <is>
          <t>MAT-RF</t>
        </is>
      </c>
      <c r="R145">
        <f>IF(OR(Q145="CONTEXT",Q145="REVIEW"),"",INDEX('Category Rules'!$D$5:$D$17,MATCH(P145,'Category Rules'!$A$5:$A$17,0)))</f>
        <v>4030</v>
      </c>
      <c r="S145" t="str">
        <f>IF(Q145="CONTEXT","Roofing",IF(Q145="REVIEW","",INDEX('Category Rules'!$E$5:$E$17,MATCH(P145,'Category Rules'!$A$5:$A$17,0))))</f>
        <v>Roofing</v>
      </c>
      <c r="T145" t="str">
        <f>IF(Q145="DEP","BAS Excluded","GST on Income")</f>
        <v>GST on Income</v>
      </c>
      <c r="U145">
        <f>IF(O145=T145,1,0)</f>
        <v>1</v>
      </c>
      <c r="V145" s="9">
        <f>IF(OR(M145=0,U145=1),0,IF(T145="GST on Income",ROUND(K145*0.1,2),ROUND(-K145*0.1,2)))</f>
        <v>0</v>
      </c>
    </row>
    <row r="146">
      <c r="A146" t="inlineStr">
        <is>
          <t>INV-4510-1</t>
        </is>
      </c>
      <c r="B146" t="inlineStr">
        <is>
          <t>INV-4510</t>
        </is>
      </c>
      <c r="C146" s="11" t="n">
        <v>45870</v>
      </c>
      <c r="D146" t="inlineStr">
        <is>
          <t>2025-08</t>
        </is>
      </c>
      <c r="E146" t="inlineStr">
        <is>
          <t>C0022</t>
        </is>
      </c>
      <c r="F146" t="inlineStr">
        <is>
          <t>C0022</t>
        </is>
      </c>
      <c r="G146" t="inlineStr">
        <is>
          <t>Highpoint Projects</t>
        </is>
      </c>
      <c r="H146" t="inlineStr">
        <is>
          <t>S0085</t>
        </is>
      </c>
      <c r="I146" t="inlineStr">
        <is>
          <t>Temporary fence hire 4 wks (04/07/25-31/07/25) - 141 panels</t>
        </is>
      </c>
      <c r="J146" t="n">
        <v>564</v>
      </c>
      <c r="K146" s="9" t="n">
        <v>2538</v>
      </c>
      <c r="L146" t="inlineStr">
        <is>
          <t>PAID</t>
        </is>
      </c>
      <c r="M146">
        <f>IF(L146="VOIDED",0,1)</f>
        <v>1</v>
      </c>
      <c r="N146" t="n">
        <v>200</v>
      </c>
      <c r="O146" t="inlineStr">
        <is>
          <t>GST on Income</t>
        </is>
      </c>
      <c r="P146" t="inlineStr">
        <is>
          <t>R03</t>
        </is>
      </c>
      <c r="Q146" t="inlineStr">
        <is>
          <t>HIRE-FP</t>
        </is>
      </c>
      <c r="R146">
        <f>IF(OR(Q146="CONTEXT",Q146="REVIEW"),"",INDEX('Category Rules'!$D$5:$D$17,MATCH(P146,'Category Rules'!$A$5:$A$17,0)))</f>
        <v>4010</v>
      </c>
      <c r="S146" t="str">
        <f>IF(Q146="CONTEXT","Fencing",IF(Q146="REVIEW","",INDEX('Category Rules'!$E$5:$E$17,MATCH(P146,'Category Rules'!$A$5:$A$17,0))))</f>
        <v>Fencing</v>
      </c>
      <c r="T146" t="str">
        <f>IF(Q146="DEP","BAS Excluded","GST on Income")</f>
        <v>GST on Income</v>
      </c>
      <c r="U146">
        <f>IF(O146=T146,1,0)</f>
        <v>1</v>
      </c>
      <c r="V146" s="9">
        <f>IF(OR(M146=0,U146=1),0,IF(T146="GST on Income",ROUND(K146*0.1,2),ROUND(-K146*0.1,2)))</f>
        <v>0</v>
      </c>
    </row>
    <row r="147">
      <c r="A147" t="inlineStr">
        <is>
          <t>INV-4519-1</t>
        </is>
      </c>
      <c r="B147" t="inlineStr">
        <is>
          <t>INV-4519</t>
        </is>
      </c>
      <c r="C147" s="11" t="n">
        <v>45870</v>
      </c>
      <c r="D147" t="inlineStr">
        <is>
          <t>2025-08</t>
        </is>
      </c>
      <c r="E147" t="inlineStr">
        <is>
          <t>C0022</t>
        </is>
      </c>
      <c r="F147" t="inlineStr">
        <is>
          <t>C0022</t>
        </is>
      </c>
      <c r="G147" t="inlineStr">
        <is>
          <t>Highpoint Projects</t>
        </is>
      </c>
      <c r="H147" t="inlineStr">
        <is>
          <t>S0085</t>
        </is>
      </c>
      <c r="I147" t="inlineStr">
        <is>
          <t>Pedestrian barrier hire 4 wks (04/07/25-31/07/25) - 9 barriers</t>
        </is>
      </c>
      <c r="J147" t="n">
        <v>36</v>
      </c>
      <c r="K147" s="9" t="n">
        <v>115.2</v>
      </c>
      <c r="L147" t="inlineStr">
        <is>
          <t>PAID</t>
        </is>
      </c>
      <c r="M147">
        <f>IF(L147="VOIDED",0,1)</f>
        <v>1</v>
      </c>
      <c r="N147" t="n">
        <v>200</v>
      </c>
      <c r="O147" t="inlineStr">
        <is>
          <t>GST on Income</t>
        </is>
      </c>
      <c r="P147" t="inlineStr">
        <is>
          <t>R04</t>
        </is>
      </c>
      <c r="Q147" t="inlineStr">
        <is>
          <t>HIRE-BR</t>
        </is>
      </c>
      <c r="R147">
        <f>IF(OR(Q147="CONTEXT",Q147="REVIEW"),"",INDEX('Category Rules'!$D$5:$D$17,MATCH(P147,'Category Rules'!$A$5:$A$17,0)))</f>
        <v>4010</v>
      </c>
      <c r="S147" t="str">
        <f>IF(Q147="CONTEXT","Fencing",IF(Q147="REVIEW","",INDEX('Category Rules'!$E$5:$E$17,MATCH(P147,'Category Rules'!$A$5:$A$17,0))))</f>
        <v>Fencing</v>
      </c>
      <c r="T147" t="str">
        <f>IF(Q147="DEP","BAS Excluded","GST on Income")</f>
        <v>GST on Income</v>
      </c>
      <c r="U147">
        <f>IF(O147=T147,1,0)</f>
        <v>1</v>
      </c>
      <c r="V147" s="9">
        <f>IF(OR(M147=0,U147=1),0,IF(T147="GST on Income",ROUND(K147*0.1,2),ROUND(-K147*0.1,2)))</f>
        <v>0</v>
      </c>
    </row>
    <row r="148">
      <c r="A148" t="inlineStr">
        <is>
          <t>INV-4759-1</t>
        </is>
      </c>
      <c r="B148" t="inlineStr">
        <is>
          <t>INV-4759</t>
        </is>
      </c>
      <c r="C148" s="11" t="n">
        <v>45870</v>
      </c>
      <c r="D148" t="inlineStr">
        <is>
          <t>2025-08</t>
        </is>
      </c>
      <c r="E148" t="inlineStr">
        <is>
          <t>C0039</t>
        </is>
      </c>
      <c r="F148" t="inlineStr">
        <is>
          <t>C0039</t>
        </is>
      </c>
      <c r="G148" t="inlineStr">
        <is>
          <t>Coastline Developments Pty Ltd</t>
        </is>
      </c>
      <c r="H148" t="inlineStr">
        <is>
          <t>S0137</t>
        </is>
      </c>
      <c r="I148" t="inlineStr">
        <is>
          <t>Temporary fence hire 1 wks (28/07/25-31/07/25) - 84 panels</t>
        </is>
      </c>
      <c r="J148" t="n">
        <v>84</v>
      </c>
      <c r="K148" s="9" t="n">
        <v>378</v>
      </c>
      <c r="L148" t="inlineStr">
        <is>
          <t>PAID</t>
        </is>
      </c>
      <c r="M148">
        <f>IF(L148="VOIDED",0,1)</f>
        <v>1</v>
      </c>
      <c r="N148" t="n">
        <v>200</v>
      </c>
      <c r="O148" t="inlineStr">
        <is>
          <t>GST on Income</t>
        </is>
      </c>
      <c r="P148" t="inlineStr">
        <is>
          <t>R03</t>
        </is>
      </c>
      <c r="Q148" t="inlineStr">
        <is>
          <t>HIRE-FP</t>
        </is>
      </c>
      <c r="R148">
        <f>IF(OR(Q148="CONTEXT",Q148="REVIEW"),"",INDEX('Category Rules'!$D$5:$D$17,MATCH(P148,'Category Rules'!$A$5:$A$17,0)))</f>
        <v>4010</v>
      </c>
      <c r="S148" t="str">
        <f>IF(Q148="CONTEXT","Fencing",IF(Q148="REVIEW","",INDEX('Category Rules'!$E$5:$E$17,MATCH(P148,'Category Rules'!$A$5:$A$17,0))))</f>
        <v>Fencing</v>
      </c>
      <c r="T148" t="str">
        <f>IF(Q148="DEP","BAS Excluded","GST on Income")</f>
        <v>GST on Income</v>
      </c>
      <c r="U148">
        <f>IF(O148=T148,1,0)</f>
        <v>1</v>
      </c>
      <c r="V148" s="9">
        <f>IF(OR(M148=0,U148=1),0,IF(T148="GST on Income",ROUND(K148*0.1,2),ROUND(-K148*0.1,2)))</f>
        <v>0</v>
      </c>
    </row>
    <row r="149">
      <c r="A149" t="inlineStr">
        <is>
          <t>INV-4760-1</t>
        </is>
      </c>
      <c r="B149" t="inlineStr">
        <is>
          <t>INV-4760</t>
        </is>
      </c>
      <c r="C149" s="11" t="n">
        <v>45870</v>
      </c>
      <c r="D149" t="inlineStr">
        <is>
          <t>2025-08</t>
        </is>
      </c>
      <c r="E149" t="inlineStr">
        <is>
          <t>C0039</t>
        </is>
      </c>
      <c r="F149" t="inlineStr">
        <is>
          <t>C0039</t>
        </is>
      </c>
      <c r="G149" t="inlineStr">
        <is>
          <t>Coastline Developments Pty Ltd</t>
        </is>
      </c>
      <c r="H149" t="inlineStr">
        <is>
          <t>S0137</t>
        </is>
      </c>
      <c r="I149" t="inlineStr">
        <is>
          <t>Collection and dismantle - temporary fencing</t>
        </is>
      </c>
      <c r="J149" t="n">
        <v>1</v>
      </c>
      <c r="K149" s="9" t="n">
        <v>165</v>
      </c>
      <c r="L149" t="inlineStr">
        <is>
          <t>PAID</t>
        </is>
      </c>
      <c r="M149">
        <f>IF(L149="VOIDED",0,1)</f>
        <v>1</v>
      </c>
      <c r="N149" t="n">
        <v>200</v>
      </c>
      <c r="O149" t="inlineStr">
        <is>
          <t>GST on Income</t>
        </is>
      </c>
      <c r="P149" t="inlineStr">
        <is>
          <t>R07</t>
        </is>
      </c>
      <c r="Q149" t="inlineStr">
        <is>
          <t>DEL-FP</t>
        </is>
      </c>
      <c r="R149">
        <f>IF(OR(Q149="CONTEXT",Q149="REVIEW"),"",INDEX('Category Rules'!$D$5:$D$17,MATCH(P149,'Category Rules'!$A$5:$A$17,0)))</f>
        <v>4020</v>
      </c>
      <c r="S149" t="str">
        <f>IF(Q149="CONTEXT","Fencing",IF(Q149="REVIEW","",INDEX('Category Rules'!$E$5:$E$17,MATCH(P149,'Category Rules'!$A$5:$A$17,0))))</f>
        <v>Fencing</v>
      </c>
      <c r="T149" t="str">
        <f>IF(Q149="DEP","BAS Excluded","GST on Income")</f>
        <v>GST on Income</v>
      </c>
      <c r="U149">
        <f>IF(O149=T149,1,0)</f>
        <v>1</v>
      </c>
      <c r="V149" s="9">
        <f>IF(OR(M149=0,U149=1),0,IF(T149="GST on Income",ROUND(K149*0.1,2),ROUND(-K149*0.1,2)))</f>
        <v>0</v>
      </c>
    </row>
    <row r="150">
      <c r="A150" t="inlineStr">
        <is>
          <t>INV-5485-1</t>
        </is>
      </c>
      <c r="B150" t="inlineStr">
        <is>
          <t>INV-5485</t>
        </is>
      </c>
      <c r="C150" s="11" t="n">
        <v>45870</v>
      </c>
      <c r="D150" t="inlineStr">
        <is>
          <t>2025-08</t>
        </is>
      </c>
      <c r="E150" t="inlineStr">
        <is>
          <t>C0137</t>
        </is>
      </c>
      <c r="F150" t="inlineStr">
        <is>
          <t>C0062</t>
        </is>
      </c>
      <c r="G150" t="inlineStr">
        <is>
          <t>Wattle Insurance Repairs Pty Ltd</t>
        </is>
      </c>
      <c r="H150" t="inlineStr">
        <is>
          <t>S0318</t>
        </is>
      </c>
      <c r="I150" t="inlineStr">
        <is>
          <t>Roof repair labour - 4 hrs</t>
        </is>
      </c>
      <c r="J150" t="n">
        <v>4</v>
      </c>
      <c r="K150" s="9" t="n">
        <v>392</v>
      </c>
      <c r="L150" t="inlineStr">
        <is>
          <t>PAID</t>
        </is>
      </c>
      <c r="M150">
        <f>IF(L150="VOIDED",0,1)</f>
        <v>1</v>
      </c>
      <c r="N150" t="n">
        <v>200</v>
      </c>
      <c r="O150" t="inlineStr">
        <is>
          <t>GST on Income</t>
        </is>
      </c>
      <c r="P150" t="inlineStr">
        <is>
          <t>R10</t>
        </is>
      </c>
      <c r="Q150" t="inlineStr">
        <is>
          <t>LAB-RF</t>
        </is>
      </c>
      <c r="R150">
        <f>IF(OR(Q150="CONTEXT",Q150="REVIEW"),"",INDEX('Category Rules'!$D$5:$D$17,MATCH(P150,'Category Rules'!$A$5:$A$17,0)))</f>
        <v>4020</v>
      </c>
      <c r="S150" t="str">
        <f>IF(Q150="CONTEXT","Roofing",IF(Q150="REVIEW","",INDEX('Category Rules'!$E$5:$E$17,MATCH(P150,'Category Rules'!$A$5:$A$17,0))))</f>
        <v>Roofing</v>
      </c>
      <c r="T150" t="str">
        <f>IF(Q150="DEP","BAS Excluded","GST on Income")</f>
        <v>GST on Income</v>
      </c>
      <c r="U150">
        <f>IF(O150=T150,1,0)</f>
        <v>1</v>
      </c>
      <c r="V150" s="9">
        <f>IF(OR(M150=0,U150=1),0,IF(T150="GST on Income",ROUND(K150*0.1,2),ROUND(-K150*0.1,2)))</f>
        <v>0</v>
      </c>
    </row>
    <row r="151">
      <c r="A151" t="inlineStr">
        <is>
          <t>INV-5485-2</t>
        </is>
      </c>
      <c r="B151" t="inlineStr">
        <is>
          <t>INV-5485</t>
        </is>
      </c>
      <c r="C151" s="11" t="n">
        <v>45870</v>
      </c>
      <c r="D151" t="inlineStr">
        <is>
          <t>2025-08</t>
        </is>
      </c>
      <c r="E151" t="inlineStr">
        <is>
          <t>C0137</t>
        </is>
      </c>
      <c r="F151" t="inlineStr">
        <is>
          <t>C0062</t>
        </is>
      </c>
      <c r="G151" t="inlineStr">
        <is>
          <t>Wattle Insurance Repairs Pty Ltd</t>
        </is>
      </c>
      <c r="H151" t="inlineStr">
        <is>
          <t>S0318</t>
        </is>
      </c>
      <c r="I151" t="inlineStr">
        <is>
          <t>Materials - sealant and fixings</t>
        </is>
      </c>
      <c r="J151" t="n">
        <v>1</v>
      </c>
      <c r="K151" s="9" t="n">
        <v>456.44</v>
      </c>
      <c r="L151" t="inlineStr">
        <is>
          <t>PAID</t>
        </is>
      </c>
      <c r="M151">
        <f>IF(L151="VOIDED",0,1)</f>
        <v>1</v>
      </c>
      <c r="N151" t="n">
        <v>200</v>
      </c>
      <c r="O151" t="inlineStr">
        <is>
          <t>GST on Income</t>
        </is>
      </c>
      <c r="P151" t="inlineStr">
        <is>
          <t>R11</t>
        </is>
      </c>
      <c r="Q151" t="inlineStr">
        <is>
          <t>MAT-RF</t>
        </is>
      </c>
      <c r="R151">
        <f>IF(OR(Q151="CONTEXT",Q151="REVIEW"),"",INDEX('Category Rules'!$D$5:$D$17,MATCH(P151,'Category Rules'!$A$5:$A$17,0)))</f>
        <v>4030</v>
      </c>
      <c r="S151" t="str">
        <f>IF(Q151="CONTEXT","Roofing",IF(Q151="REVIEW","",INDEX('Category Rules'!$E$5:$E$17,MATCH(P151,'Category Rules'!$A$5:$A$17,0))))</f>
        <v>Roofing</v>
      </c>
      <c r="T151" t="str">
        <f>IF(Q151="DEP","BAS Excluded","GST on Income")</f>
        <v>GST on Income</v>
      </c>
      <c r="U151">
        <f>IF(O151=T151,1,0)</f>
        <v>1</v>
      </c>
      <c r="V151" s="9">
        <f>IF(OR(M151=0,U151=1),0,IF(T151="GST on Income",ROUND(K151*0.1,2),ROUND(-K151*0.1,2)))</f>
        <v>0</v>
      </c>
    </row>
    <row r="152">
      <c r="A152" t="inlineStr">
        <is>
          <t>INV-5485-3</t>
        </is>
      </c>
      <c r="B152" t="inlineStr">
        <is>
          <t>INV-5485</t>
        </is>
      </c>
      <c r="C152" s="11" t="n">
        <v>45870</v>
      </c>
      <c r="D152" t="inlineStr">
        <is>
          <t>2025-08</t>
        </is>
      </c>
      <c r="E152" t="inlineStr">
        <is>
          <t>C0137</t>
        </is>
      </c>
      <c r="F152" t="inlineStr">
        <is>
          <t>C0062</t>
        </is>
      </c>
      <c r="G152" t="inlineStr">
        <is>
          <t>Wattle Insurance Repairs Pty Ltd</t>
        </is>
      </c>
      <c r="H152" t="inlineStr">
        <is>
          <t>S0318</t>
        </is>
      </c>
      <c r="I152" t="inlineStr">
        <is>
          <t>Materials - ridge capping</t>
        </is>
      </c>
      <c r="J152" t="n">
        <v>1</v>
      </c>
      <c r="K152" s="9" t="n">
        <v>883.24</v>
      </c>
      <c r="L152" t="inlineStr">
        <is>
          <t>PAID</t>
        </is>
      </c>
      <c r="M152">
        <f>IF(L152="VOIDED",0,1)</f>
        <v>1</v>
      </c>
      <c r="N152" t="n">
        <v>200</v>
      </c>
      <c r="O152" t="inlineStr">
        <is>
          <t>GST on Income</t>
        </is>
      </c>
      <c r="P152" t="inlineStr">
        <is>
          <t>R11</t>
        </is>
      </c>
      <c r="Q152" t="inlineStr">
        <is>
          <t>MAT-RF</t>
        </is>
      </c>
      <c r="R152">
        <f>IF(OR(Q152="CONTEXT",Q152="REVIEW"),"",INDEX('Category Rules'!$D$5:$D$17,MATCH(P152,'Category Rules'!$A$5:$A$17,0)))</f>
        <v>4030</v>
      </c>
      <c r="S152" t="str">
        <f>IF(Q152="CONTEXT","Roofing",IF(Q152="REVIEW","",INDEX('Category Rules'!$E$5:$E$17,MATCH(P152,'Category Rules'!$A$5:$A$17,0))))</f>
        <v>Roofing</v>
      </c>
      <c r="T152" t="str">
        <f>IF(Q152="DEP","BAS Excluded","GST on Income")</f>
        <v>GST on Income</v>
      </c>
      <c r="U152">
        <f>IF(O152=T152,1,0)</f>
        <v>1</v>
      </c>
      <c r="V152" s="9">
        <f>IF(OR(M152=0,U152=1),0,IF(T152="GST on Income",ROUND(K152*0.1,2),ROUND(-K152*0.1,2)))</f>
        <v>0</v>
      </c>
    </row>
    <row r="153">
      <c r="A153" t="inlineStr">
        <is>
          <t>INV-5548-1</t>
        </is>
      </c>
      <c r="B153" t="inlineStr">
        <is>
          <t>INV-5548</t>
        </is>
      </c>
      <c r="C153" s="11" t="n">
        <v>45870</v>
      </c>
      <c r="D153" t="inlineStr">
        <is>
          <t>2025-08</t>
        </is>
      </c>
      <c r="E153" t="inlineStr">
        <is>
          <t>C0048</t>
        </is>
      </c>
      <c r="F153" t="inlineStr">
        <is>
          <t>C0048</t>
        </is>
      </c>
      <c r="G153" t="inlineStr">
        <is>
          <t>Banksia Strata Management</t>
        </is>
      </c>
      <c r="H153" t="inlineStr">
        <is>
          <t>S0347</t>
        </is>
      </c>
      <c r="I153" t="inlineStr">
        <is>
          <t>Make safe call-out</t>
        </is>
      </c>
      <c r="J153" t="n">
        <v>1</v>
      </c>
      <c r="K153" s="9" t="n">
        <v>385</v>
      </c>
      <c r="L153" t="inlineStr">
        <is>
          <t>PAID</t>
        </is>
      </c>
      <c r="M153">
        <f>IF(L153="VOIDED",0,1)</f>
        <v>1</v>
      </c>
      <c r="N153" t="n">
        <v>200</v>
      </c>
      <c r="O153" t="inlineStr">
        <is>
          <t>GST on Income</t>
        </is>
      </c>
      <c r="P153" t="inlineStr">
        <is>
          <t>R09</t>
        </is>
      </c>
      <c r="Q153" t="inlineStr">
        <is>
          <t>MS</t>
        </is>
      </c>
      <c r="R153">
        <f>IF(OR(Q153="CONTEXT",Q153="REVIEW"),"",INDEX('Category Rules'!$D$5:$D$17,MATCH(P153,'Category Rules'!$A$5:$A$17,0)))</f>
        <v>4020</v>
      </c>
      <c r="S153" t="str">
        <f>IF(Q153="CONTEXT","Make-safe",IF(Q153="REVIEW","",INDEX('Category Rules'!$E$5:$E$17,MATCH(P153,'Category Rules'!$A$5:$A$17,0))))</f>
        <v>Make-safe</v>
      </c>
      <c r="T153" t="str">
        <f>IF(Q153="DEP","BAS Excluded","GST on Income")</f>
        <v>GST on Income</v>
      </c>
      <c r="U153">
        <f>IF(O153=T153,1,0)</f>
        <v>1</v>
      </c>
      <c r="V153" s="9">
        <f>IF(OR(M153=0,U153=1),0,IF(T153="GST on Income",ROUND(K153*0.1,2),ROUND(-K153*0.1,2)))</f>
        <v>0</v>
      </c>
    </row>
    <row r="154">
      <c r="A154" t="inlineStr">
        <is>
          <t>INV-5548-2</t>
        </is>
      </c>
      <c r="B154" t="inlineStr">
        <is>
          <t>INV-5548</t>
        </is>
      </c>
      <c r="C154" s="11" t="n">
        <v>45870</v>
      </c>
      <c r="D154" t="inlineStr">
        <is>
          <t>2025-08</t>
        </is>
      </c>
      <c r="E154" t="inlineStr">
        <is>
          <t>C0048</t>
        </is>
      </c>
      <c r="F154" t="inlineStr">
        <is>
          <t>C0048</t>
        </is>
      </c>
      <c r="G154" t="inlineStr">
        <is>
          <t>Banksia Strata Management</t>
        </is>
      </c>
      <c r="H154" t="inlineStr">
        <is>
          <t>S0347</t>
        </is>
      </c>
      <c r="I154" t="inlineStr">
        <is>
          <t>Tarp supply and install - 1 tarp(s)</t>
        </is>
      </c>
      <c r="J154" t="n">
        <v>1</v>
      </c>
      <c r="K154" s="9" t="n">
        <v>240</v>
      </c>
      <c r="L154" t="inlineStr">
        <is>
          <t>PAID</t>
        </is>
      </c>
      <c r="M154">
        <f>IF(L154="VOIDED",0,1)</f>
        <v>1</v>
      </c>
      <c r="N154" t="n">
        <v>200</v>
      </c>
      <c r="O154" t="inlineStr">
        <is>
          <t>GST on Income</t>
        </is>
      </c>
      <c r="P154" t="inlineStr">
        <is>
          <t>R09</t>
        </is>
      </c>
      <c r="Q154" t="inlineStr">
        <is>
          <t>MS</t>
        </is>
      </c>
      <c r="R154">
        <f>IF(OR(Q154="CONTEXT",Q154="REVIEW"),"",INDEX('Category Rules'!$D$5:$D$17,MATCH(P154,'Category Rules'!$A$5:$A$17,0)))</f>
        <v>4020</v>
      </c>
      <c r="S154" t="str">
        <f>IF(Q154="CONTEXT","Make-safe",IF(Q154="REVIEW","",INDEX('Category Rules'!$E$5:$E$17,MATCH(P154,'Category Rules'!$A$5:$A$17,0))))</f>
        <v>Make-safe</v>
      </c>
      <c r="T154" t="str">
        <f>IF(Q154="DEP","BAS Excluded","GST on Income")</f>
        <v>GST on Income</v>
      </c>
      <c r="U154">
        <f>IF(O154=T154,1,0)</f>
        <v>1</v>
      </c>
      <c r="V154" s="9">
        <f>IF(OR(M154=0,U154=1),0,IF(T154="GST on Income",ROUND(K154*0.1,2),ROUND(-K154*0.1,2)))</f>
        <v>0</v>
      </c>
    </row>
    <row r="155">
      <c r="A155" t="inlineStr">
        <is>
          <t>INV-5620-1</t>
        </is>
      </c>
      <c r="B155" t="inlineStr">
        <is>
          <t>INV-5620</t>
        </is>
      </c>
      <c r="C155" s="11" t="n">
        <v>45870</v>
      </c>
      <c r="D155" t="inlineStr">
        <is>
          <t>2025-08</t>
        </is>
      </c>
      <c r="E155" t="inlineStr">
        <is>
          <t>C0064</t>
        </is>
      </c>
      <c r="F155" t="inlineStr">
        <is>
          <t>C0064</t>
        </is>
      </c>
      <c r="G155" t="inlineStr">
        <is>
          <t>Lakeside Claims Services Pty Ltd</t>
        </is>
      </c>
      <c r="H155" t="inlineStr">
        <is>
          <t>S0391</t>
        </is>
      </c>
      <c r="I155" t="inlineStr">
        <is>
          <t>Tarp kit hire 4 wks (04/07/25-31/07/25) - 3 kits</t>
        </is>
      </c>
      <c r="J155" t="n">
        <v>12</v>
      </c>
      <c r="K155" s="9" t="n">
        <v>420</v>
      </c>
      <c r="L155" t="inlineStr">
        <is>
          <t>PAID</t>
        </is>
      </c>
      <c r="M155">
        <f>IF(L155="VOIDED",0,1)</f>
        <v>1</v>
      </c>
      <c r="N155" t="n">
        <v>200</v>
      </c>
      <c r="O155" t="inlineStr">
        <is>
          <t>GST on Income</t>
        </is>
      </c>
      <c r="P155" t="inlineStr">
        <is>
          <t>R06</t>
        </is>
      </c>
      <c r="Q155" t="inlineStr">
        <is>
          <t>HIRE-TK</t>
        </is>
      </c>
      <c r="R155">
        <f>IF(OR(Q155="CONTEXT",Q155="REVIEW"),"",INDEX('Category Rules'!$D$5:$D$17,MATCH(P155,'Category Rules'!$A$5:$A$17,0)))</f>
        <v>4010</v>
      </c>
      <c r="S155" t="str">
        <f>IF(Q155="CONTEXT","Make-safe",IF(Q155="REVIEW","",INDEX('Category Rules'!$E$5:$E$17,MATCH(P155,'Category Rules'!$A$5:$A$17,0))))</f>
        <v>Make-safe</v>
      </c>
      <c r="T155" t="str">
        <f>IF(Q155="DEP","BAS Excluded","GST on Income")</f>
        <v>GST on Income</v>
      </c>
      <c r="U155">
        <f>IF(O155=T155,1,0)</f>
        <v>1</v>
      </c>
      <c r="V155" s="9">
        <f>IF(OR(M155=0,U155=1),0,IF(T155="GST on Income",ROUND(K155*0.1,2),ROUND(-K155*0.1,2)))</f>
        <v>0</v>
      </c>
    </row>
    <row r="156">
      <c r="A156" t="inlineStr">
        <is>
          <t>INV-5888-1</t>
        </is>
      </c>
      <c r="B156" t="inlineStr">
        <is>
          <t>INV-5888</t>
        </is>
      </c>
      <c r="C156" s="11" t="n">
        <v>45871</v>
      </c>
      <c r="D156" t="inlineStr">
        <is>
          <t>2025-08</t>
        </is>
      </c>
      <c r="E156" t="inlineStr">
        <is>
          <t>C0055</t>
        </is>
      </c>
      <c r="F156" t="inlineStr">
        <is>
          <t>C0055</t>
        </is>
      </c>
      <c r="G156" t="inlineStr">
        <is>
          <t>Coastline Strata Management Pty Ltd</t>
        </is>
      </c>
      <c r="H156" t="inlineStr">
        <is>
          <t>S0544</t>
        </is>
      </c>
      <c r="I156" t="inlineStr">
        <is>
          <t>Roof repair labour - 24 hrs</t>
        </is>
      </c>
      <c r="J156" t="n">
        <v>24</v>
      </c>
      <c r="K156" s="9" t="n">
        <v>2352</v>
      </c>
      <c r="L156" t="inlineStr">
        <is>
          <t>PAID</t>
        </is>
      </c>
      <c r="M156">
        <f>IF(L156="VOIDED",0,1)</f>
        <v>1</v>
      </c>
      <c r="N156" t="n">
        <v>200</v>
      </c>
      <c r="O156" t="inlineStr">
        <is>
          <t>GST on Income</t>
        </is>
      </c>
      <c r="P156" t="inlineStr">
        <is>
          <t>R10</t>
        </is>
      </c>
      <c r="Q156" t="inlineStr">
        <is>
          <t>LAB-RF</t>
        </is>
      </c>
      <c r="R156">
        <f>IF(OR(Q156="CONTEXT",Q156="REVIEW"),"",INDEX('Category Rules'!$D$5:$D$17,MATCH(P156,'Category Rules'!$A$5:$A$17,0)))</f>
        <v>4020</v>
      </c>
      <c r="S156" t="str">
        <f>IF(Q156="CONTEXT","Roofing",IF(Q156="REVIEW","",INDEX('Category Rules'!$E$5:$E$17,MATCH(P156,'Category Rules'!$A$5:$A$17,0))))</f>
        <v>Roofing</v>
      </c>
      <c r="T156" t="str">
        <f>IF(Q156="DEP","BAS Excluded","GST on Income")</f>
        <v>GST on Income</v>
      </c>
      <c r="U156">
        <f>IF(O156=T156,1,0)</f>
        <v>1</v>
      </c>
      <c r="V156" s="9">
        <f>IF(OR(M156=0,U156=1),0,IF(T156="GST on Income",ROUND(K156*0.1,2),ROUND(-K156*0.1,2)))</f>
        <v>0</v>
      </c>
    </row>
    <row r="157">
      <c r="A157" t="inlineStr">
        <is>
          <t>INV-5888-2</t>
        </is>
      </c>
      <c r="B157" t="inlineStr">
        <is>
          <t>INV-5888</t>
        </is>
      </c>
      <c r="C157" s="11" t="n">
        <v>45871</v>
      </c>
      <c r="D157" t="inlineStr">
        <is>
          <t>2025-08</t>
        </is>
      </c>
      <c r="E157" t="inlineStr">
        <is>
          <t>C0055</t>
        </is>
      </c>
      <c r="F157" t="inlineStr">
        <is>
          <t>C0055</t>
        </is>
      </c>
      <c r="G157" t="inlineStr">
        <is>
          <t>Coastline Strata Management Pty Ltd</t>
        </is>
      </c>
      <c r="H157" t="inlineStr">
        <is>
          <t>S0544</t>
        </is>
      </c>
      <c r="I157" t="inlineStr">
        <is>
          <t>Materials - gutter and downpipe</t>
        </is>
      </c>
      <c r="J157" t="n">
        <v>1</v>
      </c>
      <c r="K157" s="9" t="n">
        <v>223.04</v>
      </c>
      <c r="L157" t="inlineStr">
        <is>
          <t>PAID</t>
        </is>
      </c>
      <c r="M157">
        <f>IF(L157="VOIDED",0,1)</f>
        <v>1</v>
      </c>
      <c r="N157" t="n">
        <v>200</v>
      </c>
      <c r="O157" t="inlineStr">
        <is>
          <t>GST on Income</t>
        </is>
      </c>
      <c r="P157" t="inlineStr">
        <is>
          <t>R11</t>
        </is>
      </c>
      <c r="Q157" t="inlineStr">
        <is>
          <t>MAT-RF</t>
        </is>
      </c>
      <c r="R157">
        <f>IF(OR(Q157="CONTEXT",Q157="REVIEW"),"",INDEX('Category Rules'!$D$5:$D$17,MATCH(P157,'Category Rules'!$A$5:$A$17,0)))</f>
        <v>4030</v>
      </c>
      <c r="S157" t="str">
        <f>IF(Q157="CONTEXT","Roofing",IF(Q157="REVIEW","",INDEX('Category Rules'!$E$5:$E$17,MATCH(P157,'Category Rules'!$A$5:$A$17,0))))</f>
        <v>Roofing</v>
      </c>
      <c r="T157" t="str">
        <f>IF(Q157="DEP","BAS Excluded","GST on Income")</f>
        <v>GST on Income</v>
      </c>
      <c r="U157">
        <f>IF(O157=T157,1,0)</f>
        <v>1</v>
      </c>
      <c r="V157" s="9">
        <f>IF(OR(M157=0,U157=1),0,IF(T157="GST on Income",ROUND(K157*0.1,2),ROUND(-K157*0.1,2)))</f>
        <v>0</v>
      </c>
    </row>
    <row r="158">
      <c r="A158" t="inlineStr">
        <is>
          <t>INV-5888-3</t>
        </is>
      </c>
      <c r="B158" t="inlineStr">
        <is>
          <t>INV-5888</t>
        </is>
      </c>
      <c r="C158" s="11" t="n">
        <v>45871</v>
      </c>
      <c r="D158" t="inlineStr">
        <is>
          <t>2025-08</t>
        </is>
      </c>
      <c r="E158" t="inlineStr">
        <is>
          <t>C0055</t>
        </is>
      </c>
      <c r="F158" t="inlineStr">
        <is>
          <t>C0055</t>
        </is>
      </c>
      <c r="G158" t="inlineStr">
        <is>
          <t>Coastline Strata Management Pty Ltd</t>
        </is>
      </c>
      <c r="H158" t="inlineStr">
        <is>
          <t>S0544</t>
        </is>
      </c>
      <c r="I158" t="inlineStr">
        <is>
          <t>Materials - roof tiles (matched)</t>
        </is>
      </c>
      <c r="J158" t="n">
        <v>1</v>
      </c>
      <c r="K158" s="9" t="n">
        <v>651.54</v>
      </c>
      <c r="L158" t="inlineStr">
        <is>
          <t>PAID</t>
        </is>
      </c>
      <c r="M158">
        <f>IF(L158="VOIDED",0,1)</f>
        <v>1</v>
      </c>
      <c r="N158" t="n">
        <v>200</v>
      </c>
      <c r="O158" t="inlineStr">
        <is>
          <t>GST on Income</t>
        </is>
      </c>
      <c r="P158" t="inlineStr">
        <is>
          <t>R11</t>
        </is>
      </c>
      <c r="Q158" t="inlineStr">
        <is>
          <t>MAT-RF</t>
        </is>
      </c>
      <c r="R158">
        <f>IF(OR(Q158="CONTEXT",Q158="REVIEW"),"",INDEX('Category Rules'!$D$5:$D$17,MATCH(P158,'Category Rules'!$A$5:$A$17,0)))</f>
        <v>4030</v>
      </c>
      <c r="S158" t="str">
        <f>IF(Q158="CONTEXT","Roofing",IF(Q158="REVIEW","",INDEX('Category Rules'!$E$5:$E$17,MATCH(P158,'Category Rules'!$A$5:$A$17,0))))</f>
        <v>Roofing</v>
      </c>
      <c r="T158" t="str">
        <f>IF(Q158="DEP","BAS Excluded","GST on Income")</f>
        <v>GST on Income</v>
      </c>
      <c r="U158">
        <f>IF(O158=T158,1,0)</f>
        <v>1</v>
      </c>
      <c r="V158" s="9">
        <f>IF(OR(M158=0,U158=1),0,IF(T158="GST on Income",ROUND(K158*0.1,2),ROUND(-K158*0.1,2)))</f>
        <v>0</v>
      </c>
    </row>
    <row r="159">
      <c r="A159" t="inlineStr">
        <is>
          <t>INV-4489-1</t>
        </is>
      </c>
      <c r="B159" t="inlineStr">
        <is>
          <t>INV-4489</t>
        </is>
      </c>
      <c r="C159" s="11" t="n">
        <v>45872</v>
      </c>
      <c r="D159" t="inlineStr">
        <is>
          <t>2025-08</t>
        </is>
      </c>
      <c r="E159" t="inlineStr">
        <is>
          <t>C0075</t>
        </is>
      </c>
      <c r="F159" t="inlineStr">
        <is>
          <t>C0075</t>
        </is>
      </c>
      <c r="G159" t="inlineStr">
        <is>
          <t>Oakridge Productions</t>
        </is>
      </c>
      <c r="H159" t="inlineStr">
        <is>
          <t>S0081</t>
        </is>
      </c>
      <c r="I159" t="inlineStr">
        <is>
          <t>Temporary fence hire 3 wks (19/07/25-02/08/25) - 115 panels</t>
        </is>
      </c>
      <c r="J159" t="n">
        <v>345</v>
      </c>
      <c r="K159" s="9" t="n">
        <v>1552.5</v>
      </c>
      <c r="L159" t="inlineStr">
        <is>
          <t>PAID</t>
        </is>
      </c>
      <c r="M159">
        <f>IF(L159="VOIDED",0,1)</f>
        <v>1</v>
      </c>
      <c r="N159" t="n">
        <v>200</v>
      </c>
      <c r="O159" t="inlineStr">
        <is>
          <t>GST on Income</t>
        </is>
      </c>
      <c r="P159" t="inlineStr">
        <is>
          <t>R03</t>
        </is>
      </c>
      <c r="Q159" t="inlineStr">
        <is>
          <t>HIRE-FP</t>
        </is>
      </c>
      <c r="R159">
        <f>IF(OR(Q159="CONTEXT",Q159="REVIEW"),"",INDEX('Category Rules'!$D$5:$D$17,MATCH(P159,'Category Rules'!$A$5:$A$17,0)))</f>
        <v>4010</v>
      </c>
      <c r="S159" t="str">
        <f>IF(Q159="CONTEXT","Fencing",IF(Q159="REVIEW","",INDEX('Category Rules'!$E$5:$E$17,MATCH(P159,'Category Rules'!$A$5:$A$17,0))))</f>
        <v>Fencing</v>
      </c>
      <c r="T159" t="str">
        <f>IF(Q159="DEP","BAS Excluded","GST on Income")</f>
        <v>GST on Income</v>
      </c>
      <c r="U159">
        <f>IF(O159=T159,1,0)</f>
        <v>1</v>
      </c>
      <c r="V159" s="9">
        <f>IF(OR(M159=0,U159=1),0,IF(T159="GST on Income",ROUND(K159*0.1,2),ROUND(-K159*0.1,2)))</f>
        <v>0</v>
      </c>
    </row>
    <row r="160">
      <c r="A160" t="inlineStr">
        <is>
          <t>INV-4491-1</t>
        </is>
      </c>
      <c r="B160" t="inlineStr">
        <is>
          <t>INV-4491</t>
        </is>
      </c>
      <c r="C160" s="11" t="n">
        <v>45872</v>
      </c>
      <c r="D160" t="inlineStr">
        <is>
          <t>2025-08</t>
        </is>
      </c>
      <c r="E160" t="inlineStr">
        <is>
          <t>C0075</t>
        </is>
      </c>
      <c r="F160" t="inlineStr">
        <is>
          <t>C0075</t>
        </is>
      </c>
      <c r="G160" t="inlineStr">
        <is>
          <t>Oakridge Productions</t>
        </is>
      </c>
      <c r="H160" t="inlineStr">
        <is>
          <t>S0081</t>
        </is>
      </c>
      <c r="I160" t="inlineStr">
        <is>
          <t>Collection and dismantle - temporary fencing</t>
        </is>
      </c>
      <c r="J160" t="n">
        <v>1</v>
      </c>
      <c r="K160" s="9" t="n">
        <v>165</v>
      </c>
      <c r="L160" t="inlineStr">
        <is>
          <t>PAID</t>
        </is>
      </c>
      <c r="M160">
        <f>IF(L160="VOIDED",0,1)</f>
        <v>1</v>
      </c>
      <c r="N160" t="n">
        <v>200</v>
      </c>
      <c r="O160" t="inlineStr">
        <is>
          <t>GST on Income</t>
        </is>
      </c>
      <c r="P160" t="inlineStr">
        <is>
          <t>R07</t>
        </is>
      </c>
      <c r="Q160" t="inlineStr">
        <is>
          <t>DEL-FP</t>
        </is>
      </c>
      <c r="R160">
        <f>IF(OR(Q160="CONTEXT",Q160="REVIEW"),"",INDEX('Category Rules'!$D$5:$D$17,MATCH(P160,'Category Rules'!$A$5:$A$17,0)))</f>
        <v>4020</v>
      </c>
      <c r="S160" t="str">
        <f>IF(Q160="CONTEXT","Fencing",IF(Q160="REVIEW","",INDEX('Category Rules'!$E$5:$E$17,MATCH(P160,'Category Rules'!$A$5:$A$17,0))))</f>
        <v>Fencing</v>
      </c>
      <c r="T160" t="str">
        <f>IF(Q160="DEP","BAS Excluded","GST on Income")</f>
        <v>GST on Income</v>
      </c>
      <c r="U160">
        <f>IF(O160=T160,1,0)</f>
        <v>1</v>
      </c>
      <c r="V160" s="9">
        <f>IF(OR(M160=0,U160=1),0,IF(T160="GST on Income",ROUND(K160*0.1,2),ROUND(-K160*0.1,2)))</f>
        <v>0</v>
      </c>
    </row>
    <row r="161">
      <c r="A161" t="inlineStr">
        <is>
          <t>INV-4875-1</t>
        </is>
      </c>
      <c r="B161" t="inlineStr">
        <is>
          <t>INV-4875</t>
        </is>
      </c>
      <c r="C161" s="11" t="n">
        <v>45872</v>
      </c>
      <c r="D161" t="inlineStr">
        <is>
          <t>2025-08</t>
        </is>
      </c>
      <c r="E161" t="inlineStr">
        <is>
          <t>C0038</t>
        </is>
      </c>
      <c r="F161" t="inlineStr">
        <is>
          <t>C0038</t>
        </is>
      </c>
      <c r="G161" t="inlineStr">
        <is>
          <t>Cobalt Constructions Pty Ltd</t>
        </is>
      </c>
      <c r="H161" t="inlineStr">
        <is>
          <t>S0163</t>
        </is>
      </c>
      <c r="I161" t="inlineStr">
        <is>
          <t>Delivery and installation - temporary fencing</t>
        </is>
      </c>
      <c r="J161" t="n">
        <v>1</v>
      </c>
      <c r="K161" s="9" t="n">
        <v>165</v>
      </c>
      <c r="L161" t="inlineStr">
        <is>
          <t>PAID</t>
        </is>
      </c>
      <c r="M161">
        <f>IF(L161="VOIDED",0,1)</f>
        <v>1</v>
      </c>
      <c r="N161" t="n">
        <v>200</v>
      </c>
      <c r="O161" t="inlineStr">
        <is>
          <t>GST on Income</t>
        </is>
      </c>
      <c r="P161" t="inlineStr">
        <is>
          <t>R07</t>
        </is>
      </c>
      <c r="Q161" t="inlineStr">
        <is>
          <t>DEL-FP</t>
        </is>
      </c>
      <c r="R161">
        <f>IF(OR(Q161="CONTEXT",Q161="REVIEW"),"",INDEX('Category Rules'!$D$5:$D$17,MATCH(P161,'Category Rules'!$A$5:$A$17,0)))</f>
        <v>4020</v>
      </c>
      <c r="S161" t="str">
        <f>IF(Q161="CONTEXT","Fencing",IF(Q161="REVIEW","",INDEX('Category Rules'!$E$5:$E$17,MATCH(P161,'Category Rules'!$A$5:$A$17,0))))</f>
        <v>Fencing</v>
      </c>
      <c r="T161" t="str">
        <f>IF(Q161="DEP","BAS Excluded","GST on Income")</f>
        <v>GST on Income</v>
      </c>
      <c r="U161">
        <f>IF(O161=T161,1,0)</f>
        <v>1</v>
      </c>
      <c r="V161" s="9">
        <f>IF(OR(M161=0,U161=1),0,IF(T161="GST on Income",ROUND(K161*0.1,2),ROUND(-K161*0.1,2)))</f>
        <v>0</v>
      </c>
    </row>
    <row r="162">
      <c r="A162" t="inlineStr">
        <is>
          <t>INV-4875-2</t>
        </is>
      </c>
      <c r="B162" t="inlineStr">
        <is>
          <t>INV-4875</t>
        </is>
      </c>
      <c r="C162" s="11" t="n">
        <v>45872</v>
      </c>
      <c r="D162" t="inlineStr">
        <is>
          <t>2025-08</t>
        </is>
      </c>
      <c r="E162" t="inlineStr">
        <is>
          <t>C0038</t>
        </is>
      </c>
      <c r="F162" t="inlineStr">
        <is>
          <t>C0038</t>
        </is>
      </c>
      <c r="G162" t="inlineStr">
        <is>
          <t>Cobalt Constructions Pty Ltd</t>
        </is>
      </c>
      <c r="H162" t="inlineStr">
        <is>
          <t>S0163</t>
        </is>
      </c>
      <c r="I162" t="inlineStr">
        <is>
          <t>Installation labour - 130 panels @ 2.20</t>
        </is>
      </c>
      <c r="J162" t="n">
        <v>130</v>
      </c>
      <c r="K162" s="9" t="n">
        <v>286</v>
      </c>
      <c r="L162" t="inlineStr">
        <is>
          <t>PAID</t>
        </is>
      </c>
      <c r="M162">
        <f>IF(L162="VOIDED",0,1)</f>
        <v>1</v>
      </c>
      <c r="N162" t="n">
        <v>200</v>
      </c>
      <c r="O162" t="inlineStr">
        <is>
          <t>GST on Income</t>
        </is>
      </c>
      <c r="P162" t="inlineStr">
        <is>
          <t>R07</t>
        </is>
      </c>
      <c r="Q162" t="inlineStr">
        <is>
          <t>DEL-FP</t>
        </is>
      </c>
      <c r="R162">
        <f>IF(OR(Q162="CONTEXT",Q162="REVIEW"),"",INDEX('Category Rules'!$D$5:$D$17,MATCH(P162,'Category Rules'!$A$5:$A$17,0)))</f>
        <v>4020</v>
      </c>
      <c r="S162" t="str">
        <f>IF(Q162="CONTEXT","Fencing",IF(Q162="REVIEW","",INDEX('Category Rules'!$E$5:$E$17,MATCH(P162,'Category Rules'!$A$5:$A$17,0))))</f>
        <v>Fencing</v>
      </c>
      <c r="T162" t="str">
        <f>IF(Q162="DEP","BAS Excluded","GST on Income")</f>
        <v>GST on Income</v>
      </c>
      <c r="U162">
        <f>IF(O162=T162,1,0)</f>
        <v>1</v>
      </c>
      <c r="V162" s="9">
        <f>IF(OR(M162=0,U162=1),0,IF(T162="GST on Income",ROUND(K162*0.1,2),ROUND(-K162*0.1,2)))</f>
        <v>0</v>
      </c>
    </row>
    <row r="163">
      <c r="A163" t="inlineStr">
        <is>
          <t>INV-5750-1</t>
        </is>
      </c>
      <c r="B163" t="inlineStr">
        <is>
          <t>INV-5750</t>
        </is>
      </c>
      <c r="C163" s="11" t="n">
        <v>45872</v>
      </c>
      <c r="D163" t="inlineStr">
        <is>
          <t>2025-08</t>
        </is>
      </c>
      <c r="E163" t="inlineStr">
        <is>
          <t>C0021</t>
        </is>
      </c>
      <c r="F163" t="inlineStr">
        <is>
          <t>C0021</t>
        </is>
      </c>
      <c r="G163" t="inlineStr">
        <is>
          <t>Ironbark Building Group</t>
        </is>
      </c>
      <c r="H163" t="inlineStr">
        <is>
          <t>S0460</t>
        </is>
      </c>
      <c r="I163" t="inlineStr">
        <is>
          <t>Roof repair labour - 16 hrs</t>
        </is>
      </c>
      <c r="J163" t="n">
        <v>16</v>
      </c>
      <c r="K163" s="9" t="n">
        <v>1568</v>
      </c>
      <c r="L163" t="inlineStr">
        <is>
          <t>PAID</t>
        </is>
      </c>
      <c r="M163">
        <f>IF(L163="VOIDED",0,1)</f>
        <v>1</v>
      </c>
      <c r="N163" t="n">
        <v>200</v>
      </c>
      <c r="O163" t="inlineStr">
        <is>
          <t>GST on Income</t>
        </is>
      </c>
      <c r="P163" t="inlineStr">
        <is>
          <t>R10</t>
        </is>
      </c>
      <c r="Q163" t="inlineStr">
        <is>
          <t>LAB-RF</t>
        </is>
      </c>
      <c r="R163">
        <f>IF(OR(Q163="CONTEXT",Q163="REVIEW"),"",INDEX('Category Rules'!$D$5:$D$17,MATCH(P163,'Category Rules'!$A$5:$A$17,0)))</f>
        <v>4020</v>
      </c>
      <c r="S163" t="str">
        <f>IF(Q163="CONTEXT","Roofing",IF(Q163="REVIEW","",INDEX('Category Rules'!$E$5:$E$17,MATCH(P163,'Category Rules'!$A$5:$A$17,0))))</f>
        <v>Roofing</v>
      </c>
      <c r="T163" t="str">
        <f>IF(Q163="DEP","BAS Excluded","GST on Income")</f>
        <v>GST on Income</v>
      </c>
      <c r="U163">
        <f>IF(O163=T163,1,0)</f>
        <v>1</v>
      </c>
      <c r="V163" s="9">
        <f>IF(OR(M163=0,U163=1),0,IF(T163="GST on Income",ROUND(K163*0.1,2),ROUND(-K163*0.1,2)))</f>
        <v>0</v>
      </c>
    </row>
    <row r="164">
      <c r="A164" t="inlineStr">
        <is>
          <t>INV-5750-2</t>
        </is>
      </c>
      <c r="B164" t="inlineStr">
        <is>
          <t>INV-5750</t>
        </is>
      </c>
      <c r="C164" s="11" t="n">
        <v>45872</v>
      </c>
      <c r="D164" t="inlineStr">
        <is>
          <t>2025-08</t>
        </is>
      </c>
      <c r="E164" t="inlineStr">
        <is>
          <t>C0021</t>
        </is>
      </c>
      <c r="F164" t="inlineStr">
        <is>
          <t>C0021</t>
        </is>
      </c>
      <c r="G164" t="inlineStr">
        <is>
          <t>Ironbark Building Group</t>
        </is>
      </c>
      <c r="H164" t="inlineStr">
        <is>
          <t>S0460</t>
        </is>
      </c>
      <c r="I164" t="inlineStr">
        <is>
          <t>Materials - Colorbond sheet</t>
        </is>
      </c>
      <c r="J164" t="n">
        <v>1</v>
      </c>
      <c r="K164" s="9" t="n">
        <v>868.73</v>
      </c>
      <c r="L164" t="inlineStr">
        <is>
          <t>PAID</t>
        </is>
      </c>
      <c r="M164">
        <f>IF(L164="VOIDED",0,1)</f>
        <v>1</v>
      </c>
      <c r="N164" t="n">
        <v>200</v>
      </c>
      <c r="O164" t="inlineStr">
        <is>
          <t>GST on Income</t>
        </is>
      </c>
      <c r="P164" t="inlineStr">
        <is>
          <t>R11</t>
        </is>
      </c>
      <c r="Q164" t="inlineStr">
        <is>
          <t>MAT-RF</t>
        </is>
      </c>
      <c r="R164">
        <f>IF(OR(Q164="CONTEXT",Q164="REVIEW"),"",INDEX('Category Rules'!$D$5:$D$17,MATCH(P164,'Category Rules'!$A$5:$A$17,0)))</f>
        <v>4030</v>
      </c>
      <c r="S164" t="str">
        <f>IF(Q164="CONTEXT","Roofing",IF(Q164="REVIEW","",INDEX('Category Rules'!$E$5:$E$17,MATCH(P164,'Category Rules'!$A$5:$A$17,0))))</f>
        <v>Roofing</v>
      </c>
      <c r="T164" t="str">
        <f>IF(Q164="DEP","BAS Excluded","GST on Income")</f>
        <v>GST on Income</v>
      </c>
      <c r="U164">
        <f>IF(O164=T164,1,0)</f>
        <v>1</v>
      </c>
      <c r="V164" s="9">
        <f>IF(OR(M164=0,U164=1),0,IF(T164="GST on Income",ROUND(K164*0.1,2),ROUND(-K164*0.1,2)))</f>
        <v>0</v>
      </c>
    </row>
    <row r="165">
      <c r="A165" t="inlineStr">
        <is>
          <t>INV-5861-1</t>
        </is>
      </c>
      <c r="B165" t="inlineStr">
        <is>
          <t>INV-5861</t>
        </is>
      </c>
      <c r="C165" s="11" t="n">
        <v>45872</v>
      </c>
      <c r="D165" t="inlineStr">
        <is>
          <t>2025-08</t>
        </is>
      </c>
      <c r="E165" t="inlineStr">
        <is>
          <t>C0093</t>
        </is>
      </c>
      <c r="F165" t="inlineStr">
        <is>
          <t>C0093</t>
        </is>
      </c>
      <c r="G165" t="inlineStr">
        <is>
          <t>Olivia Wilson</t>
        </is>
      </c>
      <c r="H165" t="inlineStr">
        <is>
          <t>S0527</t>
        </is>
      </c>
      <c r="I165" t="inlineStr">
        <is>
          <t>Roof repair labour - 12 hrs</t>
        </is>
      </c>
      <c r="J165" t="n">
        <v>12</v>
      </c>
      <c r="K165" s="9" t="n">
        <v>1176</v>
      </c>
      <c r="L165" t="inlineStr">
        <is>
          <t>PAID</t>
        </is>
      </c>
      <c r="M165">
        <f>IF(L165="VOIDED",0,1)</f>
        <v>1</v>
      </c>
      <c r="N165" t="n">
        <v>260</v>
      </c>
      <c r="O165" t="inlineStr">
        <is>
          <t>GST Free Income</t>
        </is>
      </c>
      <c r="P165" t="inlineStr">
        <is>
          <t>R10</t>
        </is>
      </c>
      <c r="Q165" t="inlineStr">
        <is>
          <t>LAB-RF</t>
        </is>
      </c>
      <c r="R165">
        <f>IF(OR(Q165="CONTEXT",Q165="REVIEW"),"",INDEX('Category Rules'!$D$5:$D$17,MATCH(P165,'Category Rules'!$A$5:$A$17,0)))</f>
        <v>4020</v>
      </c>
      <c r="S165" t="str">
        <f>IF(Q165="CONTEXT","Roofing",IF(Q165="REVIEW","",INDEX('Category Rules'!$E$5:$E$17,MATCH(P165,'Category Rules'!$A$5:$A$17,0))))</f>
        <v>Roofing</v>
      </c>
      <c r="T165" t="str">
        <f>IF(Q165="DEP","BAS Excluded","GST on Income")</f>
        <v>GST on Income</v>
      </c>
      <c r="U165">
        <f>IF(O165=T165,1,0)</f>
        <v>0</v>
      </c>
      <c r="V165" s="9">
        <f>IF(OR(M165=0,U165=1),0,IF(T165="GST on Income",ROUND(K165*0.1,2),ROUND(-K165*0.1,2)))</f>
        <v>117.6</v>
      </c>
    </row>
    <row r="166">
      <c r="A166" t="inlineStr">
        <is>
          <t>INV-5861-2</t>
        </is>
      </c>
      <c r="B166" t="inlineStr">
        <is>
          <t>INV-5861</t>
        </is>
      </c>
      <c r="C166" s="11" t="n">
        <v>45872</v>
      </c>
      <c r="D166" t="inlineStr">
        <is>
          <t>2025-08</t>
        </is>
      </c>
      <c r="E166" t="inlineStr">
        <is>
          <t>C0093</t>
        </is>
      </c>
      <c r="F166" t="inlineStr">
        <is>
          <t>C0093</t>
        </is>
      </c>
      <c r="G166" t="inlineStr">
        <is>
          <t>Olivia Wilson</t>
        </is>
      </c>
      <c r="H166" t="inlineStr">
        <is>
          <t>S0527</t>
        </is>
      </c>
      <c r="I166" t="inlineStr">
        <is>
          <t>Materials - Colorbond sheet</t>
        </is>
      </c>
      <c r="J166" t="n">
        <v>1</v>
      </c>
      <c r="K166" s="9" t="n">
        <v>49.82</v>
      </c>
      <c r="L166" t="inlineStr">
        <is>
          <t>PAID</t>
        </is>
      </c>
      <c r="M166">
        <f>IF(L166="VOIDED",0,1)</f>
        <v>1</v>
      </c>
      <c r="N166" t="n">
        <v>200</v>
      </c>
      <c r="O166" t="inlineStr">
        <is>
          <t>GST on Income</t>
        </is>
      </c>
      <c r="P166" t="inlineStr">
        <is>
          <t>R11</t>
        </is>
      </c>
      <c r="Q166" t="inlineStr">
        <is>
          <t>MAT-RF</t>
        </is>
      </c>
      <c r="R166">
        <f>IF(OR(Q166="CONTEXT",Q166="REVIEW"),"",INDEX('Category Rules'!$D$5:$D$17,MATCH(P166,'Category Rules'!$A$5:$A$17,0)))</f>
        <v>4030</v>
      </c>
      <c r="S166" t="str">
        <f>IF(Q166="CONTEXT","Roofing",IF(Q166="REVIEW","",INDEX('Category Rules'!$E$5:$E$17,MATCH(P166,'Category Rules'!$A$5:$A$17,0))))</f>
        <v>Roofing</v>
      </c>
      <c r="T166" t="str">
        <f>IF(Q166="DEP","BAS Excluded","GST on Income")</f>
        <v>GST on Income</v>
      </c>
      <c r="U166">
        <f>IF(O166=T166,1,0)</f>
        <v>1</v>
      </c>
      <c r="V166" s="9">
        <f>IF(OR(M166=0,U166=1),0,IF(T166="GST on Income",ROUND(K166*0.1,2),ROUND(-K166*0.1,2)))</f>
        <v>0</v>
      </c>
    </row>
    <row r="167">
      <c r="A167" t="inlineStr">
        <is>
          <t>INV-5861-3</t>
        </is>
      </c>
      <c r="B167" t="inlineStr">
        <is>
          <t>INV-5861</t>
        </is>
      </c>
      <c r="C167" s="11" t="n">
        <v>45872</v>
      </c>
      <c r="D167" t="inlineStr">
        <is>
          <t>2025-08</t>
        </is>
      </c>
      <c r="E167" t="inlineStr">
        <is>
          <t>C0093</t>
        </is>
      </c>
      <c r="F167" t="inlineStr">
        <is>
          <t>C0093</t>
        </is>
      </c>
      <c r="G167" t="inlineStr">
        <is>
          <t>Olivia Wilson</t>
        </is>
      </c>
      <c r="H167" t="inlineStr">
        <is>
          <t>S0527</t>
        </is>
      </c>
      <c r="I167" t="inlineStr">
        <is>
          <t>Waste removal and tip fees</t>
        </is>
      </c>
      <c r="J167" t="n">
        <v>1</v>
      </c>
      <c r="K167" s="9" t="n">
        <v>120</v>
      </c>
      <c r="L167" t="inlineStr">
        <is>
          <t>PAID</t>
        </is>
      </c>
      <c r="M167">
        <f>IF(L167="VOIDED",0,1)</f>
        <v>1</v>
      </c>
      <c r="N167" t="n">
        <v>200</v>
      </c>
      <c r="O167" t="inlineStr">
        <is>
          <t>GST on Income</t>
        </is>
      </c>
      <c r="P167" t="inlineStr">
        <is>
          <t>R11</t>
        </is>
      </c>
      <c r="Q167" t="inlineStr">
        <is>
          <t>MAT-RF</t>
        </is>
      </c>
      <c r="R167">
        <f>IF(OR(Q167="CONTEXT",Q167="REVIEW"),"",INDEX('Category Rules'!$D$5:$D$17,MATCH(P167,'Category Rules'!$A$5:$A$17,0)))</f>
        <v>4030</v>
      </c>
      <c r="S167" t="str">
        <f>IF(Q167="CONTEXT","Roofing",IF(Q167="REVIEW","",INDEX('Category Rules'!$E$5:$E$17,MATCH(P167,'Category Rules'!$A$5:$A$17,0))))</f>
        <v>Roofing</v>
      </c>
      <c r="T167" t="str">
        <f>IF(Q167="DEP","BAS Excluded","GST on Income")</f>
        <v>GST on Income</v>
      </c>
      <c r="U167">
        <f>IF(O167=T167,1,0)</f>
        <v>1</v>
      </c>
      <c r="V167" s="9">
        <f>IF(OR(M167=0,U167=1),0,IF(T167="GST on Income",ROUND(K167*0.1,2),ROUND(-K167*0.1,2)))</f>
        <v>0</v>
      </c>
    </row>
    <row r="168">
      <c r="A168" t="inlineStr">
        <is>
          <t>INV-5931-1</t>
        </is>
      </c>
      <c r="B168" t="inlineStr">
        <is>
          <t>INV-5931</t>
        </is>
      </c>
      <c r="C168" s="11" t="n">
        <v>45872</v>
      </c>
      <c r="D168" t="inlineStr">
        <is>
          <t>2025-08</t>
        </is>
      </c>
      <c r="E168" t="inlineStr">
        <is>
          <t>C0033</t>
        </is>
      </c>
      <c r="F168" t="inlineStr">
        <is>
          <t>C0033</t>
        </is>
      </c>
      <c r="G168" t="inlineStr">
        <is>
          <t>Granite Projects Pty Ltd</t>
        </is>
      </c>
      <c r="H168" t="inlineStr"/>
      <c r="I168" t="inlineStr">
        <is>
          <t>Misc charges</t>
        </is>
      </c>
      <c r="J168" t="n">
        <v>1</v>
      </c>
      <c r="K168" s="9" t="n">
        <v>1245.85</v>
      </c>
      <c r="L168" t="inlineStr">
        <is>
          <t>PAID</t>
        </is>
      </c>
      <c r="M168">
        <f>IF(L168="VOIDED",0,1)</f>
        <v>1</v>
      </c>
      <c r="N168" t="n">
        <v>260</v>
      </c>
      <c r="O168" t="inlineStr">
        <is>
          <t>GST on Income</t>
        </is>
      </c>
      <c r="P168" t="inlineStr">
        <is>
          <t>--</t>
        </is>
      </c>
      <c r="Q168" t="inlineStr">
        <is>
          <t>REVIEW</t>
        </is>
      </c>
      <c r="R168">
        <f>IF(OR(Q168="CONTEXT",Q168="REVIEW"),"",INDEX('Category Rules'!$D$5:$D$17,MATCH(P168,'Category Rules'!$A$5:$A$17,0)))</f>
      </c>
      <c r="S168">
        <f>IF(Q168="CONTEXT","",IF(Q168="REVIEW","",INDEX('Category Rules'!$E$5:$E$17,MATCH(P168,'Category Rules'!$A$5:$A$17,0))))</f>
      </c>
      <c r="T168" t="str">
        <f>IF(Q168="DEP","BAS Excluded","GST on Income")</f>
        <v>GST on Income</v>
      </c>
      <c r="U168">
        <f>IF(O168=T168,1,0)</f>
        <v>1</v>
      </c>
      <c r="V168" s="9">
        <f>IF(OR(M168=0,U168=1),0,IF(T168="GST on Income",ROUND(K168*0.1,2),ROUND(-K168*0.1,2)))</f>
        <v>0</v>
      </c>
    </row>
    <row r="169">
      <c r="A169" t="inlineStr">
        <is>
          <t>INV-4342-1</t>
        </is>
      </c>
      <c r="B169" t="inlineStr">
        <is>
          <t>INV-4342</t>
        </is>
      </c>
      <c r="C169" s="11" t="n">
        <v>45873</v>
      </c>
      <c r="D169" t="inlineStr">
        <is>
          <t>2025-08</t>
        </is>
      </c>
      <c r="E169" t="inlineStr">
        <is>
          <t>C0116</t>
        </is>
      </c>
      <c r="F169" t="inlineStr">
        <is>
          <t>C0116</t>
        </is>
      </c>
      <c r="G169" t="inlineStr">
        <is>
          <t>Lucas Patel</t>
        </is>
      </c>
      <c r="H169" t="inlineStr">
        <is>
          <t>S0051</t>
        </is>
      </c>
      <c r="I169" t="inlineStr">
        <is>
          <t>Temporary fence hire 4 wks (07/07/25-03/08/25) - 38 panels</t>
        </is>
      </c>
      <c r="J169" t="n">
        <v>152</v>
      </c>
      <c r="K169" s="9" t="n">
        <v>684</v>
      </c>
      <c r="L169" t="inlineStr">
        <is>
          <t>PAID</t>
        </is>
      </c>
      <c r="M169">
        <f>IF(L169="VOIDED",0,1)</f>
        <v>1</v>
      </c>
      <c r="N169" t="n">
        <v>200</v>
      </c>
      <c r="O169" t="inlineStr">
        <is>
          <t>GST on Income</t>
        </is>
      </c>
      <c r="P169" t="inlineStr">
        <is>
          <t>R03</t>
        </is>
      </c>
      <c r="Q169" t="inlineStr">
        <is>
          <t>HIRE-FP</t>
        </is>
      </c>
      <c r="R169">
        <f>IF(OR(Q169="CONTEXT",Q169="REVIEW"),"",INDEX('Category Rules'!$D$5:$D$17,MATCH(P169,'Category Rules'!$A$5:$A$17,0)))</f>
        <v>4010</v>
      </c>
      <c r="S169" t="str">
        <f>IF(Q169="CONTEXT","Fencing",IF(Q169="REVIEW","",INDEX('Category Rules'!$E$5:$E$17,MATCH(P169,'Category Rules'!$A$5:$A$17,0))))</f>
        <v>Fencing</v>
      </c>
      <c r="T169" t="str">
        <f>IF(Q169="DEP","BAS Excluded","GST on Income")</f>
        <v>GST on Income</v>
      </c>
      <c r="U169">
        <f>IF(O169=T169,1,0)</f>
        <v>1</v>
      </c>
      <c r="V169" s="9">
        <f>IF(OR(M169=0,U169=1),0,IF(T169="GST on Income",ROUND(K169*0.1,2),ROUND(-K169*0.1,2)))</f>
        <v>0</v>
      </c>
    </row>
    <row r="170">
      <c r="A170" t="inlineStr">
        <is>
          <t>INV-5455-1</t>
        </is>
      </c>
      <c r="B170" t="inlineStr">
        <is>
          <t>INV-5455</t>
        </is>
      </c>
      <c r="C170" s="11" t="n">
        <v>45873</v>
      </c>
      <c r="D170" t="inlineStr">
        <is>
          <t>2025-08</t>
        </is>
      </c>
      <c r="E170" t="inlineStr">
        <is>
          <t>C0097</t>
        </is>
      </c>
      <c r="F170" t="inlineStr">
        <is>
          <t>C0097</t>
        </is>
      </c>
      <c r="G170" t="inlineStr">
        <is>
          <t>Arjun Rossi</t>
        </is>
      </c>
      <c r="H170" t="inlineStr">
        <is>
          <t>S0300</t>
        </is>
      </c>
      <c r="I170" t="inlineStr">
        <is>
          <t>Roof repair labour - 6 hrs</t>
        </is>
      </c>
      <c r="J170" t="n">
        <v>6</v>
      </c>
      <c r="K170" s="9" t="n">
        <v>588</v>
      </c>
      <c r="L170" t="inlineStr">
        <is>
          <t>PAID</t>
        </is>
      </c>
      <c r="M170">
        <f>IF(L170="VOIDED",0,1)</f>
        <v>1</v>
      </c>
      <c r="N170" t="n">
        <v>200</v>
      </c>
      <c r="O170" t="inlineStr">
        <is>
          <t>GST on Income</t>
        </is>
      </c>
      <c r="P170" t="inlineStr">
        <is>
          <t>R10</t>
        </is>
      </c>
      <c r="Q170" t="inlineStr">
        <is>
          <t>LAB-RF</t>
        </is>
      </c>
      <c r="R170">
        <f>IF(OR(Q170="CONTEXT",Q170="REVIEW"),"",INDEX('Category Rules'!$D$5:$D$17,MATCH(P170,'Category Rules'!$A$5:$A$17,0)))</f>
        <v>4020</v>
      </c>
      <c r="S170" t="str">
        <f>IF(Q170="CONTEXT","Roofing",IF(Q170="REVIEW","",INDEX('Category Rules'!$E$5:$E$17,MATCH(P170,'Category Rules'!$A$5:$A$17,0))))</f>
        <v>Roofing</v>
      </c>
      <c r="T170" t="str">
        <f>IF(Q170="DEP","BAS Excluded","GST on Income")</f>
        <v>GST on Income</v>
      </c>
      <c r="U170">
        <f>IF(O170=T170,1,0)</f>
        <v>1</v>
      </c>
      <c r="V170" s="9">
        <f>IF(OR(M170=0,U170=1),0,IF(T170="GST on Income",ROUND(K170*0.1,2),ROUND(-K170*0.1,2)))</f>
        <v>0</v>
      </c>
    </row>
    <row r="171">
      <c r="A171" t="inlineStr">
        <is>
          <t>INV-5455-2</t>
        </is>
      </c>
      <c r="B171" t="inlineStr">
        <is>
          <t>INV-5455</t>
        </is>
      </c>
      <c r="C171" s="11" t="n">
        <v>45873</v>
      </c>
      <c r="D171" t="inlineStr">
        <is>
          <t>2025-08</t>
        </is>
      </c>
      <c r="E171" t="inlineStr">
        <is>
          <t>C0097</t>
        </is>
      </c>
      <c r="F171" t="inlineStr">
        <is>
          <t>C0097</t>
        </is>
      </c>
      <c r="G171" t="inlineStr">
        <is>
          <t>Arjun Rossi</t>
        </is>
      </c>
      <c r="H171" t="inlineStr">
        <is>
          <t>S0300</t>
        </is>
      </c>
      <c r="I171" t="inlineStr">
        <is>
          <t>Materials - roof tiles (matched)</t>
        </is>
      </c>
      <c r="J171" t="n">
        <v>1</v>
      </c>
      <c r="K171" s="9" t="n">
        <v>996.49</v>
      </c>
      <c r="L171" t="inlineStr">
        <is>
          <t>PAID</t>
        </is>
      </c>
      <c r="M171">
        <f>IF(L171="VOIDED",0,1)</f>
        <v>1</v>
      </c>
      <c r="N171" t="n">
        <v>200</v>
      </c>
      <c r="O171" t="inlineStr">
        <is>
          <t>GST on Income</t>
        </is>
      </c>
      <c r="P171" t="inlineStr">
        <is>
          <t>R11</t>
        </is>
      </c>
      <c r="Q171" t="inlineStr">
        <is>
          <t>MAT-RF</t>
        </is>
      </c>
      <c r="R171">
        <f>IF(OR(Q171="CONTEXT",Q171="REVIEW"),"",INDEX('Category Rules'!$D$5:$D$17,MATCH(P171,'Category Rules'!$A$5:$A$17,0)))</f>
        <v>4030</v>
      </c>
      <c r="S171" t="str">
        <f>IF(Q171="CONTEXT","Roofing",IF(Q171="REVIEW","",INDEX('Category Rules'!$E$5:$E$17,MATCH(P171,'Category Rules'!$A$5:$A$17,0))))</f>
        <v>Roofing</v>
      </c>
      <c r="T171" t="str">
        <f>IF(Q171="DEP","BAS Excluded","GST on Income")</f>
        <v>GST on Income</v>
      </c>
      <c r="U171">
        <f>IF(O171=T171,1,0)</f>
        <v>1</v>
      </c>
      <c r="V171" s="9">
        <f>IF(OR(M171=0,U171=1),0,IF(T171="GST on Income",ROUND(K171*0.1,2),ROUND(-K171*0.1,2)))</f>
        <v>0</v>
      </c>
    </row>
    <row r="172">
      <c r="A172" t="inlineStr">
        <is>
          <t>INV-5455-3</t>
        </is>
      </c>
      <c r="B172" t="inlineStr">
        <is>
          <t>INV-5455</t>
        </is>
      </c>
      <c r="C172" s="11" t="n">
        <v>45873</v>
      </c>
      <c r="D172" t="inlineStr">
        <is>
          <t>2025-08</t>
        </is>
      </c>
      <c r="E172" t="inlineStr">
        <is>
          <t>C0097</t>
        </is>
      </c>
      <c r="F172" t="inlineStr">
        <is>
          <t>C0097</t>
        </is>
      </c>
      <c r="G172" t="inlineStr">
        <is>
          <t>Arjun Rossi</t>
        </is>
      </c>
      <c r="H172" t="inlineStr">
        <is>
          <t>S0300</t>
        </is>
      </c>
      <c r="I172" t="inlineStr">
        <is>
          <t>Waste removal and tip fees</t>
        </is>
      </c>
      <c r="J172" t="n">
        <v>1</v>
      </c>
      <c r="K172" s="9" t="n">
        <v>120</v>
      </c>
      <c r="L172" t="inlineStr">
        <is>
          <t>PAID</t>
        </is>
      </c>
      <c r="M172">
        <f>IF(L172="VOIDED",0,1)</f>
        <v>1</v>
      </c>
      <c r="N172" t="n">
        <v>200</v>
      </c>
      <c r="O172" t="inlineStr">
        <is>
          <t>GST on Income</t>
        </is>
      </c>
      <c r="P172" t="inlineStr">
        <is>
          <t>R11</t>
        </is>
      </c>
      <c r="Q172" t="inlineStr">
        <is>
          <t>MAT-RF</t>
        </is>
      </c>
      <c r="R172">
        <f>IF(OR(Q172="CONTEXT",Q172="REVIEW"),"",INDEX('Category Rules'!$D$5:$D$17,MATCH(P172,'Category Rules'!$A$5:$A$17,0)))</f>
        <v>4030</v>
      </c>
      <c r="S172" t="str">
        <f>IF(Q172="CONTEXT","Roofing",IF(Q172="REVIEW","",INDEX('Category Rules'!$E$5:$E$17,MATCH(P172,'Category Rules'!$A$5:$A$17,0))))</f>
        <v>Roofing</v>
      </c>
      <c r="T172" t="str">
        <f>IF(Q172="DEP","BAS Excluded","GST on Income")</f>
        <v>GST on Income</v>
      </c>
      <c r="U172">
        <f>IF(O172=T172,1,0)</f>
        <v>1</v>
      </c>
      <c r="V172" s="9">
        <f>IF(OR(M172=0,U172=1),0,IF(T172="GST on Income",ROUND(K172*0.1,2),ROUND(-K172*0.1,2)))</f>
        <v>0</v>
      </c>
    </row>
    <row r="173">
      <c r="A173" t="inlineStr">
        <is>
          <t>INV-5749-1</t>
        </is>
      </c>
      <c r="B173" t="inlineStr">
        <is>
          <t>INV-5749</t>
        </is>
      </c>
      <c r="C173" s="11" t="n">
        <v>45873</v>
      </c>
      <c r="D173" t="inlineStr">
        <is>
          <t>2025-08</t>
        </is>
      </c>
      <c r="E173" t="inlineStr">
        <is>
          <t>C0012</t>
        </is>
      </c>
      <c r="F173" t="inlineStr">
        <is>
          <t>C0012</t>
        </is>
      </c>
      <c r="G173" t="inlineStr">
        <is>
          <t>Kestrel Constructions Pty Ltd</t>
        </is>
      </c>
      <c r="H173" t="inlineStr">
        <is>
          <t>S0459</t>
        </is>
      </c>
      <c r="I173" t="inlineStr">
        <is>
          <t>Roof repair labour - 6 hrs</t>
        </is>
      </c>
      <c r="J173" t="n">
        <v>6</v>
      </c>
      <c r="K173" s="9" t="n">
        <v>588</v>
      </c>
      <c r="L173" t="inlineStr">
        <is>
          <t>PAID</t>
        </is>
      </c>
      <c r="M173">
        <f>IF(L173="VOIDED",0,1)</f>
        <v>1</v>
      </c>
      <c r="N173" t="n">
        <v>200</v>
      </c>
      <c r="O173" t="inlineStr">
        <is>
          <t>GST on Income</t>
        </is>
      </c>
      <c r="P173" t="inlineStr">
        <is>
          <t>R10</t>
        </is>
      </c>
      <c r="Q173" t="inlineStr">
        <is>
          <t>LAB-RF</t>
        </is>
      </c>
      <c r="R173">
        <f>IF(OR(Q173="CONTEXT",Q173="REVIEW"),"",INDEX('Category Rules'!$D$5:$D$17,MATCH(P173,'Category Rules'!$A$5:$A$17,0)))</f>
        <v>4020</v>
      </c>
      <c r="S173" t="str">
        <f>IF(Q173="CONTEXT","Roofing",IF(Q173="REVIEW","",INDEX('Category Rules'!$E$5:$E$17,MATCH(P173,'Category Rules'!$A$5:$A$17,0))))</f>
        <v>Roofing</v>
      </c>
      <c r="T173" t="str">
        <f>IF(Q173="DEP","BAS Excluded","GST on Income")</f>
        <v>GST on Income</v>
      </c>
      <c r="U173">
        <f>IF(O173=T173,1,0)</f>
        <v>1</v>
      </c>
      <c r="V173" s="9">
        <f>IF(OR(M173=0,U173=1),0,IF(T173="GST on Income",ROUND(K173*0.1,2),ROUND(-K173*0.1,2)))</f>
        <v>0</v>
      </c>
    </row>
    <row r="174">
      <c r="A174" t="inlineStr">
        <is>
          <t>INV-5749-2</t>
        </is>
      </c>
      <c r="B174" t="inlineStr">
        <is>
          <t>INV-5749</t>
        </is>
      </c>
      <c r="C174" s="11" t="n">
        <v>45873</v>
      </c>
      <c r="D174" t="inlineStr">
        <is>
          <t>2025-08</t>
        </is>
      </c>
      <c r="E174" t="inlineStr">
        <is>
          <t>C0012</t>
        </is>
      </c>
      <c r="F174" t="inlineStr">
        <is>
          <t>C0012</t>
        </is>
      </c>
      <c r="G174" t="inlineStr">
        <is>
          <t>Kestrel Constructions Pty Ltd</t>
        </is>
      </c>
      <c r="H174" t="inlineStr">
        <is>
          <t>S0459</t>
        </is>
      </c>
      <c r="I174" t="inlineStr">
        <is>
          <t>Materials - ridge capping</t>
        </is>
      </c>
      <c r="J174" t="n">
        <v>1</v>
      </c>
      <c r="K174" s="9" t="n">
        <v>279.11</v>
      </c>
      <c r="L174" t="inlineStr">
        <is>
          <t>PAID</t>
        </is>
      </c>
      <c r="M174">
        <f>IF(L174="VOIDED",0,1)</f>
        <v>1</v>
      </c>
      <c r="N174" t="n">
        <v>200</v>
      </c>
      <c r="O174" t="inlineStr">
        <is>
          <t>GST on Income</t>
        </is>
      </c>
      <c r="P174" t="inlineStr">
        <is>
          <t>R11</t>
        </is>
      </c>
      <c r="Q174" t="inlineStr">
        <is>
          <t>MAT-RF</t>
        </is>
      </c>
      <c r="R174">
        <f>IF(OR(Q174="CONTEXT",Q174="REVIEW"),"",INDEX('Category Rules'!$D$5:$D$17,MATCH(P174,'Category Rules'!$A$5:$A$17,0)))</f>
        <v>4030</v>
      </c>
      <c r="S174" t="str">
        <f>IF(Q174="CONTEXT","Roofing",IF(Q174="REVIEW","",INDEX('Category Rules'!$E$5:$E$17,MATCH(P174,'Category Rules'!$A$5:$A$17,0))))</f>
        <v>Roofing</v>
      </c>
      <c r="T174" t="str">
        <f>IF(Q174="DEP","BAS Excluded","GST on Income")</f>
        <v>GST on Income</v>
      </c>
      <c r="U174">
        <f>IF(O174=T174,1,0)</f>
        <v>1</v>
      </c>
      <c r="V174" s="9">
        <f>IF(OR(M174=0,U174=1),0,IF(T174="GST on Income",ROUND(K174*0.1,2),ROUND(-K174*0.1,2)))</f>
        <v>0</v>
      </c>
    </row>
    <row r="175">
      <c r="A175" t="inlineStr">
        <is>
          <t>INV-5749-3</t>
        </is>
      </c>
      <c r="B175" t="inlineStr">
        <is>
          <t>INV-5749</t>
        </is>
      </c>
      <c r="C175" s="11" t="n">
        <v>45873</v>
      </c>
      <c r="D175" t="inlineStr">
        <is>
          <t>2025-08</t>
        </is>
      </c>
      <c r="E175" t="inlineStr">
        <is>
          <t>C0012</t>
        </is>
      </c>
      <c r="F175" t="inlineStr">
        <is>
          <t>C0012</t>
        </is>
      </c>
      <c r="G175" t="inlineStr">
        <is>
          <t>Kestrel Constructions Pty Ltd</t>
        </is>
      </c>
      <c r="H175" t="inlineStr">
        <is>
          <t>S0459</t>
        </is>
      </c>
      <c r="I175" t="inlineStr">
        <is>
          <t>Materials - sealant and fixings</t>
        </is>
      </c>
      <c r="J175" t="n">
        <v>1</v>
      </c>
      <c r="K175" s="9" t="n">
        <v>258.01</v>
      </c>
      <c r="L175" t="inlineStr">
        <is>
          <t>PAID</t>
        </is>
      </c>
      <c r="M175">
        <f>IF(L175="VOIDED",0,1)</f>
        <v>1</v>
      </c>
      <c r="N175" t="n">
        <v>200</v>
      </c>
      <c r="O175" t="inlineStr">
        <is>
          <t>GST on Income</t>
        </is>
      </c>
      <c r="P175" t="inlineStr">
        <is>
          <t>R11</t>
        </is>
      </c>
      <c r="Q175" t="inlineStr">
        <is>
          <t>MAT-RF</t>
        </is>
      </c>
      <c r="R175">
        <f>IF(OR(Q175="CONTEXT",Q175="REVIEW"),"",INDEX('Category Rules'!$D$5:$D$17,MATCH(P175,'Category Rules'!$A$5:$A$17,0)))</f>
        <v>4030</v>
      </c>
      <c r="S175" t="str">
        <f>IF(Q175="CONTEXT","Roofing",IF(Q175="REVIEW","",INDEX('Category Rules'!$E$5:$E$17,MATCH(P175,'Category Rules'!$A$5:$A$17,0))))</f>
        <v>Roofing</v>
      </c>
      <c r="T175" t="str">
        <f>IF(Q175="DEP","BAS Excluded","GST on Income")</f>
        <v>GST on Income</v>
      </c>
      <c r="U175">
        <f>IF(O175=T175,1,0)</f>
        <v>1</v>
      </c>
      <c r="V175" s="9">
        <f>IF(OR(M175=0,U175=1),0,IF(T175="GST on Income",ROUND(K175*0.1,2),ROUND(-K175*0.1,2)))</f>
        <v>0</v>
      </c>
    </row>
    <row r="176">
      <c r="A176" t="inlineStr">
        <is>
          <t>INV-5749-4</t>
        </is>
      </c>
      <c r="B176" t="inlineStr">
        <is>
          <t>INV-5749</t>
        </is>
      </c>
      <c r="C176" s="11" t="n">
        <v>45873</v>
      </c>
      <c r="D176" t="inlineStr">
        <is>
          <t>2025-08</t>
        </is>
      </c>
      <c r="E176" t="inlineStr">
        <is>
          <t>C0012</t>
        </is>
      </c>
      <c r="F176" t="inlineStr">
        <is>
          <t>C0012</t>
        </is>
      </c>
      <c r="G176" t="inlineStr">
        <is>
          <t>Kestrel Constructions Pty Ltd</t>
        </is>
      </c>
      <c r="H176" t="inlineStr">
        <is>
          <t>S0459</t>
        </is>
      </c>
      <c r="I176" t="inlineStr">
        <is>
          <t>Waste removal and tip fees</t>
        </is>
      </c>
      <c r="J176" t="n">
        <v>1</v>
      </c>
      <c r="K176" s="9" t="n">
        <v>120</v>
      </c>
      <c r="L176" t="inlineStr">
        <is>
          <t>PAID</t>
        </is>
      </c>
      <c r="M176">
        <f>IF(L176="VOIDED",0,1)</f>
        <v>1</v>
      </c>
      <c r="N176" t="n">
        <v>200</v>
      </c>
      <c r="O176" t="inlineStr">
        <is>
          <t>GST on Income</t>
        </is>
      </c>
      <c r="P176" t="inlineStr">
        <is>
          <t>R11</t>
        </is>
      </c>
      <c r="Q176" t="inlineStr">
        <is>
          <t>MAT-RF</t>
        </is>
      </c>
      <c r="R176">
        <f>IF(OR(Q176="CONTEXT",Q176="REVIEW"),"",INDEX('Category Rules'!$D$5:$D$17,MATCH(P176,'Category Rules'!$A$5:$A$17,0)))</f>
        <v>4030</v>
      </c>
      <c r="S176" t="str">
        <f>IF(Q176="CONTEXT","Roofing",IF(Q176="REVIEW","",INDEX('Category Rules'!$E$5:$E$17,MATCH(P176,'Category Rules'!$A$5:$A$17,0))))</f>
        <v>Roofing</v>
      </c>
      <c r="T176" t="str">
        <f>IF(Q176="DEP","BAS Excluded","GST on Income")</f>
        <v>GST on Income</v>
      </c>
      <c r="U176">
        <f>IF(O176=T176,1,0)</f>
        <v>1</v>
      </c>
      <c r="V176" s="9">
        <f>IF(OR(M176=0,U176=1),0,IF(T176="GST on Income",ROUND(K176*0.1,2),ROUND(-K176*0.1,2)))</f>
        <v>0</v>
      </c>
    </row>
    <row r="177">
      <c r="A177" t="inlineStr">
        <is>
          <t>INV-5780-1</t>
        </is>
      </c>
      <c r="B177" t="inlineStr">
        <is>
          <t>INV-5780</t>
        </is>
      </c>
      <c r="C177" s="11" t="n">
        <v>45873</v>
      </c>
      <c r="D177" t="inlineStr">
        <is>
          <t>2025-08</t>
        </is>
      </c>
      <c r="E177" t="inlineStr">
        <is>
          <t>C0064</t>
        </is>
      </c>
      <c r="F177" t="inlineStr">
        <is>
          <t>C0064</t>
        </is>
      </c>
      <c r="G177" t="inlineStr">
        <is>
          <t>Lakeside Claims Services Pty Ltd</t>
        </is>
      </c>
      <c r="H177" t="inlineStr">
        <is>
          <t>S0479</t>
        </is>
      </c>
      <c r="I177" t="inlineStr">
        <is>
          <t>Roof repair labour - 24 hrs</t>
        </is>
      </c>
      <c r="J177" t="n">
        <v>24</v>
      </c>
      <c r="K177" s="9" t="n">
        <v>2352</v>
      </c>
      <c r="L177" t="inlineStr">
        <is>
          <t>PAID</t>
        </is>
      </c>
      <c r="M177">
        <f>IF(L177="VOIDED",0,1)</f>
        <v>1</v>
      </c>
      <c r="N177" t="n">
        <v>200</v>
      </c>
      <c r="O177" t="inlineStr">
        <is>
          <t>GST on Income</t>
        </is>
      </c>
      <c r="P177" t="inlineStr">
        <is>
          <t>R10</t>
        </is>
      </c>
      <c r="Q177" t="inlineStr">
        <is>
          <t>LAB-RF</t>
        </is>
      </c>
      <c r="R177">
        <f>IF(OR(Q177="CONTEXT",Q177="REVIEW"),"",INDEX('Category Rules'!$D$5:$D$17,MATCH(P177,'Category Rules'!$A$5:$A$17,0)))</f>
        <v>4020</v>
      </c>
      <c r="S177" t="str">
        <f>IF(Q177="CONTEXT","Roofing",IF(Q177="REVIEW","",INDEX('Category Rules'!$E$5:$E$17,MATCH(P177,'Category Rules'!$A$5:$A$17,0))))</f>
        <v>Roofing</v>
      </c>
      <c r="T177" t="str">
        <f>IF(Q177="DEP","BAS Excluded","GST on Income")</f>
        <v>GST on Income</v>
      </c>
      <c r="U177">
        <f>IF(O177=T177,1,0)</f>
        <v>1</v>
      </c>
      <c r="V177" s="9">
        <f>IF(OR(M177=0,U177=1),0,IF(T177="GST on Income",ROUND(K177*0.1,2),ROUND(-K177*0.1,2)))</f>
        <v>0</v>
      </c>
    </row>
    <row r="178">
      <c r="A178" t="inlineStr">
        <is>
          <t>INV-5780-2</t>
        </is>
      </c>
      <c r="B178" t="inlineStr">
        <is>
          <t>INV-5780</t>
        </is>
      </c>
      <c r="C178" s="11" t="n">
        <v>45873</v>
      </c>
      <c r="D178" t="inlineStr">
        <is>
          <t>2025-08</t>
        </is>
      </c>
      <c r="E178" t="inlineStr">
        <is>
          <t>C0064</t>
        </is>
      </c>
      <c r="F178" t="inlineStr">
        <is>
          <t>C0064</t>
        </is>
      </c>
      <c r="G178" t="inlineStr">
        <is>
          <t>Lakeside Claims Services Pty Ltd</t>
        </is>
      </c>
      <c r="H178" t="inlineStr">
        <is>
          <t>S0479</t>
        </is>
      </c>
      <c r="I178" t="inlineStr">
        <is>
          <t>Materials - gutter and downpipe</t>
        </is>
      </c>
      <c r="J178" t="n">
        <v>1</v>
      </c>
      <c r="K178" s="9" t="n">
        <v>503.79</v>
      </c>
      <c r="L178" t="inlineStr">
        <is>
          <t>PAID</t>
        </is>
      </c>
      <c r="M178">
        <f>IF(L178="VOIDED",0,1)</f>
        <v>1</v>
      </c>
      <c r="N178" t="n">
        <v>200</v>
      </c>
      <c r="O178" t="inlineStr">
        <is>
          <t>GST Free Income</t>
        </is>
      </c>
      <c r="P178" t="inlineStr">
        <is>
          <t>R11</t>
        </is>
      </c>
      <c r="Q178" t="inlineStr">
        <is>
          <t>MAT-RF</t>
        </is>
      </c>
      <c r="R178">
        <f>IF(OR(Q178="CONTEXT",Q178="REVIEW"),"",INDEX('Category Rules'!$D$5:$D$17,MATCH(P178,'Category Rules'!$A$5:$A$17,0)))</f>
        <v>4030</v>
      </c>
      <c r="S178" t="str">
        <f>IF(Q178="CONTEXT","Roofing",IF(Q178="REVIEW","",INDEX('Category Rules'!$E$5:$E$17,MATCH(P178,'Category Rules'!$A$5:$A$17,0))))</f>
        <v>Roofing</v>
      </c>
      <c r="T178" t="str">
        <f>IF(Q178="DEP","BAS Excluded","GST on Income")</f>
        <v>GST on Income</v>
      </c>
      <c r="U178">
        <f>IF(O178=T178,1,0)</f>
        <v>0</v>
      </c>
      <c r="V178" s="9">
        <f>IF(OR(M178=0,U178=1),0,IF(T178="GST on Income",ROUND(K178*0.1,2),ROUND(-K178*0.1,2)))</f>
        <v>50.38</v>
      </c>
    </row>
    <row r="179">
      <c r="A179" t="inlineStr">
        <is>
          <t>INV-5913-1</t>
        </is>
      </c>
      <c r="B179" t="inlineStr">
        <is>
          <t>INV-5913</t>
        </is>
      </c>
      <c r="C179" s="11" t="n">
        <v>45873</v>
      </c>
      <c r="D179" t="inlineStr">
        <is>
          <t>2025-08</t>
        </is>
      </c>
      <c r="E179" t="inlineStr">
        <is>
          <t>C0055</t>
        </is>
      </c>
      <c r="F179" t="inlineStr">
        <is>
          <t>C0055</t>
        </is>
      </c>
      <c r="G179" t="inlineStr">
        <is>
          <t>Coastline Strata Management Pty Ltd</t>
        </is>
      </c>
      <c r="H179" t="inlineStr">
        <is>
          <t>S0525</t>
        </is>
      </c>
      <c r="I179" t="inlineStr">
        <is>
          <t>Works completed as discussed</t>
        </is>
      </c>
      <c r="J179" t="n">
        <v>1</v>
      </c>
      <c r="K179" s="9" t="n">
        <v>1117.91</v>
      </c>
      <c r="L179" t="inlineStr">
        <is>
          <t>PAID</t>
        </is>
      </c>
      <c r="M179">
        <f>IF(L179="VOIDED",0,1)</f>
        <v>1</v>
      </c>
      <c r="N179" t="n">
        <v>200</v>
      </c>
      <c r="O179" t="inlineStr">
        <is>
          <t>GST on Income</t>
        </is>
      </c>
      <c r="P179" t="inlineStr">
        <is>
          <t>R12</t>
        </is>
      </c>
      <c r="Q179" t="inlineStr">
        <is>
          <t>CONTEXT</t>
        </is>
      </c>
      <c r="R179">
        <f>IF(OR(Q179="CONTEXT",Q179="REVIEW"),"",INDEX('Category Rules'!$D$5:$D$17,MATCH(P179,'Category Rules'!$A$5:$A$17,0)))</f>
      </c>
      <c r="S179" t="str">
        <f>IF(Q179="CONTEXT","Make-safe",IF(Q179="REVIEW","",INDEX('Category Rules'!$E$5:$E$17,MATCH(P179,'Category Rules'!$A$5:$A$17,0))))</f>
        <v>Make-safe</v>
      </c>
      <c r="T179" t="str">
        <f>IF(Q179="DEP","BAS Excluded","GST on Income")</f>
        <v>GST on Income</v>
      </c>
      <c r="U179">
        <f>IF(O179=T179,1,0)</f>
        <v>1</v>
      </c>
      <c r="V179" s="9">
        <f>IF(OR(M179=0,U179=1),0,IF(T179="GST on Income",ROUND(K179*0.1,2),ROUND(-K179*0.1,2)))</f>
        <v>0</v>
      </c>
    </row>
    <row r="180">
      <c r="A180" t="inlineStr">
        <is>
          <t>INV-5112-1</t>
        </is>
      </c>
      <c r="B180" t="inlineStr">
        <is>
          <t>INV-5112</t>
        </is>
      </c>
      <c r="C180" s="11" t="n">
        <v>45874</v>
      </c>
      <c r="D180" t="inlineStr">
        <is>
          <t>2025-08</t>
        </is>
      </c>
      <c r="E180" t="inlineStr">
        <is>
          <t>C0029</t>
        </is>
      </c>
      <c r="F180" t="inlineStr">
        <is>
          <t>C0029</t>
        </is>
      </c>
      <c r="G180" t="inlineStr">
        <is>
          <t>Ironbark Constructions</t>
        </is>
      </c>
      <c r="H180" t="inlineStr">
        <is>
          <t>S0216</t>
        </is>
      </c>
      <c r="I180" t="inlineStr">
        <is>
          <t>Temporary fence hire 4 wks (08/07/25-04/08/25) - 102 panels</t>
        </is>
      </c>
      <c r="J180" t="n">
        <v>408</v>
      </c>
      <c r="K180" s="9" t="n">
        <v>1836</v>
      </c>
      <c r="L180" t="inlineStr">
        <is>
          <t>PAID</t>
        </is>
      </c>
      <c r="M180">
        <f>IF(L180="VOIDED",0,1)</f>
        <v>1</v>
      </c>
      <c r="N180" t="n">
        <v>200</v>
      </c>
      <c r="O180" t="inlineStr">
        <is>
          <t>GST on Income</t>
        </is>
      </c>
      <c r="P180" t="inlineStr">
        <is>
          <t>R03</t>
        </is>
      </c>
      <c r="Q180" t="inlineStr">
        <is>
          <t>HIRE-FP</t>
        </is>
      </c>
      <c r="R180">
        <f>IF(OR(Q180="CONTEXT",Q180="REVIEW"),"",INDEX('Category Rules'!$D$5:$D$17,MATCH(P180,'Category Rules'!$A$5:$A$17,0)))</f>
        <v>4010</v>
      </c>
      <c r="S180" t="str">
        <f>IF(Q180="CONTEXT","Fencing",IF(Q180="REVIEW","",INDEX('Category Rules'!$E$5:$E$17,MATCH(P180,'Category Rules'!$A$5:$A$17,0))))</f>
        <v>Fencing</v>
      </c>
      <c r="T180" t="str">
        <f>IF(Q180="DEP","BAS Excluded","GST on Income")</f>
        <v>GST on Income</v>
      </c>
      <c r="U180">
        <f>IF(O180=T180,1,0)</f>
        <v>1</v>
      </c>
      <c r="V180" s="9">
        <f>IF(OR(M180=0,U180=1),0,IF(T180="GST on Income",ROUND(K180*0.1,2),ROUND(-K180*0.1,2)))</f>
        <v>0</v>
      </c>
    </row>
    <row r="181">
      <c r="A181" t="inlineStr">
        <is>
          <t>INV-5849-1</t>
        </is>
      </c>
      <c r="B181" t="inlineStr">
        <is>
          <t>INV-5849</t>
        </is>
      </c>
      <c r="C181" s="11" t="n">
        <v>45874</v>
      </c>
      <c r="D181" t="inlineStr">
        <is>
          <t>2025-08</t>
        </is>
      </c>
      <c r="E181" t="inlineStr">
        <is>
          <t>C0008</t>
        </is>
      </c>
      <c r="F181" t="inlineStr">
        <is>
          <t>C0008</t>
        </is>
      </c>
      <c r="G181" t="inlineStr">
        <is>
          <t>Redline Builders Pty Ltd</t>
        </is>
      </c>
      <c r="H181" t="inlineStr">
        <is>
          <t>S0519</t>
        </is>
      </c>
      <c r="I181" t="inlineStr">
        <is>
          <t>Emergency make safe call-out - after hours</t>
        </is>
      </c>
      <c r="J181" t="n">
        <v>1</v>
      </c>
      <c r="K181" s="9" t="n">
        <v>560</v>
      </c>
      <c r="L181" t="inlineStr">
        <is>
          <t>PAID</t>
        </is>
      </c>
      <c r="M181">
        <f>IF(L181="VOIDED",0,1)</f>
        <v>1</v>
      </c>
      <c r="N181" t="n">
        <v>200</v>
      </c>
      <c r="O181" t="inlineStr">
        <is>
          <t>GST on Income</t>
        </is>
      </c>
      <c r="P181" t="inlineStr">
        <is>
          <t>R09</t>
        </is>
      </c>
      <c r="Q181" t="inlineStr">
        <is>
          <t>MS</t>
        </is>
      </c>
      <c r="R181">
        <f>IF(OR(Q181="CONTEXT",Q181="REVIEW"),"",INDEX('Category Rules'!$D$5:$D$17,MATCH(P181,'Category Rules'!$A$5:$A$17,0)))</f>
        <v>4020</v>
      </c>
      <c r="S181" t="str">
        <f>IF(Q181="CONTEXT","Make-safe",IF(Q181="REVIEW","",INDEX('Category Rules'!$E$5:$E$17,MATCH(P181,'Category Rules'!$A$5:$A$17,0))))</f>
        <v>Make-safe</v>
      </c>
      <c r="T181" t="str">
        <f>IF(Q181="DEP","BAS Excluded","GST on Income")</f>
        <v>GST on Income</v>
      </c>
      <c r="U181">
        <f>IF(O181=T181,1,0)</f>
        <v>1</v>
      </c>
      <c r="V181" s="9">
        <f>IF(OR(M181=0,U181=1),0,IF(T181="GST on Income",ROUND(K181*0.1,2),ROUND(-K181*0.1,2)))</f>
        <v>0</v>
      </c>
    </row>
    <row r="182">
      <c r="A182" t="inlineStr">
        <is>
          <t>INV-5849-2</t>
        </is>
      </c>
      <c r="B182" t="inlineStr">
        <is>
          <t>INV-5849</t>
        </is>
      </c>
      <c r="C182" s="11" t="n">
        <v>45874</v>
      </c>
      <c r="D182" t="inlineStr">
        <is>
          <t>2025-08</t>
        </is>
      </c>
      <c r="E182" t="inlineStr">
        <is>
          <t>C0008</t>
        </is>
      </c>
      <c r="F182" t="inlineStr">
        <is>
          <t>C0008</t>
        </is>
      </c>
      <c r="G182" t="inlineStr">
        <is>
          <t>Redline Builders Pty Ltd</t>
        </is>
      </c>
      <c r="H182" t="inlineStr">
        <is>
          <t>S0519</t>
        </is>
      </c>
      <c r="I182" t="inlineStr">
        <is>
          <t>Tarp supply and install - 3 tarp(s)</t>
        </is>
      </c>
      <c r="J182" t="n">
        <v>3</v>
      </c>
      <c r="K182" s="9" t="n">
        <v>720</v>
      </c>
      <c r="L182" t="inlineStr">
        <is>
          <t>PAID</t>
        </is>
      </c>
      <c r="M182">
        <f>IF(L182="VOIDED",0,1)</f>
        <v>1</v>
      </c>
      <c r="N182" t="n">
        <v>200</v>
      </c>
      <c r="O182" t="inlineStr">
        <is>
          <t>GST on Income</t>
        </is>
      </c>
      <c r="P182" t="inlineStr">
        <is>
          <t>R09</t>
        </is>
      </c>
      <c r="Q182" t="inlineStr">
        <is>
          <t>MS</t>
        </is>
      </c>
      <c r="R182">
        <f>IF(OR(Q182="CONTEXT",Q182="REVIEW"),"",INDEX('Category Rules'!$D$5:$D$17,MATCH(P182,'Category Rules'!$A$5:$A$17,0)))</f>
        <v>4020</v>
      </c>
      <c r="S182" t="str">
        <f>IF(Q182="CONTEXT","Make-safe",IF(Q182="REVIEW","",INDEX('Category Rules'!$E$5:$E$17,MATCH(P182,'Category Rules'!$A$5:$A$17,0))))</f>
        <v>Make-safe</v>
      </c>
      <c r="T182" t="str">
        <f>IF(Q182="DEP","BAS Excluded","GST on Income")</f>
        <v>GST on Income</v>
      </c>
      <c r="U182">
        <f>IF(O182=T182,1,0)</f>
        <v>1</v>
      </c>
      <c r="V182" s="9">
        <f>IF(OR(M182=0,U182=1),0,IF(T182="GST on Income",ROUND(K182*0.1,2),ROUND(-K182*0.1,2)))</f>
        <v>0</v>
      </c>
    </row>
    <row r="183">
      <c r="A183" t="inlineStr">
        <is>
          <t>INV-4366-1</t>
        </is>
      </c>
      <c r="B183" t="inlineStr">
        <is>
          <t>INV-4366</t>
        </is>
      </c>
      <c r="C183" s="11" t="n">
        <v>45875</v>
      </c>
      <c r="D183" t="inlineStr">
        <is>
          <t>2025-08</t>
        </is>
      </c>
      <c r="E183" t="inlineStr">
        <is>
          <t>C0022</t>
        </is>
      </c>
      <c r="F183" t="inlineStr">
        <is>
          <t>C0022</t>
        </is>
      </c>
      <c r="G183" t="inlineStr">
        <is>
          <t>Highpoint Projects</t>
        </is>
      </c>
      <c r="H183" t="inlineStr">
        <is>
          <t>S0054</t>
        </is>
      </c>
      <c r="I183" t="inlineStr">
        <is>
          <t>Delivery and installation - temporary fencing</t>
        </is>
      </c>
      <c r="J183" t="n">
        <v>1</v>
      </c>
      <c r="K183" s="9" t="n">
        <v>165</v>
      </c>
      <c r="L183" t="inlineStr">
        <is>
          <t>PAID</t>
        </is>
      </c>
      <c r="M183">
        <f>IF(L183="VOIDED",0,1)</f>
        <v>1</v>
      </c>
      <c r="N183" t="n">
        <v>200</v>
      </c>
      <c r="O183" t="inlineStr">
        <is>
          <t>GST on Income</t>
        </is>
      </c>
      <c r="P183" t="inlineStr">
        <is>
          <t>R07</t>
        </is>
      </c>
      <c r="Q183" t="inlineStr">
        <is>
          <t>DEL-FP</t>
        </is>
      </c>
      <c r="R183">
        <f>IF(OR(Q183="CONTEXT",Q183="REVIEW"),"",INDEX('Category Rules'!$D$5:$D$17,MATCH(P183,'Category Rules'!$A$5:$A$17,0)))</f>
        <v>4020</v>
      </c>
      <c r="S183" t="str">
        <f>IF(Q183="CONTEXT","Fencing",IF(Q183="REVIEW","",INDEX('Category Rules'!$E$5:$E$17,MATCH(P183,'Category Rules'!$A$5:$A$17,0))))</f>
        <v>Fencing</v>
      </c>
      <c r="T183" t="str">
        <f>IF(Q183="DEP","BAS Excluded","GST on Income")</f>
        <v>GST on Income</v>
      </c>
      <c r="U183">
        <f>IF(O183=T183,1,0)</f>
        <v>1</v>
      </c>
      <c r="V183" s="9">
        <f>IF(OR(M183=0,U183=1),0,IF(T183="GST on Income",ROUND(K183*0.1,2),ROUND(-K183*0.1,2)))</f>
        <v>0</v>
      </c>
    </row>
    <row r="184">
      <c r="A184" t="inlineStr">
        <is>
          <t>INV-4366-2</t>
        </is>
      </c>
      <c r="B184" t="inlineStr">
        <is>
          <t>INV-4366</t>
        </is>
      </c>
      <c r="C184" s="11" t="n">
        <v>45875</v>
      </c>
      <c r="D184" t="inlineStr">
        <is>
          <t>2025-08</t>
        </is>
      </c>
      <c r="E184" t="inlineStr">
        <is>
          <t>C0022</t>
        </is>
      </c>
      <c r="F184" t="inlineStr">
        <is>
          <t>C0022</t>
        </is>
      </c>
      <c r="G184" t="inlineStr">
        <is>
          <t>Highpoint Projects</t>
        </is>
      </c>
      <c r="H184" t="inlineStr">
        <is>
          <t>S0054</t>
        </is>
      </c>
      <c r="I184" t="inlineStr">
        <is>
          <t>Installation labour - 28 panels @ 2.20</t>
        </is>
      </c>
      <c r="J184" t="n">
        <v>28</v>
      </c>
      <c r="K184" s="9" t="n">
        <v>61.6</v>
      </c>
      <c r="L184" t="inlineStr">
        <is>
          <t>PAID</t>
        </is>
      </c>
      <c r="M184">
        <f>IF(L184="VOIDED",0,1)</f>
        <v>1</v>
      </c>
      <c r="N184" t="n">
        <v>200</v>
      </c>
      <c r="O184" t="inlineStr">
        <is>
          <t>GST on Income</t>
        </is>
      </c>
      <c r="P184" t="inlineStr">
        <is>
          <t>R07</t>
        </is>
      </c>
      <c r="Q184" t="inlineStr">
        <is>
          <t>DEL-FP</t>
        </is>
      </c>
      <c r="R184">
        <f>IF(OR(Q184="CONTEXT",Q184="REVIEW"),"",INDEX('Category Rules'!$D$5:$D$17,MATCH(P184,'Category Rules'!$A$5:$A$17,0)))</f>
        <v>4020</v>
      </c>
      <c r="S184" t="str">
        <f>IF(Q184="CONTEXT","Fencing",IF(Q184="REVIEW","",INDEX('Category Rules'!$E$5:$E$17,MATCH(P184,'Category Rules'!$A$5:$A$17,0))))</f>
        <v>Fencing</v>
      </c>
      <c r="T184" t="str">
        <f>IF(Q184="DEP","BAS Excluded","GST on Income")</f>
        <v>GST on Income</v>
      </c>
      <c r="U184">
        <f>IF(O184=T184,1,0)</f>
        <v>1</v>
      </c>
      <c r="V184" s="9">
        <f>IF(OR(M184=0,U184=1),0,IF(T184="GST on Income",ROUND(K184*0.1,2),ROUND(-K184*0.1,2)))</f>
        <v>0</v>
      </c>
    </row>
    <row r="185">
      <c r="A185" t="inlineStr">
        <is>
          <t>INV-5604-1</t>
        </is>
      </c>
      <c r="B185" t="inlineStr">
        <is>
          <t>INV-5604</t>
        </is>
      </c>
      <c r="C185" s="11" t="n">
        <v>45876</v>
      </c>
      <c r="D185" t="inlineStr">
        <is>
          <t>2025-08</t>
        </is>
      </c>
      <c r="E185" t="inlineStr">
        <is>
          <t>C0062</t>
        </is>
      </c>
      <c r="F185" t="inlineStr">
        <is>
          <t>C0062</t>
        </is>
      </c>
      <c r="G185" t="inlineStr">
        <is>
          <t>Wattle Insurance Repairs Pty Ltd</t>
        </is>
      </c>
      <c r="H185" t="inlineStr">
        <is>
          <t>S0383</t>
        </is>
      </c>
      <c r="I185" t="inlineStr">
        <is>
          <t>Make safe call-out</t>
        </is>
      </c>
      <c r="J185" t="n">
        <v>1</v>
      </c>
      <c r="K185" s="9" t="n">
        <v>385</v>
      </c>
      <c r="L185" t="inlineStr">
        <is>
          <t>PAID</t>
        </is>
      </c>
      <c r="M185">
        <f>IF(L185="VOIDED",0,1)</f>
        <v>1</v>
      </c>
      <c r="N185" t="n">
        <v>200</v>
      </c>
      <c r="O185" t="inlineStr">
        <is>
          <t>GST on Income</t>
        </is>
      </c>
      <c r="P185" t="inlineStr">
        <is>
          <t>R09</t>
        </is>
      </c>
      <c r="Q185" t="inlineStr">
        <is>
          <t>MS</t>
        </is>
      </c>
      <c r="R185">
        <f>IF(OR(Q185="CONTEXT",Q185="REVIEW"),"",INDEX('Category Rules'!$D$5:$D$17,MATCH(P185,'Category Rules'!$A$5:$A$17,0)))</f>
        <v>4020</v>
      </c>
      <c r="S185" t="str">
        <f>IF(Q185="CONTEXT","Make-safe",IF(Q185="REVIEW","",INDEX('Category Rules'!$E$5:$E$17,MATCH(P185,'Category Rules'!$A$5:$A$17,0))))</f>
        <v>Make-safe</v>
      </c>
      <c r="T185" t="str">
        <f>IF(Q185="DEP","BAS Excluded","GST on Income")</f>
        <v>GST on Income</v>
      </c>
      <c r="U185">
        <f>IF(O185=T185,1,0)</f>
        <v>1</v>
      </c>
      <c r="V185" s="9">
        <f>IF(OR(M185=0,U185=1),0,IF(T185="GST on Income",ROUND(K185*0.1,2),ROUND(-K185*0.1,2)))</f>
        <v>0</v>
      </c>
    </row>
    <row r="186">
      <c r="A186" t="inlineStr">
        <is>
          <t>INV-5604-2</t>
        </is>
      </c>
      <c r="B186" t="inlineStr">
        <is>
          <t>INV-5604</t>
        </is>
      </c>
      <c r="C186" s="11" t="n">
        <v>45876</v>
      </c>
      <c r="D186" t="inlineStr">
        <is>
          <t>2025-08</t>
        </is>
      </c>
      <c r="E186" t="inlineStr">
        <is>
          <t>C0062</t>
        </is>
      </c>
      <c r="F186" t="inlineStr">
        <is>
          <t>C0062</t>
        </is>
      </c>
      <c r="G186" t="inlineStr">
        <is>
          <t>Wattle Insurance Repairs Pty Ltd</t>
        </is>
      </c>
      <c r="H186" t="inlineStr">
        <is>
          <t>S0383</t>
        </is>
      </c>
      <c r="I186" t="inlineStr">
        <is>
          <t>Tarp supply and install - 1 tarp(s)</t>
        </is>
      </c>
      <c r="J186" t="n">
        <v>1</v>
      </c>
      <c r="K186" s="9" t="n">
        <v>240</v>
      </c>
      <c r="L186" t="inlineStr">
        <is>
          <t>PAID</t>
        </is>
      </c>
      <c r="M186">
        <f>IF(L186="VOIDED",0,1)</f>
        <v>1</v>
      </c>
      <c r="N186" t="n">
        <v>200</v>
      </c>
      <c r="O186" t="inlineStr">
        <is>
          <t>GST on Income</t>
        </is>
      </c>
      <c r="P186" t="inlineStr">
        <is>
          <t>R09</t>
        </is>
      </c>
      <c r="Q186" t="inlineStr">
        <is>
          <t>MS</t>
        </is>
      </c>
      <c r="R186">
        <f>IF(OR(Q186="CONTEXT",Q186="REVIEW"),"",INDEX('Category Rules'!$D$5:$D$17,MATCH(P186,'Category Rules'!$A$5:$A$17,0)))</f>
        <v>4020</v>
      </c>
      <c r="S186" t="str">
        <f>IF(Q186="CONTEXT","Make-safe",IF(Q186="REVIEW","",INDEX('Category Rules'!$E$5:$E$17,MATCH(P186,'Category Rules'!$A$5:$A$17,0))))</f>
        <v>Make-safe</v>
      </c>
      <c r="T186" t="str">
        <f>IF(Q186="DEP","BAS Excluded","GST on Income")</f>
        <v>GST on Income</v>
      </c>
      <c r="U186">
        <f>IF(O186=T186,1,0)</f>
        <v>1</v>
      </c>
      <c r="V186" s="9">
        <f>IF(OR(M186=0,U186=1),0,IF(T186="GST on Income",ROUND(K186*0.1,2),ROUND(-K186*0.1,2)))</f>
        <v>0</v>
      </c>
    </row>
    <row r="187">
      <c r="A187" t="inlineStr">
        <is>
          <t>INV-5746-1</t>
        </is>
      </c>
      <c r="B187" t="inlineStr">
        <is>
          <t>INV-5746</t>
        </is>
      </c>
      <c r="C187" s="11" t="n">
        <v>45876</v>
      </c>
      <c r="D187" t="inlineStr">
        <is>
          <t>2025-08</t>
        </is>
      </c>
      <c r="E187" t="inlineStr">
        <is>
          <t>C0012</t>
        </is>
      </c>
      <c r="F187" t="inlineStr">
        <is>
          <t>C0012</t>
        </is>
      </c>
      <c r="G187" t="inlineStr">
        <is>
          <t>Kestrel Constructions Pty Ltd</t>
        </is>
      </c>
      <c r="H187" t="inlineStr">
        <is>
          <t>S0459</t>
        </is>
      </c>
      <c r="I187" t="inlineStr">
        <is>
          <t>Tarp kit hire 4 wks (10/07/25-06/08/25) - 3 kits</t>
        </is>
      </c>
      <c r="J187" t="n">
        <v>12</v>
      </c>
      <c r="K187" s="9" t="n">
        <v>420</v>
      </c>
      <c r="L187" t="inlineStr">
        <is>
          <t>PAID</t>
        </is>
      </c>
      <c r="M187">
        <f>IF(L187="VOIDED",0,1)</f>
        <v>1</v>
      </c>
      <c r="N187" t="n">
        <v>200</v>
      </c>
      <c r="O187" t="inlineStr">
        <is>
          <t>GST on Income</t>
        </is>
      </c>
      <c r="P187" t="inlineStr">
        <is>
          <t>R06</t>
        </is>
      </c>
      <c r="Q187" t="inlineStr">
        <is>
          <t>HIRE-TK</t>
        </is>
      </c>
      <c r="R187">
        <f>IF(OR(Q187="CONTEXT",Q187="REVIEW"),"",INDEX('Category Rules'!$D$5:$D$17,MATCH(P187,'Category Rules'!$A$5:$A$17,0)))</f>
        <v>4010</v>
      </c>
      <c r="S187" t="str">
        <f>IF(Q187="CONTEXT","Make-safe",IF(Q187="REVIEW","",INDEX('Category Rules'!$E$5:$E$17,MATCH(P187,'Category Rules'!$A$5:$A$17,0))))</f>
        <v>Make-safe</v>
      </c>
      <c r="T187" t="str">
        <f>IF(Q187="DEP","BAS Excluded","GST on Income")</f>
        <v>GST on Income</v>
      </c>
      <c r="U187">
        <f>IF(O187=T187,1,0)</f>
        <v>1</v>
      </c>
      <c r="V187" s="9">
        <f>IF(OR(M187=0,U187=1),0,IF(T187="GST on Income",ROUND(K187*0.1,2),ROUND(-K187*0.1,2)))</f>
        <v>0</v>
      </c>
    </row>
    <row r="188">
      <c r="A188" t="inlineStr">
        <is>
          <t>INV-5803-1</t>
        </is>
      </c>
      <c r="B188" t="inlineStr">
        <is>
          <t>INV-5803</t>
        </is>
      </c>
      <c r="C188" s="11" t="n">
        <v>45876</v>
      </c>
      <c r="D188" t="inlineStr">
        <is>
          <t>2025-08</t>
        </is>
      </c>
      <c r="E188" t="inlineStr">
        <is>
          <t>C0021</t>
        </is>
      </c>
      <c r="F188" t="inlineStr">
        <is>
          <t>C0021</t>
        </is>
      </c>
      <c r="G188" t="inlineStr">
        <is>
          <t>Ironbark Building Group</t>
        </is>
      </c>
      <c r="H188" t="inlineStr">
        <is>
          <t>S0491</t>
        </is>
      </c>
      <c r="I188" t="inlineStr">
        <is>
          <t>Make safe call-out</t>
        </is>
      </c>
      <c r="J188" t="n">
        <v>1</v>
      </c>
      <c r="K188" s="9" t="n">
        <v>385</v>
      </c>
      <c r="L188" t="inlineStr">
        <is>
          <t>PAID</t>
        </is>
      </c>
      <c r="M188">
        <f>IF(L188="VOIDED",0,1)</f>
        <v>1</v>
      </c>
      <c r="N188" t="n">
        <v>200</v>
      </c>
      <c r="O188" t="inlineStr">
        <is>
          <t>GST on Income</t>
        </is>
      </c>
      <c r="P188" t="inlineStr">
        <is>
          <t>R09</t>
        </is>
      </c>
      <c r="Q188" t="inlineStr">
        <is>
          <t>MS</t>
        </is>
      </c>
      <c r="R188">
        <f>IF(OR(Q188="CONTEXT",Q188="REVIEW"),"",INDEX('Category Rules'!$D$5:$D$17,MATCH(P188,'Category Rules'!$A$5:$A$17,0)))</f>
        <v>4020</v>
      </c>
      <c r="S188" t="str">
        <f>IF(Q188="CONTEXT","Make-safe",IF(Q188="REVIEW","",INDEX('Category Rules'!$E$5:$E$17,MATCH(P188,'Category Rules'!$A$5:$A$17,0))))</f>
        <v>Make-safe</v>
      </c>
      <c r="T188" t="str">
        <f>IF(Q188="DEP","BAS Excluded","GST on Income")</f>
        <v>GST on Income</v>
      </c>
      <c r="U188">
        <f>IF(O188=T188,1,0)</f>
        <v>1</v>
      </c>
      <c r="V188" s="9">
        <f>IF(OR(M188=0,U188=1),0,IF(T188="GST on Income",ROUND(K188*0.1,2),ROUND(-K188*0.1,2)))</f>
        <v>0</v>
      </c>
    </row>
    <row r="189">
      <c r="A189" t="inlineStr">
        <is>
          <t>INV-5803-2</t>
        </is>
      </c>
      <c r="B189" t="inlineStr">
        <is>
          <t>INV-5803</t>
        </is>
      </c>
      <c r="C189" s="11" t="n">
        <v>45876</v>
      </c>
      <c r="D189" t="inlineStr">
        <is>
          <t>2025-08</t>
        </is>
      </c>
      <c r="E189" t="inlineStr">
        <is>
          <t>C0021</t>
        </is>
      </c>
      <c r="F189" t="inlineStr">
        <is>
          <t>C0021</t>
        </is>
      </c>
      <c r="G189" t="inlineStr">
        <is>
          <t>Ironbark Building Group</t>
        </is>
      </c>
      <c r="H189" t="inlineStr">
        <is>
          <t>S0491</t>
        </is>
      </c>
      <c r="I189" t="inlineStr">
        <is>
          <t>Tarp supply and install - 2 tarp(s)</t>
        </is>
      </c>
      <c r="J189" t="n">
        <v>2</v>
      </c>
      <c r="K189" s="9" t="n">
        <v>480</v>
      </c>
      <c r="L189" t="inlineStr">
        <is>
          <t>PAID</t>
        </is>
      </c>
      <c r="M189">
        <f>IF(L189="VOIDED",0,1)</f>
        <v>1</v>
      </c>
      <c r="N189" t="n">
        <v>200</v>
      </c>
      <c r="O189" t="inlineStr">
        <is>
          <t>GST on Income</t>
        </is>
      </c>
      <c r="P189" t="inlineStr">
        <is>
          <t>R09</t>
        </is>
      </c>
      <c r="Q189" t="inlineStr">
        <is>
          <t>MS</t>
        </is>
      </c>
      <c r="R189">
        <f>IF(OR(Q189="CONTEXT",Q189="REVIEW"),"",INDEX('Category Rules'!$D$5:$D$17,MATCH(P189,'Category Rules'!$A$5:$A$17,0)))</f>
        <v>4020</v>
      </c>
      <c r="S189" t="str">
        <f>IF(Q189="CONTEXT","Make-safe",IF(Q189="REVIEW","",INDEX('Category Rules'!$E$5:$E$17,MATCH(P189,'Category Rules'!$A$5:$A$17,0))))</f>
        <v>Make-safe</v>
      </c>
      <c r="T189" t="str">
        <f>IF(Q189="DEP","BAS Excluded","GST on Income")</f>
        <v>GST on Income</v>
      </c>
      <c r="U189">
        <f>IF(O189=T189,1,0)</f>
        <v>1</v>
      </c>
      <c r="V189" s="9">
        <f>IF(OR(M189=0,U189=1),0,IF(T189="GST on Income",ROUND(K189*0.1,2),ROUND(-K189*0.1,2)))</f>
        <v>0</v>
      </c>
    </row>
    <row r="190">
      <c r="A190" t="inlineStr">
        <is>
          <t>INV-4704-1</t>
        </is>
      </c>
      <c r="B190" t="inlineStr">
        <is>
          <t>INV-4704</t>
        </is>
      </c>
      <c r="C190" s="11" t="n">
        <v>45877</v>
      </c>
      <c r="D190" t="inlineStr">
        <is>
          <t>2025-08</t>
        </is>
      </c>
      <c r="E190" t="inlineStr">
        <is>
          <t>C0024</t>
        </is>
      </c>
      <c r="F190" t="inlineStr">
        <is>
          <t>C0024</t>
        </is>
      </c>
      <c r="G190" t="inlineStr">
        <is>
          <t>Parkview Homes Pty Ltd</t>
        </is>
      </c>
      <c r="H190" t="inlineStr">
        <is>
          <t>S0124</t>
        </is>
      </c>
      <c r="I190" t="inlineStr">
        <is>
          <t>Delivery and installation - temporary fencing</t>
        </is>
      </c>
      <c r="J190" t="n">
        <v>1</v>
      </c>
      <c r="K190" s="9" t="n">
        <v>165</v>
      </c>
      <c r="L190" t="inlineStr">
        <is>
          <t>PAID</t>
        </is>
      </c>
      <c r="M190">
        <f>IF(L190="VOIDED",0,1)</f>
        <v>1</v>
      </c>
      <c r="N190" t="n">
        <v>200</v>
      </c>
      <c r="O190" t="inlineStr">
        <is>
          <t>GST on Income</t>
        </is>
      </c>
      <c r="P190" t="inlineStr">
        <is>
          <t>R07</t>
        </is>
      </c>
      <c r="Q190" t="inlineStr">
        <is>
          <t>DEL-FP</t>
        </is>
      </c>
      <c r="R190">
        <f>IF(OR(Q190="CONTEXT",Q190="REVIEW"),"",INDEX('Category Rules'!$D$5:$D$17,MATCH(P190,'Category Rules'!$A$5:$A$17,0)))</f>
        <v>4020</v>
      </c>
      <c r="S190" t="str">
        <f>IF(Q190="CONTEXT","Fencing",IF(Q190="REVIEW","",INDEX('Category Rules'!$E$5:$E$17,MATCH(P190,'Category Rules'!$A$5:$A$17,0))))</f>
        <v>Fencing</v>
      </c>
      <c r="T190" t="str">
        <f>IF(Q190="DEP","BAS Excluded","GST on Income")</f>
        <v>GST on Income</v>
      </c>
      <c r="U190">
        <f>IF(O190=T190,1,0)</f>
        <v>1</v>
      </c>
      <c r="V190" s="9">
        <f>IF(OR(M190=0,U190=1),0,IF(T190="GST on Income",ROUND(K190*0.1,2),ROUND(-K190*0.1,2)))</f>
        <v>0</v>
      </c>
    </row>
    <row r="191">
      <c r="A191" t="inlineStr">
        <is>
          <t>INV-4704-2</t>
        </is>
      </c>
      <c r="B191" t="inlineStr">
        <is>
          <t>INV-4704</t>
        </is>
      </c>
      <c r="C191" s="11" t="n">
        <v>45877</v>
      </c>
      <c r="D191" t="inlineStr">
        <is>
          <t>2025-08</t>
        </is>
      </c>
      <c r="E191" t="inlineStr">
        <is>
          <t>C0024</t>
        </is>
      </c>
      <c r="F191" t="inlineStr">
        <is>
          <t>C0024</t>
        </is>
      </c>
      <c r="G191" t="inlineStr">
        <is>
          <t>Parkview Homes Pty Ltd</t>
        </is>
      </c>
      <c r="H191" t="inlineStr">
        <is>
          <t>S0124</t>
        </is>
      </c>
      <c r="I191" t="inlineStr">
        <is>
          <t>Installation labour - 138 panels @ 2.20</t>
        </is>
      </c>
      <c r="J191" t="n">
        <v>138</v>
      </c>
      <c r="K191" s="9" t="n">
        <v>303.6</v>
      </c>
      <c r="L191" t="inlineStr">
        <is>
          <t>PAID</t>
        </is>
      </c>
      <c r="M191">
        <f>IF(L191="VOIDED",0,1)</f>
        <v>1</v>
      </c>
      <c r="N191" t="n">
        <v>200</v>
      </c>
      <c r="O191" t="inlineStr">
        <is>
          <t>GST on Income</t>
        </is>
      </c>
      <c r="P191" t="inlineStr">
        <is>
          <t>R07</t>
        </is>
      </c>
      <c r="Q191" t="inlineStr">
        <is>
          <t>DEL-FP</t>
        </is>
      </c>
      <c r="R191">
        <f>IF(OR(Q191="CONTEXT",Q191="REVIEW"),"",INDEX('Category Rules'!$D$5:$D$17,MATCH(P191,'Category Rules'!$A$5:$A$17,0)))</f>
        <v>4020</v>
      </c>
      <c r="S191" t="str">
        <f>IF(Q191="CONTEXT","Fencing",IF(Q191="REVIEW","",INDEX('Category Rules'!$E$5:$E$17,MATCH(P191,'Category Rules'!$A$5:$A$17,0))))</f>
        <v>Fencing</v>
      </c>
      <c r="T191" t="str">
        <f>IF(Q191="DEP","BAS Excluded","GST on Income")</f>
        <v>GST on Income</v>
      </c>
      <c r="U191">
        <f>IF(O191=T191,1,0)</f>
        <v>1</v>
      </c>
      <c r="V191" s="9">
        <f>IF(OR(M191=0,U191=1),0,IF(T191="GST on Income",ROUND(K191*0.1,2),ROUND(-K191*0.1,2)))</f>
        <v>0</v>
      </c>
    </row>
    <row r="192">
      <c r="A192" t="inlineStr">
        <is>
          <t>INV-5348-1</t>
        </is>
      </c>
      <c r="B192" t="inlineStr">
        <is>
          <t>INV-5348</t>
        </is>
      </c>
      <c r="C192" s="11" t="n">
        <v>45877</v>
      </c>
      <c r="D192" t="inlineStr">
        <is>
          <t>2025-08</t>
        </is>
      </c>
      <c r="E192" t="inlineStr">
        <is>
          <t>C0119</t>
        </is>
      </c>
      <c r="F192" t="inlineStr">
        <is>
          <t>C0119</t>
        </is>
      </c>
      <c r="G192" t="inlineStr">
        <is>
          <t>Northgate Builders Pty Ltd</t>
        </is>
      </c>
      <c r="H192" t="inlineStr">
        <is>
          <t>S0271</t>
        </is>
      </c>
      <c r="I192" t="inlineStr">
        <is>
          <t>Scaffold tower hire 4 wks (11/07/25-07/08/25) - 4 towers</t>
        </is>
      </c>
      <c r="J192" t="n">
        <v>16</v>
      </c>
      <c r="K192" s="9" t="n">
        <v>1520</v>
      </c>
      <c r="L192" t="inlineStr">
        <is>
          <t>PAID</t>
        </is>
      </c>
      <c r="M192">
        <f>IF(L192="VOIDED",0,1)</f>
        <v>1</v>
      </c>
      <c r="N192" t="n">
        <v>200</v>
      </c>
      <c r="O192" t="inlineStr">
        <is>
          <t>GST on Income</t>
        </is>
      </c>
      <c r="P192" t="inlineStr">
        <is>
          <t>R05</t>
        </is>
      </c>
      <c r="Q192" t="inlineStr">
        <is>
          <t>HIRE-ST</t>
        </is>
      </c>
      <c r="R192">
        <f>IF(OR(Q192="CONTEXT",Q192="REVIEW"),"",INDEX('Category Rules'!$D$5:$D$17,MATCH(P192,'Category Rules'!$A$5:$A$17,0)))</f>
        <v>4010</v>
      </c>
      <c r="S192" t="str">
        <f>IF(Q192="CONTEXT","Scaffolding",IF(Q192="REVIEW","",INDEX('Category Rules'!$E$5:$E$17,MATCH(P192,'Category Rules'!$A$5:$A$17,0))))</f>
        <v>Scaffolding</v>
      </c>
      <c r="T192" t="str">
        <f>IF(Q192="DEP","BAS Excluded","GST on Income")</f>
        <v>GST on Income</v>
      </c>
      <c r="U192">
        <f>IF(O192=T192,1,0)</f>
        <v>1</v>
      </c>
      <c r="V192" s="9">
        <f>IF(OR(M192=0,U192=1),0,IF(T192="GST on Income",ROUND(K192*0.1,2),ROUND(-K192*0.1,2)))</f>
        <v>0</v>
      </c>
    </row>
    <row r="193">
      <c r="A193" t="inlineStr">
        <is>
          <t>INV-4193-1</t>
        </is>
      </c>
      <c r="B193" t="inlineStr">
        <is>
          <t>INV-4193</t>
        </is>
      </c>
      <c r="C193" s="11" t="n">
        <v>45878</v>
      </c>
      <c r="D193" t="inlineStr">
        <is>
          <t>2025-08</t>
        </is>
      </c>
      <c r="E193" t="inlineStr">
        <is>
          <t>C0034</t>
        </is>
      </c>
      <c r="F193" t="inlineStr">
        <is>
          <t>C0034</t>
        </is>
      </c>
      <c r="G193" t="inlineStr">
        <is>
          <t>Norfolk Constructions Pty Ltd</t>
        </is>
      </c>
      <c r="H193" t="inlineStr">
        <is>
          <t>S0018</t>
        </is>
      </c>
      <c r="I193" t="inlineStr">
        <is>
          <t>Temporary fence hire 4 wks (12/07/25-08/08/25) - 80 panels</t>
        </is>
      </c>
      <c r="J193" t="n">
        <v>320</v>
      </c>
      <c r="K193" s="9" t="n">
        <v>1440</v>
      </c>
      <c r="L193" t="inlineStr">
        <is>
          <t>PAID</t>
        </is>
      </c>
      <c r="M193">
        <f>IF(L193="VOIDED",0,1)</f>
        <v>1</v>
      </c>
      <c r="N193" t="n">
        <v>200</v>
      </c>
      <c r="O193" t="inlineStr">
        <is>
          <t>GST on Income</t>
        </is>
      </c>
      <c r="P193" t="inlineStr">
        <is>
          <t>R03</t>
        </is>
      </c>
      <c r="Q193" t="inlineStr">
        <is>
          <t>HIRE-FP</t>
        </is>
      </c>
      <c r="R193">
        <f>IF(OR(Q193="CONTEXT",Q193="REVIEW"),"",INDEX('Category Rules'!$D$5:$D$17,MATCH(P193,'Category Rules'!$A$5:$A$17,0)))</f>
        <v>4010</v>
      </c>
      <c r="S193" t="str">
        <f>IF(Q193="CONTEXT","Fencing",IF(Q193="REVIEW","",INDEX('Category Rules'!$E$5:$E$17,MATCH(P193,'Category Rules'!$A$5:$A$17,0))))</f>
        <v>Fencing</v>
      </c>
      <c r="T193" t="str">
        <f>IF(Q193="DEP","BAS Excluded","GST on Income")</f>
        <v>GST on Income</v>
      </c>
      <c r="U193">
        <f>IF(O193=T193,1,0)</f>
        <v>1</v>
      </c>
      <c r="V193" s="9">
        <f>IF(OR(M193=0,U193=1),0,IF(T193="GST on Income",ROUND(K193*0.1,2),ROUND(-K193*0.1,2)))</f>
        <v>0</v>
      </c>
    </row>
    <row r="194">
      <c r="A194" t="inlineStr">
        <is>
          <t>INV-4667-1</t>
        </is>
      </c>
      <c r="B194" t="inlineStr">
        <is>
          <t>INV-4667</t>
        </is>
      </c>
      <c r="C194" s="11" t="n">
        <v>45878</v>
      </c>
      <c r="D194" t="inlineStr">
        <is>
          <t>2025-08</t>
        </is>
      </c>
      <c r="E194" t="inlineStr">
        <is>
          <t>C0007</t>
        </is>
      </c>
      <c r="F194" t="inlineStr">
        <is>
          <t>C0007</t>
        </is>
      </c>
      <c r="G194" t="inlineStr">
        <is>
          <t>Eastlink Projects</t>
        </is>
      </c>
      <c r="H194" t="inlineStr">
        <is>
          <t>S0116</t>
        </is>
      </c>
      <c r="I194" t="inlineStr">
        <is>
          <t>Temporary fence hire 4 wks (12/07/25-08/08/25) - 158 panels</t>
        </is>
      </c>
      <c r="J194" t="n">
        <v>632</v>
      </c>
      <c r="K194" s="9" t="n">
        <v>2844</v>
      </c>
      <c r="L194" t="inlineStr">
        <is>
          <t>PAID</t>
        </is>
      </c>
      <c r="M194">
        <f>IF(L194="VOIDED",0,1)</f>
        <v>1</v>
      </c>
      <c r="N194" t="n">
        <v>260</v>
      </c>
      <c r="O194" t="inlineStr">
        <is>
          <t>GST on Income</t>
        </is>
      </c>
      <c r="P194" t="inlineStr">
        <is>
          <t>R03</t>
        </is>
      </c>
      <c r="Q194" t="inlineStr">
        <is>
          <t>HIRE-FP</t>
        </is>
      </c>
      <c r="R194">
        <f>IF(OR(Q194="CONTEXT",Q194="REVIEW"),"",INDEX('Category Rules'!$D$5:$D$17,MATCH(P194,'Category Rules'!$A$5:$A$17,0)))</f>
        <v>4010</v>
      </c>
      <c r="S194" t="str">
        <f>IF(Q194="CONTEXT","Fencing",IF(Q194="REVIEW","",INDEX('Category Rules'!$E$5:$E$17,MATCH(P194,'Category Rules'!$A$5:$A$17,0))))</f>
        <v>Fencing</v>
      </c>
      <c r="T194" t="str">
        <f>IF(Q194="DEP","BAS Excluded","GST on Income")</f>
        <v>GST on Income</v>
      </c>
      <c r="U194">
        <f>IF(O194=T194,1,0)</f>
        <v>1</v>
      </c>
      <c r="V194" s="9">
        <f>IF(OR(M194=0,U194=1),0,IF(T194="GST on Income",ROUND(K194*0.1,2),ROUND(-K194*0.1,2)))</f>
        <v>0</v>
      </c>
    </row>
    <row r="195">
      <c r="A195" t="inlineStr">
        <is>
          <t>INV-5156-1</t>
        </is>
      </c>
      <c r="B195" t="inlineStr">
        <is>
          <t>INV-5156</t>
        </is>
      </c>
      <c r="C195" s="11" t="n">
        <v>45878</v>
      </c>
      <c r="D195" t="inlineStr">
        <is>
          <t>2025-08</t>
        </is>
      </c>
      <c r="E195" t="inlineStr">
        <is>
          <t>C0020</t>
        </is>
      </c>
      <c r="F195" t="inlineStr">
        <is>
          <t>C0020</t>
        </is>
      </c>
      <c r="G195" t="inlineStr">
        <is>
          <t>Eastlink Constructions</t>
        </is>
      </c>
      <c r="H195" t="inlineStr">
        <is>
          <t>S0227</t>
        </is>
      </c>
      <c r="I195" t="inlineStr">
        <is>
          <t>Temporary fence hire 2 wks (27/07/25-08/08/25) - 62 panels</t>
        </is>
      </c>
      <c r="J195" t="n">
        <v>124</v>
      </c>
      <c r="K195" s="9" t="n">
        <v>558</v>
      </c>
      <c r="L195" t="inlineStr">
        <is>
          <t>PAID</t>
        </is>
      </c>
      <c r="M195">
        <f>IF(L195="VOIDED",0,1)</f>
        <v>1</v>
      </c>
      <c r="N195" t="n">
        <v>200</v>
      </c>
      <c r="O195" t="inlineStr">
        <is>
          <t>GST on Income</t>
        </is>
      </c>
      <c r="P195" t="inlineStr">
        <is>
          <t>R03</t>
        </is>
      </c>
      <c r="Q195" t="inlineStr">
        <is>
          <t>HIRE-FP</t>
        </is>
      </c>
      <c r="R195">
        <f>IF(OR(Q195="CONTEXT",Q195="REVIEW"),"",INDEX('Category Rules'!$D$5:$D$17,MATCH(P195,'Category Rules'!$A$5:$A$17,0)))</f>
        <v>4010</v>
      </c>
      <c r="S195" t="str">
        <f>IF(Q195="CONTEXT","Fencing",IF(Q195="REVIEW","",INDEX('Category Rules'!$E$5:$E$17,MATCH(P195,'Category Rules'!$A$5:$A$17,0))))</f>
        <v>Fencing</v>
      </c>
      <c r="T195" t="str">
        <f>IF(Q195="DEP","BAS Excluded","GST on Income")</f>
        <v>GST on Income</v>
      </c>
      <c r="U195">
        <f>IF(O195=T195,1,0)</f>
        <v>1</v>
      </c>
      <c r="V195" s="9">
        <f>IF(OR(M195=0,U195=1),0,IF(T195="GST on Income",ROUND(K195*0.1,2),ROUND(-K195*0.1,2)))</f>
        <v>0</v>
      </c>
    </row>
    <row r="196">
      <c r="A196" t="inlineStr">
        <is>
          <t>INV-5157-1</t>
        </is>
      </c>
      <c r="B196" t="inlineStr">
        <is>
          <t>INV-5157</t>
        </is>
      </c>
      <c r="C196" s="11" t="n">
        <v>45878</v>
      </c>
      <c r="D196" t="inlineStr">
        <is>
          <t>2025-08</t>
        </is>
      </c>
      <c r="E196" t="inlineStr">
        <is>
          <t>C0020</t>
        </is>
      </c>
      <c r="F196" t="inlineStr">
        <is>
          <t>C0020</t>
        </is>
      </c>
      <c r="G196" t="inlineStr">
        <is>
          <t>Eastlink Constructions</t>
        </is>
      </c>
      <c r="H196" t="inlineStr">
        <is>
          <t>S0227</t>
        </is>
      </c>
      <c r="I196" t="inlineStr">
        <is>
          <t>Collection and dismantle - temporary fencing</t>
        </is>
      </c>
      <c r="J196" t="n">
        <v>1</v>
      </c>
      <c r="K196" s="9" t="n">
        <v>165</v>
      </c>
      <c r="L196" t="inlineStr">
        <is>
          <t>PAID</t>
        </is>
      </c>
      <c r="M196">
        <f>IF(L196="VOIDED",0,1)</f>
        <v>1</v>
      </c>
      <c r="N196" t="n">
        <v>200</v>
      </c>
      <c r="O196" t="inlineStr">
        <is>
          <t>GST on Income</t>
        </is>
      </c>
      <c r="P196" t="inlineStr">
        <is>
          <t>R07</t>
        </is>
      </c>
      <c r="Q196" t="inlineStr">
        <is>
          <t>DEL-FP</t>
        </is>
      </c>
      <c r="R196">
        <f>IF(OR(Q196="CONTEXT",Q196="REVIEW"),"",INDEX('Category Rules'!$D$5:$D$17,MATCH(P196,'Category Rules'!$A$5:$A$17,0)))</f>
        <v>4020</v>
      </c>
      <c r="S196" t="str">
        <f>IF(Q196="CONTEXT","Fencing",IF(Q196="REVIEW","",INDEX('Category Rules'!$E$5:$E$17,MATCH(P196,'Category Rules'!$A$5:$A$17,0))))</f>
        <v>Fencing</v>
      </c>
      <c r="T196" t="str">
        <f>IF(Q196="DEP","BAS Excluded","GST on Income")</f>
        <v>GST on Income</v>
      </c>
      <c r="U196">
        <f>IF(O196=T196,1,0)</f>
        <v>1</v>
      </c>
      <c r="V196" s="9">
        <f>IF(OR(M196=0,U196=1),0,IF(T196="GST on Income",ROUND(K196*0.1,2),ROUND(-K196*0.1,2)))</f>
        <v>0</v>
      </c>
    </row>
    <row r="197">
      <c r="A197" t="inlineStr">
        <is>
          <t>INV-5253-1</t>
        </is>
      </c>
      <c r="B197" t="inlineStr">
        <is>
          <t>INV-5253</t>
        </is>
      </c>
      <c r="C197" s="11" t="n">
        <v>45878</v>
      </c>
      <c r="D197" t="inlineStr">
        <is>
          <t>2025-08</t>
        </is>
      </c>
      <c r="E197" t="inlineStr">
        <is>
          <t>C0027</t>
        </is>
      </c>
      <c r="F197" t="inlineStr">
        <is>
          <t>C0027</t>
        </is>
      </c>
      <c r="G197" t="inlineStr">
        <is>
          <t>Metro Projects Pty Ltd</t>
        </is>
      </c>
      <c r="H197" t="inlineStr">
        <is>
          <t>S0248</t>
        </is>
      </c>
      <c r="I197" t="inlineStr">
        <is>
          <t>Scaffold tower hire 4 wks (12/07/25-08/08/25) - 2 towers</t>
        </is>
      </c>
      <c r="J197" t="n">
        <v>8</v>
      </c>
      <c r="K197" s="9" t="n">
        <v>760</v>
      </c>
      <c r="L197" t="inlineStr">
        <is>
          <t>PAID</t>
        </is>
      </c>
      <c r="M197">
        <f>IF(L197="VOIDED",0,1)</f>
        <v>1</v>
      </c>
      <c r="N197" t="n">
        <v>200</v>
      </c>
      <c r="O197" t="inlineStr">
        <is>
          <t>GST on Income</t>
        </is>
      </c>
      <c r="P197" t="inlineStr">
        <is>
          <t>R05</t>
        </is>
      </c>
      <c r="Q197" t="inlineStr">
        <is>
          <t>HIRE-ST</t>
        </is>
      </c>
      <c r="R197">
        <f>IF(OR(Q197="CONTEXT",Q197="REVIEW"),"",INDEX('Category Rules'!$D$5:$D$17,MATCH(P197,'Category Rules'!$A$5:$A$17,0)))</f>
        <v>4010</v>
      </c>
      <c r="S197" t="str">
        <f>IF(Q197="CONTEXT","Scaffolding",IF(Q197="REVIEW","",INDEX('Category Rules'!$E$5:$E$17,MATCH(P197,'Category Rules'!$A$5:$A$17,0))))</f>
        <v>Scaffolding</v>
      </c>
      <c r="T197" t="str">
        <f>IF(Q197="DEP","BAS Excluded","GST on Income")</f>
        <v>GST on Income</v>
      </c>
      <c r="U197">
        <f>IF(O197=T197,1,0)</f>
        <v>1</v>
      </c>
      <c r="V197" s="9">
        <f>IF(OR(M197=0,U197=1),0,IF(T197="GST on Income",ROUND(K197*0.1,2),ROUND(-K197*0.1,2)))</f>
        <v>0</v>
      </c>
    </row>
    <row r="198">
      <c r="A198" t="inlineStr">
        <is>
          <t>INV-5678-1</t>
        </is>
      </c>
      <c r="B198" t="inlineStr">
        <is>
          <t>INV-5678</t>
        </is>
      </c>
      <c r="C198" s="11" t="n">
        <v>45878</v>
      </c>
      <c r="D198" t="inlineStr">
        <is>
          <t>2025-08</t>
        </is>
      </c>
      <c r="E198" t="inlineStr">
        <is>
          <t>C0116</t>
        </is>
      </c>
      <c r="F198" t="inlineStr">
        <is>
          <t>C0116</t>
        </is>
      </c>
      <c r="G198" t="inlineStr">
        <is>
          <t>Lucas Patel</t>
        </is>
      </c>
      <c r="H198" t="inlineStr">
        <is>
          <t>S0422</t>
        </is>
      </c>
      <c r="I198" t="inlineStr">
        <is>
          <t>Emergency make safe call-out - after hours</t>
        </is>
      </c>
      <c r="J198" t="n">
        <v>1</v>
      </c>
      <c r="K198" s="9" t="n">
        <v>560</v>
      </c>
      <c r="L198" t="inlineStr">
        <is>
          <t>PAID</t>
        </is>
      </c>
      <c r="M198">
        <f>IF(L198="VOIDED",0,1)</f>
        <v>1</v>
      </c>
      <c r="N198" t="n">
        <v>200</v>
      </c>
      <c r="O198" t="inlineStr">
        <is>
          <t>GST on Income</t>
        </is>
      </c>
      <c r="P198" t="inlineStr">
        <is>
          <t>R09</t>
        </is>
      </c>
      <c r="Q198" t="inlineStr">
        <is>
          <t>MS</t>
        </is>
      </c>
      <c r="R198">
        <f>IF(OR(Q198="CONTEXT",Q198="REVIEW"),"",INDEX('Category Rules'!$D$5:$D$17,MATCH(P198,'Category Rules'!$A$5:$A$17,0)))</f>
        <v>4020</v>
      </c>
      <c r="S198" t="str">
        <f>IF(Q198="CONTEXT","Make-safe",IF(Q198="REVIEW","",INDEX('Category Rules'!$E$5:$E$17,MATCH(P198,'Category Rules'!$A$5:$A$17,0))))</f>
        <v>Make-safe</v>
      </c>
      <c r="T198" t="str">
        <f>IF(Q198="DEP","BAS Excluded","GST on Income")</f>
        <v>GST on Income</v>
      </c>
      <c r="U198">
        <f>IF(O198=T198,1,0)</f>
        <v>1</v>
      </c>
      <c r="V198" s="9">
        <f>IF(OR(M198=0,U198=1),0,IF(T198="GST on Income",ROUND(K198*0.1,2),ROUND(-K198*0.1,2)))</f>
        <v>0</v>
      </c>
    </row>
    <row r="199">
      <c r="A199" t="inlineStr">
        <is>
          <t>INV-5678-2</t>
        </is>
      </c>
      <c r="B199" t="inlineStr">
        <is>
          <t>INV-5678</t>
        </is>
      </c>
      <c r="C199" s="11" t="n">
        <v>45878</v>
      </c>
      <c r="D199" t="inlineStr">
        <is>
          <t>2025-08</t>
        </is>
      </c>
      <c r="E199" t="inlineStr">
        <is>
          <t>C0116</t>
        </is>
      </c>
      <c r="F199" t="inlineStr">
        <is>
          <t>C0116</t>
        </is>
      </c>
      <c r="G199" t="inlineStr">
        <is>
          <t>Lucas Patel</t>
        </is>
      </c>
      <c r="H199" t="inlineStr">
        <is>
          <t>S0422</t>
        </is>
      </c>
      <c r="I199" t="inlineStr">
        <is>
          <t>Tarp supply and install - 2 tarp(s)</t>
        </is>
      </c>
      <c r="J199" t="n">
        <v>2</v>
      </c>
      <c r="K199" s="9" t="n">
        <v>480</v>
      </c>
      <c r="L199" t="inlineStr">
        <is>
          <t>PAID</t>
        </is>
      </c>
      <c r="M199">
        <f>IF(L199="VOIDED",0,1)</f>
        <v>1</v>
      </c>
      <c r="N199" t="n">
        <v>200</v>
      </c>
      <c r="O199" t="inlineStr">
        <is>
          <t>GST on Income</t>
        </is>
      </c>
      <c r="P199" t="inlineStr">
        <is>
          <t>R09</t>
        </is>
      </c>
      <c r="Q199" t="inlineStr">
        <is>
          <t>MS</t>
        </is>
      </c>
      <c r="R199">
        <f>IF(OR(Q199="CONTEXT",Q199="REVIEW"),"",INDEX('Category Rules'!$D$5:$D$17,MATCH(P199,'Category Rules'!$A$5:$A$17,0)))</f>
        <v>4020</v>
      </c>
      <c r="S199" t="str">
        <f>IF(Q199="CONTEXT","Make-safe",IF(Q199="REVIEW","",INDEX('Category Rules'!$E$5:$E$17,MATCH(P199,'Category Rules'!$A$5:$A$17,0))))</f>
        <v>Make-safe</v>
      </c>
      <c r="T199" t="str">
        <f>IF(Q199="DEP","BAS Excluded","GST on Income")</f>
        <v>GST on Income</v>
      </c>
      <c r="U199">
        <f>IF(O199=T199,1,0)</f>
        <v>1</v>
      </c>
      <c r="V199" s="9">
        <f>IF(OR(M199=0,U199=1),0,IF(T199="GST on Income",ROUND(K199*0.1,2),ROUND(-K199*0.1,2)))</f>
        <v>0</v>
      </c>
    </row>
    <row r="200">
      <c r="A200" t="inlineStr">
        <is>
          <t>INV-5759-1</t>
        </is>
      </c>
      <c r="B200" t="inlineStr">
        <is>
          <t>INV-5759</t>
        </is>
      </c>
      <c r="C200" s="11" t="n">
        <v>45878</v>
      </c>
      <c r="D200" t="inlineStr">
        <is>
          <t>2025-08</t>
        </is>
      </c>
      <c r="E200" t="inlineStr">
        <is>
          <t>C0081</t>
        </is>
      </c>
      <c r="F200" t="inlineStr">
        <is>
          <t>C0081</t>
        </is>
      </c>
      <c r="G200" t="inlineStr">
        <is>
          <t>Mia Chen</t>
        </is>
      </c>
      <c r="H200" t="inlineStr">
        <is>
          <t>S0467</t>
        </is>
      </c>
      <c r="I200" t="inlineStr">
        <is>
          <t>Make safe call-out</t>
        </is>
      </c>
      <c r="J200" t="n">
        <v>1</v>
      </c>
      <c r="K200" s="9" t="n">
        <v>385</v>
      </c>
      <c r="L200" t="inlineStr">
        <is>
          <t>PAID</t>
        </is>
      </c>
      <c r="M200">
        <f>IF(L200="VOIDED",0,1)</f>
        <v>1</v>
      </c>
      <c r="N200" t="n">
        <v>200</v>
      </c>
      <c r="O200" t="inlineStr">
        <is>
          <t>GST on Income</t>
        </is>
      </c>
      <c r="P200" t="inlineStr">
        <is>
          <t>R09</t>
        </is>
      </c>
      <c r="Q200" t="inlineStr">
        <is>
          <t>MS</t>
        </is>
      </c>
      <c r="R200">
        <f>IF(OR(Q200="CONTEXT",Q200="REVIEW"),"",INDEX('Category Rules'!$D$5:$D$17,MATCH(P200,'Category Rules'!$A$5:$A$17,0)))</f>
        <v>4020</v>
      </c>
      <c r="S200" t="str">
        <f>IF(Q200="CONTEXT","Make-safe",IF(Q200="REVIEW","",INDEX('Category Rules'!$E$5:$E$17,MATCH(P200,'Category Rules'!$A$5:$A$17,0))))</f>
        <v>Make-safe</v>
      </c>
      <c r="T200" t="str">
        <f>IF(Q200="DEP","BAS Excluded","GST on Income")</f>
        <v>GST on Income</v>
      </c>
      <c r="U200">
        <f>IF(O200=T200,1,0)</f>
        <v>1</v>
      </c>
      <c r="V200" s="9">
        <f>IF(OR(M200=0,U200=1),0,IF(T200="GST on Income",ROUND(K200*0.1,2),ROUND(-K200*0.1,2)))</f>
        <v>0</v>
      </c>
    </row>
    <row r="201">
      <c r="A201" t="inlineStr">
        <is>
          <t>INV-4322-1</t>
        </is>
      </c>
      <c r="B201" t="inlineStr">
        <is>
          <t>INV-4322</t>
        </is>
      </c>
      <c r="C201" s="11" t="n">
        <v>45879</v>
      </c>
      <c r="D201" t="inlineStr">
        <is>
          <t>2025-08</t>
        </is>
      </c>
      <c r="E201" t="inlineStr">
        <is>
          <t>C0044</t>
        </is>
      </c>
      <c r="F201" t="inlineStr">
        <is>
          <t>C0044</t>
        </is>
      </c>
      <c r="G201" t="inlineStr">
        <is>
          <t>Granite Constructions</t>
        </is>
      </c>
      <c r="H201" t="inlineStr">
        <is>
          <t>S0048</t>
        </is>
      </c>
      <c r="I201" t="inlineStr">
        <is>
          <t>Temporary fence hire 4 wks (13/07/25-09/08/25) - 100 panels</t>
        </is>
      </c>
      <c r="J201" t="n">
        <v>400</v>
      </c>
      <c r="K201" s="9" t="n">
        <v>1800</v>
      </c>
      <c r="L201" t="inlineStr">
        <is>
          <t>PAID</t>
        </is>
      </c>
      <c r="M201">
        <f>IF(L201="VOIDED",0,1)</f>
        <v>1</v>
      </c>
      <c r="N201" t="n">
        <v>200</v>
      </c>
      <c r="O201" t="inlineStr">
        <is>
          <t>GST on Income</t>
        </is>
      </c>
      <c r="P201" t="inlineStr">
        <is>
          <t>R03</t>
        </is>
      </c>
      <c r="Q201" t="inlineStr">
        <is>
          <t>HIRE-FP</t>
        </is>
      </c>
      <c r="R201">
        <f>IF(OR(Q201="CONTEXT",Q201="REVIEW"),"",INDEX('Category Rules'!$D$5:$D$17,MATCH(P201,'Category Rules'!$A$5:$A$17,0)))</f>
        <v>4010</v>
      </c>
      <c r="S201" t="str">
        <f>IF(Q201="CONTEXT","Fencing",IF(Q201="REVIEW","",INDEX('Category Rules'!$E$5:$E$17,MATCH(P201,'Category Rules'!$A$5:$A$17,0))))</f>
        <v>Fencing</v>
      </c>
      <c r="T201" t="str">
        <f>IF(Q201="DEP","BAS Excluded","GST on Income")</f>
        <v>GST on Income</v>
      </c>
      <c r="U201">
        <f>IF(O201=T201,1,0)</f>
        <v>1</v>
      </c>
      <c r="V201" s="9">
        <f>IF(OR(M201=0,U201=1),0,IF(T201="GST on Income",ROUND(K201*0.1,2),ROUND(-K201*0.1,2)))</f>
        <v>0</v>
      </c>
    </row>
    <row r="202">
      <c r="A202" t="inlineStr">
        <is>
          <t>INV-4819-1</t>
        </is>
      </c>
      <c r="B202" t="inlineStr">
        <is>
          <t>INV-4819</t>
        </is>
      </c>
      <c r="C202" s="11" t="n">
        <v>45879</v>
      </c>
      <c r="D202" t="inlineStr">
        <is>
          <t>2025-08</t>
        </is>
      </c>
      <c r="E202" t="inlineStr">
        <is>
          <t>C0024</t>
        </is>
      </c>
      <c r="F202" t="inlineStr">
        <is>
          <t>C0024</t>
        </is>
      </c>
      <c r="G202" t="inlineStr">
        <is>
          <t>Parkview Homes Pty Ltd</t>
        </is>
      </c>
      <c r="H202" t="inlineStr">
        <is>
          <t>S0154</t>
        </is>
      </c>
      <c r="I202" t="inlineStr">
        <is>
          <t>Temporary fence hire 3 wks (24/07/25-09/08/25) - 34 panels</t>
        </is>
      </c>
      <c r="J202" t="n">
        <v>102</v>
      </c>
      <c r="K202" s="9" t="n">
        <v>459</v>
      </c>
      <c r="L202" t="inlineStr">
        <is>
          <t>PAID</t>
        </is>
      </c>
      <c r="M202">
        <f>IF(L202="VOIDED",0,1)</f>
        <v>1</v>
      </c>
      <c r="N202" t="n">
        <v>200</v>
      </c>
      <c r="O202" t="inlineStr">
        <is>
          <t>GST on Income</t>
        </is>
      </c>
      <c r="P202" t="inlineStr">
        <is>
          <t>R03</t>
        </is>
      </c>
      <c r="Q202" t="inlineStr">
        <is>
          <t>HIRE-FP</t>
        </is>
      </c>
      <c r="R202">
        <f>IF(OR(Q202="CONTEXT",Q202="REVIEW"),"",INDEX('Category Rules'!$D$5:$D$17,MATCH(P202,'Category Rules'!$A$5:$A$17,0)))</f>
        <v>4010</v>
      </c>
      <c r="S202" t="str">
        <f>IF(Q202="CONTEXT","Fencing",IF(Q202="REVIEW","",INDEX('Category Rules'!$E$5:$E$17,MATCH(P202,'Category Rules'!$A$5:$A$17,0))))</f>
        <v>Fencing</v>
      </c>
      <c r="T202" t="str">
        <f>IF(Q202="DEP","BAS Excluded","GST on Income")</f>
        <v>GST on Income</v>
      </c>
      <c r="U202">
        <f>IF(O202=T202,1,0)</f>
        <v>1</v>
      </c>
      <c r="V202" s="9">
        <f>IF(OR(M202=0,U202=1),0,IF(T202="GST on Income",ROUND(K202*0.1,2),ROUND(-K202*0.1,2)))</f>
        <v>0</v>
      </c>
    </row>
    <row r="203">
      <c r="A203" t="inlineStr">
        <is>
          <t>INV-4820-1</t>
        </is>
      </c>
      <c r="B203" t="inlineStr">
        <is>
          <t>INV-4820</t>
        </is>
      </c>
      <c r="C203" s="11" t="n">
        <v>45879</v>
      </c>
      <c r="D203" t="inlineStr">
        <is>
          <t>2025-08</t>
        </is>
      </c>
      <c r="E203" t="inlineStr">
        <is>
          <t>C0024</t>
        </is>
      </c>
      <c r="F203" t="inlineStr">
        <is>
          <t>C0024</t>
        </is>
      </c>
      <c r="G203" t="inlineStr">
        <is>
          <t>Parkview Homes Pty Ltd</t>
        </is>
      </c>
      <c r="H203" t="inlineStr">
        <is>
          <t>S0154</t>
        </is>
      </c>
      <c r="I203" t="inlineStr">
        <is>
          <t>Collection and dismantle - temporary fencing</t>
        </is>
      </c>
      <c r="J203" t="n">
        <v>1</v>
      </c>
      <c r="K203" s="9" t="n">
        <v>165</v>
      </c>
      <c r="L203" t="inlineStr">
        <is>
          <t>PAID</t>
        </is>
      </c>
      <c r="M203">
        <f>IF(L203="VOIDED",0,1)</f>
        <v>1</v>
      </c>
      <c r="N203" t="n">
        <v>200</v>
      </c>
      <c r="O203" t="inlineStr">
        <is>
          <t>GST on Income</t>
        </is>
      </c>
      <c r="P203" t="inlineStr">
        <is>
          <t>R07</t>
        </is>
      </c>
      <c r="Q203" t="inlineStr">
        <is>
          <t>DEL-FP</t>
        </is>
      </c>
      <c r="R203">
        <f>IF(OR(Q203="CONTEXT",Q203="REVIEW"),"",INDEX('Category Rules'!$D$5:$D$17,MATCH(P203,'Category Rules'!$A$5:$A$17,0)))</f>
        <v>4020</v>
      </c>
      <c r="S203" t="str">
        <f>IF(Q203="CONTEXT","Fencing",IF(Q203="REVIEW","",INDEX('Category Rules'!$E$5:$E$17,MATCH(P203,'Category Rules'!$A$5:$A$17,0))))</f>
        <v>Fencing</v>
      </c>
      <c r="T203" t="str">
        <f>IF(Q203="DEP","BAS Excluded","GST on Income")</f>
        <v>GST on Income</v>
      </c>
      <c r="U203">
        <f>IF(O203=T203,1,0)</f>
        <v>1</v>
      </c>
      <c r="V203" s="9">
        <f>IF(OR(M203=0,U203=1),0,IF(T203="GST on Income",ROUND(K203*0.1,2),ROUND(-K203*0.1,2)))</f>
        <v>0</v>
      </c>
    </row>
    <row r="204">
      <c r="A204" t="inlineStr">
        <is>
          <t>INV-5097-1</t>
        </is>
      </c>
      <c r="B204" t="inlineStr">
        <is>
          <t>INV-5097</t>
        </is>
      </c>
      <c r="C204" s="11" t="n">
        <v>45879</v>
      </c>
      <c r="D204" t="inlineStr">
        <is>
          <t>2025-08</t>
        </is>
      </c>
      <c r="E204" t="inlineStr">
        <is>
          <t>C0002</t>
        </is>
      </c>
      <c r="F204" t="inlineStr">
        <is>
          <t>C0002</t>
        </is>
      </c>
      <c r="G204" t="inlineStr">
        <is>
          <t>Summit Building Group</t>
        </is>
      </c>
      <c r="H204" t="inlineStr">
        <is>
          <t>S0215</t>
        </is>
      </c>
      <c r="I204" t="inlineStr">
        <is>
          <t>Temporary fence hire 4 wks (13/07/25-09/08/25) - 91 panels</t>
        </is>
      </c>
      <c r="J204" t="n">
        <v>364</v>
      </c>
      <c r="K204" s="9" t="n">
        <v>1638</v>
      </c>
      <c r="L204" t="inlineStr">
        <is>
          <t>PAID</t>
        </is>
      </c>
      <c r="M204">
        <f>IF(L204="VOIDED",0,1)</f>
        <v>1</v>
      </c>
      <c r="N204" t="n">
        <v>200</v>
      </c>
      <c r="O204" t="inlineStr">
        <is>
          <t>GST on Income</t>
        </is>
      </c>
      <c r="P204" t="inlineStr">
        <is>
          <t>R03</t>
        </is>
      </c>
      <c r="Q204" t="inlineStr">
        <is>
          <t>HIRE-FP</t>
        </is>
      </c>
      <c r="R204">
        <f>IF(OR(Q204="CONTEXT",Q204="REVIEW"),"",INDEX('Category Rules'!$D$5:$D$17,MATCH(P204,'Category Rules'!$A$5:$A$17,0)))</f>
        <v>4010</v>
      </c>
      <c r="S204" t="str">
        <f>IF(Q204="CONTEXT","Fencing",IF(Q204="REVIEW","",INDEX('Category Rules'!$E$5:$E$17,MATCH(P204,'Category Rules'!$A$5:$A$17,0))))</f>
        <v>Fencing</v>
      </c>
      <c r="T204" t="str">
        <f>IF(Q204="DEP","BAS Excluded","GST on Income")</f>
        <v>GST on Income</v>
      </c>
      <c r="U204">
        <f>IF(O204=T204,1,0)</f>
        <v>1</v>
      </c>
      <c r="V204" s="9">
        <f>IF(OR(M204=0,U204=1),0,IF(T204="GST on Income",ROUND(K204*0.1,2),ROUND(-K204*0.1,2)))</f>
        <v>0</v>
      </c>
    </row>
    <row r="205">
      <c r="A205" t="inlineStr">
        <is>
          <t>INV-5103-1</t>
        </is>
      </c>
      <c r="B205" t="inlineStr">
        <is>
          <t>INV-5103</t>
        </is>
      </c>
      <c r="C205" s="11" t="n">
        <v>45879</v>
      </c>
      <c r="D205" t="inlineStr">
        <is>
          <t>2025-08</t>
        </is>
      </c>
      <c r="E205" t="inlineStr">
        <is>
          <t>C0002</t>
        </is>
      </c>
      <c r="F205" t="inlineStr">
        <is>
          <t>C0002</t>
        </is>
      </c>
      <c r="G205" t="inlineStr">
        <is>
          <t>Summit Building Group</t>
        </is>
      </c>
      <c r="H205" t="inlineStr">
        <is>
          <t>S0215</t>
        </is>
      </c>
      <c r="I205" t="inlineStr">
        <is>
          <t>Pedestrian barrier hire 4 wks (13/07/25-09/08/25) - 18 barriers</t>
        </is>
      </c>
      <c r="J205" t="n">
        <v>72</v>
      </c>
      <c r="K205" s="9" t="n">
        <v>230.4</v>
      </c>
      <c r="L205" t="inlineStr">
        <is>
          <t>PAID</t>
        </is>
      </c>
      <c r="M205">
        <f>IF(L205="VOIDED",0,1)</f>
        <v>1</v>
      </c>
      <c r="N205" t="n">
        <v>200</v>
      </c>
      <c r="O205" t="inlineStr">
        <is>
          <t>GST on Income</t>
        </is>
      </c>
      <c r="P205" t="inlineStr">
        <is>
          <t>R04</t>
        </is>
      </c>
      <c r="Q205" t="inlineStr">
        <is>
          <t>HIRE-BR</t>
        </is>
      </c>
      <c r="R205">
        <f>IF(OR(Q205="CONTEXT",Q205="REVIEW"),"",INDEX('Category Rules'!$D$5:$D$17,MATCH(P205,'Category Rules'!$A$5:$A$17,0)))</f>
        <v>4010</v>
      </c>
      <c r="S205" t="str">
        <f>IF(Q205="CONTEXT","Fencing",IF(Q205="REVIEW","",INDEX('Category Rules'!$E$5:$E$17,MATCH(P205,'Category Rules'!$A$5:$A$17,0))))</f>
        <v>Fencing</v>
      </c>
      <c r="T205" t="str">
        <f>IF(Q205="DEP","BAS Excluded","GST on Income")</f>
        <v>GST on Income</v>
      </c>
      <c r="U205">
        <f>IF(O205=T205,1,0)</f>
        <v>1</v>
      </c>
      <c r="V205" s="9">
        <f>IF(OR(M205=0,U205=1),0,IF(T205="GST on Income",ROUND(K205*0.1,2),ROUND(-K205*0.1,2)))</f>
        <v>0</v>
      </c>
    </row>
    <row r="206">
      <c r="A206" t="inlineStr">
        <is>
          <t>INV-5419-1</t>
        </is>
      </c>
      <c r="B206" t="inlineStr">
        <is>
          <t>INV-5419</t>
        </is>
      </c>
      <c r="C206" s="11" t="n">
        <v>45879</v>
      </c>
      <c r="D206" t="inlineStr">
        <is>
          <t>2025-08</t>
        </is>
      </c>
      <c r="E206" t="inlineStr">
        <is>
          <t>C0002</t>
        </is>
      </c>
      <c r="F206" t="inlineStr">
        <is>
          <t>C0002</t>
        </is>
      </c>
      <c r="G206" t="inlineStr">
        <is>
          <t>Summit Building Group</t>
        </is>
      </c>
      <c r="H206" t="inlineStr">
        <is>
          <t>S0288</t>
        </is>
      </c>
      <c r="I206" t="inlineStr">
        <is>
          <t>Scaffold erect - 3 tower(s)</t>
        </is>
      </c>
      <c r="J206" t="n">
        <v>3</v>
      </c>
      <c r="K206" s="9" t="n">
        <v>1260</v>
      </c>
      <c r="L206" t="inlineStr">
        <is>
          <t>VOIDED</t>
        </is>
      </c>
      <c r="M206">
        <f>IF(L206="VOIDED",0,1)</f>
        <v>0</v>
      </c>
      <c r="N206" t="n">
        <v>200</v>
      </c>
      <c r="O206" t="inlineStr">
        <is>
          <t>GST on Income</t>
        </is>
      </c>
      <c r="P206" t="inlineStr">
        <is>
          <t>R08</t>
        </is>
      </c>
      <c r="Q206" t="inlineStr">
        <is>
          <t>LAB-ST</t>
        </is>
      </c>
      <c r="R206">
        <f>IF(OR(Q206="CONTEXT",Q206="REVIEW"),"",INDEX('Category Rules'!$D$5:$D$17,MATCH(P206,'Category Rules'!$A$5:$A$17,0)))</f>
        <v>4020</v>
      </c>
      <c r="S206" t="str">
        <f>IF(Q206="CONTEXT","Scaffolding",IF(Q206="REVIEW","",INDEX('Category Rules'!$E$5:$E$17,MATCH(P206,'Category Rules'!$A$5:$A$17,0))))</f>
        <v>Scaffolding</v>
      </c>
      <c r="T206" t="str">
        <f>IF(Q206="DEP","BAS Excluded","GST on Income")</f>
        <v>GST on Income</v>
      </c>
      <c r="U206">
        <f>IF(O206=T206,1,0)</f>
        <v>1</v>
      </c>
      <c r="V206" s="9">
        <f>IF(OR(M206=0,U206=1),0,IF(T206="GST on Income",ROUND(K206*0.1,2),ROUND(-K206*0.1,2)))</f>
        <v>0</v>
      </c>
    </row>
    <row r="207">
      <c r="A207" t="inlineStr">
        <is>
          <t>INV-5515-1</t>
        </is>
      </c>
      <c r="B207" t="inlineStr">
        <is>
          <t>INV-5515</t>
        </is>
      </c>
      <c r="C207" s="11" t="n">
        <v>45879</v>
      </c>
      <c r="D207" t="inlineStr">
        <is>
          <t>2025-08</t>
        </is>
      </c>
      <c r="E207" t="inlineStr">
        <is>
          <t>C0086</t>
        </is>
      </c>
      <c r="F207" t="inlineStr">
        <is>
          <t>C0086</t>
        </is>
      </c>
      <c r="G207" t="inlineStr">
        <is>
          <t>Mei Ali</t>
        </is>
      </c>
      <c r="H207" t="inlineStr">
        <is>
          <t>S0334</t>
        </is>
      </c>
      <c r="I207" t="inlineStr">
        <is>
          <t>Tarp kit hire 4 wks (13/07/25-09/08/25) - 2 kits</t>
        </is>
      </c>
      <c r="J207" t="n">
        <v>8</v>
      </c>
      <c r="K207" s="9" t="n">
        <v>280</v>
      </c>
      <c r="L207" t="inlineStr">
        <is>
          <t>PAID</t>
        </is>
      </c>
      <c r="M207">
        <f>IF(L207="VOIDED",0,1)</f>
        <v>1</v>
      </c>
      <c r="N207" t="n">
        <v>200</v>
      </c>
      <c r="O207" t="inlineStr">
        <is>
          <t>GST on Income</t>
        </is>
      </c>
      <c r="P207" t="inlineStr">
        <is>
          <t>R06</t>
        </is>
      </c>
      <c r="Q207" t="inlineStr">
        <is>
          <t>HIRE-TK</t>
        </is>
      </c>
      <c r="R207">
        <f>IF(OR(Q207="CONTEXT",Q207="REVIEW"),"",INDEX('Category Rules'!$D$5:$D$17,MATCH(P207,'Category Rules'!$A$5:$A$17,0)))</f>
        <v>4010</v>
      </c>
      <c r="S207" t="str">
        <f>IF(Q207="CONTEXT","Make-safe",IF(Q207="REVIEW","",INDEX('Category Rules'!$E$5:$E$17,MATCH(P207,'Category Rules'!$A$5:$A$17,0))))</f>
        <v>Make-safe</v>
      </c>
      <c r="T207" t="str">
        <f>IF(Q207="DEP","BAS Excluded","GST on Income")</f>
        <v>GST on Income</v>
      </c>
      <c r="U207">
        <f>IF(O207=T207,1,0)</f>
        <v>1</v>
      </c>
      <c r="V207" s="9">
        <f>IF(OR(M207=0,U207=1),0,IF(T207="GST on Income",ROUND(K207*0.1,2),ROUND(-K207*0.1,2)))</f>
        <v>0</v>
      </c>
    </row>
    <row r="208">
      <c r="A208" t="inlineStr">
        <is>
          <t>INV-5216-1</t>
        </is>
      </c>
      <c r="B208" t="inlineStr">
        <is>
          <t>INV-5216</t>
        </is>
      </c>
      <c r="C208" s="11" t="n">
        <v>45880</v>
      </c>
      <c r="D208" t="inlineStr">
        <is>
          <t>2025-08</t>
        </is>
      </c>
      <c r="E208" t="inlineStr">
        <is>
          <t>C0006</t>
        </is>
      </c>
      <c r="F208" t="inlineStr">
        <is>
          <t>C0006</t>
        </is>
      </c>
      <c r="G208" t="inlineStr">
        <is>
          <t>Harbour Homes</t>
        </is>
      </c>
      <c r="H208" t="inlineStr">
        <is>
          <t>S0239</t>
        </is>
      </c>
      <c r="I208" t="inlineStr">
        <is>
          <t>Scaffold tower hire 3 wks (27/07/25-10/08/25) - 1 towers</t>
        </is>
      </c>
      <c r="J208" t="n">
        <v>3</v>
      </c>
      <c r="K208" s="9" t="n">
        <v>285</v>
      </c>
      <c r="L208" t="inlineStr">
        <is>
          <t>PAID</t>
        </is>
      </c>
      <c r="M208">
        <f>IF(L208="VOIDED",0,1)</f>
        <v>1</v>
      </c>
      <c r="N208" t="n">
        <v>200</v>
      </c>
      <c r="O208" t="inlineStr">
        <is>
          <t>GST on Income</t>
        </is>
      </c>
      <c r="P208" t="inlineStr">
        <is>
          <t>R05</t>
        </is>
      </c>
      <c r="Q208" t="inlineStr">
        <is>
          <t>HIRE-ST</t>
        </is>
      </c>
      <c r="R208">
        <f>IF(OR(Q208="CONTEXT",Q208="REVIEW"),"",INDEX('Category Rules'!$D$5:$D$17,MATCH(P208,'Category Rules'!$A$5:$A$17,0)))</f>
        <v>4010</v>
      </c>
      <c r="S208" t="str">
        <f>IF(Q208="CONTEXT","Scaffolding",IF(Q208="REVIEW","",INDEX('Category Rules'!$E$5:$E$17,MATCH(P208,'Category Rules'!$A$5:$A$17,0))))</f>
        <v>Scaffolding</v>
      </c>
      <c r="T208" t="str">
        <f>IF(Q208="DEP","BAS Excluded","GST on Income")</f>
        <v>GST on Income</v>
      </c>
      <c r="U208">
        <f>IF(O208=T208,1,0)</f>
        <v>1</v>
      </c>
      <c r="V208" s="9">
        <f>IF(OR(M208=0,U208=1),0,IF(T208="GST on Income",ROUND(K208*0.1,2),ROUND(-K208*0.1,2)))</f>
        <v>0</v>
      </c>
    </row>
    <row r="209">
      <c r="A209" t="inlineStr">
        <is>
          <t>INV-5217-1</t>
        </is>
      </c>
      <c r="B209" t="inlineStr">
        <is>
          <t>INV-5217</t>
        </is>
      </c>
      <c r="C209" s="11" t="n">
        <v>45880</v>
      </c>
      <c r="D209" t="inlineStr">
        <is>
          <t>2025-08</t>
        </is>
      </c>
      <c r="E209" t="inlineStr">
        <is>
          <t>C0006</t>
        </is>
      </c>
      <c r="F209" t="inlineStr">
        <is>
          <t>C0006</t>
        </is>
      </c>
      <c r="G209" t="inlineStr">
        <is>
          <t>Harbour Homes</t>
        </is>
      </c>
      <c r="H209" t="inlineStr">
        <is>
          <t>S0239</t>
        </is>
      </c>
      <c r="I209" t="inlineStr">
        <is>
          <t>Scaffold dismantle - 1 tower(s)</t>
        </is>
      </c>
      <c r="J209" t="n">
        <v>1</v>
      </c>
      <c r="K209" s="9" t="n">
        <v>320</v>
      </c>
      <c r="L209" t="inlineStr">
        <is>
          <t>PAID</t>
        </is>
      </c>
      <c r="M209">
        <f>IF(L209="VOIDED",0,1)</f>
        <v>1</v>
      </c>
      <c r="N209" t="n">
        <v>200</v>
      </c>
      <c r="O209" t="inlineStr">
        <is>
          <t>GST on Income</t>
        </is>
      </c>
      <c r="P209" t="inlineStr">
        <is>
          <t>R08</t>
        </is>
      </c>
      <c r="Q209" t="inlineStr">
        <is>
          <t>LAB-ST</t>
        </is>
      </c>
      <c r="R209">
        <f>IF(OR(Q209="CONTEXT",Q209="REVIEW"),"",INDEX('Category Rules'!$D$5:$D$17,MATCH(P209,'Category Rules'!$A$5:$A$17,0)))</f>
        <v>4020</v>
      </c>
      <c r="S209" t="str">
        <f>IF(Q209="CONTEXT","Scaffolding",IF(Q209="REVIEW","",INDEX('Category Rules'!$E$5:$E$17,MATCH(P209,'Category Rules'!$A$5:$A$17,0))))</f>
        <v>Scaffolding</v>
      </c>
      <c r="T209" t="str">
        <f>IF(Q209="DEP","BAS Excluded","GST on Income")</f>
        <v>GST on Income</v>
      </c>
      <c r="U209">
        <f>IF(O209=T209,1,0)</f>
        <v>1</v>
      </c>
      <c r="V209" s="9">
        <f>IF(OR(M209=0,U209=1),0,IF(T209="GST on Income",ROUND(K209*0.1,2),ROUND(-K209*0.1,2)))</f>
        <v>0</v>
      </c>
    </row>
    <row r="210">
      <c r="A210" t="inlineStr">
        <is>
          <t>INV-5339-1</t>
        </is>
      </c>
      <c r="B210" t="inlineStr">
        <is>
          <t>INV-5339</t>
        </is>
      </c>
      <c r="C210" s="11" t="n">
        <v>45880</v>
      </c>
      <c r="D210" t="inlineStr">
        <is>
          <t>2025-08</t>
        </is>
      </c>
      <c r="E210" t="inlineStr">
        <is>
          <t>C0006</t>
        </is>
      </c>
      <c r="F210" t="inlineStr">
        <is>
          <t>C0006</t>
        </is>
      </c>
      <c r="G210" t="inlineStr">
        <is>
          <t>Harbour Homes</t>
        </is>
      </c>
      <c r="H210" t="inlineStr">
        <is>
          <t>S0268</t>
        </is>
      </c>
      <c r="I210" t="inlineStr">
        <is>
          <t>Scaffold erect - 6 tower(s)</t>
        </is>
      </c>
      <c r="J210" t="n">
        <v>6</v>
      </c>
      <c r="K210" s="9" t="n">
        <v>2520</v>
      </c>
      <c r="L210" t="inlineStr">
        <is>
          <t>PAID</t>
        </is>
      </c>
      <c r="M210">
        <f>IF(L210="VOIDED",0,1)</f>
        <v>1</v>
      </c>
      <c r="N210" t="n">
        <v>200</v>
      </c>
      <c r="O210" t="inlineStr">
        <is>
          <t>GST on Income</t>
        </is>
      </c>
      <c r="P210" t="inlineStr">
        <is>
          <t>R08</t>
        </is>
      </c>
      <c r="Q210" t="inlineStr">
        <is>
          <t>LAB-ST</t>
        </is>
      </c>
      <c r="R210">
        <f>IF(OR(Q210="CONTEXT",Q210="REVIEW"),"",INDEX('Category Rules'!$D$5:$D$17,MATCH(P210,'Category Rules'!$A$5:$A$17,0)))</f>
        <v>4020</v>
      </c>
      <c r="S210" t="str">
        <f>IF(Q210="CONTEXT","Scaffolding",IF(Q210="REVIEW","",INDEX('Category Rules'!$E$5:$E$17,MATCH(P210,'Category Rules'!$A$5:$A$17,0))))</f>
        <v>Scaffolding</v>
      </c>
      <c r="T210" t="str">
        <f>IF(Q210="DEP","BAS Excluded","GST on Income")</f>
        <v>GST on Income</v>
      </c>
      <c r="U210">
        <f>IF(O210=T210,1,0)</f>
        <v>1</v>
      </c>
      <c r="V210" s="9">
        <f>IF(OR(M210=0,U210=1),0,IF(T210="GST on Income",ROUND(K210*0.1,2),ROUND(-K210*0.1,2)))</f>
        <v>0</v>
      </c>
    </row>
    <row r="211">
      <c r="A211" t="inlineStr">
        <is>
          <t>INV-5639-1</t>
        </is>
      </c>
      <c r="B211" t="inlineStr">
        <is>
          <t>INV-5639</t>
        </is>
      </c>
      <c r="C211" s="11" t="n">
        <v>45880</v>
      </c>
      <c r="D211" t="inlineStr">
        <is>
          <t>2025-08</t>
        </is>
      </c>
      <c r="E211" t="inlineStr">
        <is>
          <t>C0086</t>
        </is>
      </c>
      <c r="F211" t="inlineStr">
        <is>
          <t>C0086</t>
        </is>
      </c>
      <c r="G211" t="inlineStr">
        <is>
          <t>Mei Ali</t>
        </is>
      </c>
      <c r="H211" t="inlineStr">
        <is>
          <t>S0401</t>
        </is>
      </c>
      <c r="I211" t="inlineStr">
        <is>
          <t>Make safe call-out</t>
        </is>
      </c>
      <c r="J211" t="n">
        <v>1</v>
      </c>
      <c r="K211" s="9" t="n">
        <v>385</v>
      </c>
      <c r="L211" t="inlineStr">
        <is>
          <t>PAID</t>
        </is>
      </c>
      <c r="M211">
        <f>IF(L211="VOIDED",0,1)</f>
        <v>1</v>
      </c>
      <c r="N211" t="n">
        <v>200</v>
      </c>
      <c r="O211" t="inlineStr">
        <is>
          <t>GST on Income</t>
        </is>
      </c>
      <c r="P211" t="inlineStr">
        <is>
          <t>R09</t>
        </is>
      </c>
      <c r="Q211" t="inlineStr">
        <is>
          <t>MS</t>
        </is>
      </c>
      <c r="R211">
        <f>IF(OR(Q211="CONTEXT",Q211="REVIEW"),"",INDEX('Category Rules'!$D$5:$D$17,MATCH(P211,'Category Rules'!$A$5:$A$17,0)))</f>
        <v>4020</v>
      </c>
      <c r="S211" t="str">
        <f>IF(Q211="CONTEXT","Make-safe",IF(Q211="REVIEW","",INDEX('Category Rules'!$E$5:$E$17,MATCH(P211,'Category Rules'!$A$5:$A$17,0))))</f>
        <v>Make-safe</v>
      </c>
      <c r="T211" t="str">
        <f>IF(Q211="DEP","BAS Excluded","GST on Income")</f>
        <v>GST on Income</v>
      </c>
      <c r="U211">
        <f>IF(O211=T211,1,0)</f>
        <v>1</v>
      </c>
      <c r="V211" s="9">
        <f>IF(OR(M211=0,U211=1),0,IF(T211="GST on Income",ROUND(K211*0.1,2),ROUND(-K211*0.1,2)))</f>
        <v>0</v>
      </c>
    </row>
    <row r="212">
      <c r="A212" t="inlineStr">
        <is>
          <t>INV-4548-1</t>
        </is>
      </c>
      <c r="B212" t="inlineStr">
        <is>
          <t>INV-4548</t>
        </is>
      </c>
      <c r="C212" s="11" t="n">
        <v>45881</v>
      </c>
      <c r="D212" t="inlineStr">
        <is>
          <t>2025-08</t>
        </is>
      </c>
      <c r="E212" t="inlineStr">
        <is>
          <t>C0003</t>
        </is>
      </c>
      <c r="F212" t="inlineStr">
        <is>
          <t>C0003</t>
        </is>
      </c>
      <c r="G212" t="inlineStr">
        <is>
          <t>Summit Projects Pty Ltd</t>
        </is>
      </c>
      <c r="H212" t="inlineStr">
        <is>
          <t>S0090</t>
        </is>
      </c>
      <c r="I212" t="inlineStr">
        <is>
          <t>Temporary fence hire 4 wks (15/07/25-11/08/25) - 141 panels</t>
        </is>
      </c>
      <c r="J212" t="n">
        <v>564</v>
      </c>
      <c r="K212" s="9" t="n">
        <v>2538</v>
      </c>
      <c r="L212" t="inlineStr">
        <is>
          <t>PAID</t>
        </is>
      </c>
      <c r="M212">
        <f>IF(L212="VOIDED",0,1)</f>
        <v>1</v>
      </c>
      <c r="N212" t="n">
        <v>200</v>
      </c>
      <c r="O212" t="inlineStr">
        <is>
          <t>GST on Income</t>
        </is>
      </c>
      <c r="P212" t="inlineStr">
        <is>
          <t>R03</t>
        </is>
      </c>
      <c r="Q212" t="inlineStr">
        <is>
          <t>HIRE-FP</t>
        </is>
      </c>
      <c r="R212">
        <f>IF(OR(Q212="CONTEXT",Q212="REVIEW"),"",INDEX('Category Rules'!$D$5:$D$17,MATCH(P212,'Category Rules'!$A$5:$A$17,0)))</f>
        <v>4010</v>
      </c>
      <c r="S212" t="str">
        <f>IF(Q212="CONTEXT","Fencing",IF(Q212="REVIEW","",INDEX('Category Rules'!$E$5:$E$17,MATCH(P212,'Category Rules'!$A$5:$A$17,0))))</f>
        <v>Fencing</v>
      </c>
      <c r="T212" t="str">
        <f>IF(Q212="DEP","BAS Excluded","GST on Income")</f>
        <v>GST on Income</v>
      </c>
      <c r="U212">
        <f>IF(O212=T212,1,0)</f>
        <v>1</v>
      </c>
      <c r="V212" s="9">
        <f>IF(OR(M212=0,U212=1),0,IF(T212="GST on Income",ROUND(K212*0.1,2),ROUND(-K212*0.1,2)))</f>
        <v>0</v>
      </c>
    </row>
    <row r="213">
      <c r="A213" t="inlineStr">
        <is>
          <t>INV-4550-1</t>
        </is>
      </c>
      <c r="B213" t="inlineStr">
        <is>
          <t>INV-4550</t>
        </is>
      </c>
      <c r="C213" s="11" t="n">
        <v>45881</v>
      </c>
      <c r="D213" t="inlineStr">
        <is>
          <t>2025-08</t>
        </is>
      </c>
      <c r="E213" t="inlineStr">
        <is>
          <t>C0003</t>
        </is>
      </c>
      <c r="F213" t="inlineStr">
        <is>
          <t>C0003</t>
        </is>
      </c>
      <c r="G213" t="inlineStr">
        <is>
          <t>Summit Projects Pty Ltd</t>
        </is>
      </c>
      <c r="H213" t="inlineStr">
        <is>
          <t>S0090</t>
        </is>
      </c>
      <c r="I213" t="inlineStr">
        <is>
          <t>Pedestrian barrier hire 4 wks (15/07/25-11/08/25) - 19 barriers</t>
        </is>
      </c>
      <c r="J213" t="n">
        <v>76</v>
      </c>
      <c r="K213" s="9" t="n">
        <v>243.2</v>
      </c>
      <c r="L213" t="inlineStr">
        <is>
          <t>PAID</t>
        </is>
      </c>
      <c r="M213">
        <f>IF(L213="VOIDED",0,1)</f>
        <v>1</v>
      </c>
      <c r="N213" t="n">
        <v>200</v>
      </c>
      <c r="O213" t="inlineStr">
        <is>
          <t>GST on Income</t>
        </is>
      </c>
      <c r="P213" t="inlineStr">
        <is>
          <t>R04</t>
        </is>
      </c>
      <c r="Q213" t="inlineStr">
        <is>
          <t>HIRE-BR</t>
        </is>
      </c>
      <c r="R213">
        <f>IF(OR(Q213="CONTEXT",Q213="REVIEW"),"",INDEX('Category Rules'!$D$5:$D$17,MATCH(P213,'Category Rules'!$A$5:$A$17,0)))</f>
        <v>4010</v>
      </c>
      <c r="S213" t="str">
        <f>IF(Q213="CONTEXT","Fencing",IF(Q213="REVIEW","",INDEX('Category Rules'!$E$5:$E$17,MATCH(P213,'Category Rules'!$A$5:$A$17,0))))</f>
        <v>Fencing</v>
      </c>
      <c r="T213" t="str">
        <f>IF(Q213="DEP","BAS Excluded","GST on Income")</f>
        <v>GST on Income</v>
      </c>
      <c r="U213">
        <f>IF(O213=T213,1,0)</f>
        <v>1</v>
      </c>
      <c r="V213" s="9">
        <f>IF(OR(M213=0,U213=1),0,IF(T213="GST on Income",ROUND(K213*0.1,2),ROUND(-K213*0.1,2)))</f>
        <v>0</v>
      </c>
    </row>
    <row r="214">
      <c r="A214" t="inlineStr">
        <is>
          <t>INV-5235-1</t>
        </is>
      </c>
      <c r="B214" t="inlineStr">
        <is>
          <t>INV-5235</t>
        </is>
      </c>
      <c r="C214" s="11" t="n">
        <v>45881</v>
      </c>
      <c r="D214" t="inlineStr">
        <is>
          <t>2025-08</t>
        </is>
      </c>
      <c r="E214" t="inlineStr">
        <is>
          <t>C0016</t>
        </is>
      </c>
      <c r="F214" t="inlineStr">
        <is>
          <t>C0016</t>
        </is>
      </c>
      <c r="G214" t="inlineStr">
        <is>
          <t>Juniper Developments Pty Ltd</t>
        </is>
      </c>
      <c r="H214" t="inlineStr">
        <is>
          <t>S0244</t>
        </is>
      </c>
      <c r="I214" t="inlineStr">
        <is>
          <t>Scaffold tower hire 3 wks (28/07/25-11/08/25) - 1 towers</t>
        </is>
      </c>
      <c r="J214" t="n">
        <v>3</v>
      </c>
      <c r="K214" s="9" t="n">
        <v>285</v>
      </c>
      <c r="L214" t="inlineStr">
        <is>
          <t>PAID</t>
        </is>
      </c>
      <c r="M214">
        <f>IF(L214="VOIDED",0,1)</f>
        <v>1</v>
      </c>
      <c r="N214" t="n">
        <v>200</v>
      </c>
      <c r="O214" t="inlineStr">
        <is>
          <t>GST on Income</t>
        </is>
      </c>
      <c r="P214" t="inlineStr">
        <is>
          <t>R05</t>
        </is>
      </c>
      <c r="Q214" t="inlineStr">
        <is>
          <t>HIRE-ST</t>
        </is>
      </c>
      <c r="R214">
        <f>IF(OR(Q214="CONTEXT",Q214="REVIEW"),"",INDEX('Category Rules'!$D$5:$D$17,MATCH(P214,'Category Rules'!$A$5:$A$17,0)))</f>
        <v>4010</v>
      </c>
      <c r="S214" t="str">
        <f>IF(Q214="CONTEXT","Scaffolding",IF(Q214="REVIEW","",INDEX('Category Rules'!$E$5:$E$17,MATCH(P214,'Category Rules'!$A$5:$A$17,0))))</f>
        <v>Scaffolding</v>
      </c>
      <c r="T214" t="str">
        <f>IF(Q214="DEP","BAS Excluded","GST on Income")</f>
        <v>GST on Income</v>
      </c>
      <c r="U214">
        <f>IF(O214=T214,1,0)</f>
        <v>1</v>
      </c>
      <c r="V214" s="9">
        <f>IF(OR(M214=0,U214=1),0,IF(T214="GST on Income",ROUND(K214*0.1,2),ROUND(-K214*0.1,2)))</f>
        <v>0</v>
      </c>
    </row>
    <row r="215">
      <c r="A215" t="inlineStr">
        <is>
          <t>INV-5236-1</t>
        </is>
      </c>
      <c r="B215" t="inlineStr">
        <is>
          <t>INV-5236</t>
        </is>
      </c>
      <c r="C215" s="11" t="n">
        <v>45881</v>
      </c>
      <c r="D215" t="inlineStr">
        <is>
          <t>2025-08</t>
        </is>
      </c>
      <c r="E215" t="inlineStr">
        <is>
          <t>C0016</t>
        </is>
      </c>
      <c r="F215" t="inlineStr">
        <is>
          <t>C0016</t>
        </is>
      </c>
      <c r="G215" t="inlineStr">
        <is>
          <t>Juniper Developments Pty Ltd</t>
        </is>
      </c>
      <c r="H215" t="inlineStr">
        <is>
          <t>S0244</t>
        </is>
      </c>
      <c r="I215" t="inlineStr">
        <is>
          <t>Scaffold dismantle - 1 tower(s)</t>
        </is>
      </c>
      <c r="J215" t="n">
        <v>1</v>
      </c>
      <c r="K215" s="9" t="n">
        <v>320</v>
      </c>
      <c r="L215" t="inlineStr">
        <is>
          <t>PAID</t>
        </is>
      </c>
      <c r="M215">
        <f>IF(L215="VOIDED",0,1)</f>
        <v>1</v>
      </c>
      <c r="N215" t="n">
        <v>200</v>
      </c>
      <c r="O215" t="inlineStr">
        <is>
          <t>GST on Income</t>
        </is>
      </c>
      <c r="P215" t="inlineStr">
        <is>
          <t>R08</t>
        </is>
      </c>
      <c r="Q215" t="inlineStr">
        <is>
          <t>LAB-ST</t>
        </is>
      </c>
      <c r="R215">
        <f>IF(OR(Q215="CONTEXT",Q215="REVIEW"),"",INDEX('Category Rules'!$D$5:$D$17,MATCH(P215,'Category Rules'!$A$5:$A$17,0)))</f>
        <v>4020</v>
      </c>
      <c r="S215" t="str">
        <f>IF(Q215="CONTEXT","Scaffolding",IF(Q215="REVIEW","",INDEX('Category Rules'!$E$5:$E$17,MATCH(P215,'Category Rules'!$A$5:$A$17,0))))</f>
        <v>Scaffolding</v>
      </c>
      <c r="T215" t="str">
        <f>IF(Q215="DEP","BAS Excluded","GST on Income")</f>
        <v>GST on Income</v>
      </c>
      <c r="U215">
        <f>IF(O215=T215,1,0)</f>
        <v>1</v>
      </c>
      <c r="V215" s="9">
        <f>IF(OR(M215=0,U215=1),0,IF(T215="GST on Income",ROUND(K215*0.1,2),ROUND(-K215*0.1,2)))</f>
        <v>0</v>
      </c>
    </row>
    <row r="216">
      <c r="A216" t="inlineStr">
        <is>
          <t>INV-5284-1</t>
        </is>
      </c>
      <c r="B216" t="inlineStr">
        <is>
          <t>INV-5284</t>
        </is>
      </c>
      <c r="C216" s="11" t="n">
        <v>45881</v>
      </c>
      <c r="D216" t="inlineStr">
        <is>
          <t>2025-08</t>
        </is>
      </c>
      <c r="E216" t="inlineStr">
        <is>
          <t>C0050</t>
        </is>
      </c>
      <c r="F216" t="inlineStr">
        <is>
          <t>C0050</t>
        </is>
      </c>
      <c r="G216" t="inlineStr">
        <is>
          <t>Southbank Body Corporate Pty Ltd</t>
        </is>
      </c>
      <c r="H216" t="inlineStr">
        <is>
          <t>S0256</t>
        </is>
      </c>
      <c r="I216" t="inlineStr">
        <is>
          <t>Scaffold tower hire 4 wks (15/07/25-11/08/25) - 2 towers</t>
        </is>
      </c>
      <c r="J216" t="n">
        <v>8</v>
      </c>
      <c r="K216" s="9" t="n">
        <v>760</v>
      </c>
      <c r="L216" t="inlineStr">
        <is>
          <t>PAID</t>
        </is>
      </c>
      <c r="M216">
        <f>IF(L216="VOIDED",0,1)</f>
        <v>1</v>
      </c>
      <c r="N216" t="n">
        <v>260</v>
      </c>
      <c r="O216" t="inlineStr">
        <is>
          <t>GST on Income</t>
        </is>
      </c>
      <c r="P216" t="inlineStr">
        <is>
          <t>R05</t>
        </is>
      </c>
      <c r="Q216" t="inlineStr">
        <is>
          <t>HIRE-ST</t>
        </is>
      </c>
      <c r="R216">
        <f>IF(OR(Q216="CONTEXT",Q216="REVIEW"),"",INDEX('Category Rules'!$D$5:$D$17,MATCH(P216,'Category Rules'!$A$5:$A$17,0)))</f>
        <v>4010</v>
      </c>
      <c r="S216" t="str">
        <f>IF(Q216="CONTEXT","Scaffolding",IF(Q216="REVIEW","",INDEX('Category Rules'!$E$5:$E$17,MATCH(P216,'Category Rules'!$A$5:$A$17,0))))</f>
        <v>Scaffolding</v>
      </c>
      <c r="T216" t="str">
        <f>IF(Q216="DEP","BAS Excluded","GST on Income")</f>
        <v>GST on Income</v>
      </c>
      <c r="U216">
        <f>IF(O216=T216,1,0)</f>
        <v>1</v>
      </c>
      <c r="V216" s="9">
        <f>IF(OR(M216=0,U216=1),0,IF(T216="GST on Income",ROUND(K216*0.1,2),ROUND(-K216*0.1,2)))</f>
        <v>0</v>
      </c>
    </row>
    <row r="217">
      <c r="A217" t="inlineStr">
        <is>
          <t>INV-5605-1</t>
        </is>
      </c>
      <c r="B217" t="inlineStr">
        <is>
          <t>INV-5605</t>
        </is>
      </c>
      <c r="C217" s="11" t="n">
        <v>45881</v>
      </c>
      <c r="D217" t="inlineStr">
        <is>
          <t>2025-08</t>
        </is>
      </c>
      <c r="E217" t="inlineStr">
        <is>
          <t>C0062</t>
        </is>
      </c>
      <c r="F217" t="inlineStr">
        <is>
          <t>C0062</t>
        </is>
      </c>
      <c r="G217" t="inlineStr">
        <is>
          <t>Wattle Insurance Repairs Pty Ltd</t>
        </is>
      </c>
      <c r="H217" t="inlineStr">
        <is>
          <t>S0383</t>
        </is>
      </c>
      <c r="I217" t="inlineStr">
        <is>
          <t>Roof repair labour - 8 hrs</t>
        </is>
      </c>
      <c r="J217" t="n">
        <v>8</v>
      </c>
      <c r="K217" s="9" t="n">
        <v>784</v>
      </c>
      <c r="L217" t="inlineStr">
        <is>
          <t>PAID</t>
        </is>
      </c>
      <c r="M217">
        <f>IF(L217="VOIDED",0,1)</f>
        <v>1</v>
      </c>
      <c r="N217" t="n">
        <v>200</v>
      </c>
      <c r="O217" t="inlineStr">
        <is>
          <t>GST on Income</t>
        </is>
      </c>
      <c r="P217" t="inlineStr">
        <is>
          <t>R10</t>
        </is>
      </c>
      <c r="Q217" t="inlineStr">
        <is>
          <t>LAB-RF</t>
        </is>
      </c>
      <c r="R217">
        <f>IF(OR(Q217="CONTEXT",Q217="REVIEW"),"",INDEX('Category Rules'!$D$5:$D$17,MATCH(P217,'Category Rules'!$A$5:$A$17,0)))</f>
        <v>4020</v>
      </c>
      <c r="S217" t="str">
        <f>IF(Q217="CONTEXT","Roofing",IF(Q217="REVIEW","",INDEX('Category Rules'!$E$5:$E$17,MATCH(P217,'Category Rules'!$A$5:$A$17,0))))</f>
        <v>Roofing</v>
      </c>
      <c r="T217" t="str">
        <f>IF(Q217="DEP","BAS Excluded","GST on Income")</f>
        <v>GST on Income</v>
      </c>
      <c r="U217">
        <f>IF(O217=T217,1,0)</f>
        <v>1</v>
      </c>
      <c r="V217" s="9">
        <f>IF(OR(M217=0,U217=1),0,IF(T217="GST on Income",ROUND(K217*0.1,2),ROUND(-K217*0.1,2)))</f>
        <v>0</v>
      </c>
    </row>
    <row r="218">
      <c r="A218" t="inlineStr">
        <is>
          <t>INV-5605-2</t>
        </is>
      </c>
      <c r="B218" t="inlineStr">
        <is>
          <t>INV-5605</t>
        </is>
      </c>
      <c r="C218" s="11" t="n">
        <v>45881</v>
      </c>
      <c r="D218" t="inlineStr">
        <is>
          <t>2025-08</t>
        </is>
      </c>
      <c r="E218" t="inlineStr">
        <is>
          <t>C0062</t>
        </is>
      </c>
      <c r="F218" t="inlineStr">
        <is>
          <t>C0062</t>
        </is>
      </c>
      <c r="G218" t="inlineStr">
        <is>
          <t>Wattle Insurance Repairs Pty Ltd</t>
        </is>
      </c>
      <c r="H218" t="inlineStr">
        <is>
          <t>S0383</t>
        </is>
      </c>
      <c r="I218" t="inlineStr">
        <is>
          <t>Materials - flashing</t>
        </is>
      </c>
      <c r="J218" t="n">
        <v>1</v>
      </c>
      <c r="K218" s="9" t="n">
        <v>768.75</v>
      </c>
      <c r="L218" t="inlineStr">
        <is>
          <t>PAID</t>
        </is>
      </c>
      <c r="M218">
        <f>IF(L218="VOIDED",0,1)</f>
        <v>1</v>
      </c>
      <c r="N218" t="n">
        <v>200</v>
      </c>
      <c r="O218" t="inlineStr">
        <is>
          <t>GST on Income</t>
        </is>
      </c>
      <c r="P218" t="inlineStr">
        <is>
          <t>R11</t>
        </is>
      </c>
      <c r="Q218" t="inlineStr">
        <is>
          <t>MAT-RF</t>
        </is>
      </c>
      <c r="R218">
        <f>IF(OR(Q218="CONTEXT",Q218="REVIEW"),"",INDEX('Category Rules'!$D$5:$D$17,MATCH(P218,'Category Rules'!$A$5:$A$17,0)))</f>
        <v>4030</v>
      </c>
      <c r="S218" t="str">
        <f>IF(Q218="CONTEXT","Roofing",IF(Q218="REVIEW","",INDEX('Category Rules'!$E$5:$E$17,MATCH(P218,'Category Rules'!$A$5:$A$17,0))))</f>
        <v>Roofing</v>
      </c>
      <c r="T218" t="str">
        <f>IF(Q218="DEP","BAS Excluded","GST on Income")</f>
        <v>GST on Income</v>
      </c>
      <c r="U218">
        <f>IF(O218=T218,1,0)</f>
        <v>1</v>
      </c>
      <c r="V218" s="9">
        <f>IF(OR(M218=0,U218=1),0,IF(T218="GST on Income",ROUND(K218*0.1,2),ROUND(-K218*0.1,2)))</f>
        <v>0</v>
      </c>
    </row>
    <row r="219">
      <c r="A219" t="inlineStr">
        <is>
          <t>INV-5605-3</t>
        </is>
      </c>
      <c r="B219" t="inlineStr">
        <is>
          <t>INV-5605</t>
        </is>
      </c>
      <c r="C219" s="11" t="n">
        <v>45881</v>
      </c>
      <c r="D219" t="inlineStr">
        <is>
          <t>2025-08</t>
        </is>
      </c>
      <c r="E219" t="inlineStr">
        <is>
          <t>C0062</t>
        </is>
      </c>
      <c r="F219" t="inlineStr">
        <is>
          <t>C0062</t>
        </is>
      </c>
      <c r="G219" t="inlineStr">
        <is>
          <t>Wattle Insurance Repairs Pty Ltd</t>
        </is>
      </c>
      <c r="H219" t="inlineStr">
        <is>
          <t>S0383</t>
        </is>
      </c>
      <c r="I219" t="inlineStr">
        <is>
          <t>Materials - ridge capping</t>
        </is>
      </c>
      <c r="J219" t="n">
        <v>1</v>
      </c>
      <c r="K219" s="9" t="n">
        <v>483.75</v>
      </c>
      <c r="L219" t="inlineStr">
        <is>
          <t>PAID</t>
        </is>
      </c>
      <c r="M219">
        <f>IF(L219="VOIDED",0,1)</f>
        <v>1</v>
      </c>
      <c r="N219" t="n">
        <v>200</v>
      </c>
      <c r="O219" t="inlineStr">
        <is>
          <t>GST on Income</t>
        </is>
      </c>
      <c r="P219" t="inlineStr">
        <is>
          <t>R11</t>
        </is>
      </c>
      <c r="Q219" t="inlineStr">
        <is>
          <t>MAT-RF</t>
        </is>
      </c>
      <c r="R219">
        <f>IF(OR(Q219="CONTEXT",Q219="REVIEW"),"",INDEX('Category Rules'!$D$5:$D$17,MATCH(P219,'Category Rules'!$A$5:$A$17,0)))</f>
        <v>4030</v>
      </c>
      <c r="S219" t="str">
        <f>IF(Q219="CONTEXT","Roofing",IF(Q219="REVIEW","",INDEX('Category Rules'!$E$5:$E$17,MATCH(P219,'Category Rules'!$A$5:$A$17,0))))</f>
        <v>Roofing</v>
      </c>
      <c r="T219" t="str">
        <f>IF(Q219="DEP","BAS Excluded","GST on Income")</f>
        <v>GST on Income</v>
      </c>
      <c r="U219">
        <f>IF(O219=T219,1,0)</f>
        <v>1</v>
      </c>
      <c r="V219" s="9">
        <f>IF(OR(M219=0,U219=1),0,IF(T219="GST on Income",ROUND(K219*0.1,2),ROUND(-K219*0.1,2)))</f>
        <v>0</v>
      </c>
    </row>
    <row r="220">
      <c r="A220" t="inlineStr">
        <is>
          <t>INV-5476-1</t>
        </is>
      </c>
      <c r="B220" t="inlineStr">
        <is>
          <t>INV-5476</t>
        </is>
      </c>
      <c r="C220" s="11" t="n">
        <v>45882</v>
      </c>
      <c r="D220" t="inlineStr">
        <is>
          <t>2025-08</t>
        </is>
      </c>
      <c r="E220" t="inlineStr">
        <is>
          <t>C0021</t>
        </is>
      </c>
      <c r="F220" t="inlineStr">
        <is>
          <t>C0021</t>
        </is>
      </c>
      <c r="G220" t="inlineStr">
        <is>
          <t>Ironbark Building Group</t>
        </is>
      </c>
      <c r="H220" t="inlineStr">
        <is>
          <t>S0312</t>
        </is>
      </c>
      <c r="I220" t="inlineStr">
        <is>
          <t>Make safe call-out</t>
        </is>
      </c>
      <c r="J220" t="n">
        <v>1</v>
      </c>
      <c r="K220" s="9" t="n">
        <v>385</v>
      </c>
      <c r="L220" t="inlineStr">
        <is>
          <t>PAID</t>
        </is>
      </c>
      <c r="M220">
        <f>IF(L220="VOIDED",0,1)</f>
        <v>1</v>
      </c>
      <c r="N220" t="n">
        <v>200</v>
      </c>
      <c r="O220" t="inlineStr">
        <is>
          <t>GST on Income</t>
        </is>
      </c>
      <c r="P220" t="inlineStr">
        <is>
          <t>R09</t>
        </is>
      </c>
      <c r="Q220" t="inlineStr">
        <is>
          <t>MS</t>
        </is>
      </c>
      <c r="R220">
        <f>IF(OR(Q220="CONTEXT",Q220="REVIEW"),"",INDEX('Category Rules'!$D$5:$D$17,MATCH(P220,'Category Rules'!$A$5:$A$17,0)))</f>
        <v>4020</v>
      </c>
      <c r="S220" t="str">
        <f>IF(Q220="CONTEXT","Make-safe",IF(Q220="REVIEW","",INDEX('Category Rules'!$E$5:$E$17,MATCH(P220,'Category Rules'!$A$5:$A$17,0))))</f>
        <v>Make-safe</v>
      </c>
      <c r="T220" t="str">
        <f>IF(Q220="DEP","BAS Excluded","GST on Income")</f>
        <v>GST on Income</v>
      </c>
      <c r="U220">
        <f>IF(O220=T220,1,0)</f>
        <v>1</v>
      </c>
      <c r="V220" s="9">
        <f>IF(OR(M220=0,U220=1),0,IF(T220="GST on Income",ROUND(K220*0.1,2),ROUND(-K220*0.1,2)))</f>
        <v>0</v>
      </c>
    </row>
    <row r="221">
      <c r="A221" t="inlineStr">
        <is>
          <t>INV-5713-1</t>
        </is>
      </c>
      <c r="B221" t="inlineStr">
        <is>
          <t>INV-5713</t>
        </is>
      </c>
      <c r="C221" s="11" t="n">
        <v>45882</v>
      </c>
      <c r="D221" t="inlineStr">
        <is>
          <t>2025-08</t>
        </is>
      </c>
      <c r="E221" t="inlineStr">
        <is>
          <t>C0104</t>
        </is>
      </c>
      <c r="F221" t="inlineStr">
        <is>
          <t>C0104</t>
        </is>
      </c>
      <c r="G221" t="inlineStr">
        <is>
          <t>Oscar Jones</t>
        </is>
      </c>
      <c r="H221" t="inlineStr">
        <is>
          <t>S0441</t>
        </is>
      </c>
      <c r="I221" t="inlineStr">
        <is>
          <t>Make safe call-out</t>
        </is>
      </c>
      <c r="J221" t="n">
        <v>1</v>
      </c>
      <c r="K221" s="9" t="n">
        <v>385</v>
      </c>
      <c r="L221" t="inlineStr">
        <is>
          <t>PAID</t>
        </is>
      </c>
      <c r="M221">
        <f>IF(L221="VOIDED",0,1)</f>
        <v>1</v>
      </c>
      <c r="N221" t="n">
        <v>200</v>
      </c>
      <c r="O221" t="inlineStr">
        <is>
          <t>GST on Income</t>
        </is>
      </c>
      <c r="P221" t="inlineStr">
        <is>
          <t>R09</t>
        </is>
      </c>
      <c r="Q221" t="inlineStr">
        <is>
          <t>MS</t>
        </is>
      </c>
      <c r="R221">
        <f>IF(OR(Q221="CONTEXT",Q221="REVIEW"),"",INDEX('Category Rules'!$D$5:$D$17,MATCH(P221,'Category Rules'!$A$5:$A$17,0)))</f>
        <v>4020</v>
      </c>
      <c r="S221" t="str">
        <f>IF(Q221="CONTEXT","Make-safe",IF(Q221="REVIEW","",INDEX('Category Rules'!$E$5:$E$17,MATCH(P221,'Category Rules'!$A$5:$A$17,0))))</f>
        <v>Make-safe</v>
      </c>
      <c r="T221" t="str">
        <f>IF(Q221="DEP","BAS Excluded","GST on Income")</f>
        <v>GST on Income</v>
      </c>
      <c r="U221">
        <f>IF(O221=T221,1,0)</f>
        <v>1</v>
      </c>
      <c r="V221" s="9">
        <f>IF(OR(M221=0,U221=1),0,IF(T221="GST on Income",ROUND(K221*0.1,2),ROUND(-K221*0.1,2)))</f>
        <v>0</v>
      </c>
    </row>
    <row r="222">
      <c r="A222" t="inlineStr">
        <is>
          <t>INV-5713-2</t>
        </is>
      </c>
      <c r="B222" t="inlineStr">
        <is>
          <t>INV-5713</t>
        </is>
      </c>
      <c r="C222" s="11" t="n">
        <v>45882</v>
      </c>
      <c r="D222" t="inlineStr">
        <is>
          <t>2025-08</t>
        </is>
      </c>
      <c r="E222" t="inlineStr">
        <is>
          <t>C0104</t>
        </is>
      </c>
      <c r="F222" t="inlineStr">
        <is>
          <t>C0104</t>
        </is>
      </c>
      <c r="G222" t="inlineStr">
        <is>
          <t>Oscar Jones</t>
        </is>
      </c>
      <c r="H222" t="inlineStr">
        <is>
          <t>S0441</t>
        </is>
      </c>
      <c r="I222" t="inlineStr">
        <is>
          <t>Tarp supply and install - 2 tarp(s)</t>
        </is>
      </c>
      <c r="J222" t="n">
        <v>2</v>
      </c>
      <c r="K222" s="9" t="n">
        <v>480</v>
      </c>
      <c r="L222" t="inlineStr">
        <is>
          <t>PAID</t>
        </is>
      </c>
      <c r="M222">
        <f>IF(L222="VOIDED",0,1)</f>
        <v>1</v>
      </c>
      <c r="N222" t="n">
        <v>200</v>
      </c>
      <c r="O222" t="inlineStr">
        <is>
          <t>GST on Income</t>
        </is>
      </c>
      <c r="P222" t="inlineStr">
        <is>
          <t>R09</t>
        </is>
      </c>
      <c r="Q222" t="inlineStr">
        <is>
          <t>MS</t>
        </is>
      </c>
      <c r="R222">
        <f>IF(OR(Q222="CONTEXT",Q222="REVIEW"),"",INDEX('Category Rules'!$D$5:$D$17,MATCH(P222,'Category Rules'!$A$5:$A$17,0)))</f>
        <v>4020</v>
      </c>
      <c r="S222" t="str">
        <f>IF(Q222="CONTEXT","Make-safe",IF(Q222="REVIEW","",INDEX('Category Rules'!$E$5:$E$17,MATCH(P222,'Category Rules'!$A$5:$A$17,0))))</f>
        <v>Make-safe</v>
      </c>
      <c r="T222" t="str">
        <f>IF(Q222="DEP","BAS Excluded","GST on Income")</f>
        <v>GST on Income</v>
      </c>
      <c r="U222">
        <f>IF(O222=T222,1,0)</f>
        <v>1</v>
      </c>
      <c r="V222" s="9">
        <f>IF(OR(M222=0,U222=1),0,IF(T222="GST on Income",ROUND(K222*0.1,2),ROUND(-K222*0.1,2)))</f>
        <v>0</v>
      </c>
    </row>
    <row r="223">
      <c r="A223" t="inlineStr">
        <is>
          <t>INV-5760-1</t>
        </is>
      </c>
      <c r="B223" t="inlineStr">
        <is>
          <t>INV-5760</t>
        </is>
      </c>
      <c r="C223" s="11" t="n">
        <v>45882</v>
      </c>
      <c r="D223" t="inlineStr">
        <is>
          <t>2025-08</t>
        </is>
      </c>
      <c r="E223" t="inlineStr">
        <is>
          <t>C0081</t>
        </is>
      </c>
      <c r="F223" t="inlineStr">
        <is>
          <t>C0081</t>
        </is>
      </c>
      <c r="G223" t="inlineStr">
        <is>
          <t>Mia Chen</t>
        </is>
      </c>
      <c r="H223" t="inlineStr">
        <is>
          <t>S0467</t>
        </is>
      </c>
      <c r="I223" t="inlineStr">
        <is>
          <t>Roof repair labour - 12 hrs</t>
        </is>
      </c>
      <c r="J223" t="n">
        <v>12</v>
      </c>
      <c r="K223" s="9" t="n">
        <v>1176</v>
      </c>
      <c r="L223" t="inlineStr">
        <is>
          <t>PAID</t>
        </is>
      </c>
      <c r="M223">
        <f>IF(L223="VOIDED",0,1)</f>
        <v>1</v>
      </c>
      <c r="N223" t="n">
        <v>200</v>
      </c>
      <c r="O223" t="inlineStr">
        <is>
          <t>GST on Income</t>
        </is>
      </c>
      <c r="P223" t="inlineStr">
        <is>
          <t>R10</t>
        </is>
      </c>
      <c r="Q223" t="inlineStr">
        <is>
          <t>LAB-RF</t>
        </is>
      </c>
      <c r="R223">
        <f>IF(OR(Q223="CONTEXT",Q223="REVIEW"),"",INDEX('Category Rules'!$D$5:$D$17,MATCH(P223,'Category Rules'!$A$5:$A$17,0)))</f>
        <v>4020</v>
      </c>
      <c r="S223" t="str">
        <f>IF(Q223="CONTEXT","Roofing",IF(Q223="REVIEW","",INDEX('Category Rules'!$E$5:$E$17,MATCH(P223,'Category Rules'!$A$5:$A$17,0))))</f>
        <v>Roofing</v>
      </c>
      <c r="T223" t="str">
        <f>IF(Q223="DEP","BAS Excluded","GST on Income")</f>
        <v>GST on Income</v>
      </c>
      <c r="U223">
        <f>IF(O223=T223,1,0)</f>
        <v>1</v>
      </c>
      <c r="V223" s="9">
        <f>IF(OR(M223=0,U223=1),0,IF(T223="GST on Income",ROUND(K223*0.1,2),ROUND(-K223*0.1,2)))</f>
        <v>0</v>
      </c>
    </row>
    <row r="224">
      <c r="A224" t="inlineStr">
        <is>
          <t>INV-5760-2</t>
        </is>
      </c>
      <c r="B224" t="inlineStr">
        <is>
          <t>INV-5760</t>
        </is>
      </c>
      <c r="C224" s="11" t="n">
        <v>45882</v>
      </c>
      <c r="D224" t="inlineStr">
        <is>
          <t>2025-08</t>
        </is>
      </c>
      <c r="E224" t="inlineStr">
        <is>
          <t>C0081</t>
        </is>
      </c>
      <c r="F224" t="inlineStr">
        <is>
          <t>C0081</t>
        </is>
      </c>
      <c r="G224" t="inlineStr">
        <is>
          <t>Mia Chen</t>
        </is>
      </c>
      <c r="H224" t="inlineStr">
        <is>
          <t>S0467</t>
        </is>
      </c>
      <c r="I224" t="inlineStr">
        <is>
          <t>Materials - gutter and downpipe</t>
        </is>
      </c>
      <c r="J224" t="n">
        <v>1</v>
      </c>
      <c r="K224" s="9" t="n">
        <v>882.29</v>
      </c>
      <c r="L224" t="inlineStr">
        <is>
          <t>PAID</t>
        </is>
      </c>
      <c r="M224">
        <f>IF(L224="VOIDED",0,1)</f>
        <v>1</v>
      </c>
      <c r="N224" t="n">
        <v>200</v>
      </c>
      <c r="O224" t="inlineStr">
        <is>
          <t>GST on Income</t>
        </is>
      </c>
      <c r="P224" t="inlineStr">
        <is>
          <t>R11</t>
        </is>
      </c>
      <c r="Q224" t="inlineStr">
        <is>
          <t>MAT-RF</t>
        </is>
      </c>
      <c r="R224">
        <f>IF(OR(Q224="CONTEXT",Q224="REVIEW"),"",INDEX('Category Rules'!$D$5:$D$17,MATCH(P224,'Category Rules'!$A$5:$A$17,0)))</f>
        <v>4030</v>
      </c>
      <c r="S224" t="str">
        <f>IF(Q224="CONTEXT","Roofing",IF(Q224="REVIEW","",INDEX('Category Rules'!$E$5:$E$17,MATCH(P224,'Category Rules'!$A$5:$A$17,0))))</f>
        <v>Roofing</v>
      </c>
      <c r="T224" t="str">
        <f>IF(Q224="DEP","BAS Excluded","GST on Income")</f>
        <v>GST on Income</v>
      </c>
      <c r="U224">
        <f>IF(O224=T224,1,0)</f>
        <v>1</v>
      </c>
      <c r="V224" s="9">
        <f>IF(OR(M224=0,U224=1),0,IF(T224="GST on Income",ROUND(K224*0.1,2),ROUND(-K224*0.1,2)))</f>
        <v>0</v>
      </c>
    </row>
    <row r="225">
      <c r="A225" t="inlineStr">
        <is>
          <t>INV-5760-3</t>
        </is>
      </c>
      <c r="B225" t="inlineStr">
        <is>
          <t>INV-5760</t>
        </is>
      </c>
      <c r="C225" s="11" t="n">
        <v>45882</v>
      </c>
      <c r="D225" t="inlineStr">
        <is>
          <t>2025-08</t>
        </is>
      </c>
      <c r="E225" t="inlineStr">
        <is>
          <t>C0081</t>
        </is>
      </c>
      <c r="F225" t="inlineStr">
        <is>
          <t>C0081</t>
        </is>
      </c>
      <c r="G225" t="inlineStr">
        <is>
          <t>Mia Chen</t>
        </is>
      </c>
      <c r="H225" t="inlineStr">
        <is>
          <t>S0467</t>
        </is>
      </c>
      <c r="I225" t="inlineStr">
        <is>
          <t>Materials - sealant and fixings</t>
        </is>
      </c>
      <c r="J225" t="n">
        <v>1</v>
      </c>
      <c r="K225" s="9" t="n">
        <v>1066.19</v>
      </c>
      <c r="L225" t="inlineStr">
        <is>
          <t>PAID</t>
        </is>
      </c>
      <c r="M225">
        <f>IF(L225="VOIDED",0,1)</f>
        <v>1</v>
      </c>
      <c r="N225" t="n">
        <v>200</v>
      </c>
      <c r="O225" t="inlineStr">
        <is>
          <t>GST on Income</t>
        </is>
      </c>
      <c r="P225" t="inlineStr">
        <is>
          <t>R11</t>
        </is>
      </c>
      <c r="Q225" t="inlineStr">
        <is>
          <t>MAT-RF</t>
        </is>
      </c>
      <c r="R225">
        <f>IF(OR(Q225="CONTEXT",Q225="REVIEW"),"",INDEX('Category Rules'!$D$5:$D$17,MATCH(P225,'Category Rules'!$A$5:$A$17,0)))</f>
        <v>4030</v>
      </c>
      <c r="S225" t="str">
        <f>IF(Q225="CONTEXT","Roofing",IF(Q225="REVIEW","",INDEX('Category Rules'!$E$5:$E$17,MATCH(P225,'Category Rules'!$A$5:$A$17,0))))</f>
        <v>Roofing</v>
      </c>
      <c r="T225" t="str">
        <f>IF(Q225="DEP","BAS Excluded","GST on Income")</f>
        <v>GST on Income</v>
      </c>
      <c r="U225">
        <f>IF(O225=T225,1,0)</f>
        <v>1</v>
      </c>
      <c r="V225" s="9">
        <f>IF(OR(M225=0,U225=1),0,IF(T225="GST on Income",ROUND(K225*0.1,2),ROUND(-K225*0.1,2)))</f>
        <v>0</v>
      </c>
    </row>
    <row r="226">
      <c r="A226" t="inlineStr">
        <is>
          <t>INV-5760-4</t>
        </is>
      </c>
      <c r="B226" t="inlineStr">
        <is>
          <t>INV-5760</t>
        </is>
      </c>
      <c r="C226" s="11" t="n">
        <v>45882</v>
      </c>
      <c r="D226" t="inlineStr">
        <is>
          <t>2025-08</t>
        </is>
      </c>
      <c r="E226" t="inlineStr">
        <is>
          <t>C0081</t>
        </is>
      </c>
      <c r="F226" t="inlineStr">
        <is>
          <t>C0081</t>
        </is>
      </c>
      <c r="G226" t="inlineStr">
        <is>
          <t>Mia Chen</t>
        </is>
      </c>
      <c r="H226" t="inlineStr">
        <is>
          <t>S0467</t>
        </is>
      </c>
      <c r="I226" t="inlineStr">
        <is>
          <t>Materials - ridge capping</t>
        </is>
      </c>
      <c r="J226" t="n">
        <v>1</v>
      </c>
      <c r="K226" s="9" t="n">
        <v>256.42</v>
      </c>
      <c r="L226" t="inlineStr">
        <is>
          <t>PAID</t>
        </is>
      </c>
      <c r="M226">
        <f>IF(L226="VOIDED",0,1)</f>
        <v>1</v>
      </c>
      <c r="N226" t="n">
        <v>200</v>
      </c>
      <c r="O226" t="inlineStr">
        <is>
          <t>GST on Income</t>
        </is>
      </c>
      <c r="P226" t="inlineStr">
        <is>
          <t>R11</t>
        </is>
      </c>
      <c r="Q226" t="inlineStr">
        <is>
          <t>MAT-RF</t>
        </is>
      </c>
      <c r="R226">
        <f>IF(OR(Q226="CONTEXT",Q226="REVIEW"),"",INDEX('Category Rules'!$D$5:$D$17,MATCH(P226,'Category Rules'!$A$5:$A$17,0)))</f>
        <v>4030</v>
      </c>
      <c r="S226" t="str">
        <f>IF(Q226="CONTEXT","Roofing",IF(Q226="REVIEW","",INDEX('Category Rules'!$E$5:$E$17,MATCH(P226,'Category Rules'!$A$5:$A$17,0))))</f>
        <v>Roofing</v>
      </c>
      <c r="T226" t="str">
        <f>IF(Q226="DEP","BAS Excluded","GST on Income")</f>
        <v>GST on Income</v>
      </c>
      <c r="U226">
        <f>IF(O226=T226,1,0)</f>
        <v>1</v>
      </c>
      <c r="V226" s="9">
        <f>IF(OR(M226=0,U226=1),0,IF(T226="GST on Income",ROUND(K226*0.1,2),ROUND(-K226*0.1,2)))</f>
        <v>0</v>
      </c>
    </row>
    <row r="227">
      <c r="A227" t="inlineStr">
        <is>
          <t>INV-5760-5</t>
        </is>
      </c>
      <c r="B227" t="inlineStr">
        <is>
          <t>INV-5760</t>
        </is>
      </c>
      <c r="C227" s="11" t="n">
        <v>45882</v>
      </c>
      <c r="D227" t="inlineStr">
        <is>
          <t>2025-08</t>
        </is>
      </c>
      <c r="E227" t="inlineStr">
        <is>
          <t>C0081</t>
        </is>
      </c>
      <c r="F227" t="inlineStr">
        <is>
          <t>C0081</t>
        </is>
      </c>
      <c r="G227" t="inlineStr">
        <is>
          <t>Mia Chen</t>
        </is>
      </c>
      <c r="H227" t="inlineStr">
        <is>
          <t>S0467</t>
        </is>
      </c>
      <c r="I227" t="inlineStr">
        <is>
          <t>Waste removal and tip fees</t>
        </is>
      </c>
      <c r="J227" t="n">
        <v>1</v>
      </c>
      <c r="K227" s="9" t="n">
        <v>120</v>
      </c>
      <c r="L227" t="inlineStr">
        <is>
          <t>PAID</t>
        </is>
      </c>
      <c r="M227">
        <f>IF(L227="VOIDED",0,1)</f>
        <v>1</v>
      </c>
      <c r="N227" t="n">
        <v>200</v>
      </c>
      <c r="O227" t="inlineStr">
        <is>
          <t>GST on Income</t>
        </is>
      </c>
      <c r="P227" t="inlineStr">
        <is>
          <t>R11</t>
        </is>
      </c>
      <c r="Q227" t="inlineStr">
        <is>
          <t>MAT-RF</t>
        </is>
      </c>
      <c r="R227">
        <f>IF(OR(Q227="CONTEXT",Q227="REVIEW"),"",INDEX('Category Rules'!$D$5:$D$17,MATCH(P227,'Category Rules'!$A$5:$A$17,0)))</f>
        <v>4030</v>
      </c>
      <c r="S227" t="str">
        <f>IF(Q227="CONTEXT","Roofing",IF(Q227="REVIEW","",INDEX('Category Rules'!$E$5:$E$17,MATCH(P227,'Category Rules'!$A$5:$A$17,0))))</f>
        <v>Roofing</v>
      </c>
      <c r="T227" t="str">
        <f>IF(Q227="DEP","BAS Excluded","GST on Income")</f>
        <v>GST on Income</v>
      </c>
      <c r="U227">
        <f>IF(O227=T227,1,0)</f>
        <v>1</v>
      </c>
      <c r="V227" s="9">
        <f>IF(OR(M227=0,U227=1),0,IF(T227="GST on Income",ROUND(K227*0.1,2),ROUND(-K227*0.1,2)))</f>
        <v>0</v>
      </c>
    </row>
    <row r="228">
      <c r="A228" t="inlineStr">
        <is>
          <t>INV-4967-1</t>
        </is>
      </c>
      <c r="B228" t="inlineStr">
        <is>
          <t>INV-4967</t>
        </is>
      </c>
      <c r="C228" s="11" t="n">
        <v>45883</v>
      </c>
      <c r="D228" t="inlineStr">
        <is>
          <t>2025-08</t>
        </is>
      </c>
      <c r="E228" t="inlineStr">
        <is>
          <t>C0017</t>
        </is>
      </c>
      <c r="F228" t="inlineStr">
        <is>
          <t>C0017</t>
        </is>
      </c>
      <c r="G228" t="inlineStr">
        <is>
          <t>Cobalt Developments Pty Ltd</t>
        </is>
      </c>
      <c r="H228" t="inlineStr">
        <is>
          <t>S0184</t>
        </is>
      </c>
      <c r="I228" t="inlineStr">
        <is>
          <t>Temporary fence hire 4 wks (17/07/25-13/08/25) - 44 panels</t>
        </is>
      </c>
      <c r="J228" t="n">
        <v>176</v>
      </c>
      <c r="K228" s="9" t="n">
        <v>792</v>
      </c>
      <c r="L228" t="inlineStr">
        <is>
          <t>PAID</t>
        </is>
      </c>
      <c r="M228">
        <f>IF(L228="VOIDED",0,1)</f>
        <v>1</v>
      </c>
      <c r="N228" t="n">
        <v>200</v>
      </c>
      <c r="O228" t="inlineStr">
        <is>
          <t>GST on Income</t>
        </is>
      </c>
      <c r="P228" t="inlineStr">
        <is>
          <t>R03</t>
        </is>
      </c>
      <c r="Q228" t="inlineStr">
        <is>
          <t>HIRE-FP</t>
        </is>
      </c>
      <c r="R228">
        <f>IF(OR(Q228="CONTEXT",Q228="REVIEW"),"",INDEX('Category Rules'!$D$5:$D$17,MATCH(P228,'Category Rules'!$A$5:$A$17,0)))</f>
        <v>4010</v>
      </c>
      <c r="S228" t="str">
        <f>IF(Q228="CONTEXT","Fencing",IF(Q228="REVIEW","",INDEX('Category Rules'!$E$5:$E$17,MATCH(P228,'Category Rules'!$A$5:$A$17,0))))</f>
        <v>Fencing</v>
      </c>
      <c r="T228" t="str">
        <f>IF(Q228="DEP","BAS Excluded","GST on Income")</f>
        <v>GST on Income</v>
      </c>
      <c r="U228">
        <f>IF(O228=T228,1,0)</f>
        <v>1</v>
      </c>
      <c r="V228" s="9">
        <f>IF(OR(M228=0,U228=1),0,IF(T228="GST on Income",ROUND(K228*0.1,2),ROUND(-K228*0.1,2)))</f>
        <v>0</v>
      </c>
    </row>
    <row r="229">
      <c r="A229" t="inlineStr">
        <is>
          <t>INV-5200-1</t>
        </is>
      </c>
      <c r="B229" t="inlineStr">
        <is>
          <t>INV-5200</t>
        </is>
      </c>
      <c r="C229" s="11" t="n">
        <v>45883</v>
      </c>
      <c r="D229" t="inlineStr">
        <is>
          <t>2025-08</t>
        </is>
      </c>
      <c r="E229" t="inlineStr">
        <is>
          <t>C0020</t>
        </is>
      </c>
      <c r="F229" t="inlineStr">
        <is>
          <t>C0020</t>
        </is>
      </c>
      <c r="G229" t="inlineStr">
        <is>
          <t>Eastlink Constructions</t>
        </is>
      </c>
      <c r="H229" t="inlineStr">
        <is>
          <t>S0235</t>
        </is>
      </c>
      <c r="I229" t="inlineStr">
        <is>
          <t>Scaffold erect - 3 tower(s)</t>
        </is>
      </c>
      <c r="J229" t="n">
        <v>3</v>
      </c>
      <c r="K229" s="9" t="n">
        <v>1260</v>
      </c>
      <c r="L229" t="inlineStr">
        <is>
          <t>PAID</t>
        </is>
      </c>
      <c r="M229">
        <f>IF(L229="VOIDED",0,1)</f>
        <v>1</v>
      </c>
      <c r="N229" t="n">
        <v>200</v>
      </c>
      <c r="O229" t="inlineStr">
        <is>
          <t>GST on Income</t>
        </is>
      </c>
      <c r="P229" t="inlineStr">
        <is>
          <t>R08</t>
        </is>
      </c>
      <c r="Q229" t="inlineStr">
        <is>
          <t>LAB-ST</t>
        </is>
      </c>
      <c r="R229">
        <f>IF(OR(Q229="CONTEXT",Q229="REVIEW"),"",INDEX('Category Rules'!$D$5:$D$17,MATCH(P229,'Category Rules'!$A$5:$A$17,0)))</f>
        <v>4020</v>
      </c>
      <c r="S229" t="str">
        <f>IF(Q229="CONTEXT","Scaffolding",IF(Q229="REVIEW","",INDEX('Category Rules'!$E$5:$E$17,MATCH(P229,'Category Rules'!$A$5:$A$17,0))))</f>
        <v>Scaffolding</v>
      </c>
      <c r="T229" t="str">
        <f>IF(Q229="DEP","BAS Excluded","GST on Income")</f>
        <v>GST on Income</v>
      </c>
      <c r="U229">
        <f>IF(O229=T229,1,0)</f>
        <v>1</v>
      </c>
      <c r="V229" s="9">
        <f>IF(OR(M229=0,U229=1),0,IF(T229="GST on Income",ROUND(K229*0.1,2),ROUND(-K229*0.1,2)))</f>
        <v>0</v>
      </c>
    </row>
    <row r="230">
      <c r="A230" t="inlineStr">
        <is>
          <t>INV-5213-1</t>
        </is>
      </c>
      <c r="B230" t="inlineStr">
        <is>
          <t>INV-5213</t>
        </is>
      </c>
      <c r="C230" s="11" t="n">
        <v>45883</v>
      </c>
      <c r="D230" t="inlineStr">
        <is>
          <t>2025-08</t>
        </is>
      </c>
      <c r="E230" t="inlineStr">
        <is>
          <t>C0035</t>
        </is>
      </c>
      <c r="F230" t="inlineStr">
        <is>
          <t>C0035</t>
        </is>
      </c>
      <c r="G230" t="inlineStr">
        <is>
          <t>Bayside Homes Pty Ltd</t>
        </is>
      </c>
      <c r="H230" t="inlineStr">
        <is>
          <t>S0238</t>
        </is>
      </c>
      <c r="I230" t="inlineStr">
        <is>
          <t>Scaffold erect - 1 tower(s)</t>
        </is>
      </c>
      <c r="J230" t="n">
        <v>1</v>
      </c>
      <c r="K230" s="9" t="n">
        <v>420</v>
      </c>
      <c r="L230" t="inlineStr">
        <is>
          <t>PAID</t>
        </is>
      </c>
      <c r="M230">
        <f>IF(L230="VOIDED",0,1)</f>
        <v>1</v>
      </c>
      <c r="N230" t="n">
        <v>200</v>
      </c>
      <c r="O230" t="inlineStr">
        <is>
          <t>GST on Income</t>
        </is>
      </c>
      <c r="P230" t="inlineStr">
        <is>
          <t>R08</t>
        </is>
      </c>
      <c r="Q230" t="inlineStr">
        <is>
          <t>LAB-ST</t>
        </is>
      </c>
      <c r="R230">
        <f>IF(OR(Q230="CONTEXT",Q230="REVIEW"),"",INDEX('Category Rules'!$D$5:$D$17,MATCH(P230,'Category Rules'!$A$5:$A$17,0)))</f>
        <v>4020</v>
      </c>
      <c r="S230" t="str">
        <f>IF(Q230="CONTEXT","Scaffolding",IF(Q230="REVIEW","",INDEX('Category Rules'!$E$5:$E$17,MATCH(P230,'Category Rules'!$A$5:$A$17,0))))</f>
        <v>Scaffolding</v>
      </c>
      <c r="T230" t="str">
        <f>IF(Q230="DEP","BAS Excluded","GST on Income")</f>
        <v>GST on Income</v>
      </c>
      <c r="U230">
        <f>IF(O230=T230,1,0)</f>
        <v>1</v>
      </c>
      <c r="V230" s="9">
        <f>IF(OR(M230=0,U230=1),0,IF(T230="GST on Income",ROUND(K230*0.1,2),ROUND(-K230*0.1,2)))</f>
        <v>0</v>
      </c>
    </row>
    <row r="231">
      <c r="A231" t="inlineStr">
        <is>
          <t>INV-5726-1</t>
        </is>
      </c>
      <c r="B231" t="inlineStr">
        <is>
          <t>INV-5726</t>
        </is>
      </c>
      <c r="C231" s="11" t="n">
        <v>45883</v>
      </c>
      <c r="D231" t="inlineStr">
        <is>
          <t>2025-08</t>
        </is>
      </c>
      <c r="E231" t="inlineStr">
        <is>
          <t>C0063</t>
        </is>
      </c>
      <c r="F231" t="inlineStr">
        <is>
          <t>C0063</t>
        </is>
      </c>
      <c r="G231" t="inlineStr">
        <is>
          <t>Highpoint Insurance Repairs Pty Ltd</t>
        </is>
      </c>
      <c r="H231" t="inlineStr">
        <is>
          <t>S0448</t>
        </is>
      </c>
      <c r="I231" t="inlineStr">
        <is>
          <t>Make safe call-out</t>
        </is>
      </c>
      <c r="J231" t="n">
        <v>1</v>
      </c>
      <c r="K231" s="9" t="n">
        <v>385</v>
      </c>
      <c r="L231" t="inlineStr">
        <is>
          <t>PAID</t>
        </is>
      </c>
      <c r="M231">
        <f>IF(L231="VOIDED",0,1)</f>
        <v>1</v>
      </c>
      <c r="N231" t="n">
        <v>200</v>
      </c>
      <c r="O231" t="inlineStr">
        <is>
          <t>GST on Income</t>
        </is>
      </c>
      <c r="P231" t="inlineStr">
        <is>
          <t>R09</t>
        </is>
      </c>
      <c r="Q231" t="inlineStr">
        <is>
          <t>MS</t>
        </is>
      </c>
      <c r="R231">
        <f>IF(OR(Q231="CONTEXT",Q231="REVIEW"),"",INDEX('Category Rules'!$D$5:$D$17,MATCH(P231,'Category Rules'!$A$5:$A$17,0)))</f>
        <v>4020</v>
      </c>
      <c r="S231" t="str">
        <f>IF(Q231="CONTEXT","Make-safe",IF(Q231="REVIEW","",INDEX('Category Rules'!$E$5:$E$17,MATCH(P231,'Category Rules'!$A$5:$A$17,0))))</f>
        <v>Make-safe</v>
      </c>
      <c r="T231" t="str">
        <f>IF(Q231="DEP","BAS Excluded","GST on Income")</f>
        <v>GST on Income</v>
      </c>
      <c r="U231">
        <f>IF(O231=T231,1,0)</f>
        <v>1</v>
      </c>
      <c r="V231" s="9">
        <f>IF(OR(M231=0,U231=1),0,IF(T231="GST on Income",ROUND(K231*0.1,2),ROUND(-K231*0.1,2)))</f>
        <v>0</v>
      </c>
    </row>
    <row r="232">
      <c r="A232" t="inlineStr">
        <is>
          <t>INV-5726-2</t>
        </is>
      </c>
      <c r="B232" t="inlineStr">
        <is>
          <t>INV-5726</t>
        </is>
      </c>
      <c r="C232" s="11" t="n">
        <v>45883</v>
      </c>
      <c r="D232" t="inlineStr">
        <is>
          <t>2025-08</t>
        </is>
      </c>
      <c r="E232" t="inlineStr">
        <is>
          <t>C0063</t>
        </is>
      </c>
      <c r="F232" t="inlineStr">
        <is>
          <t>C0063</t>
        </is>
      </c>
      <c r="G232" t="inlineStr">
        <is>
          <t>Highpoint Insurance Repairs Pty Ltd</t>
        </is>
      </c>
      <c r="H232" t="inlineStr">
        <is>
          <t>S0448</t>
        </is>
      </c>
      <c r="I232" t="inlineStr">
        <is>
          <t>Tarp supply and install - 3 tarp(s)</t>
        </is>
      </c>
      <c r="J232" t="n">
        <v>3</v>
      </c>
      <c r="K232" s="9" t="n">
        <v>720</v>
      </c>
      <c r="L232" t="inlineStr">
        <is>
          <t>PAID</t>
        </is>
      </c>
      <c r="M232">
        <f>IF(L232="VOIDED",0,1)</f>
        <v>1</v>
      </c>
      <c r="N232" t="n">
        <v>200</v>
      </c>
      <c r="O232" t="inlineStr">
        <is>
          <t>GST on Income</t>
        </is>
      </c>
      <c r="P232" t="inlineStr">
        <is>
          <t>R09</t>
        </is>
      </c>
      <c r="Q232" t="inlineStr">
        <is>
          <t>MS</t>
        </is>
      </c>
      <c r="R232">
        <f>IF(OR(Q232="CONTEXT",Q232="REVIEW"),"",INDEX('Category Rules'!$D$5:$D$17,MATCH(P232,'Category Rules'!$A$5:$A$17,0)))</f>
        <v>4020</v>
      </c>
      <c r="S232" t="str">
        <f>IF(Q232="CONTEXT","Make-safe",IF(Q232="REVIEW","",INDEX('Category Rules'!$E$5:$E$17,MATCH(P232,'Category Rules'!$A$5:$A$17,0))))</f>
        <v>Make-safe</v>
      </c>
      <c r="T232" t="str">
        <f>IF(Q232="DEP","BAS Excluded","GST on Income")</f>
        <v>GST on Income</v>
      </c>
      <c r="U232">
        <f>IF(O232=T232,1,0)</f>
        <v>1</v>
      </c>
      <c r="V232" s="9">
        <f>IF(OR(M232=0,U232=1),0,IF(T232="GST on Income",ROUND(K232*0.1,2),ROUND(-K232*0.1,2)))</f>
        <v>0</v>
      </c>
    </row>
    <row r="233">
      <c r="A233" t="inlineStr">
        <is>
          <t>INV-5761-1</t>
        </is>
      </c>
      <c r="B233" t="inlineStr">
        <is>
          <t>INV-5761</t>
        </is>
      </c>
      <c r="C233" s="11" t="n">
        <v>45884</v>
      </c>
      <c r="D233" t="inlineStr">
        <is>
          <t>2025-08</t>
        </is>
      </c>
      <c r="E233" t="inlineStr">
        <is>
          <t>C0050</t>
        </is>
      </c>
      <c r="F233" t="inlineStr">
        <is>
          <t>C0050</t>
        </is>
      </c>
      <c r="G233" t="inlineStr">
        <is>
          <t>Southbank Body Corporate Pty Ltd</t>
        </is>
      </c>
      <c r="H233" t="inlineStr">
        <is>
          <t>S0468</t>
        </is>
      </c>
      <c r="I233" t="inlineStr">
        <is>
          <t>Tarp kit hire 4 wks (18/07/25-14/08/25) - 1 kits</t>
        </is>
      </c>
      <c r="J233" t="n">
        <v>4</v>
      </c>
      <c r="K233" s="9" t="n">
        <v>140</v>
      </c>
      <c r="L233" t="inlineStr">
        <is>
          <t>PAID</t>
        </is>
      </c>
      <c r="M233">
        <f>IF(L233="VOIDED",0,1)</f>
        <v>1</v>
      </c>
      <c r="N233" t="n">
        <v>200</v>
      </c>
      <c r="O233" t="inlineStr">
        <is>
          <t>GST on Income</t>
        </is>
      </c>
      <c r="P233" t="inlineStr">
        <is>
          <t>R06</t>
        </is>
      </c>
      <c r="Q233" t="inlineStr">
        <is>
          <t>HIRE-TK</t>
        </is>
      </c>
      <c r="R233">
        <f>IF(OR(Q233="CONTEXT",Q233="REVIEW"),"",INDEX('Category Rules'!$D$5:$D$17,MATCH(P233,'Category Rules'!$A$5:$A$17,0)))</f>
        <v>4010</v>
      </c>
      <c r="S233" t="str">
        <f>IF(Q233="CONTEXT","Make-safe",IF(Q233="REVIEW","",INDEX('Category Rules'!$E$5:$E$17,MATCH(P233,'Category Rules'!$A$5:$A$17,0))))</f>
        <v>Make-safe</v>
      </c>
      <c r="T233" t="str">
        <f>IF(Q233="DEP","BAS Excluded","GST on Income")</f>
        <v>GST on Income</v>
      </c>
      <c r="U233">
        <f>IF(O233=T233,1,0)</f>
        <v>1</v>
      </c>
      <c r="V233" s="9">
        <f>IF(OR(M233=0,U233=1),0,IF(T233="GST on Income",ROUND(K233*0.1,2),ROUND(-K233*0.1,2)))</f>
        <v>0</v>
      </c>
    </row>
    <row r="234">
      <c r="A234" t="inlineStr">
        <is>
          <t>INV-5856-1</t>
        </is>
      </c>
      <c r="B234" t="inlineStr">
        <is>
          <t>INV-5856</t>
        </is>
      </c>
      <c r="C234" s="11" t="n">
        <v>45884</v>
      </c>
      <c r="D234" t="inlineStr">
        <is>
          <t>2025-08</t>
        </is>
      </c>
      <c r="E234" t="inlineStr">
        <is>
          <t>C0059</t>
        </is>
      </c>
      <c r="F234" t="inlineStr">
        <is>
          <t>C0059</t>
        </is>
      </c>
      <c r="G234" t="inlineStr">
        <is>
          <t>Silverleaf Insurance Repairs Pty Ltd</t>
        </is>
      </c>
      <c r="H234" t="inlineStr">
        <is>
          <t>S0523</t>
        </is>
      </c>
      <c r="I234" t="inlineStr">
        <is>
          <t>Roof repair labour - 6 hrs</t>
        </is>
      </c>
      <c r="J234" t="n">
        <v>6</v>
      </c>
      <c r="K234" s="9" t="n">
        <v>588</v>
      </c>
      <c r="L234" t="inlineStr">
        <is>
          <t>PAID</t>
        </is>
      </c>
      <c r="M234">
        <f>IF(L234="VOIDED",0,1)</f>
        <v>1</v>
      </c>
      <c r="N234" t="n">
        <v>260</v>
      </c>
      <c r="O234" t="inlineStr">
        <is>
          <t>GST on Income</t>
        </is>
      </c>
      <c r="P234" t="inlineStr">
        <is>
          <t>R10</t>
        </is>
      </c>
      <c r="Q234" t="inlineStr">
        <is>
          <t>LAB-RF</t>
        </is>
      </c>
      <c r="R234">
        <f>IF(OR(Q234="CONTEXT",Q234="REVIEW"),"",INDEX('Category Rules'!$D$5:$D$17,MATCH(P234,'Category Rules'!$A$5:$A$17,0)))</f>
        <v>4020</v>
      </c>
      <c r="S234" t="str">
        <f>IF(Q234="CONTEXT","Roofing",IF(Q234="REVIEW","",INDEX('Category Rules'!$E$5:$E$17,MATCH(P234,'Category Rules'!$A$5:$A$17,0))))</f>
        <v>Roofing</v>
      </c>
      <c r="T234" t="str">
        <f>IF(Q234="DEP","BAS Excluded","GST on Income")</f>
        <v>GST on Income</v>
      </c>
      <c r="U234">
        <f>IF(O234=T234,1,0)</f>
        <v>1</v>
      </c>
      <c r="V234" s="9">
        <f>IF(OR(M234=0,U234=1),0,IF(T234="GST on Income",ROUND(K234*0.1,2),ROUND(-K234*0.1,2)))</f>
        <v>0</v>
      </c>
    </row>
    <row r="235">
      <c r="A235" t="inlineStr">
        <is>
          <t>INV-5856-2</t>
        </is>
      </c>
      <c r="B235" t="inlineStr">
        <is>
          <t>INV-5856</t>
        </is>
      </c>
      <c r="C235" s="11" t="n">
        <v>45884</v>
      </c>
      <c r="D235" t="inlineStr">
        <is>
          <t>2025-08</t>
        </is>
      </c>
      <c r="E235" t="inlineStr">
        <is>
          <t>C0059</t>
        </is>
      </c>
      <c r="F235" t="inlineStr">
        <is>
          <t>C0059</t>
        </is>
      </c>
      <c r="G235" t="inlineStr">
        <is>
          <t>Silverleaf Insurance Repairs Pty Ltd</t>
        </is>
      </c>
      <c r="H235" t="inlineStr">
        <is>
          <t>S0523</t>
        </is>
      </c>
      <c r="I235" t="inlineStr">
        <is>
          <t>Materials - gutter and downpipe</t>
        </is>
      </c>
      <c r="J235" t="n">
        <v>1</v>
      </c>
      <c r="K235" s="9" t="n">
        <v>1030.43</v>
      </c>
      <c r="L235" t="inlineStr">
        <is>
          <t>PAID</t>
        </is>
      </c>
      <c r="M235">
        <f>IF(L235="VOIDED",0,1)</f>
        <v>1</v>
      </c>
      <c r="N235" t="n">
        <v>200</v>
      </c>
      <c r="O235" t="inlineStr">
        <is>
          <t>GST on Income</t>
        </is>
      </c>
      <c r="P235" t="inlineStr">
        <is>
          <t>R11</t>
        </is>
      </c>
      <c r="Q235" t="inlineStr">
        <is>
          <t>MAT-RF</t>
        </is>
      </c>
      <c r="R235">
        <f>IF(OR(Q235="CONTEXT",Q235="REVIEW"),"",INDEX('Category Rules'!$D$5:$D$17,MATCH(P235,'Category Rules'!$A$5:$A$17,0)))</f>
        <v>4030</v>
      </c>
      <c r="S235" t="str">
        <f>IF(Q235="CONTEXT","Roofing",IF(Q235="REVIEW","",INDEX('Category Rules'!$E$5:$E$17,MATCH(P235,'Category Rules'!$A$5:$A$17,0))))</f>
        <v>Roofing</v>
      </c>
      <c r="T235" t="str">
        <f>IF(Q235="DEP","BAS Excluded","GST on Income")</f>
        <v>GST on Income</v>
      </c>
      <c r="U235">
        <f>IF(O235=T235,1,0)</f>
        <v>1</v>
      </c>
      <c r="V235" s="9">
        <f>IF(OR(M235=0,U235=1),0,IF(T235="GST on Income",ROUND(K235*0.1,2),ROUND(-K235*0.1,2)))</f>
        <v>0</v>
      </c>
    </row>
    <row r="236">
      <c r="A236" t="inlineStr">
        <is>
          <t>INV-5911-1</t>
        </is>
      </c>
      <c r="B236" t="inlineStr">
        <is>
          <t>INV-5911</t>
        </is>
      </c>
      <c r="C236" s="11" t="n">
        <v>45884</v>
      </c>
      <c r="D236" t="inlineStr">
        <is>
          <t>2025-08</t>
        </is>
      </c>
      <c r="E236" t="inlineStr">
        <is>
          <t>C0080</t>
        </is>
      </c>
      <c r="F236" t="inlineStr">
        <is>
          <t>C0080</t>
        </is>
      </c>
      <c r="G236" t="inlineStr">
        <is>
          <t>Ember Productions Pty Ltd</t>
        </is>
      </c>
      <c r="H236" t="inlineStr"/>
      <c r="I236" t="inlineStr">
        <is>
          <t>Misc charges</t>
        </is>
      </c>
      <c r="J236" t="n">
        <v>1</v>
      </c>
      <c r="K236" s="9" t="n">
        <v>2475.85</v>
      </c>
      <c r="L236" t="inlineStr">
        <is>
          <t>PAID</t>
        </is>
      </c>
      <c r="M236">
        <f>IF(L236="VOIDED",0,1)</f>
        <v>1</v>
      </c>
      <c r="N236" t="n">
        <v>200</v>
      </c>
      <c r="O236" t="inlineStr">
        <is>
          <t>GST on Income</t>
        </is>
      </c>
      <c r="P236" t="inlineStr">
        <is>
          <t>--</t>
        </is>
      </c>
      <c r="Q236" t="inlineStr">
        <is>
          <t>REVIEW</t>
        </is>
      </c>
      <c r="R236">
        <f>IF(OR(Q236="CONTEXT",Q236="REVIEW"),"",INDEX('Category Rules'!$D$5:$D$17,MATCH(P236,'Category Rules'!$A$5:$A$17,0)))</f>
      </c>
      <c r="S236">
        <f>IF(Q236="CONTEXT","",IF(Q236="REVIEW","",INDEX('Category Rules'!$E$5:$E$17,MATCH(P236,'Category Rules'!$A$5:$A$17,0))))</f>
      </c>
      <c r="T236" t="str">
        <f>IF(Q236="DEP","BAS Excluded","GST on Income")</f>
        <v>GST on Income</v>
      </c>
      <c r="U236">
        <f>IF(O236=T236,1,0)</f>
        <v>1</v>
      </c>
      <c r="V236" s="9">
        <f>IF(OR(M236=0,U236=1),0,IF(T236="GST on Income",ROUND(K236*0.1,2),ROUND(-K236*0.1,2)))</f>
        <v>0</v>
      </c>
    </row>
    <row r="237">
      <c r="A237" t="inlineStr">
        <is>
          <t>INV-4438-1</t>
        </is>
      </c>
      <c r="B237" t="inlineStr">
        <is>
          <t>INV-4438</t>
        </is>
      </c>
      <c r="C237" s="11" t="n">
        <v>45885</v>
      </c>
      <c r="D237" t="inlineStr">
        <is>
          <t>2025-08</t>
        </is>
      </c>
      <c r="E237" t="inlineStr">
        <is>
          <t>C0022</t>
        </is>
      </c>
      <c r="F237" t="inlineStr">
        <is>
          <t>C0022</t>
        </is>
      </c>
      <c r="G237" t="inlineStr">
        <is>
          <t>Highpoint Projects</t>
        </is>
      </c>
      <c r="H237" t="inlineStr">
        <is>
          <t>S0067</t>
        </is>
      </c>
      <c r="I237" t="inlineStr">
        <is>
          <t>Temporary fence hire 4 wks (20/07/25-15/08/25) - 136 panels</t>
        </is>
      </c>
      <c r="J237" t="n">
        <v>544</v>
      </c>
      <c r="K237" s="9" t="n">
        <v>2448</v>
      </c>
      <c r="L237" t="inlineStr">
        <is>
          <t>PAID</t>
        </is>
      </c>
      <c r="M237">
        <f>IF(L237="VOIDED",0,1)</f>
        <v>1</v>
      </c>
      <c r="N237" t="n">
        <v>200</v>
      </c>
      <c r="O237" t="inlineStr">
        <is>
          <t>GST on Income</t>
        </is>
      </c>
      <c r="P237" t="inlineStr">
        <is>
          <t>R03</t>
        </is>
      </c>
      <c r="Q237" t="inlineStr">
        <is>
          <t>HIRE-FP</t>
        </is>
      </c>
      <c r="R237">
        <f>IF(OR(Q237="CONTEXT",Q237="REVIEW"),"",INDEX('Category Rules'!$D$5:$D$17,MATCH(P237,'Category Rules'!$A$5:$A$17,0)))</f>
        <v>4010</v>
      </c>
      <c r="S237" t="str">
        <f>IF(Q237="CONTEXT","Fencing",IF(Q237="REVIEW","",INDEX('Category Rules'!$E$5:$E$17,MATCH(P237,'Category Rules'!$A$5:$A$17,0))))</f>
        <v>Fencing</v>
      </c>
      <c r="T237" t="str">
        <f>IF(Q237="DEP","BAS Excluded","GST on Income")</f>
        <v>GST on Income</v>
      </c>
      <c r="U237">
        <f>IF(O237=T237,1,0)</f>
        <v>1</v>
      </c>
      <c r="V237" s="9">
        <f>IF(OR(M237=0,U237=1),0,IF(T237="GST on Income",ROUND(K237*0.1,2),ROUND(-K237*0.1,2)))</f>
        <v>0</v>
      </c>
    </row>
    <row r="238">
      <c r="A238" t="inlineStr">
        <is>
          <t>INV-4440-1</t>
        </is>
      </c>
      <c r="B238" t="inlineStr">
        <is>
          <t>INV-4440</t>
        </is>
      </c>
      <c r="C238" s="11" t="n">
        <v>45885</v>
      </c>
      <c r="D238" t="inlineStr">
        <is>
          <t>2025-08</t>
        </is>
      </c>
      <c r="E238" t="inlineStr">
        <is>
          <t>C0022</t>
        </is>
      </c>
      <c r="F238" t="inlineStr">
        <is>
          <t>C0022</t>
        </is>
      </c>
      <c r="G238" t="inlineStr">
        <is>
          <t>Highpoint Projects</t>
        </is>
      </c>
      <c r="H238" t="inlineStr">
        <is>
          <t>S0067</t>
        </is>
      </c>
      <c r="I238" t="inlineStr">
        <is>
          <t>Collection and dismantle - temporary fencing</t>
        </is>
      </c>
      <c r="J238" t="n">
        <v>1</v>
      </c>
      <c r="K238" s="9" t="n">
        <v>165</v>
      </c>
      <c r="L238" t="inlineStr">
        <is>
          <t>PAID</t>
        </is>
      </c>
      <c r="M238">
        <f>IF(L238="VOIDED",0,1)</f>
        <v>1</v>
      </c>
      <c r="N238" t="n">
        <v>200</v>
      </c>
      <c r="O238" t="inlineStr">
        <is>
          <t>GST on Income</t>
        </is>
      </c>
      <c r="P238" t="inlineStr">
        <is>
          <t>R07</t>
        </is>
      </c>
      <c r="Q238" t="inlineStr">
        <is>
          <t>DEL-FP</t>
        </is>
      </c>
      <c r="R238">
        <f>IF(OR(Q238="CONTEXT",Q238="REVIEW"),"",INDEX('Category Rules'!$D$5:$D$17,MATCH(P238,'Category Rules'!$A$5:$A$17,0)))</f>
        <v>4020</v>
      </c>
      <c r="S238" t="str">
        <f>IF(Q238="CONTEXT","Fencing",IF(Q238="REVIEW","",INDEX('Category Rules'!$E$5:$E$17,MATCH(P238,'Category Rules'!$A$5:$A$17,0))))</f>
        <v>Fencing</v>
      </c>
      <c r="T238" t="str">
        <f>IF(Q238="DEP","BAS Excluded","GST on Income")</f>
        <v>GST on Income</v>
      </c>
      <c r="U238">
        <f>IF(O238=T238,1,0)</f>
        <v>1</v>
      </c>
      <c r="V238" s="9">
        <f>IF(OR(M238=0,U238=1),0,IF(T238="GST on Income",ROUND(K238*0.1,2),ROUND(-K238*0.1,2)))</f>
        <v>0</v>
      </c>
    </row>
    <row r="239">
      <c r="A239" t="inlineStr">
        <is>
          <t>INV-4581-1</t>
        </is>
      </c>
      <c r="B239" t="inlineStr">
        <is>
          <t>INV-4581</t>
        </is>
      </c>
      <c r="C239" s="11" t="n">
        <v>45885</v>
      </c>
      <c r="D239" t="inlineStr">
        <is>
          <t>2025-08</t>
        </is>
      </c>
      <c r="E239" t="inlineStr">
        <is>
          <t>C0121</t>
        </is>
      </c>
      <c r="F239" t="inlineStr">
        <is>
          <t>C0121</t>
        </is>
      </c>
      <c r="G239" t="inlineStr">
        <is>
          <t>Bluegum Constructions</t>
        </is>
      </c>
      <c r="H239" t="inlineStr">
        <is>
          <t>S0097</t>
        </is>
      </c>
      <c r="I239" t="inlineStr">
        <is>
          <t>Temporary fence hire 4 wks (19/07/25-15/08/25) - 88 panels</t>
        </is>
      </c>
      <c r="J239" t="n">
        <v>352</v>
      </c>
      <c r="K239" s="9" t="n">
        <v>1584</v>
      </c>
      <c r="L239" t="inlineStr">
        <is>
          <t>PAID</t>
        </is>
      </c>
      <c r="M239">
        <f>IF(L239="VOIDED",0,1)</f>
        <v>1</v>
      </c>
      <c r="N239" t="n">
        <v>200</v>
      </c>
      <c r="O239" t="inlineStr">
        <is>
          <t>GST on Income</t>
        </is>
      </c>
      <c r="P239" t="inlineStr">
        <is>
          <t>R03</t>
        </is>
      </c>
      <c r="Q239" t="inlineStr">
        <is>
          <t>HIRE-FP</t>
        </is>
      </c>
      <c r="R239">
        <f>IF(OR(Q239="CONTEXT",Q239="REVIEW"),"",INDEX('Category Rules'!$D$5:$D$17,MATCH(P239,'Category Rules'!$A$5:$A$17,0)))</f>
        <v>4010</v>
      </c>
      <c r="S239" t="str">
        <f>IF(Q239="CONTEXT","Fencing",IF(Q239="REVIEW","",INDEX('Category Rules'!$E$5:$E$17,MATCH(P239,'Category Rules'!$A$5:$A$17,0))))</f>
        <v>Fencing</v>
      </c>
      <c r="T239" t="str">
        <f>IF(Q239="DEP","BAS Excluded","GST on Income")</f>
        <v>GST on Income</v>
      </c>
      <c r="U239">
        <f>IF(O239=T239,1,0)</f>
        <v>1</v>
      </c>
      <c r="V239" s="9">
        <f>IF(OR(M239=0,U239=1),0,IF(T239="GST on Income",ROUND(K239*0.1,2),ROUND(-K239*0.1,2)))</f>
        <v>0</v>
      </c>
    </row>
    <row r="240">
      <c r="A240" t="inlineStr">
        <is>
          <t>INV-4583-1</t>
        </is>
      </c>
      <c r="B240" t="inlineStr">
        <is>
          <t>INV-4583</t>
        </is>
      </c>
      <c r="C240" s="11" t="n">
        <v>45885</v>
      </c>
      <c r="D240" t="inlineStr">
        <is>
          <t>2025-08</t>
        </is>
      </c>
      <c r="E240" t="inlineStr">
        <is>
          <t>C0121</t>
        </is>
      </c>
      <c r="F240" t="inlineStr">
        <is>
          <t>C0121</t>
        </is>
      </c>
      <c r="G240" t="inlineStr">
        <is>
          <t>Bluegum Constructions</t>
        </is>
      </c>
      <c r="H240" t="inlineStr">
        <is>
          <t>S0097</t>
        </is>
      </c>
      <c r="I240" t="inlineStr">
        <is>
          <t>Pedestrian barrier hire 4 wks (19/07/25-15/08/25) - 20 barriers</t>
        </is>
      </c>
      <c r="J240" t="n">
        <v>80</v>
      </c>
      <c r="K240" s="9" t="n">
        <v>256</v>
      </c>
      <c r="L240" t="inlineStr">
        <is>
          <t>PAID</t>
        </is>
      </c>
      <c r="M240">
        <f>IF(L240="VOIDED",0,1)</f>
        <v>1</v>
      </c>
      <c r="N240" t="n">
        <v>200</v>
      </c>
      <c r="O240" t="inlineStr">
        <is>
          <t>GST on Income</t>
        </is>
      </c>
      <c r="P240" t="inlineStr">
        <is>
          <t>R04</t>
        </is>
      </c>
      <c r="Q240" t="inlineStr">
        <is>
          <t>HIRE-BR</t>
        </is>
      </c>
      <c r="R240">
        <f>IF(OR(Q240="CONTEXT",Q240="REVIEW"),"",INDEX('Category Rules'!$D$5:$D$17,MATCH(P240,'Category Rules'!$A$5:$A$17,0)))</f>
        <v>4010</v>
      </c>
      <c r="S240" t="str">
        <f>IF(Q240="CONTEXT","Fencing",IF(Q240="REVIEW","",INDEX('Category Rules'!$E$5:$E$17,MATCH(P240,'Category Rules'!$A$5:$A$17,0))))</f>
        <v>Fencing</v>
      </c>
      <c r="T240" t="str">
        <f>IF(Q240="DEP","BAS Excluded","GST on Income")</f>
        <v>GST on Income</v>
      </c>
      <c r="U240">
        <f>IF(O240=T240,1,0)</f>
        <v>1</v>
      </c>
      <c r="V240" s="9">
        <f>IF(OR(M240=0,U240=1),0,IF(T240="GST on Income",ROUND(K240*0.1,2),ROUND(-K240*0.1,2)))</f>
        <v>0</v>
      </c>
    </row>
    <row r="241">
      <c r="A241" t="inlineStr">
        <is>
          <t>INV-5547-1</t>
        </is>
      </c>
      <c r="B241" t="inlineStr">
        <is>
          <t>INV-5547</t>
        </is>
      </c>
      <c r="C241" s="11" t="n">
        <v>45885</v>
      </c>
      <c r="D241" t="inlineStr">
        <is>
          <t>2025-08</t>
        </is>
      </c>
      <c r="E241" t="inlineStr">
        <is>
          <t>C0048</t>
        </is>
      </c>
      <c r="F241" t="inlineStr">
        <is>
          <t>C0048</t>
        </is>
      </c>
      <c r="G241" t="inlineStr">
        <is>
          <t>Banksia Strata Management</t>
        </is>
      </c>
      <c r="H241" t="inlineStr">
        <is>
          <t>S0347</t>
        </is>
      </c>
      <c r="I241" t="inlineStr">
        <is>
          <t>Tarp kit hire 3 wks (01/08/25-15/08/25) - 1 kits</t>
        </is>
      </c>
      <c r="J241" t="n">
        <v>3</v>
      </c>
      <c r="K241" s="9" t="n">
        <v>105</v>
      </c>
      <c r="L241" t="inlineStr">
        <is>
          <t>PAID</t>
        </is>
      </c>
      <c r="M241">
        <f>IF(L241="VOIDED",0,1)</f>
        <v>1</v>
      </c>
      <c r="N241" t="n">
        <v>200</v>
      </c>
      <c r="O241" t="inlineStr">
        <is>
          <t>GST on Income</t>
        </is>
      </c>
      <c r="P241" t="inlineStr">
        <is>
          <t>R06</t>
        </is>
      </c>
      <c r="Q241" t="inlineStr">
        <is>
          <t>HIRE-TK</t>
        </is>
      </c>
      <c r="R241">
        <f>IF(OR(Q241="CONTEXT",Q241="REVIEW"),"",INDEX('Category Rules'!$D$5:$D$17,MATCH(P241,'Category Rules'!$A$5:$A$17,0)))</f>
        <v>4010</v>
      </c>
      <c r="S241" t="str">
        <f>IF(Q241="CONTEXT","Make-safe",IF(Q241="REVIEW","",INDEX('Category Rules'!$E$5:$E$17,MATCH(P241,'Category Rules'!$A$5:$A$17,0))))</f>
        <v>Make-safe</v>
      </c>
      <c r="T241" t="str">
        <f>IF(Q241="DEP","BAS Excluded","GST on Income")</f>
        <v>GST on Income</v>
      </c>
      <c r="U241">
        <f>IF(O241=T241,1,0)</f>
        <v>1</v>
      </c>
      <c r="V241" s="9">
        <f>IF(OR(M241=0,U241=1),0,IF(T241="GST on Income",ROUND(K241*0.1,2),ROUND(-K241*0.1,2)))</f>
        <v>0</v>
      </c>
    </row>
    <row r="242">
      <c r="A242" t="inlineStr">
        <is>
          <t>INV-5570-1</t>
        </is>
      </c>
      <c r="B242" t="inlineStr">
        <is>
          <t>INV-5570</t>
        </is>
      </c>
      <c r="C242" s="11" t="n">
        <v>45885</v>
      </c>
      <c r="D242" t="inlineStr">
        <is>
          <t>2025-08</t>
        </is>
      </c>
      <c r="E242" t="inlineStr">
        <is>
          <t>C0118</t>
        </is>
      </c>
      <c r="F242" t="inlineStr">
        <is>
          <t>C0118</t>
        </is>
      </c>
      <c r="G242" t="inlineStr">
        <is>
          <t>Sofia Singh</t>
        </is>
      </c>
      <c r="H242" t="inlineStr">
        <is>
          <t>S0363</t>
        </is>
      </c>
      <c r="I242" t="inlineStr">
        <is>
          <t>Make safe call-out</t>
        </is>
      </c>
      <c r="J242" t="n">
        <v>1</v>
      </c>
      <c r="K242" s="9" t="n">
        <v>385</v>
      </c>
      <c r="L242" t="inlineStr">
        <is>
          <t>PAID</t>
        </is>
      </c>
      <c r="M242">
        <f>IF(L242="VOIDED",0,1)</f>
        <v>1</v>
      </c>
      <c r="N242" t="n">
        <v>200</v>
      </c>
      <c r="O242" t="inlineStr">
        <is>
          <t>GST on Income</t>
        </is>
      </c>
      <c r="P242" t="inlineStr">
        <is>
          <t>R09</t>
        </is>
      </c>
      <c r="Q242" t="inlineStr">
        <is>
          <t>MS</t>
        </is>
      </c>
      <c r="R242">
        <f>IF(OR(Q242="CONTEXT",Q242="REVIEW"),"",INDEX('Category Rules'!$D$5:$D$17,MATCH(P242,'Category Rules'!$A$5:$A$17,0)))</f>
        <v>4020</v>
      </c>
      <c r="S242" t="str">
        <f>IF(Q242="CONTEXT","Make-safe",IF(Q242="REVIEW","",INDEX('Category Rules'!$E$5:$E$17,MATCH(P242,'Category Rules'!$A$5:$A$17,0))))</f>
        <v>Make-safe</v>
      </c>
      <c r="T242" t="str">
        <f>IF(Q242="DEP","BAS Excluded","GST on Income")</f>
        <v>GST on Income</v>
      </c>
      <c r="U242">
        <f>IF(O242=T242,1,0)</f>
        <v>1</v>
      </c>
      <c r="V242" s="9">
        <f>IF(OR(M242=0,U242=1),0,IF(T242="GST on Income",ROUND(K242*0.1,2),ROUND(-K242*0.1,2)))</f>
        <v>0</v>
      </c>
    </row>
    <row r="243">
      <c r="A243" t="inlineStr">
        <is>
          <t>INV-5570-2</t>
        </is>
      </c>
      <c r="B243" t="inlineStr">
        <is>
          <t>INV-5570</t>
        </is>
      </c>
      <c r="C243" s="11" t="n">
        <v>45885</v>
      </c>
      <c r="D243" t="inlineStr">
        <is>
          <t>2025-08</t>
        </is>
      </c>
      <c r="E243" t="inlineStr">
        <is>
          <t>C0118</t>
        </is>
      </c>
      <c r="F243" t="inlineStr">
        <is>
          <t>C0118</t>
        </is>
      </c>
      <c r="G243" t="inlineStr">
        <is>
          <t>Sofia Singh</t>
        </is>
      </c>
      <c r="H243" t="inlineStr">
        <is>
          <t>S0363</t>
        </is>
      </c>
      <c r="I243" t="inlineStr">
        <is>
          <t>Tarp supply and install - 3 tarp(s)</t>
        </is>
      </c>
      <c r="J243" t="n">
        <v>3</v>
      </c>
      <c r="K243" s="9" t="n">
        <v>720</v>
      </c>
      <c r="L243" t="inlineStr">
        <is>
          <t>PAID</t>
        </is>
      </c>
      <c r="M243">
        <f>IF(L243="VOIDED",0,1)</f>
        <v>1</v>
      </c>
      <c r="N243" t="n">
        <v>200</v>
      </c>
      <c r="O243" t="inlineStr">
        <is>
          <t>GST on Income</t>
        </is>
      </c>
      <c r="P243" t="inlineStr">
        <is>
          <t>R09</t>
        </is>
      </c>
      <c r="Q243" t="inlineStr">
        <is>
          <t>MS</t>
        </is>
      </c>
      <c r="R243">
        <f>IF(OR(Q243="CONTEXT",Q243="REVIEW"),"",INDEX('Category Rules'!$D$5:$D$17,MATCH(P243,'Category Rules'!$A$5:$A$17,0)))</f>
        <v>4020</v>
      </c>
      <c r="S243" t="str">
        <f>IF(Q243="CONTEXT","Make-safe",IF(Q243="REVIEW","",INDEX('Category Rules'!$E$5:$E$17,MATCH(P243,'Category Rules'!$A$5:$A$17,0))))</f>
        <v>Make-safe</v>
      </c>
      <c r="T243" t="str">
        <f>IF(Q243="DEP","BAS Excluded","GST on Income")</f>
        <v>GST on Income</v>
      </c>
      <c r="U243">
        <f>IF(O243=T243,1,0)</f>
        <v>1</v>
      </c>
      <c r="V243" s="9">
        <f>IF(OR(M243=0,U243=1),0,IF(T243="GST on Income",ROUND(K243*0.1,2),ROUND(-K243*0.1,2)))</f>
        <v>0</v>
      </c>
    </row>
    <row r="244">
      <c r="A244" t="inlineStr">
        <is>
          <t>INV-5621-1</t>
        </is>
      </c>
      <c r="B244" t="inlineStr">
        <is>
          <t>INV-5621</t>
        </is>
      </c>
      <c r="C244" s="11" t="n">
        <v>45885</v>
      </c>
      <c r="D244" t="inlineStr">
        <is>
          <t>2025-08</t>
        </is>
      </c>
      <c r="E244" t="inlineStr">
        <is>
          <t>C0064</t>
        </is>
      </c>
      <c r="F244" t="inlineStr">
        <is>
          <t>C0064</t>
        </is>
      </c>
      <c r="G244" t="inlineStr">
        <is>
          <t>Lakeside Claims Services Pty Ltd</t>
        </is>
      </c>
      <c r="H244" t="inlineStr">
        <is>
          <t>S0391</t>
        </is>
      </c>
      <c r="I244" t="inlineStr">
        <is>
          <t>Tarp kit hire 3 wks (01/08/25-15/08/25) - 3 kits</t>
        </is>
      </c>
      <c r="J244" t="n">
        <v>9</v>
      </c>
      <c r="K244" s="9" t="n">
        <v>315</v>
      </c>
      <c r="L244" t="inlineStr">
        <is>
          <t>PAID</t>
        </is>
      </c>
      <c r="M244">
        <f>IF(L244="VOIDED",0,1)</f>
        <v>1</v>
      </c>
      <c r="N244" t="n">
        <v>200</v>
      </c>
      <c r="O244" t="inlineStr">
        <is>
          <t>GST on Income</t>
        </is>
      </c>
      <c r="P244" t="inlineStr">
        <is>
          <t>R06</t>
        </is>
      </c>
      <c r="Q244" t="inlineStr">
        <is>
          <t>HIRE-TK</t>
        </is>
      </c>
      <c r="R244">
        <f>IF(OR(Q244="CONTEXT",Q244="REVIEW"),"",INDEX('Category Rules'!$D$5:$D$17,MATCH(P244,'Category Rules'!$A$5:$A$17,0)))</f>
        <v>4010</v>
      </c>
      <c r="S244" t="str">
        <f>IF(Q244="CONTEXT","Make-safe",IF(Q244="REVIEW","",INDEX('Category Rules'!$E$5:$E$17,MATCH(P244,'Category Rules'!$A$5:$A$17,0))))</f>
        <v>Make-safe</v>
      </c>
      <c r="T244" t="str">
        <f>IF(Q244="DEP","BAS Excluded","GST on Income")</f>
        <v>GST on Income</v>
      </c>
      <c r="U244">
        <f>IF(O244=T244,1,0)</f>
        <v>1</v>
      </c>
      <c r="V244" s="9">
        <f>IF(OR(M244=0,U244=1),0,IF(T244="GST on Income",ROUND(K244*0.1,2),ROUND(-K244*0.1,2)))</f>
        <v>0</v>
      </c>
    </row>
    <row r="245">
      <c r="A245" t="inlineStr">
        <is>
          <t>INV-4619-1</t>
        </is>
      </c>
      <c r="B245" t="inlineStr">
        <is>
          <t>INV-4619</t>
        </is>
      </c>
      <c r="C245" s="11" t="n">
        <v>45886</v>
      </c>
      <c r="D245" t="inlineStr">
        <is>
          <t>2025-08</t>
        </is>
      </c>
      <c r="E245" t="inlineStr">
        <is>
          <t>C0074</t>
        </is>
      </c>
      <c r="F245" t="inlineStr">
        <is>
          <t>C0074</t>
        </is>
      </c>
      <c r="G245" t="inlineStr">
        <is>
          <t>Ironbark Events Pty Ltd</t>
        </is>
      </c>
      <c r="H245" t="inlineStr">
        <is>
          <t>S0104</t>
        </is>
      </c>
      <c r="I245" t="inlineStr">
        <is>
          <t>Delivery and installation - temporary fencing</t>
        </is>
      </c>
      <c r="J245" t="n">
        <v>1</v>
      </c>
      <c r="K245" s="9" t="n">
        <v>165</v>
      </c>
      <c r="L245" t="inlineStr">
        <is>
          <t>PAID</t>
        </is>
      </c>
      <c r="M245">
        <f>IF(L245="VOIDED",0,1)</f>
        <v>1</v>
      </c>
      <c r="N245" t="n">
        <v>200</v>
      </c>
      <c r="O245" t="inlineStr">
        <is>
          <t>GST on Income</t>
        </is>
      </c>
      <c r="P245" t="inlineStr">
        <is>
          <t>R07</t>
        </is>
      </c>
      <c r="Q245" t="inlineStr">
        <is>
          <t>DEL-FP</t>
        </is>
      </c>
      <c r="R245">
        <f>IF(OR(Q245="CONTEXT",Q245="REVIEW"),"",INDEX('Category Rules'!$D$5:$D$17,MATCH(P245,'Category Rules'!$A$5:$A$17,0)))</f>
        <v>4020</v>
      </c>
      <c r="S245" t="str">
        <f>IF(Q245="CONTEXT","Fencing",IF(Q245="REVIEW","",INDEX('Category Rules'!$E$5:$E$17,MATCH(P245,'Category Rules'!$A$5:$A$17,0))))</f>
        <v>Fencing</v>
      </c>
      <c r="T245" t="str">
        <f>IF(Q245="DEP","BAS Excluded","GST on Income")</f>
        <v>GST on Income</v>
      </c>
      <c r="U245">
        <f>IF(O245=T245,1,0)</f>
        <v>1</v>
      </c>
      <c r="V245" s="9">
        <f>IF(OR(M245=0,U245=1),0,IF(T245="GST on Income",ROUND(K245*0.1,2),ROUND(-K245*0.1,2)))</f>
        <v>0</v>
      </c>
    </row>
    <row r="246">
      <c r="A246" t="inlineStr">
        <is>
          <t>INV-4619-2</t>
        </is>
      </c>
      <c r="B246" t="inlineStr">
        <is>
          <t>INV-4619</t>
        </is>
      </c>
      <c r="C246" s="11" t="n">
        <v>45886</v>
      </c>
      <c r="D246" t="inlineStr">
        <is>
          <t>2025-08</t>
        </is>
      </c>
      <c r="E246" t="inlineStr">
        <is>
          <t>C0074</t>
        </is>
      </c>
      <c r="F246" t="inlineStr">
        <is>
          <t>C0074</t>
        </is>
      </c>
      <c r="G246" t="inlineStr">
        <is>
          <t>Ironbark Events Pty Ltd</t>
        </is>
      </c>
      <c r="H246" t="inlineStr">
        <is>
          <t>S0104</t>
        </is>
      </c>
      <c r="I246" t="inlineStr">
        <is>
          <t>Installation labour - 30 panels @ 2.20</t>
        </is>
      </c>
      <c r="J246" t="n">
        <v>30</v>
      </c>
      <c r="K246" s="9" t="n">
        <v>66</v>
      </c>
      <c r="L246" t="inlineStr">
        <is>
          <t>PAID</t>
        </is>
      </c>
      <c r="M246">
        <f>IF(L246="VOIDED",0,1)</f>
        <v>1</v>
      </c>
      <c r="N246" t="n">
        <v>200</v>
      </c>
      <c r="O246" t="inlineStr">
        <is>
          <t>GST on Income</t>
        </is>
      </c>
      <c r="P246" t="inlineStr">
        <is>
          <t>R07</t>
        </is>
      </c>
      <c r="Q246" t="inlineStr">
        <is>
          <t>DEL-FP</t>
        </is>
      </c>
      <c r="R246">
        <f>IF(OR(Q246="CONTEXT",Q246="REVIEW"),"",INDEX('Category Rules'!$D$5:$D$17,MATCH(P246,'Category Rules'!$A$5:$A$17,0)))</f>
        <v>4020</v>
      </c>
      <c r="S246" t="str">
        <f>IF(Q246="CONTEXT","Fencing",IF(Q246="REVIEW","",INDEX('Category Rules'!$E$5:$E$17,MATCH(P246,'Category Rules'!$A$5:$A$17,0))))</f>
        <v>Fencing</v>
      </c>
      <c r="T246" t="str">
        <f>IF(Q246="DEP","BAS Excluded","GST on Income")</f>
        <v>GST on Income</v>
      </c>
      <c r="U246">
        <f>IF(O246=T246,1,0)</f>
        <v>1</v>
      </c>
      <c r="V246" s="9">
        <f>IF(OR(M246=0,U246=1),0,IF(T246="GST on Income",ROUND(K246*0.1,2),ROUND(-K246*0.1,2)))</f>
        <v>0</v>
      </c>
    </row>
    <row r="247">
      <c r="A247" t="inlineStr">
        <is>
          <t>INV-4984-1</t>
        </is>
      </c>
      <c r="B247" t="inlineStr">
        <is>
          <t>INV-4984</t>
        </is>
      </c>
      <c r="C247" s="11" t="n">
        <v>45886</v>
      </c>
      <c r="D247" t="inlineStr">
        <is>
          <t>2025-08</t>
        </is>
      </c>
      <c r="E247" t="inlineStr">
        <is>
          <t>C0149</t>
        </is>
      </c>
      <c r="F247" t="inlineStr">
        <is>
          <t>C0004</t>
        </is>
      </c>
      <c r="G247" t="inlineStr">
        <is>
          <t>Lakeside Builders Pty Ltd</t>
        </is>
      </c>
      <c r="H247" t="inlineStr">
        <is>
          <t>S0188</t>
        </is>
      </c>
      <c r="I247" t="inlineStr">
        <is>
          <t>Temporary fence hire 4 wks (20/07/25-16/08/25) - 24 panels</t>
        </is>
      </c>
      <c r="J247" t="n">
        <v>96</v>
      </c>
      <c r="K247" s="9" t="n">
        <v>432</v>
      </c>
      <c r="L247" t="inlineStr">
        <is>
          <t>PAID</t>
        </is>
      </c>
      <c r="M247">
        <f>IF(L247="VOIDED",0,1)</f>
        <v>1</v>
      </c>
      <c r="N247" t="n">
        <v>200</v>
      </c>
      <c r="O247" t="inlineStr">
        <is>
          <t>GST on Income</t>
        </is>
      </c>
      <c r="P247" t="inlineStr">
        <is>
          <t>R03</t>
        </is>
      </c>
      <c r="Q247" t="inlineStr">
        <is>
          <t>HIRE-FP</t>
        </is>
      </c>
      <c r="R247">
        <f>IF(OR(Q247="CONTEXT",Q247="REVIEW"),"",INDEX('Category Rules'!$D$5:$D$17,MATCH(P247,'Category Rules'!$A$5:$A$17,0)))</f>
        <v>4010</v>
      </c>
      <c r="S247" t="str">
        <f>IF(Q247="CONTEXT","Fencing",IF(Q247="REVIEW","",INDEX('Category Rules'!$E$5:$E$17,MATCH(P247,'Category Rules'!$A$5:$A$17,0))))</f>
        <v>Fencing</v>
      </c>
      <c r="T247" t="str">
        <f>IF(Q247="DEP","BAS Excluded","GST on Income")</f>
        <v>GST on Income</v>
      </c>
      <c r="U247">
        <f>IF(O247=T247,1,0)</f>
        <v>1</v>
      </c>
      <c r="V247" s="9">
        <f>IF(OR(M247=0,U247=1),0,IF(T247="GST on Income",ROUND(K247*0.1,2),ROUND(-K247*0.1,2)))</f>
        <v>0</v>
      </c>
    </row>
    <row r="248">
      <c r="A248" t="inlineStr">
        <is>
          <t>INV-5275-1</t>
        </is>
      </c>
      <c r="B248" t="inlineStr">
        <is>
          <t>INV-5275</t>
        </is>
      </c>
      <c r="C248" s="11" t="n">
        <v>45886</v>
      </c>
      <c r="D248" t="inlineStr">
        <is>
          <t>2025-08</t>
        </is>
      </c>
      <c r="E248" t="inlineStr">
        <is>
          <t>C0094</t>
        </is>
      </c>
      <c r="F248" t="inlineStr">
        <is>
          <t>C0094</t>
        </is>
      </c>
      <c r="G248" t="inlineStr">
        <is>
          <t>Grace Kelly</t>
        </is>
      </c>
      <c r="H248" t="inlineStr">
        <is>
          <t>S0253</t>
        </is>
      </c>
      <c r="I248" t="inlineStr">
        <is>
          <t>Scaffold erect - 3 tower(s)</t>
        </is>
      </c>
      <c r="J248" t="n">
        <v>3</v>
      </c>
      <c r="K248" s="9" t="n">
        <v>1260</v>
      </c>
      <c r="L248" t="inlineStr">
        <is>
          <t>PAID</t>
        </is>
      </c>
      <c r="M248">
        <f>IF(L248="VOIDED",0,1)</f>
        <v>1</v>
      </c>
      <c r="N248" t="n">
        <v>200</v>
      </c>
      <c r="O248" t="inlineStr">
        <is>
          <t>GST on Income</t>
        </is>
      </c>
      <c r="P248" t="inlineStr">
        <is>
          <t>R08</t>
        </is>
      </c>
      <c r="Q248" t="inlineStr">
        <is>
          <t>LAB-ST</t>
        </is>
      </c>
      <c r="R248">
        <f>IF(OR(Q248="CONTEXT",Q248="REVIEW"),"",INDEX('Category Rules'!$D$5:$D$17,MATCH(P248,'Category Rules'!$A$5:$A$17,0)))</f>
        <v>4020</v>
      </c>
      <c r="S248" t="str">
        <f>IF(Q248="CONTEXT","Scaffolding",IF(Q248="REVIEW","",INDEX('Category Rules'!$E$5:$E$17,MATCH(P248,'Category Rules'!$A$5:$A$17,0))))</f>
        <v>Scaffolding</v>
      </c>
      <c r="T248" t="str">
        <f>IF(Q248="DEP","BAS Excluded","GST on Income")</f>
        <v>GST on Income</v>
      </c>
      <c r="U248">
        <f>IF(O248=T248,1,0)</f>
        <v>1</v>
      </c>
      <c r="V248" s="9">
        <f>IF(OR(M248=0,U248=1),0,IF(T248="GST on Income",ROUND(K248*0.1,2),ROUND(-K248*0.1,2)))</f>
        <v>0</v>
      </c>
    </row>
    <row r="249">
      <c r="A249" t="inlineStr">
        <is>
          <t>INV-5310-1</t>
        </is>
      </c>
      <c r="B249" t="inlineStr">
        <is>
          <t>INV-5310</t>
        </is>
      </c>
      <c r="C249" s="11" t="n">
        <v>45886</v>
      </c>
      <c r="D249" t="inlineStr">
        <is>
          <t>2025-08</t>
        </is>
      </c>
      <c r="E249" t="inlineStr">
        <is>
          <t>C0022</t>
        </is>
      </c>
      <c r="F249" t="inlineStr">
        <is>
          <t>C0022</t>
        </is>
      </c>
      <c r="G249" t="inlineStr">
        <is>
          <t>Highpoint Projects</t>
        </is>
      </c>
      <c r="H249" t="inlineStr">
        <is>
          <t>S0262</t>
        </is>
      </c>
      <c r="I249" t="inlineStr">
        <is>
          <t>Scaffold erect - 2 tower(s)</t>
        </is>
      </c>
      <c r="J249" t="n">
        <v>2</v>
      </c>
      <c r="K249" s="9" t="n">
        <v>840</v>
      </c>
      <c r="L249" t="inlineStr">
        <is>
          <t>PAID</t>
        </is>
      </c>
      <c r="M249">
        <f>IF(L249="VOIDED",0,1)</f>
        <v>1</v>
      </c>
      <c r="N249" t="n">
        <v>200</v>
      </c>
      <c r="O249" t="inlineStr">
        <is>
          <t>GST on Income</t>
        </is>
      </c>
      <c r="P249" t="inlineStr">
        <is>
          <t>R08</t>
        </is>
      </c>
      <c r="Q249" t="inlineStr">
        <is>
          <t>LAB-ST</t>
        </is>
      </c>
      <c r="R249">
        <f>IF(OR(Q249="CONTEXT",Q249="REVIEW"),"",INDEX('Category Rules'!$D$5:$D$17,MATCH(P249,'Category Rules'!$A$5:$A$17,0)))</f>
        <v>4020</v>
      </c>
      <c r="S249" t="str">
        <f>IF(Q249="CONTEXT","Scaffolding",IF(Q249="REVIEW","",INDEX('Category Rules'!$E$5:$E$17,MATCH(P249,'Category Rules'!$A$5:$A$17,0))))</f>
        <v>Scaffolding</v>
      </c>
      <c r="T249" t="str">
        <f>IF(Q249="DEP","BAS Excluded","GST on Income")</f>
        <v>GST on Income</v>
      </c>
      <c r="U249">
        <f>IF(O249=T249,1,0)</f>
        <v>1</v>
      </c>
      <c r="V249" s="9">
        <f>IF(OR(M249=0,U249=1),0,IF(T249="GST on Income",ROUND(K249*0.1,2),ROUND(-K249*0.1,2)))</f>
        <v>0</v>
      </c>
    </row>
    <row r="250">
      <c r="A250" t="inlineStr">
        <is>
          <t>INV-5518-1</t>
        </is>
      </c>
      <c r="B250" t="inlineStr">
        <is>
          <t>INV-5518</t>
        </is>
      </c>
      <c r="C250" s="11" t="n">
        <v>45886</v>
      </c>
      <c r="D250" t="inlineStr">
        <is>
          <t>2025-08</t>
        </is>
      </c>
      <c r="E250" t="inlineStr">
        <is>
          <t>C0086</t>
        </is>
      </c>
      <c r="F250" t="inlineStr">
        <is>
          <t>C0086</t>
        </is>
      </c>
      <c r="G250" t="inlineStr">
        <is>
          <t>Mei Ali</t>
        </is>
      </c>
      <c r="H250" t="inlineStr">
        <is>
          <t>S0334</t>
        </is>
      </c>
      <c r="I250" t="inlineStr">
        <is>
          <t>Roof repair labour - 4 hrs</t>
        </is>
      </c>
      <c r="J250" t="n">
        <v>4</v>
      </c>
      <c r="K250" s="9" t="n">
        <v>392</v>
      </c>
      <c r="L250" t="inlineStr">
        <is>
          <t>PAID</t>
        </is>
      </c>
      <c r="M250">
        <f>IF(L250="VOIDED",0,1)</f>
        <v>1</v>
      </c>
      <c r="N250" t="n">
        <v>200</v>
      </c>
      <c r="O250" t="inlineStr">
        <is>
          <t>GST on Income</t>
        </is>
      </c>
      <c r="P250" t="inlineStr">
        <is>
          <t>R10</t>
        </is>
      </c>
      <c r="Q250" t="inlineStr">
        <is>
          <t>LAB-RF</t>
        </is>
      </c>
      <c r="R250">
        <f>IF(OR(Q250="CONTEXT",Q250="REVIEW"),"",INDEX('Category Rules'!$D$5:$D$17,MATCH(P250,'Category Rules'!$A$5:$A$17,0)))</f>
        <v>4020</v>
      </c>
      <c r="S250" t="str">
        <f>IF(Q250="CONTEXT","Roofing",IF(Q250="REVIEW","",INDEX('Category Rules'!$E$5:$E$17,MATCH(P250,'Category Rules'!$A$5:$A$17,0))))</f>
        <v>Roofing</v>
      </c>
      <c r="T250" t="str">
        <f>IF(Q250="DEP","BAS Excluded","GST on Income")</f>
        <v>GST on Income</v>
      </c>
      <c r="U250">
        <f>IF(O250=T250,1,0)</f>
        <v>1</v>
      </c>
      <c r="V250" s="9">
        <f>IF(OR(M250=0,U250=1),0,IF(T250="GST on Income",ROUND(K250*0.1,2),ROUND(-K250*0.1,2)))</f>
        <v>0</v>
      </c>
    </row>
    <row r="251">
      <c r="A251" t="inlineStr">
        <is>
          <t>INV-5518-2</t>
        </is>
      </c>
      <c r="B251" t="inlineStr">
        <is>
          <t>INV-5518</t>
        </is>
      </c>
      <c r="C251" s="11" t="n">
        <v>45886</v>
      </c>
      <c r="D251" t="inlineStr">
        <is>
          <t>2025-08</t>
        </is>
      </c>
      <c r="E251" t="inlineStr">
        <is>
          <t>C0086</t>
        </is>
      </c>
      <c r="F251" t="inlineStr">
        <is>
          <t>C0086</t>
        </is>
      </c>
      <c r="G251" t="inlineStr">
        <is>
          <t>Mei Ali</t>
        </is>
      </c>
      <c r="H251" t="inlineStr">
        <is>
          <t>S0334</t>
        </is>
      </c>
      <c r="I251" t="inlineStr">
        <is>
          <t>Materials - roof tiles (matched)</t>
        </is>
      </c>
      <c r="J251" t="n">
        <v>1</v>
      </c>
      <c r="K251" s="9" t="n">
        <v>920.79</v>
      </c>
      <c r="L251" t="inlineStr">
        <is>
          <t>PAID</t>
        </is>
      </c>
      <c r="M251">
        <f>IF(L251="VOIDED",0,1)</f>
        <v>1</v>
      </c>
      <c r="N251" t="n">
        <v>200</v>
      </c>
      <c r="O251" t="inlineStr">
        <is>
          <t>GST on Income</t>
        </is>
      </c>
      <c r="P251" t="inlineStr">
        <is>
          <t>R11</t>
        </is>
      </c>
      <c r="Q251" t="inlineStr">
        <is>
          <t>MAT-RF</t>
        </is>
      </c>
      <c r="R251">
        <f>IF(OR(Q251="CONTEXT",Q251="REVIEW"),"",INDEX('Category Rules'!$D$5:$D$17,MATCH(P251,'Category Rules'!$A$5:$A$17,0)))</f>
        <v>4030</v>
      </c>
      <c r="S251" t="str">
        <f>IF(Q251="CONTEXT","Roofing",IF(Q251="REVIEW","",INDEX('Category Rules'!$E$5:$E$17,MATCH(P251,'Category Rules'!$A$5:$A$17,0))))</f>
        <v>Roofing</v>
      </c>
      <c r="T251" t="str">
        <f>IF(Q251="DEP","BAS Excluded","GST on Income")</f>
        <v>GST on Income</v>
      </c>
      <c r="U251">
        <f>IF(O251=T251,1,0)</f>
        <v>1</v>
      </c>
      <c r="V251" s="9">
        <f>IF(OR(M251=0,U251=1),0,IF(T251="GST on Income",ROUND(K251*0.1,2),ROUND(-K251*0.1,2)))</f>
        <v>0</v>
      </c>
    </row>
    <row r="252">
      <c r="A252" t="inlineStr">
        <is>
          <t>INV-5518-3</t>
        </is>
      </c>
      <c r="B252" t="inlineStr">
        <is>
          <t>INV-5518</t>
        </is>
      </c>
      <c r="C252" s="11" t="n">
        <v>45886</v>
      </c>
      <c r="D252" t="inlineStr">
        <is>
          <t>2025-08</t>
        </is>
      </c>
      <c r="E252" t="inlineStr">
        <is>
          <t>C0086</t>
        </is>
      </c>
      <c r="F252" t="inlineStr">
        <is>
          <t>C0086</t>
        </is>
      </c>
      <c r="G252" t="inlineStr">
        <is>
          <t>Mei Ali</t>
        </is>
      </c>
      <c r="H252" t="inlineStr">
        <is>
          <t>S0334</t>
        </is>
      </c>
      <c r="I252" t="inlineStr">
        <is>
          <t>Waste removal and tip fees</t>
        </is>
      </c>
      <c r="J252" t="n">
        <v>1</v>
      </c>
      <c r="K252" s="9" t="n">
        <v>120</v>
      </c>
      <c r="L252" t="inlineStr">
        <is>
          <t>PAID</t>
        </is>
      </c>
      <c r="M252">
        <f>IF(L252="VOIDED",0,1)</f>
        <v>1</v>
      </c>
      <c r="N252" t="n">
        <v>260</v>
      </c>
      <c r="O252" t="inlineStr">
        <is>
          <t>GST on Income</t>
        </is>
      </c>
      <c r="P252" t="inlineStr">
        <is>
          <t>R11</t>
        </is>
      </c>
      <c r="Q252" t="inlineStr">
        <is>
          <t>MAT-RF</t>
        </is>
      </c>
      <c r="R252">
        <f>IF(OR(Q252="CONTEXT",Q252="REVIEW"),"",INDEX('Category Rules'!$D$5:$D$17,MATCH(P252,'Category Rules'!$A$5:$A$17,0)))</f>
        <v>4030</v>
      </c>
      <c r="S252" t="str">
        <f>IF(Q252="CONTEXT","Roofing",IF(Q252="REVIEW","",INDEX('Category Rules'!$E$5:$E$17,MATCH(P252,'Category Rules'!$A$5:$A$17,0))))</f>
        <v>Roofing</v>
      </c>
      <c r="T252" t="str">
        <f>IF(Q252="DEP","BAS Excluded","GST on Income")</f>
        <v>GST on Income</v>
      </c>
      <c r="U252">
        <f>IF(O252=T252,1,0)</f>
        <v>1</v>
      </c>
      <c r="V252" s="9">
        <f>IF(OR(M252=0,U252=1),0,IF(T252="GST on Income",ROUND(K252*0.1,2),ROUND(-K252*0.1,2)))</f>
        <v>0</v>
      </c>
    </row>
    <row r="253">
      <c r="A253" t="inlineStr">
        <is>
          <t>INV-5541-1</t>
        </is>
      </c>
      <c r="B253" t="inlineStr">
        <is>
          <t>INV-5541</t>
        </is>
      </c>
      <c r="C253" s="11" t="n">
        <v>45886</v>
      </c>
      <c r="D253" t="inlineStr">
        <is>
          <t>2025-08</t>
        </is>
      </c>
      <c r="E253" t="inlineStr">
        <is>
          <t>C0064</t>
        </is>
      </c>
      <c r="F253" t="inlineStr">
        <is>
          <t>C0064</t>
        </is>
      </c>
      <c r="G253" t="inlineStr">
        <is>
          <t>Lakeside Claims Services Pty Ltd</t>
        </is>
      </c>
      <c r="H253" t="inlineStr">
        <is>
          <t>S0345</t>
        </is>
      </c>
      <c r="I253" t="inlineStr">
        <is>
          <t>Make safe call-out</t>
        </is>
      </c>
      <c r="J253" t="n">
        <v>1</v>
      </c>
      <c r="K253" s="9" t="n">
        <v>385</v>
      </c>
      <c r="L253" t="inlineStr">
        <is>
          <t>PAID</t>
        </is>
      </c>
      <c r="M253">
        <f>IF(L253="VOIDED",0,1)</f>
        <v>1</v>
      </c>
      <c r="N253" t="n">
        <v>200</v>
      </c>
      <c r="O253" t="inlineStr">
        <is>
          <t>GST on Income</t>
        </is>
      </c>
      <c r="P253" t="inlineStr">
        <is>
          <t>R09</t>
        </is>
      </c>
      <c r="Q253" t="inlineStr">
        <is>
          <t>MS</t>
        </is>
      </c>
      <c r="R253">
        <f>IF(OR(Q253="CONTEXT",Q253="REVIEW"),"",INDEX('Category Rules'!$D$5:$D$17,MATCH(P253,'Category Rules'!$A$5:$A$17,0)))</f>
        <v>4020</v>
      </c>
      <c r="S253" t="str">
        <f>IF(Q253="CONTEXT","Make-safe",IF(Q253="REVIEW","",INDEX('Category Rules'!$E$5:$E$17,MATCH(P253,'Category Rules'!$A$5:$A$17,0))))</f>
        <v>Make-safe</v>
      </c>
      <c r="T253" t="str">
        <f>IF(Q253="DEP","BAS Excluded","GST on Income")</f>
        <v>GST on Income</v>
      </c>
      <c r="U253">
        <f>IF(O253=T253,1,0)</f>
        <v>1</v>
      </c>
      <c r="V253" s="9">
        <f>IF(OR(M253=0,U253=1),0,IF(T253="GST on Income",ROUND(K253*0.1,2),ROUND(-K253*0.1,2)))</f>
        <v>0</v>
      </c>
    </row>
    <row r="254">
      <c r="A254" t="inlineStr">
        <is>
          <t>INV-5923-1</t>
        </is>
      </c>
      <c r="B254" t="inlineStr">
        <is>
          <t>INV-5923</t>
        </is>
      </c>
      <c r="C254" s="11" t="n">
        <v>45886</v>
      </c>
      <c r="D254" t="inlineStr">
        <is>
          <t>2025-08</t>
        </is>
      </c>
      <c r="E254" t="inlineStr">
        <is>
          <t>C0102</t>
        </is>
      </c>
      <c r="F254" t="inlineStr">
        <is>
          <t>C0102</t>
        </is>
      </c>
      <c r="G254" t="inlineStr">
        <is>
          <t>Arjun Doyle</t>
        </is>
      </c>
      <c r="H254" t="inlineStr"/>
      <c r="I254" t="inlineStr">
        <is>
          <t>Misc charges</t>
        </is>
      </c>
      <c r="J254" t="n">
        <v>1</v>
      </c>
      <c r="K254" s="9" t="n">
        <v>2314.24</v>
      </c>
      <c r="L254" t="inlineStr">
        <is>
          <t>PAID</t>
        </is>
      </c>
      <c r="M254">
        <f>IF(L254="VOIDED",0,1)</f>
        <v>1</v>
      </c>
      <c r="N254" t="n">
        <v>200</v>
      </c>
      <c r="O254" t="inlineStr">
        <is>
          <t>GST on Income</t>
        </is>
      </c>
      <c r="P254" t="inlineStr">
        <is>
          <t>--</t>
        </is>
      </c>
      <c r="Q254" t="inlineStr">
        <is>
          <t>REVIEW</t>
        </is>
      </c>
      <c r="R254">
        <f>IF(OR(Q254="CONTEXT",Q254="REVIEW"),"",INDEX('Category Rules'!$D$5:$D$17,MATCH(P254,'Category Rules'!$A$5:$A$17,0)))</f>
      </c>
      <c r="S254">
        <f>IF(Q254="CONTEXT","",IF(Q254="REVIEW","",INDEX('Category Rules'!$E$5:$E$17,MATCH(P254,'Category Rules'!$A$5:$A$17,0))))</f>
      </c>
      <c r="T254" t="str">
        <f>IF(Q254="DEP","BAS Excluded","GST on Income")</f>
        <v>GST on Income</v>
      </c>
      <c r="U254">
        <f>IF(O254=T254,1,0)</f>
        <v>1</v>
      </c>
      <c r="V254" s="9">
        <f>IF(OR(M254=0,U254=1),0,IF(T254="GST on Income",ROUND(K254*0.1,2),ROUND(-K254*0.1,2)))</f>
        <v>0</v>
      </c>
    </row>
    <row r="255">
      <c r="A255" t="inlineStr">
        <is>
          <t>INV-4720-1</t>
        </is>
      </c>
      <c r="B255" t="inlineStr">
        <is>
          <t>INV-4720</t>
        </is>
      </c>
      <c r="C255" s="11" t="n">
        <v>45887</v>
      </c>
      <c r="D255" t="inlineStr">
        <is>
          <t>2025-08</t>
        </is>
      </c>
      <c r="E255" t="inlineStr">
        <is>
          <t>C0116</t>
        </is>
      </c>
      <c r="F255" t="inlineStr">
        <is>
          <t>C0116</t>
        </is>
      </c>
      <c r="G255" t="inlineStr">
        <is>
          <t>Lucas Patel</t>
        </is>
      </c>
      <c r="H255" t="inlineStr">
        <is>
          <t>S0130</t>
        </is>
      </c>
      <c r="I255" t="inlineStr">
        <is>
          <t>Temporary fence hire 4 wks (21/07/25-17/08/25) - 106 panels</t>
        </is>
      </c>
      <c r="J255" t="n">
        <v>424</v>
      </c>
      <c r="K255" s="9" t="n">
        <v>1908</v>
      </c>
      <c r="L255" t="inlineStr">
        <is>
          <t>PAID</t>
        </is>
      </c>
      <c r="M255">
        <f>IF(L255="VOIDED",0,1)</f>
        <v>1</v>
      </c>
      <c r="N255" t="n">
        <v>200</v>
      </c>
      <c r="O255" t="inlineStr">
        <is>
          <t>GST on Income</t>
        </is>
      </c>
      <c r="P255" t="inlineStr">
        <is>
          <t>R03</t>
        </is>
      </c>
      <c r="Q255" t="inlineStr">
        <is>
          <t>HIRE-FP</t>
        </is>
      </c>
      <c r="R255">
        <f>IF(OR(Q255="CONTEXT",Q255="REVIEW"),"",INDEX('Category Rules'!$D$5:$D$17,MATCH(P255,'Category Rules'!$A$5:$A$17,0)))</f>
        <v>4010</v>
      </c>
      <c r="S255" t="str">
        <f>IF(Q255="CONTEXT","Fencing",IF(Q255="REVIEW","",INDEX('Category Rules'!$E$5:$E$17,MATCH(P255,'Category Rules'!$A$5:$A$17,0))))</f>
        <v>Fencing</v>
      </c>
      <c r="T255" t="str">
        <f>IF(Q255="DEP","BAS Excluded","GST on Income")</f>
        <v>GST on Income</v>
      </c>
      <c r="U255">
        <f>IF(O255=T255,1,0)</f>
        <v>1</v>
      </c>
      <c r="V255" s="9">
        <f>IF(OR(M255=0,U255=1),0,IF(T255="GST on Income",ROUND(K255*0.1,2),ROUND(-K255*0.1,2)))</f>
        <v>0</v>
      </c>
    </row>
    <row r="256">
      <c r="A256" t="inlineStr">
        <is>
          <t>INV-4768-1</t>
        </is>
      </c>
      <c r="B256" t="inlineStr">
        <is>
          <t>INV-4768</t>
        </is>
      </c>
      <c r="C256" s="11" t="n">
        <v>45887</v>
      </c>
      <c r="D256" t="inlineStr">
        <is>
          <t>2025-08</t>
        </is>
      </c>
      <c r="E256" t="inlineStr">
        <is>
          <t>C0040</t>
        </is>
      </c>
      <c r="F256" t="inlineStr">
        <is>
          <t>C0040</t>
        </is>
      </c>
      <c r="G256" t="inlineStr">
        <is>
          <t>Coastline Projects Pty Ltd</t>
        </is>
      </c>
      <c r="H256" t="inlineStr">
        <is>
          <t>S0140</t>
        </is>
      </c>
      <c r="I256" t="inlineStr">
        <is>
          <t>Delivery and installation - temporary fencing</t>
        </is>
      </c>
      <c r="J256" t="n">
        <v>1</v>
      </c>
      <c r="K256" s="9" t="n">
        <v>165</v>
      </c>
      <c r="L256" t="inlineStr">
        <is>
          <t>PAID</t>
        </is>
      </c>
      <c r="M256">
        <f>IF(L256="VOIDED",0,1)</f>
        <v>1</v>
      </c>
      <c r="N256" t="n">
        <v>200</v>
      </c>
      <c r="O256" t="inlineStr">
        <is>
          <t>GST on Income</t>
        </is>
      </c>
      <c r="P256" t="inlineStr">
        <is>
          <t>R07</t>
        </is>
      </c>
      <c r="Q256" t="inlineStr">
        <is>
          <t>DEL-FP</t>
        </is>
      </c>
      <c r="R256">
        <f>IF(OR(Q256="CONTEXT",Q256="REVIEW"),"",INDEX('Category Rules'!$D$5:$D$17,MATCH(P256,'Category Rules'!$A$5:$A$17,0)))</f>
        <v>4020</v>
      </c>
      <c r="S256" t="str">
        <f>IF(Q256="CONTEXT","Fencing",IF(Q256="REVIEW","",INDEX('Category Rules'!$E$5:$E$17,MATCH(P256,'Category Rules'!$A$5:$A$17,0))))</f>
        <v>Fencing</v>
      </c>
      <c r="T256" t="str">
        <f>IF(Q256="DEP","BAS Excluded","GST on Income")</f>
        <v>GST on Income</v>
      </c>
      <c r="U256">
        <f>IF(O256=T256,1,0)</f>
        <v>1</v>
      </c>
      <c r="V256" s="9">
        <f>IF(OR(M256=0,U256=1),0,IF(T256="GST on Income",ROUND(K256*0.1,2),ROUND(-K256*0.1,2)))</f>
        <v>0</v>
      </c>
    </row>
    <row r="257">
      <c r="A257" t="inlineStr">
        <is>
          <t>INV-4768-2</t>
        </is>
      </c>
      <c r="B257" t="inlineStr">
        <is>
          <t>INV-4768</t>
        </is>
      </c>
      <c r="C257" s="11" t="n">
        <v>45887</v>
      </c>
      <c r="D257" t="inlineStr">
        <is>
          <t>2025-08</t>
        </is>
      </c>
      <c r="E257" t="inlineStr">
        <is>
          <t>C0040</t>
        </is>
      </c>
      <c r="F257" t="inlineStr">
        <is>
          <t>C0040</t>
        </is>
      </c>
      <c r="G257" t="inlineStr">
        <is>
          <t>Coastline Projects Pty Ltd</t>
        </is>
      </c>
      <c r="H257" t="inlineStr">
        <is>
          <t>S0140</t>
        </is>
      </c>
      <c r="I257" t="inlineStr">
        <is>
          <t>Installation labour - 124 panels @ 2.20</t>
        </is>
      </c>
      <c r="J257" t="n">
        <v>124</v>
      </c>
      <c r="K257" s="9" t="n">
        <v>272.8</v>
      </c>
      <c r="L257" t="inlineStr">
        <is>
          <t>PAID</t>
        </is>
      </c>
      <c r="M257">
        <f>IF(L257="VOIDED",0,1)</f>
        <v>1</v>
      </c>
      <c r="N257" t="n">
        <v>200</v>
      </c>
      <c r="O257" t="inlineStr">
        <is>
          <t>GST on Income</t>
        </is>
      </c>
      <c r="P257" t="inlineStr">
        <is>
          <t>R07</t>
        </is>
      </c>
      <c r="Q257" t="inlineStr">
        <is>
          <t>DEL-FP</t>
        </is>
      </c>
      <c r="R257">
        <f>IF(OR(Q257="CONTEXT",Q257="REVIEW"),"",INDEX('Category Rules'!$D$5:$D$17,MATCH(P257,'Category Rules'!$A$5:$A$17,0)))</f>
        <v>4020</v>
      </c>
      <c r="S257" t="str">
        <f>IF(Q257="CONTEXT","Fencing",IF(Q257="REVIEW","",INDEX('Category Rules'!$E$5:$E$17,MATCH(P257,'Category Rules'!$A$5:$A$17,0))))</f>
        <v>Fencing</v>
      </c>
      <c r="T257" t="str">
        <f>IF(Q257="DEP","BAS Excluded","GST on Income")</f>
        <v>GST on Income</v>
      </c>
      <c r="U257">
        <f>IF(O257=T257,1,0)</f>
        <v>1</v>
      </c>
      <c r="V257" s="9">
        <f>IF(OR(M257=0,U257=1),0,IF(T257="GST on Income",ROUND(K257*0.1,2),ROUND(-K257*0.1,2)))</f>
        <v>0</v>
      </c>
    </row>
    <row r="258">
      <c r="A258" t="inlineStr">
        <is>
          <t>INV-4768-3</t>
        </is>
      </c>
      <c r="B258" t="inlineStr">
        <is>
          <t>INV-4768</t>
        </is>
      </c>
      <c r="C258" s="11" t="n">
        <v>45887</v>
      </c>
      <c r="D258" t="inlineStr">
        <is>
          <t>2025-08</t>
        </is>
      </c>
      <c r="E258" t="inlineStr">
        <is>
          <t>C0040</t>
        </is>
      </c>
      <c r="F258" t="inlineStr">
        <is>
          <t>C0040</t>
        </is>
      </c>
      <c r="G258" t="inlineStr">
        <is>
          <t>Coastline Projects Pty Ltd</t>
        </is>
      </c>
      <c r="H258" t="inlineStr">
        <is>
          <t>S0140</t>
        </is>
      </c>
      <c r="I258" t="inlineStr">
        <is>
          <t>Security deposit - fence panels (refundable)</t>
        </is>
      </c>
      <c r="J258" t="n">
        <v>1</v>
      </c>
      <c r="K258" s="9" t="n">
        <v>990</v>
      </c>
      <c r="L258" t="inlineStr">
        <is>
          <t>PAID</t>
        </is>
      </c>
      <c r="M258">
        <f>IF(L258="VOIDED",0,1)</f>
        <v>1</v>
      </c>
      <c r="N258" t="n">
        <v>200</v>
      </c>
      <c r="O258" t="inlineStr">
        <is>
          <t>GST on Income</t>
        </is>
      </c>
      <c r="P258" t="inlineStr">
        <is>
          <t>R01</t>
        </is>
      </c>
      <c r="Q258" t="inlineStr">
        <is>
          <t>DEP</t>
        </is>
      </c>
      <c r="R258">
        <f>IF(OR(Q258="CONTEXT",Q258="REVIEW"),"",INDEX('Category Rules'!$D$5:$D$17,MATCH(P258,'Category Rules'!$A$5:$A$17,0)))</f>
        <v>835</v>
      </c>
      <c r="S258" t="str">
        <f>IF(Q258="CONTEXT","Fencing",IF(Q258="REVIEW","",INDEX('Category Rules'!$E$5:$E$17,MATCH(P258,'Category Rules'!$A$5:$A$17,0))))</f>
        <v>Fencing</v>
      </c>
      <c r="T258" t="str">
        <f>IF(Q258="DEP","BAS Excluded","GST on Income")</f>
        <v>BAS Excluded</v>
      </c>
      <c r="U258">
        <f>IF(O258=T258,1,0)</f>
        <v>0</v>
      </c>
      <c r="V258" s="9">
        <f>IF(OR(M258=0,U258=1),0,IF(T258="GST on Income",ROUND(K258*0.1,2),ROUND(-K258*0.1,2)))</f>
        <v>-99</v>
      </c>
    </row>
    <row r="259">
      <c r="A259" t="inlineStr">
        <is>
          <t>INV-4968-1</t>
        </is>
      </c>
      <c r="B259" t="inlineStr">
        <is>
          <t>INV-4968</t>
        </is>
      </c>
      <c r="C259" s="11" t="n">
        <v>45887</v>
      </c>
      <c r="D259" t="inlineStr">
        <is>
          <t>2025-08</t>
        </is>
      </c>
      <c r="E259" t="inlineStr">
        <is>
          <t>C0017</t>
        </is>
      </c>
      <c r="F259" t="inlineStr">
        <is>
          <t>C0017</t>
        </is>
      </c>
      <c r="G259" t="inlineStr">
        <is>
          <t>Cobalt Developments Pty Ltd</t>
        </is>
      </c>
      <c r="H259" t="inlineStr">
        <is>
          <t>S0184</t>
        </is>
      </c>
      <c r="I259" t="inlineStr">
        <is>
          <t>Temporary fence hire 1 wks (14/08/25-17/08/25) - 44 panels</t>
        </is>
      </c>
      <c r="J259" t="n">
        <v>44</v>
      </c>
      <c r="K259" s="9" t="n">
        <v>198</v>
      </c>
      <c r="L259" t="inlineStr">
        <is>
          <t>PAID</t>
        </is>
      </c>
      <c r="M259">
        <f>IF(L259="VOIDED",0,1)</f>
        <v>1</v>
      </c>
      <c r="N259" t="n">
        <v>200</v>
      </c>
      <c r="O259" t="inlineStr">
        <is>
          <t>GST on Income</t>
        </is>
      </c>
      <c r="P259" t="inlineStr">
        <is>
          <t>R03</t>
        </is>
      </c>
      <c r="Q259" t="inlineStr">
        <is>
          <t>HIRE-FP</t>
        </is>
      </c>
      <c r="R259">
        <f>IF(OR(Q259="CONTEXT",Q259="REVIEW"),"",INDEX('Category Rules'!$D$5:$D$17,MATCH(P259,'Category Rules'!$A$5:$A$17,0)))</f>
        <v>4010</v>
      </c>
      <c r="S259" t="str">
        <f>IF(Q259="CONTEXT","Fencing",IF(Q259="REVIEW","",INDEX('Category Rules'!$E$5:$E$17,MATCH(P259,'Category Rules'!$A$5:$A$17,0))))</f>
        <v>Fencing</v>
      </c>
      <c r="T259" t="str">
        <f>IF(Q259="DEP","BAS Excluded","GST on Income")</f>
        <v>GST on Income</v>
      </c>
      <c r="U259">
        <f>IF(O259=T259,1,0)</f>
        <v>1</v>
      </c>
      <c r="V259" s="9">
        <f>IF(OR(M259=0,U259=1),0,IF(T259="GST on Income",ROUND(K259*0.1,2),ROUND(-K259*0.1,2)))</f>
        <v>0</v>
      </c>
    </row>
    <row r="260">
      <c r="A260" t="inlineStr">
        <is>
          <t>INV-4970-1</t>
        </is>
      </c>
      <c r="B260" t="inlineStr">
        <is>
          <t>INV-4970</t>
        </is>
      </c>
      <c r="C260" s="11" t="n">
        <v>45887</v>
      </c>
      <c r="D260" t="inlineStr">
        <is>
          <t>2025-08</t>
        </is>
      </c>
      <c r="E260" t="inlineStr">
        <is>
          <t>C0017</t>
        </is>
      </c>
      <c r="F260" t="inlineStr">
        <is>
          <t>C0017</t>
        </is>
      </c>
      <c r="G260" t="inlineStr">
        <is>
          <t>Cobalt Developments Pty Ltd</t>
        </is>
      </c>
      <c r="H260" t="inlineStr">
        <is>
          <t>S0184</t>
        </is>
      </c>
      <c r="I260" t="inlineStr">
        <is>
          <t>Collection and dismantle - temporary fencing</t>
        </is>
      </c>
      <c r="J260" t="n">
        <v>1</v>
      </c>
      <c r="K260" s="9" t="n">
        <v>165</v>
      </c>
      <c r="L260" t="inlineStr">
        <is>
          <t>PAID</t>
        </is>
      </c>
      <c r="M260">
        <f>IF(L260="VOIDED",0,1)</f>
        <v>1</v>
      </c>
      <c r="N260" t="n">
        <v>200</v>
      </c>
      <c r="O260" t="inlineStr">
        <is>
          <t>GST on Income</t>
        </is>
      </c>
      <c r="P260" t="inlineStr">
        <is>
          <t>R07</t>
        </is>
      </c>
      <c r="Q260" t="inlineStr">
        <is>
          <t>DEL-FP</t>
        </is>
      </c>
      <c r="R260">
        <f>IF(OR(Q260="CONTEXT",Q260="REVIEW"),"",INDEX('Category Rules'!$D$5:$D$17,MATCH(P260,'Category Rules'!$A$5:$A$17,0)))</f>
        <v>4020</v>
      </c>
      <c r="S260" t="str">
        <f>IF(Q260="CONTEXT","Fencing",IF(Q260="REVIEW","",INDEX('Category Rules'!$E$5:$E$17,MATCH(P260,'Category Rules'!$A$5:$A$17,0))))</f>
        <v>Fencing</v>
      </c>
      <c r="T260" t="str">
        <f>IF(Q260="DEP","BAS Excluded","GST on Income")</f>
        <v>GST on Income</v>
      </c>
      <c r="U260">
        <f>IF(O260=T260,1,0)</f>
        <v>1</v>
      </c>
      <c r="V260" s="9">
        <f>IF(OR(M260=0,U260=1),0,IF(T260="GST on Income",ROUND(K260*0.1,2),ROUND(-K260*0.1,2)))</f>
        <v>0</v>
      </c>
    </row>
    <row r="261">
      <c r="A261" t="inlineStr">
        <is>
          <t>INV-5516-1</t>
        </is>
      </c>
      <c r="B261" t="inlineStr">
        <is>
          <t>INV-5516</t>
        </is>
      </c>
      <c r="C261" s="11" t="n">
        <v>45887</v>
      </c>
      <c r="D261" t="inlineStr">
        <is>
          <t>2025-08</t>
        </is>
      </c>
      <c r="E261" t="inlineStr">
        <is>
          <t>C0086</t>
        </is>
      </c>
      <c r="F261" t="inlineStr">
        <is>
          <t>C0086</t>
        </is>
      </c>
      <c r="G261" t="inlineStr">
        <is>
          <t>Mei Ali</t>
        </is>
      </c>
      <c r="H261" t="inlineStr">
        <is>
          <t>S0334</t>
        </is>
      </c>
      <c r="I261" t="inlineStr">
        <is>
          <t>Tarp kit hire 2 wks (10/08/25-17/08/25) - 2 kits</t>
        </is>
      </c>
      <c r="J261" t="n">
        <v>4</v>
      </c>
      <c r="K261" s="9" t="n">
        <v>140</v>
      </c>
      <c r="L261" t="inlineStr">
        <is>
          <t>PAID</t>
        </is>
      </c>
      <c r="M261">
        <f>IF(L261="VOIDED",0,1)</f>
        <v>1</v>
      </c>
      <c r="N261" t="n">
        <v>200</v>
      </c>
      <c r="O261" t="inlineStr">
        <is>
          <t>GST Free Income</t>
        </is>
      </c>
      <c r="P261" t="inlineStr">
        <is>
          <t>R06</t>
        </is>
      </c>
      <c r="Q261" t="inlineStr">
        <is>
          <t>HIRE-TK</t>
        </is>
      </c>
      <c r="R261">
        <f>IF(OR(Q261="CONTEXT",Q261="REVIEW"),"",INDEX('Category Rules'!$D$5:$D$17,MATCH(P261,'Category Rules'!$A$5:$A$17,0)))</f>
        <v>4010</v>
      </c>
      <c r="S261" t="str">
        <f>IF(Q261="CONTEXT","Make-safe",IF(Q261="REVIEW","",INDEX('Category Rules'!$E$5:$E$17,MATCH(P261,'Category Rules'!$A$5:$A$17,0))))</f>
        <v>Make-safe</v>
      </c>
      <c r="T261" t="str">
        <f>IF(Q261="DEP","BAS Excluded","GST on Income")</f>
        <v>GST on Income</v>
      </c>
      <c r="U261">
        <f>IF(O261=T261,1,0)</f>
        <v>0</v>
      </c>
      <c r="V261" s="9">
        <f>IF(OR(M261=0,U261=1),0,IF(T261="GST on Income",ROUND(K261*0.1,2),ROUND(-K261*0.1,2)))</f>
        <v>14</v>
      </c>
    </row>
    <row r="262">
      <c r="A262" t="inlineStr">
        <is>
          <t>INV-5915-1</t>
        </is>
      </c>
      <c r="B262" t="inlineStr">
        <is>
          <t>INV-5915</t>
        </is>
      </c>
      <c r="C262" s="11" t="n">
        <v>45887</v>
      </c>
      <c r="D262" t="inlineStr">
        <is>
          <t>2025-08</t>
        </is>
      </c>
      <c r="E262" t="inlineStr">
        <is>
          <t>C0008</t>
        </is>
      </c>
      <c r="F262" t="inlineStr">
        <is>
          <t>C0008</t>
        </is>
      </c>
      <c r="G262" t="inlineStr">
        <is>
          <t>Redline Builders Pty Ltd</t>
        </is>
      </c>
      <c r="H262" t="inlineStr"/>
      <c r="I262" t="inlineStr">
        <is>
          <t>Variation 1422 - additional works</t>
        </is>
      </c>
      <c r="J262" t="n">
        <v>1</v>
      </c>
      <c r="K262" s="9" t="n">
        <v>2073.35</v>
      </c>
      <c r="L262" t="inlineStr">
        <is>
          <t>PAID</t>
        </is>
      </c>
      <c r="M262">
        <f>IF(L262="VOIDED",0,1)</f>
        <v>1</v>
      </c>
      <c r="N262" t="n">
        <v>200</v>
      </c>
      <c r="O262" t="inlineStr">
        <is>
          <t>GST on Income</t>
        </is>
      </c>
      <c r="P262" t="inlineStr">
        <is>
          <t>--</t>
        </is>
      </c>
      <c r="Q262" t="inlineStr">
        <is>
          <t>REVIEW</t>
        </is>
      </c>
      <c r="R262">
        <f>IF(OR(Q262="CONTEXT",Q262="REVIEW"),"",INDEX('Category Rules'!$D$5:$D$17,MATCH(P262,'Category Rules'!$A$5:$A$17,0)))</f>
      </c>
      <c r="S262">
        <f>IF(Q262="CONTEXT","",IF(Q262="REVIEW","",INDEX('Category Rules'!$E$5:$E$17,MATCH(P262,'Category Rules'!$A$5:$A$17,0))))</f>
      </c>
      <c r="T262" t="str">
        <f>IF(Q262="DEP","BAS Excluded","GST on Income")</f>
        <v>GST on Income</v>
      </c>
      <c r="U262">
        <f>IF(O262=T262,1,0)</f>
        <v>1</v>
      </c>
      <c r="V262" s="9">
        <f>IF(OR(M262=0,U262=1),0,IF(T262="GST on Income",ROUND(K262*0.1,2),ROUND(-K262*0.1,2)))</f>
        <v>0</v>
      </c>
    </row>
    <row r="263">
      <c r="A263" t="inlineStr">
        <is>
          <t>INV-4369-1</t>
        </is>
      </c>
      <c r="B263" t="inlineStr">
        <is>
          <t>INV-4369</t>
        </is>
      </c>
      <c r="C263" s="11" t="n">
        <v>45888</v>
      </c>
      <c r="D263" t="inlineStr">
        <is>
          <t>2025-08</t>
        </is>
      </c>
      <c r="E263" t="inlineStr">
        <is>
          <t>C0036</t>
        </is>
      </c>
      <c r="F263" t="inlineStr">
        <is>
          <t>C0036</t>
        </is>
      </c>
      <c r="G263" t="inlineStr">
        <is>
          <t>Summit Homes Pty Ltd</t>
        </is>
      </c>
      <c r="H263" t="inlineStr">
        <is>
          <t>S0055</t>
        </is>
      </c>
      <c r="I263" t="inlineStr">
        <is>
          <t>Temporary fence hire 4 wks (22/07/25-18/08/25) - 91 panels</t>
        </is>
      </c>
      <c r="J263" t="n">
        <v>364</v>
      </c>
      <c r="K263" s="9" t="n">
        <v>1638</v>
      </c>
      <c r="L263" t="inlineStr">
        <is>
          <t>PAID</t>
        </is>
      </c>
      <c r="M263">
        <f>IF(L263="VOIDED",0,1)</f>
        <v>1</v>
      </c>
      <c r="N263" t="n">
        <v>200</v>
      </c>
      <c r="O263" t="inlineStr">
        <is>
          <t>GST on Income</t>
        </is>
      </c>
      <c r="P263" t="inlineStr">
        <is>
          <t>R03</t>
        </is>
      </c>
      <c r="Q263" t="inlineStr">
        <is>
          <t>HIRE-FP</t>
        </is>
      </c>
      <c r="R263">
        <f>IF(OR(Q263="CONTEXT",Q263="REVIEW"),"",INDEX('Category Rules'!$D$5:$D$17,MATCH(P263,'Category Rules'!$A$5:$A$17,0)))</f>
        <v>4010</v>
      </c>
      <c r="S263" t="str">
        <f>IF(Q263="CONTEXT","Fencing",IF(Q263="REVIEW","",INDEX('Category Rules'!$E$5:$E$17,MATCH(P263,'Category Rules'!$A$5:$A$17,0))))</f>
        <v>Fencing</v>
      </c>
      <c r="T263" t="str">
        <f>IF(Q263="DEP","BAS Excluded","GST on Income")</f>
        <v>GST on Income</v>
      </c>
      <c r="U263">
        <f>IF(O263=T263,1,0)</f>
        <v>1</v>
      </c>
      <c r="V263" s="9">
        <f>IF(OR(M263=0,U263=1),0,IF(T263="GST on Income",ROUND(K263*0.1,2),ROUND(-K263*0.1,2)))</f>
        <v>0</v>
      </c>
    </row>
    <row r="264">
      <c r="A264" t="inlineStr">
        <is>
          <t>INV-4372-1</t>
        </is>
      </c>
      <c r="B264" t="inlineStr">
        <is>
          <t>INV-4372</t>
        </is>
      </c>
      <c r="C264" s="11" t="n">
        <v>45888</v>
      </c>
      <c r="D264" t="inlineStr">
        <is>
          <t>2025-08</t>
        </is>
      </c>
      <c r="E264" t="inlineStr">
        <is>
          <t>C0036</t>
        </is>
      </c>
      <c r="F264" t="inlineStr">
        <is>
          <t>C0036</t>
        </is>
      </c>
      <c r="G264" t="inlineStr">
        <is>
          <t>Summit Homes Pty Ltd</t>
        </is>
      </c>
      <c r="H264" t="inlineStr">
        <is>
          <t>S0055</t>
        </is>
      </c>
      <c r="I264" t="inlineStr">
        <is>
          <t>Pedestrian barrier hire 4 wks (22/07/25-18/08/25) - 22 barriers</t>
        </is>
      </c>
      <c r="J264" t="n">
        <v>88</v>
      </c>
      <c r="K264" s="9" t="n">
        <v>281.6</v>
      </c>
      <c r="L264" t="inlineStr">
        <is>
          <t>PAID</t>
        </is>
      </c>
      <c r="M264">
        <f>IF(L264="VOIDED",0,1)</f>
        <v>1</v>
      </c>
      <c r="N264" t="n">
        <v>200</v>
      </c>
      <c r="O264" t="inlineStr">
        <is>
          <t>GST on Income</t>
        </is>
      </c>
      <c r="P264" t="inlineStr">
        <is>
          <t>R04</t>
        </is>
      </c>
      <c r="Q264" t="inlineStr">
        <is>
          <t>HIRE-BR</t>
        </is>
      </c>
      <c r="R264">
        <f>IF(OR(Q264="CONTEXT",Q264="REVIEW"),"",INDEX('Category Rules'!$D$5:$D$17,MATCH(P264,'Category Rules'!$A$5:$A$17,0)))</f>
        <v>4010</v>
      </c>
      <c r="S264" t="str">
        <f>IF(Q264="CONTEXT","Fencing",IF(Q264="REVIEW","",INDEX('Category Rules'!$E$5:$E$17,MATCH(P264,'Category Rules'!$A$5:$A$17,0))))</f>
        <v>Fencing</v>
      </c>
      <c r="T264" t="str">
        <f>IF(Q264="DEP","BAS Excluded","GST on Income")</f>
        <v>GST on Income</v>
      </c>
      <c r="U264">
        <f>IF(O264=T264,1,0)</f>
        <v>1</v>
      </c>
      <c r="V264" s="9">
        <f>IF(OR(M264=0,U264=1),0,IF(T264="GST on Income",ROUND(K264*0.1,2),ROUND(-K264*0.1,2)))</f>
        <v>0</v>
      </c>
    </row>
    <row r="265">
      <c r="A265" t="inlineStr">
        <is>
          <t>INV-5187-1</t>
        </is>
      </c>
      <c r="B265" t="inlineStr">
        <is>
          <t>INV-5187</t>
        </is>
      </c>
      <c r="C265" s="11" t="n">
        <v>45888</v>
      </c>
      <c r="D265" t="inlineStr">
        <is>
          <t>2025-08</t>
        </is>
      </c>
      <c r="E265" t="inlineStr">
        <is>
          <t>C0029</t>
        </is>
      </c>
      <c r="F265" t="inlineStr">
        <is>
          <t>C0029</t>
        </is>
      </c>
      <c r="G265" t="inlineStr">
        <is>
          <t>Ironbark Constructions</t>
        </is>
      </c>
      <c r="H265" t="inlineStr">
        <is>
          <t>S0232</t>
        </is>
      </c>
      <c r="I265" t="inlineStr">
        <is>
          <t>Delivery and installation - temporary fencing</t>
        </is>
      </c>
      <c r="J265" t="n">
        <v>1</v>
      </c>
      <c r="K265" s="9" t="n">
        <v>165</v>
      </c>
      <c r="L265" t="inlineStr">
        <is>
          <t>PAID</t>
        </is>
      </c>
      <c r="M265">
        <f>IF(L265="VOIDED",0,1)</f>
        <v>1</v>
      </c>
      <c r="N265" t="n">
        <v>200</v>
      </c>
      <c r="O265" t="inlineStr">
        <is>
          <t>GST on Income</t>
        </is>
      </c>
      <c r="P265" t="inlineStr">
        <is>
          <t>R07</t>
        </is>
      </c>
      <c r="Q265" t="inlineStr">
        <is>
          <t>DEL-FP</t>
        </is>
      </c>
      <c r="R265">
        <f>IF(OR(Q265="CONTEXT",Q265="REVIEW"),"",INDEX('Category Rules'!$D$5:$D$17,MATCH(P265,'Category Rules'!$A$5:$A$17,0)))</f>
        <v>4020</v>
      </c>
      <c r="S265" t="str">
        <f>IF(Q265="CONTEXT","Fencing",IF(Q265="REVIEW","",INDEX('Category Rules'!$E$5:$E$17,MATCH(P265,'Category Rules'!$A$5:$A$17,0))))</f>
        <v>Fencing</v>
      </c>
      <c r="T265" t="str">
        <f>IF(Q265="DEP","BAS Excluded","GST on Income")</f>
        <v>GST on Income</v>
      </c>
      <c r="U265">
        <f>IF(O265=T265,1,0)</f>
        <v>1</v>
      </c>
      <c r="V265" s="9">
        <f>IF(OR(M265=0,U265=1),0,IF(T265="GST on Income",ROUND(K265*0.1,2),ROUND(-K265*0.1,2)))</f>
        <v>0</v>
      </c>
    </row>
    <row r="266">
      <c r="A266" t="inlineStr">
        <is>
          <t>INV-5187-2</t>
        </is>
      </c>
      <c r="B266" t="inlineStr">
        <is>
          <t>INV-5187</t>
        </is>
      </c>
      <c r="C266" s="11" t="n">
        <v>45888</v>
      </c>
      <c r="D266" t="inlineStr">
        <is>
          <t>2025-08</t>
        </is>
      </c>
      <c r="E266" t="inlineStr">
        <is>
          <t>C0029</t>
        </is>
      </c>
      <c r="F266" t="inlineStr">
        <is>
          <t>C0029</t>
        </is>
      </c>
      <c r="G266" t="inlineStr">
        <is>
          <t>Ironbark Constructions</t>
        </is>
      </c>
      <c r="H266" t="inlineStr">
        <is>
          <t>S0232</t>
        </is>
      </c>
      <c r="I266" t="inlineStr">
        <is>
          <t>Installation labour - 93 panels @ 2.20</t>
        </is>
      </c>
      <c r="J266" t="n">
        <v>93</v>
      </c>
      <c r="K266" s="9" t="n">
        <v>204.6</v>
      </c>
      <c r="L266" t="inlineStr">
        <is>
          <t>PAID</t>
        </is>
      </c>
      <c r="M266">
        <f>IF(L266="VOIDED",0,1)</f>
        <v>1</v>
      </c>
      <c r="N266" t="n">
        <v>200</v>
      </c>
      <c r="O266" t="inlineStr">
        <is>
          <t>GST on Income</t>
        </is>
      </c>
      <c r="P266" t="inlineStr">
        <is>
          <t>R07</t>
        </is>
      </c>
      <c r="Q266" t="inlineStr">
        <is>
          <t>DEL-FP</t>
        </is>
      </c>
      <c r="R266">
        <f>IF(OR(Q266="CONTEXT",Q266="REVIEW"),"",INDEX('Category Rules'!$D$5:$D$17,MATCH(P266,'Category Rules'!$A$5:$A$17,0)))</f>
        <v>4020</v>
      </c>
      <c r="S266" t="str">
        <f>IF(Q266="CONTEXT","Fencing",IF(Q266="REVIEW","",INDEX('Category Rules'!$E$5:$E$17,MATCH(P266,'Category Rules'!$A$5:$A$17,0))))</f>
        <v>Fencing</v>
      </c>
      <c r="T266" t="str">
        <f>IF(Q266="DEP","BAS Excluded","GST on Income")</f>
        <v>GST on Income</v>
      </c>
      <c r="U266">
        <f>IF(O266=T266,1,0)</f>
        <v>1</v>
      </c>
      <c r="V266" s="9">
        <f>IF(OR(M266=0,U266=1),0,IF(T266="GST on Income",ROUND(K266*0.1,2),ROUND(-K266*0.1,2)))</f>
        <v>0</v>
      </c>
    </row>
    <row r="267">
      <c r="A267" t="inlineStr">
        <is>
          <t>INV-5410-1</t>
        </is>
      </c>
      <c r="B267" t="inlineStr">
        <is>
          <t>INV-5410</t>
        </is>
      </c>
      <c r="C267" s="11" t="n">
        <v>45888</v>
      </c>
      <c r="D267" t="inlineStr">
        <is>
          <t>2025-08</t>
        </is>
      </c>
      <c r="E267" t="inlineStr">
        <is>
          <t>C0039</t>
        </is>
      </c>
      <c r="F267" t="inlineStr">
        <is>
          <t>C0039</t>
        </is>
      </c>
      <c r="G267" t="inlineStr">
        <is>
          <t>Coastline Developments Pty Ltd</t>
        </is>
      </c>
      <c r="H267" t="inlineStr">
        <is>
          <t>S0286</t>
        </is>
      </c>
      <c r="I267" t="inlineStr">
        <is>
          <t>Scaffold tower hire 4 wks (22/07/25-18/08/25) - 2 towers</t>
        </is>
      </c>
      <c r="J267" t="n">
        <v>8</v>
      </c>
      <c r="K267" s="9" t="n">
        <v>760</v>
      </c>
      <c r="L267" t="inlineStr">
        <is>
          <t>PAID</t>
        </is>
      </c>
      <c r="M267">
        <f>IF(L267="VOIDED",0,1)</f>
        <v>1</v>
      </c>
      <c r="N267" t="n">
        <v>200</v>
      </c>
      <c r="O267" t="inlineStr">
        <is>
          <t>GST on Income</t>
        </is>
      </c>
      <c r="P267" t="inlineStr">
        <is>
          <t>R05</t>
        </is>
      </c>
      <c r="Q267" t="inlineStr">
        <is>
          <t>HIRE-ST</t>
        </is>
      </c>
      <c r="R267">
        <f>IF(OR(Q267="CONTEXT",Q267="REVIEW"),"",INDEX('Category Rules'!$D$5:$D$17,MATCH(P267,'Category Rules'!$A$5:$A$17,0)))</f>
        <v>4010</v>
      </c>
      <c r="S267" t="str">
        <f>IF(Q267="CONTEXT","Scaffolding",IF(Q267="REVIEW","",INDEX('Category Rules'!$E$5:$E$17,MATCH(P267,'Category Rules'!$A$5:$A$17,0))))</f>
        <v>Scaffolding</v>
      </c>
      <c r="T267" t="str">
        <f>IF(Q267="DEP","BAS Excluded","GST on Income")</f>
        <v>GST on Income</v>
      </c>
      <c r="U267">
        <f>IF(O267=T267,1,0)</f>
        <v>1</v>
      </c>
      <c r="V267" s="9">
        <f>IF(OR(M267=0,U267=1),0,IF(T267="GST on Income",ROUND(K267*0.1,2),ROUND(-K267*0.1,2)))</f>
        <v>0</v>
      </c>
    </row>
    <row r="268">
      <c r="A268" t="inlineStr">
        <is>
          <t>INV-5707-1</t>
        </is>
      </c>
      <c r="B268" t="inlineStr">
        <is>
          <t>INV-5707</t>
        </is>
      </c>
      <c r="C268" s="11" t="n">
        <v>45888</v>
      </c>
      <c r="D268" t="inlineStr">
        <is>
          <t>2025-08</t>
        </is>
      </c>
      <c r="E268" t="inlineStr">
        <is>
          <t>C0067</t>
        </is>
      </c>
      <c r="F268" t="inlineStr">
        <is>
          <t>C0067</t>
        </is>
      </c>
      <c r="G268" t="inlineStr">
        <is>
          <t>Banksia Claims Services Pty Ltd</t>
        </is>
      </c>
      <c r="H268" t="inlineStr">
        <is>
          <t>S0438</t>
        </is>
      </c>
      <c r="I268" t="inlineStr">
        <is>
          <t>Make safe call-out</t>
        </is>
      </c>
      <c r="J268" t="n">
        <v>1</v>
      </c>
      <c r="K268" s="9" t="n">
        <v>385</v>
      </c>
      <c r="L268" t="inlineStr">
        <is>
          <t>PAID</t>
        </is>
      </c>
      <c r="M268">
        <f>IF(L268="VOIDED",0,1)</f>
        <v>1</v>
      </c>
      <c r="N268" t="n">
        <v>200</v>
      </c>
      <c r="O268" t="inlineStr">
        <is>
          <t>GST on Income</t>
        </is>
      </c>
      <c r="P268" t="inlineStr">
        <is>
          <t>R09</t>
        </is>
      </c>
      <c r="Q268" t="inlineStr">
        <is>
          <t>MS</t>
        </is>
      </c>
      <c r="R268">
        <f>IF(OR(Q268="CONTEXT",Q268="REVIEW"),"",INDEX('Category Rules'!$D$5:$D$17,MATCH(P268,'Category Rules'!$A$5:$A$17,0)))</f>
        <v>4020</v>
      </c>
      <c r="S268" t="str">
        <f>IF(Q268="CONTEXT","Make-safe",IF(Q268="REVIEW","",INDEX('Category Rules'!$E$5:$E$17,MATCH(P268,'Category Rules'!$A$5:$A$17,0))))</f>
        <v>Make-safe</v>
      </c>
      <c r="T268" t="str">
        <f>IF(Q268="DEP","BAS Excluded","GST on Income")</f>
        <v>GST on Income</v>
      </c>
      <c r="U268">
        <f>IF(O268=T268,1,0)</f>
        <v>1</v>
      </c>
      <c r="V268" s="9">
        <f>IF(OR(M268=0,U268=1),0,IF(T268="GST on Income",ROUND(K268*0.1,2),ROUND(-K268*0.1,2)))</f>
        <v>0</v>
      </c>
    </row>
    <row r="269">
      <c r="A269" t="inlineStr">
        <is>
          <t>INV-5707-2</t>
        </is>
      </c>
      <c r="B269" t="inlineStr">
        <is>
          <t>INV-5707</t>
        </is>
      </c>
      <c r="C269" s="11" t="n">
        <v>45888</v>
      </c>
      <c r="D269" t="inlineStr">
        <is>
          <t>2025-08</t>
        </is>
      </c>
      <c r="E269" t="inlineStr">
        <is>
          <t>C0067</t>
        </is>
      </c>
      <c r="F269" t="inlineStr">
        <is>
          <t>C0067</t>
        </is>
      </c>
      <c r="G269" t="inlineStr">
        <is>
          <t>Banksia Claims Services Pty Ltd</t>
        </is>
      </c>
      <c r="H269" t="inlineStr">
        <is>
          <t>S0438</t>
        </is>
      </c>
      <c r="I269" t="inlineStr">
        <is>
          <t>Tarp supply and install - 3 tarp(s)</t>
        </is>
      </c>
      <c r="J269" t="n">
        <v>3</v>
      </c>
      <c r="K269" s="9" t="n">
        <v>720</v>
      </c>
      <c r="L269" t="inlineStr">
        <is>
          <t>PAID</t>
        </is>
      </c>
      <c r="M269">
        <f>IF(L269="VOIDED",0,1)</f>
        <v>1</v>
      </c>
      <c r="N269" t="n">
        <v>200</v>
      </c>
      <c r="O269" t="inlineStr">
        <is>
          <t>GST Free Income</t>
        </is>
      </c>
      <c r="P269" t="inlineStr">
        <is>
          <t>R09</t>
        </is>
      </c>
      <c r="Q269" t="inlineStr">
        <is>
          <t>MS</t>
        </is>
      </c>
      <c r="R269">
        <f>IF(OR(Q269="CONTEXT",Q269="REVIEW"),"",INDEX('Category Rules'!$D$5:$D$17,MATCH(P269,'Category Rules'!$A$5:$A$17,0)))</f>
        <v>4020</v>
      </c>
      <c r="S269" t="str">
        <f>IF(Q269="CONTEXT","Make-safe",IF(Q269="REVIEW","",INDEX('Category Rules'!$E$5:$E$17,MATCH(P269,'Category Rules'!$A$5:$A$17,0))))</f>
        <v>Make-safe</v>
      </c>
      <c r="T269" t="str">
        <f>IF(Q269="DEP","BAS Excluded","GST on Income")</f>
        <v>GST on Income</v>
      </c>
      <c r="U269">
        <f>IF(O269=T269,1,0)</f>
        <v>0</v>
      </c>
      <c r="V269" s="9">
        <f>IF(OR(M269=0,U269=1),0,IF(T269="GST on Income",ROUND(K269*0.1,2),ROUND(-K269*0.1,2)))</f>
        <v>72</v>
      </c>
    </row>
    <row r="270">
      <c r="A270" t="inlineStr">
        <is>
          <t>INV-5411-1</t>
        </is>
      </c>
      <c r="B270" t="inlineStr">
        <is>
          <t>INV-5411</t>
        </is>
      </c>
      <c r="C270" s="11" t="n">
        <v>45889</v>
      </c>
      <c r="D270" t="inlineStr">
        <is>
          <t>2025-08</t>
        </is>
      </c>
      <c r="E270" t="inlineStr">
        <is>
          <t>C0039</t>
        </is>
      </c>
      <c r="F270" t="inlineStr">
        <is>
          <t>C0039</t>
        </is>
      </c>
      <c r="G270" t="inlineStr">
        <is>
          <t>Coastline Developments Pty Ltd</t>
        </is>
      </c>
      <c r="H270" t="inlineStr">
        <is>
          <t>S0286</t>
        </is>
      </c>
      <c r="I270" t="inlineStr">
        <is>
          <t>Scaffold tower hire 1 wks (19/08/25-19/08/25) - 2 towers</t>
        </is>
      </c>
      <c r="J270" t="n">
        <v>2</v>
      </c>
      <c r="K270" s="9" t="n">
        <v>190</v>
      </c>
      <c r="L270" t="inlineStr">
        <is>
          <t>PAID</t>
        </is>
      </c>
      <c r="M270">
        <f>IF(L270="VOIDED",0,1)</f>
        <v>1</v>
      </c>
      <c r="N270" t="n">
        <v>200</v>
      </c>
      <c r="O270" t="inlineStr">
        <is>
          <t>GST on Income</t>
        </is>
      </c>
      <c r="P270" t="inlineStr">
        <is>
          <t>R05</t>
        </is>
      </c>
      <c r="Q270" t="inlineStr">
        <is>
          <t>HIRE-ST</t>
        </is>
      </c>
      <c r="R270">
        <f>IF(OR(Q270="CONTEXT",Q270="REVIEW"),"",INDEX('Category Rules'!$D$5:$D$17,MATCH(P270,'Category Rules'!$A$5:$A$17,0)))</f>
        <v>4010</v>
      </c>
      <c r="S270" t="str">
        <f>IF(Q270="CONTEXT","Scaffolding",IF(Q270="REVIEW","",INDEX('Category Rules'!$E$5:$E$17,MATCH(P270,'Category Rules'!$A$5:$A$17,0))))</f>
        <v>Scaffolding</v>
      </c>
      <c r="T270" t="str">
        <f>IF(Q270="DEP","BAS Excluded","GST on Income")</f>
        <v>GST on Income</v>
      </c>
      <c r="U270">
        <f>IF(O270=T270,1,0)</f>
        <v>1</v>
      </c>
      <c r="V270" s="9">
        <f>IF(OR(M270=0,U270=1),0,IF(T270="GST on Income",ROUND(K270*0.1,2),ROUND(-K270*0.1,2)))</f>
        <v>0</v>
      </c>
    </row>
    <row r="271">
      <c r="A271" t="inlineStr">
        <is>
          <t>INV-5413-1</t>
        </is>
      </c>
      <c r="B271" t="inlineStr">
        <is>
          <t>INV-5413</t>
        </is>
      </c>
      <c r="C271" s="11" t="n">
        <v>45889</v>
      </c>
      <c r="D271" t="inlineStr">
        <is>
          <t>2025-08</t>
        </is>
      </c>
      <c r="E271" t="inlineStr">
        <is>
          <t>C0039</t>
        </is>
      </c>
      <c r="F271" t="inlineStr">
        <is>
          <t>C0039</t>
        </is>
      </c>
      <c r="G271" t="inlineStr">
        <is>
          <t>Coastline Developments Pty Ltd</t>
        </is>
      </c>
      <c r="H271" t="inlineStr">
        <is>
          <t>S0286</t>
        </is>
      </c>
      <c r="I271" t="inlineStr">
        <is>
          <t>Scaffold dismantle - 2 tower(s)</t>
        </is>
      </c>
      <c r="J271" t="n">
        <v>2</v>
      </c>
      <c r="K271" s="9" t="n">
        <v>640</v>
      </c>
      <c r="L271" t="inlineStr">
        <is>
          <t>PAID</t>
        </is>
      </c>
      <c r="M271">
        <f>IF(L271="VOIDED",0,1)</f>
        <v>1</v>
      </c>
      <c r="N271" t="n">
        <v>200</v>
      </c>
      <c r="O271" t="inlineStr">
        <is>
          <t>GST on Income</t>
        </is>
      </c>
      <c r="P271" t="inlineStr">
        <is>
          <t>R08</t>
        </is>
      </c>
      <c r="Q271" t="inlineStr">
        <is>
          <t>LAB-ST</t>
        </is>
      </c>
      <c r="R271">
        <f>IF(OR(Q271="CONTEXT",Q271="REVIEW"),"",INDEX('Category Rules'!$D$5:$D$17,MATCH(P271,'Category Rules'!$A$5:$A$17,0)))</f>
        <v>4020</v>
      </c>
      <c r="S271" t="str">
        <f>IF(Q271="CONTEXT","Scaffolding",IF(Q271="REVIEW","",INDEX('Category Rules'!$E$5:$E$17,MATCH(P271,'Category Rules'!$A$5:$A$17,0))))</f>
        <v>Scaffolding</v>
      </c>
      <c r="T271" t="str">
        <f>IF(Q271="DEP","BAS Excluded","GST on Income")</f>
        <v>GST on Income</v>
      </c>
      <c r="U271">
        <f>IF(O271=T271,1,0)</f>
        <v>1</v>
      </c>
      <c r="V271" s="9">
        <f>IF(OR(M271=0,U271=1),0,IF(T271="GST on Income",ROUND(K271*0.1,2),ROUND(-K271*0.1,2)))</f>
        <v>0</v>
      </c>
    </row>
    <row r="272">
      <c r="A272" t="inlineStr">
        <is>
          <t>INV-5777-1</t>
        </is>
      </c>
      <c r="B272" t="inlineStr">
        <is>
          <t>INV-5777</t>
        </is>
      </c>
      <c r="C272" s="11" t="n">
        <v>45889</v>
      </c>
      <c r="D272" t="inlineStr">
        <is>
          <t>2025-08</t>
        </is>
      </c>
      <c r="E272" t="inlineStr">
        <is>
          <t>C0064</t>
        </is>
      </c>
      <c r="F272" t="inlineStr">
        <is>
          <t>C0064</t>
        </is>
      </c>
      <c r="G272" t="inlineStr">
        <is>
          <t>Lakeside Claims Services Pty Ltd</t>
        </is>
      </c>
      <c r="H272" t="inlineStr">
        <is>
          <t>S0479</t>
        </is>
      </c>
      <c r="I272" t="inlineStr">
        <is>
          <t>Tarp kit hire 4 wks (23/07/25-19/08/25) - 1 kits</t>
        </is>
      </c>
      <c r="J272" t="n">
        <v>4</v>
      </c>
      <c r="K272" s="9" t="n">
        <v>140</v>
      </c>
      <c r="L272" t="inlineStr">
        <is>
          <t>PAID</t>
        </is>
      </c>
      <c r="M272">
        <f>IF(L272="VOIDED",0,1)</f>
        <v>1</v>
      </c>
      <c r="N272" t="n">
        <v>200</v>
      </c>
      <c r="O272" t="inlineStr">
        <is>
          <t>GST on Income</t>
        </is>
      </c>
      <c r="P272" t="inlineStr">
        <is>
          <t>R06</t>
        </is>
      </c>
      <c r="Q272" t="inlineStr">
        <is>
          <t>HIRE-TK</t>
        </is>
      </c>
      <c r="R272">
        <f>IF(OR(Q272="CONTEXT",Q272="REVIEW"),"",INDEX('Category Rules'!$D$5:$D$17,MATCH(P272,'Category Rules'!$A$5:$A$17,0)))</f>
        <v>4010</v>
      </c>
      <c r="S272" t="str">
        <f>IF(Q272="CONTEXT","Make-safe",IF(Q272="REVIEW","",INDEX('Category Rules'!$E$5:$E$17,MATCH(P272,'Category Rules'!$A$5:$A$17,0))))</f>
        <v>Make-safe</v>
      </c>
      <c r="T272" t="str">
        <f>IF(Q272="DEP","BAS Excluded","GST on Income")</f>
        <v>GST on Income</v>
      </c>
      <c r="U272">
        <f>IF(O272=T272,1,0)</f>
        <v>1</v>
      </c>
      <c r="V272" s="9">
        <f>IF(OR(M272=0,U272=1),0,IF(T272="GST on Income",ROUND(K272*0.1,2),ROUND(-K272*0.1,2)))</f>
        <v>0</v>
      </c>
    </row>
    <row r="273">
      <c r="A273" t="inlineStr">
        <is>
          <t>INV-4119-1</t>
        </is>
      </c>
      <c r="B273" t="inlineStr">
        <is>
          <t>INV-4119</t>
        </is>
      </c>
      <c r="C273" s="11" t="n">
        <v>45890</v>
      </c>
      <c r="D273" t="inlineStr">
        <is>
          <t>2025-08</t>
        </is>
      </c>
      <c r="E273" t="inlineStr">
        <is>
          <t>C0022</t>
        </is>
      </c>
      <c r="F273" t="inlineStr">
        <is>
          <t>C0022</t>
        </is>
      </c>
      <c r="G273" t="inlineStr">
        <is>
          <t>Highpoint Projects</t>
        </is>
      </c>
      <c r="H273" t="inlineStr">
        <is>
          <t>S0004</t>
        </is>
      </c>
      <c r="I273" t="inlineStr">
        <is>
          <t>Delivery and installation - temporary fencing</t>
        </is>
      </c>
      <c r="J273" t="n">
        <v>1</v>
      </c>
      <c r="K273" s="9" t="n">
        <v>165</v>
      </c>
      <c r="L273" t="inlineStr">
        <is>
          <t>PAID</t>
        </is>
      </c>
      <c r="M273">
        <f>IF(L273="VOIDED",0,1)</f>
        <v>1</v>
      </c>
      <c r="N273" t="n">
        <v>200</v>
      </c>
      <c r="O273" t="inlineStr">
        <is>
          <t>GST on Income</t>
        </is>
      </c>
      <c r="P273" t="inlineStr">
        <is>
          <t>R07</t>
        </is>
      </c>
      <c r="Q273" t="inlineStr">
        <is>
          <t>DEL-FP</t>
        </is>
      </c>
      <c r="R273">
        <f>IF(OR(Q273="CONTEXT",Q273="REVIEW"),"",INDEX('Category Rules'!$D$5:$D$17,MATCH(P273,'Category Rules'!$A$5:$A$17,0)))</f>
        <v>4020</v>
      </c>
      <c r="S273" t="str">
        <f>IF(Q273="CONTEXT","Fencing",IF(Q273="REVIEW","",INDEX('Category Rules'!$E$5:$E$17,MATCH(P273,'Category Rules'!$A$5:$A$17,0))))</f>
        <v>Fencing</v>
      </c>
      <c r="T273" t="str">
        <f>IF(Q273="DEP","BAS Excluded","GST on Income")</f>
        <v>GST on Income</v>
      </c>
      <c r="U273">
        <f>IF(O273=T273,1,0)</f>
        <v>1</v>
      </c>
      <c r="V273" s="9">
        <f>IF(OR(M273=0,U273=1),0,IF(T273="GST on Income",ROUND(K273*0.1,2),ROUND(-K273*0.1,2)))</f>
        <v>0</v>
      </c>
    </row>
    <row r="274">
      <c r="A274" t="inlineStr">
        <is>
          <t>INV-4119-2</t>
        </is>
      </c>
      <c r="B274" t="inlineStr">
        <is>
          <t>INV-4119</t>
        </is>
      </c>
      <c r="C274" s="11" t="n">
        <v>45890</v>
      </c>
      <c r="D274" t="inlineStr">
        <is>
          <t>2025-08</t>
        </is>
      </c>
      <c r="E274" t="inlineStr">
        <is>
          <t>C0022</t>
        </is>
      </c>
      <c r="F274" t="inlineStr">
        <is>
          <t>C0022</t>
        </is>
      </c>
      <c r="G274" t="inlineStr">
        <is>
          <t>Highpoint Projects</t>
        </is>
      </c>
      <c r="H274" t="inlineStr">
        <is>
          <t>S0004</t>
        </is>
      </c>
      <c r="I274" t="inlineStr">
        <is>
          <t>Installation labour - 125 panels @ 2.20</t>
        </is>
      </c>
      <c r="J274" t="n">
        <v>125</v>
      </c>
      <c r="K274" s="9" t="n">
        <v>275</v>
      </c>
      <c r="L274" t="inlineStr">
        <is>
          <t>PAID</t>
        </is>
      </c>
      <c r="M274">
        <f>IF(L274="VOIDED",0,1)</f>
        <v>1</v>
      </c>
      <c r="N274" t="n">
        <v>200</v>
      </c>
      <c r="O274" t="inlineStr">
        <is>
          <t>GST on Income</t>
        </is>
      </c>
      <c r="P274" t="inlineStr">
        <is>
          <t>R07</t>
        </is>
      </c>
      <c r="Q274" t="inlineStr">
        <is>
          <t>DEL-FP</t>
        </is>
      </c>
      <c r="R274">
        <f>IF(OR(Q274="CONTEXT",Q274="REVIEW"),"",INDEX('Category Rules'!$D$5:$D$17,MATCH(P274,'Category Rules'!$A$5:$A$17,0)))</f>
        <v>4020</v>
      </c>
      <c r="S274" t="str">
        <f>IF(Q274="CONTEXT","Fencing",IF(Q274="REVIEW","",INDEX('Category Rules'!$E$5:$E$17,MATCH(P274,'Category Rules'!$A$5:$A$17,0))))</f>
        <v>Fencing</v>
      </c>
      <c r="T274" t="str">
        <f>IF(Q274="DEP","BAS Excluded","GST on Income")</f>
        <v>GST on Income</v>
      </c>
      <c r="U274">
        <f>IF(O274=T274,1,0)</f>
        <v>1</v>
      </c>
      <c r="V274" s="9">
        <f>IF(OR(M274=0,U274=1),0,IF(T274="GST on Income",ROUND(K274*0.1,2),ROUND(-K274*0.1,2)))</f>
        <v>0</v>
      </c>
    </row>
    <row r="275">
      <c r="A275" t="inlineStr">
        <is>
          <t>INV-4485-1</t>
        </is>
      </c>
      <c r="B275" t="inlineStr">
        <is>
          <t>INV-4485</t>
        </is>
      </c>
      <c r="C275" s="11" t="n">
        <v>45890</v>
      </c>
      <c r="D275" t="inlineStr">
        <is>
          <t>2025-08</t>
        </is>
      </c>
      <c r="E275" t="inlineStr">
        <is>
          <t>C0018</t>
        </is>
      </c>
      <c r="F275" t="inlineStr">
        <is>
          <t>C0018</t>
        </is>
      </c>
      <c r="G275" t="inlineStr">
        <is>
          <t>Wattle Constructions Pty Ltd</t>
        </is>
      </c>
      <c r="H275" t="inlineStr">
        <is>
          <t>S0079</t>
        </is>
      </c>
      <c r="I275" t="inlineStr">
        <is>
          <t>Delivery and installation - temporary fencing</t>
        </is>
      </c>
      <c r="J275" t="n">
        <v>1</v>
      </c>
      <c r="K275" s="9" t="n">
        <v>165</v>
      </c>
      <c r="L275" t="inlineStr">
        <is>
          <t>PAID</t>
        </is>
      </c>
      <c r="M275">
        <f>IF(L275="VOIDED",0,1)</f>
        <v>1</v>
      </c>
      <c r="N275" t="n">
        <v>200</v>
      </c>
      <c r="O275" t="inlineStr">
        <is>
          <t>GST on Income</t>
        </is>
      </c>
      <c r="P275" t="inlineStr">
        <is>
          <t>R07</t>
        </is>
      </c>
      <c r="Q275" t="inlineStr">
        <is>
          <t>DEL-FP</t>
        </is>
      </c>
      <c r="R275">
        <f>IF(OR(Q275="CONTEXT",Q275="REVIEW"),"",INDEX('Category Rules'!$D$5:$D$17,MATCH(P275,'Category Rules'!$A$5:$A$17,0)))</f>
        <v>4020</v>
      </c>
      <c r="S275" t="str">
        <f>IF(Q275="CONTEXT","Fencing",IF(Q275="REVIEW","",INDEX('Category Rules'!$E$5:$E$17,MATCH(P275,'Category Rules'!$A$5:$A$17,0))))</f>
        <v>Fencing</v>
      </c>
      <c r="T275" t="str">
        <f>IF(Q275="DEP","BAS Excluded","GST on Income")</f>
        <v>GST on Income</v>
      </c>
      <c r="U275">
        <f>IF(O275=T275,1,0)</f>
        <v>1</v>
      </c>
      <c r="V275" s="9">
        <f>IF(OR(M275=0,U275=1),0,IF(T275="GST on Income",ROUND(K275*0.1,2),ROUND(-K275*0.1,2)))</f>
        <v>0</v>
      </c>
    </row>
    <row r="276">
      <c r="A276" t="inlineStr">
        <is>
          <t>INV-4485-2</t>
        </is>
      </c>
      <c r="B276" t="inlineStr">
        <is>
          <t>INV-4485</t>
        </is>
      </c>
      <c r="C276" s="11" t="n">
        <v>45890</v>
      </c>
      <c r="D276" t="inlineStr">
        <is>
          <t>2025-08</t>
        </is>
      </c>
      <c r="E276" t="inlineStr">
        <is>
          <t>C0018</t>
        </is>
      </c>
      <c r="F276" t="inlineStr">
        <is>
          <t>C0018</t>
        </is>
      </c>
      <c r="G276" t="inlineStr">
        <is>
          <t>Wattle Constructions Pty Ltd</t>
        </is>
      </c>
      <c r="H276" t="inlineStr">
        <is>
          <t>S0079</t>
        </is>
      </c>
      <c r="I276" t="inlineStr">
        <is>
          <t>Installation labour - 90 panels @ 2.20</t>
        </is>
      </c>
      <c r="J276" t="n">
        <v>90</v>
      </c>
      <c r="K276" s="9" t="n">
        <v>198</v>
      </c>
      <c r="L276" t="inlineStr">
        <is>
          <t>PAID</t>
        </is>
      </c>
      <c r="M276">
        <f>IF(L276="VOIDED",0,1)</f>
        <v>1</v>
      </c>
      <c r="N276" t="n">
        <v>200</v>
      </c>
      <c r="O276" t="inlineStr">
        <is>
          <t>GST on Income</t>
        </is>
      </c>
      <c r="P276" t="inlineStr">
        <is>
          <t>R07</t>
        </is>
      </c>
      <c r="Q276" t="inlineStr">
        <is>
          <t>DEL-FP</t>
        </is>
      </c>
      <c r="R276">
        <f>IF(OR(Q276="CONTEXT",Q276="REVIEW"),"",INDEX('Category Rules'!$D$5:$D$17,MATCH(P276,'Category Rules'!$A$5:$A$17,0)))</f>
        <v>4020</v>
      </c>
      <c r="S276" t="str">
        <f>IF(Q276="CONTEXT","Fencing",IF(Q276="REVIEW","",INDEX('Category Rules'!$E$5:$E$17,MATCH(P276,'Category Rules'!$A$5:$A$17,0))))</f>
        <v>Fencing</v>
      </c>
      <c r="T276" t="str">
        <f>IF(Q276="DEP","BAS Excluded","GST on Income")</f>
        <v>GST on Income</v>
      </c>
      <c r="U276">
        <f>IF(O276=T276,1,0)</f>
        <v>1</v>
      </c>
      <c r="V276" s="9">
        <f>IF(OR(M276=0,U276=1),0,IF(T276="GST on Income",ROUND(K276*0.1,2),ROUND(-K276*0.1,2)))</f>
        <v>0</v>
      </c>
    </row>
    <row r="277">
      <c r="A277" t="inlineStr">
        <is>
          <t>INV-5246-1</t>
        </is>
      </c>
      <c r="B277" t="inlineStr">
        <is>
          <t>INV-5246</t>
        </is>
      </c>
      <c r="C277" s="11" t="n">
        <v>45890</v>
      </c>
      <c r="D277" t="inlineStr">
        <is>
          <t>2025-08</t>
        </is>
      </c>
      <c r="E277" t="inlineStr">
        <is>
          <t>C0124</t>
        </is>
      </c>
      <c r="F277" t="inlineStr">
        <is>
          <t>C0124</t>
        </is>
      </c>
      <c r="G277" t="inlineStr">
        <is>
          <t>Harbor Strata Management</t>
        </is>
      </c>
      <c r="H277" t="inlineStr">
        <is>
          <t>S0247</t>
        </is>
      </c>
      <c r="I277" t="inlineStr">
        <is>
          <t>Scaffold tower hire 4 wks (24/07/25-20/08/25) - 2 towers</t>
        </is>
      </c>
      <c r="J277" t="n">
        <v>8</v>
      </c>
      <c r="K277" s="9" t="n">
        <v>760</v>
      </c>
      <c r="L277" t="inlineStr">
        <is>
          <t>PAID</t>
        </is>
      </c>
      <c r="M277">
        <f>IF(L277="VOIDED",0,1)</f>
        <v>1</v>
      </c>
      <c r="N277" t="n">
        <v>260</v>
      </c>
      <c r="O277" t="inlineStr">
        <is>
          <t>GST on Income</t>
        </is>
      </c>
      <c r="P277" t="inlineStr">
        <is>
          <t>R05</t>
        </is>
      </c>
      <c r="Q277" t="inlineStr">
        <is>
          <t>HIRE-ST</t>
        </is>
      </c>
      <c r="R277">
        <f>IF(OR(Q277="CONTEXT",Q277="REVIEW"),"",INDEX('Category Rules'!$D$5:$D$17,MATCH(P277,'Category Rules'!$A$5:$A$17,0)))</f>
        <v>4010</v>
      </c>
      <c r="S277" t="str">
        <f>IF(Q277="CONTEXT","Scaffolding",IF(Q277="REVIEW","",INDEX('Category Rules'!$E$5:$E$17,MATCH(P277,'Category Rules'!$A$5:$A$17,0))))</f>
        <v>Scaffolding</v>
      </c>
      <c r="T277" t="str">
        <f>IF(Q277="DEP","BAS Excluded","GST on Income")</f>
        <v>GST on Income</v>
      </c>
      <c r="U277">
        <f>IF(O277=T277,1,0)</f>
        <v>1</v>
      </c>
      <c r="V277" s="9">
        <f>IF(OR(M277=0,U277=1),0,IF(T277="GST on Income",ROUND(K277*0.1,2),ROUND(-K277*0.1,2)))</f>
        <v>0</v>
      </c>
    </row>
    <row r="278">
      <c r="A278" t="inlineStr">
        <is>
          <t>INV-5722-1</t>
        </is>
      </c>
      <c r="B278" t="inlineStr">
        <is>
          <t>INV-5722</t>
        </is>
      </c>
      <c r="C278" s="11" t="n">
        <v>45890</v>
      </c>
      <c r="D278" t="inlineStr">
        <is>
          <t>2025-08</t>
        </is>
      </c>
      <c r="E278" t="inlineStr">
        <is>
          <t>C0010</t>
        </is>
      </c>
      <c r="F278" t="inlineStr">
        <is>
          <t>C0010</t>
        </is>
      </c>
      <c r="G278" t="inlineStr">
        <is>
          <t>Eastlink Developments</t>
        </is>
      </c>
      <c r="H278" t="inlineStr">
        <is>
          <t>S0446</t>
        </is>
      </c>
      <c r="I278" t="inlineStr">
        <is>
          <t>Emergency make safe call-out - after hours</t>
        </is>
      </c>
      <c r="J278" t="n">
        <v>1</v>
      </c>
      <c r="K278" s="9" t="n">
        <v>560</v>
      </c>
      <c r="L278" t="inlineStr">
        <is>
          <t>PAID</t>
        </is>
      </c>
      <c r="M278">
        <f>IF(L278="VOIDED",0,1)</f>
        <v>1</v>
      </c>
      <c r="N278" t="n">
        <v>200</v>
      </c>
      <c r="O278" t="inlineStr">
        <is>
          <t>GST on Income</t>
        </is>
      </c>
      <c r="P278" t="inlineStr">
        <is>
          <t>R09</t>
        </is>
      </c>
      <c r="Q278" t="inlineStr">
        <is>
          <t>MS</t>
        </is>
      </c>
      <c r="R278">
        <f>IF(OR(Q278="CONTEXT",Q278="REVIEW"),"",INDEX('Category Rules'!$D$5:$D$17,MATCH(P278,'Category Rules'!$A$5:$A$17,0)))</f>
        <v>4020</v>
      </c>
      <c r="S278" t="str">
        <f>IF(Q278="CONTEXT","Make-safe",IF(Q278="REVIEW","",INDEX('Category Rules'!$E$5:$E$17,MATCH(P278,'Category Rules'!$A$5:$A$17,0))))</f>
        <v>Make-safe</v>
      </c>
      <c r="T278" t="str">
        <f>IF(Q278="DEP","BAS Excluded","GST on Income")</f>
        <v>GST on Income</v>
      </c>
      <c r="U278">
        <f>IF(O278=T278,1,0)</f>
        <v>1</v>
      </c>
      <c r="V278" s="9">
        <f>IF(OR(M278=0,U278=1),0,IF(T278="GST on Income",ROUND(K278*0.1,2),ROUND(-K278*0.1,2)))</f>
        <v>0</v>
      </c>
    </row>
    <row r="279">
      <c r="A279" t="inlineStr">
        <is>
          <t>INV-5756-1</t>
        </is>
      </c>
      <c r="B279" t="inlineStr">
        <is>
          <t>INV-5756</t>
        </is>
      </c>
      <c r="C279" s="11" t="n">
        <v>45890</v>
      </c>
      <c r="D279" t="inlineStr">
        <is>
          <t>2025-08</t>
        </is>
      </c>
      <c r="E279" t="inlineStr">
        <is>
          <t>C0086</t>
        </is>
      </c>
      <c r="F279" t="inlineStr">
        <is>
          <t>C0086</t>
        </is>
      </c>
      <c r="G279" t="inlineStr">
        <is>
          <t>Mei Ali</t>
        </is>
      </c>
      <c r="H279" t="inlineStr">
        <is>
          <t>S0464</t>
        </is>
      </c>
      <c r="I279" t="inlineStr">
        <is>
          <t>Make safe call-out</t>
        </is>
      </c>
      <c r="J279" t="n">
        <v>1</v>
      </c>
      <c r="K279" s="9" t="n">
        <v>385</v>
      </c>
      <c r="L279" t="inlineStr">
        <is>
          <t>PAID</t>
        </is>
      </c>
      <c r="M279">
        <f>IF(L279="VOIDED",0,1)</f>
        <v>1</v>
      </c>
      <c r="N279" t="n">
        <v>200</v>
      </c>
      <c r="O279" t="inlineStr">
        <is>
          <t>GST on Income</t>
        </is>
      </c>
      <c r="P279" t="inlineStr">
        <is>
          <t>R09</t>
        </is>
      </c>
      <c r="Q279" t="inlineStr">
        <is>
          <t>MS</t>
        </is>
      </c>
      <c r="R279">
        <f>IF(OR(Q279="CONTEXT",Q279="REVIEW"),"",INDEX('Category Rules'!$D$5:$D$17,MATCH(P279,'Category Rules'!$A$5:$A$17,0)))</f>
        <v>4020</v>
      </c>
      <c r="S279" t="str">
        <f>IF(Q279="CONTEXT","Make-safe",IF(Q279="REVIEW","",INDEX('Category Rules'!$E$5:$E$17,MATCH(P279,'Category Rules'!$A$5:$A$17,0))))</f>
        <v>Make-safe</v>
      </c>
      <c r="T279" t="str">
        <f>IF(Q279="DEP","BAS Excluded","GST on Income")</f>
        <v>GST on Income</v>
      </c>
      <c r="U279">
        <f>IF(O279=T279,1,0)</f>
        <v>1</v>
      </c>
      <c r="V279" s="9">
        <f>IF(OR(M279=0,U279=1),0,IF(T279="GST on Income",ROUND(K279*0.1,2),ROUND(-K279*0.1,2)))</f>
        <v>0</v>
      </c>
    </row>
    <row r="280">
      <c r="A280" t="inlineStr">
        <is>
          <t>INV-5938-1</t>
        </is>
      </c>
      <c r="B280" t="inlineStr">
        <is>
          <t>INV-5938</t>
        </is>
      </c>
      <c r="C280" s="11" t="n">
        <v>45890</v>
      </c>
      <c r="D280" t="inlineStr">
        <is>
          <t>2025-08</t>
        </is>
      </c>
      <c r="E280" t="inlineStr">
        <is>
          <t>C0039</t>
        </is>
      </c>
      <c r="F280" t="inlineStr">
        <is>
          <t>C0039</t>
        </is>
      </c>
      <c r="G280" t="inlineStr">
        <is>
          <t>Coastline Developments Pty Ltd</t>
        </is>
      </c>
      <c r="H280" t="inlineStr"/>
      <c r="I280" t="inlineStr">
        <is>
          <t>As per quote Q-2406</t>
        </is>
      </c>
      <c r="J280" t="n">
        <v>1</v>
      </c>
      <c r="K280" s="9" t="n">
        <v>3142.82</v>
      </c>
      <c r="L280" t="inlineStr">
        <is>
          <t>PAID</t>
        </is>
      </c>
      <c r="M280">
        <f>IF(L280="VOIDED",0,1)</f>
        <v>1</v>
      </c>
      <c r="N280" t="n">
        <v>200</v>
      </c>
      <c r="O280" t="inlineStr">
        <is>
          <t>GST on Income</t>
        </is>
      </c>
      <c r="P280" t="inlineStr">
        <is>
          <t>--</t>
        </is>
      </c>
      <c r="Q280" t="inlineStr">
        <is>
          <t>REVIEW</t>
        </is>
      </c>
      <c r="R280">
        <f>IF(OR(Q280="CONTEXT",Q280="REVIEW"),"",INDEX('Category Rules'!$D$5:$D$17,MATCH(P280,'Category Rules'!$A$5:$A$17,0)))</f>
      </c>
      <c r="S280">
        <f>IF(Q280="CONTEXT","",IF(Q280="REVIEW","",INDEX('Category Rules'!$E$5:$E$17,MATCH(P280,'Category Rules'!$A$5:$A$17,0))))</f>
      </c>
      <c r="T280" t="str">
        <f>IF(Q280="DEP","BAS Excluded","GST on Income")</f>
        <v>GST on Income</v>
      </c>
      <c r="U280">
        <f>IF(O280=T280,1,0)</f>
        <v>1</v>
      </c>
      <c r="V280" s="9">
        <f>IF(OR(M280=0,U280=1),0,IF(T280="GST on Income",ROUND(K280*0.1,2),ROUND(-K280*0.1,2)))</f>
        <v>0</v>
      </c>
    </row>
    <row r="281">
      <c r="A281" t="inlineStr">
        <is>
          <t>INV-4326-1</t>
        </is>
      </c>
      <c r="B281" t="inlineStr">
        <is>
          <t>INV-4326</t>
        </is>
      </c>
      <c r="C281" s="11" t="n">
        <v>45891</v>
      </c>
      <c r="D281" t="inlineStr">
        <is>
          <t>2025-08</t>
        </is>
      </c>
      <c r="E281" t="inlineStr">
        <is>
          <t>C0042</t>
        </is>
      </c>
      <c r="F281" t="inlineStr">
        <is>
          <t>C0042</t>
        </is>
      </c>
      <c r="G281" t="inlineStr">
        <is>
          <t>Lakeside Constructions Pty Ltd</t>
        </is>
      </c>
      <c r="H281" t="inlineStr">
        <is>
          <t>S0049</t>
        </is>
      </c>
      <c r="I281" t="inlineStr">
        <is>
          <t>Temporary fence hire 4 wks (25/07/25-21/08/25) - 27 panels</t>
        </is>
      </c>
      <c r="J281" t="n">
        <v>108</v>
      </c>
      <c r="K281" s="9" t="n">
        <v>486</v>
      </c>
      <c r="L281" t="inlineStr">
        <is>
          <t>PAID</t>
        </is>
      </c>
      <c r="M281">
        <f>IF(L281="VOIDED",0,1)</f>
        <v>1</v>
      </c>
      <c r="N281" t="n">
        <v>200</v>
      </c>
      <c r="O281" t="inlineStr">
        <is>
          <t>GST on Income</t>
        </is>
      </c>
      <c r="P281" t="inlineStr">
        <is>
          <t>R03</t>
        </is>
      </c>
      <c r="Q281" t="inlineStr">
        <is>
          <t>HIRE-FP</t>
        </is>
      </c>
      <c r="R281">
        <f>IF(OR(Q281="CONTEXT",Q281="REVIEW"),"",INDEX('Category Rules'!$D$5:$D$17,MATCH(P281,'Category Rules'!$A$5:$A$17,0)))</f>
        <v>4010</v>
      </c>
      <c r="S281" t="str">
        <f>IF(Q281="CONTEXT","Fencing",IF(Q281="REVIEW","",INDEX('Category Rules'!$E$5:$E$17,MATCH(P281,'Category Rules'!$A$5:$A$17,0))))</f>
        <v>Fencing</v>
      </c>
      <c r="T281" t="str">
        <f>IF(Q281="DEP","BAS Excluded","GST on Income")</f>
        <v>GST on Income</v>
      </c>
      <c r="U281">
        <f>IF(O281=T281,1,0)</f>
        <v>1</v>
      </c>
      <c r="V281" s="9">
        <f>IF(OR(M281=0,U281=1),0,IF(T281="GST on Income",ROUND(K281*0.1,2),ROUND(-K281*0.1,2)))</f>
        <v>0</v>
      </c>
    </row>
    <row r="282">
      <c r="A282" t="inlineStr">
        <is>
          <t>INV-5747-1</t>
        </is>
      </c>
      <c r="B282" t="inlineStr">
        <is>
          <t>INV-5747</t>
        </is>
      </c>
      <c r="C282" s="11" t="n">
        <v>45891</v>
      </c>
      <c r="D282" t="inlineStr">
        <is>
          <t>2025-08</t>
        </is>
      </c>
      <c r="E282" t="inlineStr">
        <is>
          <t>C0012</t>
        </is>
      </c>
      <c r="F282" t="inlineStr">
        <is>
          <t>C0012</t>
        </is>
      </c>
      <c r="G282" t="inlineStr">
        <is>
          <t>Kestrel Constructions Pty Ltd</t>
        </is>
      </c>
      <c r="H282" t="inlineStr">
        <is>
          <t>S0459</t>
        </is>
      </c>
      <c r="I282" t="inlineStr">
        <is>
          <t>Tarp kit hire 3 wks (07/08/25-21/08/25) - 3 kits</t>
        </is>
      </c>
      <c r="J282" t="n">
        <v>9</v>
      </c>
      <c r="K282" s="9" t="n">
        <v>315</v>
      </c>
      <c r="L282" t="inlineStr">
        <is>
          <t>PAID</t>
        </is>
      </c>
      <c r="M282">
        <f>IF(L282="VOIDED",0,1)</f>
        <v>1</v>
      </c>
      <c r="N282" t="n">
        <v>200</v>
      </c>
      <c r="O282" t="inlineStr">
        <is>
          <t>GST on Income</t>
        </is>
      </c>
      <c r="P282" t="inlineStr">
        <is>
          <t>R06</t>
        </is>
      </c>
      <c r="Q282" t="inlineStr">
        <is>
          <t>HIRE-TK</t>
        </is>
      </c>
      <c r="R282">
        <f>IF(OR(Q282="CONTEXT",Q282="REVIEW"),"",INDEX('Category Rules'!$D$5:$D$17,MATCH(P282,'Category Rules'!$A$5:$A$17,0)))</f>
        <v>4010</v>
      </c>
      <c r="S282" t="str">
        <f>IF(Q282="CONTEXT","Make-safe",IF(Q282="REVIEW","",INDEX('Category Rules'!$E$5:$E$17,MATCH(P282,'Category Rules'!$A$5:$A$17,0))))</f>
        <v>Make-safe</v>
      </c>
      <c r="T282" t="str">
        <f>IF(Q282="DEP","BAS Excluded","GST on Income")</f>
        <v>GST on Income</v>
      </c>
      <c r="U282">
        <f>IF(O282=T282,1,0)</f>
        <v>1</v>
      </c>
      <c r="V282" s="9">
        <f>IF(OR(M282=0,U282=1),0,IF(T282="GST on Income",ROUND(K282*0.1,2),ROUND(-K282*0.1,2)))</f>
        <v>0</v>
      </c>
    </row>
    <row r="283">
      <c r="A283" t="inlineStr">
        <is>
          <t>INV-4423-1</t>
        </is>
      </c>
      <c r="B283" t="inlineStr">
        <is>
          <t>INV-4423</t>
        </is>
      </c>
      <c r="C283" s="11" t="n">
        <v>45892</v>
      </c>
      <c r="D283" t="inlineStr">
        <is>
          <t>2025-08</t>
        </is>
      </c>
      <c r="E283" t="inlineStr">
        <is>
          <t>C0061</t>
        </is>
      </c>
      <c r="F283" t="inlineStr">
        <is>
          <t>C0061</t>
        </is>
      </c>
      <c r="G283" t="inlineStr">
        <is>
          <t>Southbank Claims Services Pty Ltd</t>
        </is>
      </c>
      <c r="H283" t="inlineStr">
        <is>
          <t>S0065</t>
        </is>
      </c>
      <c r="I283" t="inlineStr">
        <is>
          <t>Temporary fence hire 4 wks (26/07/25-22/08/25) - 130 panels</t>
        </is>
      </c>
      <c r="J283" t="n">
        <v>520</v>
      </c>
      <c r="K283" s="9" t="n">
        <v>2340</v>
      </c>
      <c r="L283" t="inlineStr">
        <is>
          <t>VOIDED</t>
        </is>
      </c>
      <c r="M283">
        <f>IF(L283="VOIDED",0,1)</f>
        <v>0</v>
      </c>
      <c r="N283" t="n">
        <v>200</v>
      </c>
      <c r="O283" t="inlineStr">
        <is>
          <t>GST on Income</t>
        </is>
      </c>
      <c r="P283" t="inlineStr">
        <is>
          <t>R03</t>
        </is>
      </c>
      <c r="Q283" t="inlineStr">
        <is>
          <t>HIRE-FP</t>
        </is>
      </c>
      <c r="R283">
        <f>IF(OR(Q283="CONTEXT",Q283="REVIEW"),"",INDEX('Category Rules'!$D$5:$D$17,MATCH(P283,'Category Rules'!$A$5:$A$17,0)))</f>
        <v>4010</v>
      </c>
      <c r="S283" t="str">
        <f>IF(Q283="CONTEXT","Fencing",IF(Q283="REVIEW","",INDEX('Category Rules'!$E$5:$E$17,MATCH(P283,'Category Rules'!$A$5:$A$17,0))))</f>
        <v>Fencing</v>
      </c>
      <c r="T283" t="str">
        <f>IF(Q283="DEP","BAS Excluded","GST on Income")</f>
        <v>GST on Income</v>
      </c>
      <c r="U283">
        <f>IF(O283=T283,1,0)</f>
        <v>1</v>
      </c>
      <c r="V283" s="9">
        <f>IF(OR(M283=0,U283=1),0,IF(T283="GST on Income",ROUND(K283*0.1,2),ROUND(-K283*0.1,2)))</f>
        <v>0</v>
      </c>
    </row>
    <row r="284">
      <c r="A284" t="inlineStr">
        <is>
          <t>INV-5762-1</t>
        </is>
      </c>
      <c r="B284" t="inlineStr">
        <is>
          <t>INV-5762</t>
        </is>
      </c>
      <c r="C284" s="11" t="n">
        <v>45892</v>
      </c>
      <c r="D284" t="inlineStr">
        <is>
          <t>2025-08</t>
        </is>
      </c>
      <c r="E284" t="inlineStr">
        <is>
          <t>C0050</t>
        </is>
      </c>
      <c r="F284" t="inlineStr">
        <is>
          <t>C0050</t>
        </is>
      </c>
      <c r="G284" t="inlineStr">
        <is>
          <t>Southbank Body Corporate Pty Ltd</t>
        </is>
      </c>
      <c r="H284" t="inlineStr">
        <is>
          <t>S0468</t>
        </is>
      </c>
      <c r="I284" t="inlineStr">
        <is>
          <t>Tarp kit hire 2 wks (15/08/25-22/08/25) - 1 kits</t>
        </is>
      </c>
      <c r="J284" t="n">
        <v>2</v>
      </c>
      <c r="K284" s="9" t="n">
        <v>70</v>
      </c>
      <c r="L284" t="inlineStr">
        <is>
          <t>PAID</t>
        </is>
      </c>
      <c r="M284">
        <f>IF(L284="VOIDED",0,1)</f>
        <v>1</v>
      </c>
      <c r="N284" t="n">
        <v>200</v>
      </c>
      <c r="O284" t="inlineStr">
        <is>
          <t>GST on Income</t>
        </is>
      </c>
      <c r="P284" t="inlineStr">
        <is>
          <t>R06</t>
        </is>
      </c>
      <c r="Q284" t="inlineStr">
        <is>
          <t>HIRE-TK</t>
        </is>
      </c>
      <c r="R284">
        <f>IF(OR(Q284="CONTEXT",Q284="REVIEW"),"",INDEX('Category Rules'!$D$5:$D$17,MATCH(P284,'Category Rules'!$A$5:$A$17,0)))</f>
        <v>4010</v>
      </c>
      <c r="S284" t="str">
        <f>IF(Q284="CONTEXT","Make-safe",IF(Q284="REVIEW","",INDEX('Category Rules'!$E$5:$E$17,MATCH(P284,'Category Rules'!$A$5:$A$17,0))))</f>
        <v>Make-safe</v>
      </c>
      <c r="T284" t="str">
        <f>IF(Q284="DEP","BAS Excluded","GST on Income")</f>
        <v>GST on Income</v>
      </c>
      <c r="U284">
        <f>IF(O284=T284,1,0)</f>
        <v>1</v>
      </c>
      <c r="V284" s="9">
        <f>IF(OR(M284=0,U284=1),0,IF(T284="GST on Income",ROUND(K284*0.1,2),ROUND(-K284*0.1,2)))</f>
        <v>0</v>
      </c>
    </row>
    <row r="285">
      <c r="A285" t="inlineStr">
        <is>
          <t>INV-4231-1</t>
        </is>
      </c>
      <c r="B285" t="inlineStr">
        <is>
          <t>INV-4231</t>
        </is>
      </c>
      <c r="C285" s="11" t="n">
        <v>45893</v>
      </c>
      <c r="D285" t="inlineStr">
        <is>
          <t>2025-08</t>
        </is>
      </c>
      <c r="E285" t="inlineStr">
        <is>
          <t>C0105</t>
        </is>
      </c>
      <c r="F285" t="inlineStr">
        <is>
          <t>C0105</t>
        </is>
      </c>
      <c r="G285" t="inlineStr">
        <is>
          <t>Priya Walker</t>
        </is>
      </c>
      <c r="H285" t="inlineStr">
        <is>
          <t>S0025</t>
        </is>
      </c>
      <c r="I285" t="inlineStr">
        <is>
          <t>Temporary fence hire 4 wks (27/07/25-23/08/25) - 76 panels</t>
        </is>
      </c>
      <c r="J285" t="n">
        <v>304</v>
      </c>
      <c r="K285" s="9" t="n">
        <v>1368</v>
      </c>
      <c r="L285" t="inlineStr">
        <is>
          <t>PAID</t>
        </is>
      </c>
      <c r="M285">
        <f>IF(L285="VOIDED",0,1)</f>
        <v>1</v>
      </c>
      <c r="N285" t="n">
        <v>200</v>
      </c>
      <c r="O285" t="inlineStr">
        <is>
          <t>GST on Income</t>
        </is>
      </c>
      <c r="P285" t="inlineStr">
        <is>
          <t>R03</t>
        </is>
      </c>
      <c r="Q285" t="inlineStr">
        <is>
          <t>HIRE-FP</t>
        </is>
      </c>
      <c r="R285">
        <f>IF(OR(Q285="CONTEXT",Q285="REVIEW"),"",INDEX('Category Rules'!$D$5:$D$17,MATCH(P285,'Category Rules'!$A$5:$A$17,0)))</f>
        <v>4010</v>
      </c>
      <c r="S285" t="str">
        <f>IF(Q285="CONTEXT","Fencing",IF(Q285="REVIEW","",INDEX('Category Rules'!$E$5:$E$17,MATCH(P285,'Category Rules'!$A$5:$A$17,0))))</f>
        <v>Fencing</v>
      </c>
      <c r="T285" t="str">
        <f>IF(Q285="DEP","BAS Excluded","GST on Income")</f>
        <v>GST on Income</v>
      </c>
      <c r="U285">
        <f>IF(O285=T285,1,0)</f>
        <v>1</v>
      </c>
      <c r="V285" s="9">
        <f>IF(OR(M285=0,U285=1),0,IF(T285="GST on Income",ROUND(K285*0.1,2),ROUND(-K285*0.1,2)))</f>
        <v>0</v>
      </c>
    </row>
    <row r="286">
      <c r="A286" t="inlineStr">
        <is>
          <t>INV-4289-1</t>
        </is>
      </c>
      <c r="B286" t="inlineStr">
        <is>
          <t>INV-4289</t>
        </is>
      </c>
      <c r="C286" s="11" t="n">
        <v>45893</v>
      </c>
      <c r="D286" t="inlineStr">
        <is>
          <t>2025-08</t>
        </is>
      </c>
      <c r="E286" t="inlineStr">
        <is>
          <t>C0015</t>
        </is>
      </c>
      <c r="F286" t="inlineStr">
        <is>
          <t>C0015</t>
        </is>
      </c>
      <c r="G286" t="inlineStr">
        <is>
          <t>Bluegum Building Group</t>
        </is>
      </c>
      <c r="H286" t="inlineStr">
        <is>
          <t>S0038</t>
        </is>
      </c>
      <c r="I286" t="inlineStr">
        <is>
          <t>Delivery and installation - temporary fencing</t>
        </is>
      </c>
      <c r="J286" t="n">
        <v>1</v>
      </c>
      <c r="K286" s="9" t="n">
        <v>165</v>
      </c>
      <c r="L286" t="inlineStr">
        <is>
          <t>PAID</t>
        </is>
      </c>
      <c r="M286">
        <f>IF(L286="VOIDED",0,1)</f>
        <v>1</v>
      </c>
      <c r="N286" t="n">
        <v>200</v>
      </c>
      <c r="O286" t="inlineStr">
        <is>
          <t>GST on Income</t>
        </is>
      </c>
      <c r="P286" t="inlineStr">
        <is>
          <t>R07</t>
        </is>
      </c>
      <c r="Q286" t="inlineStr">
        <is>
          <t>DEL-FP</t>
        </is>
      </c>
      <c r="R286">
        <f>IF(OR(Q286="CONTEXT",Q286="REVIEW"),"",INDEX('Category Rules'!$D$5:$D$17,MATCH(P286,'Category Rules'!$A$5:$A$17,0)))</f>
        <v>4020</v>
      </c>
      <c r="S286" t="str">
        <f>IF(Q286="CONTEXT","Fencing",IF(Q286="REVIEW","",INDEX('Category Rules'!$E$5:$E$17,MATCH(P286,'Category Rules'!$A$5:$A$17,0))))</f>
        <v>Fencing</v>
      </c>
      <c r="T286" t="str">
        <f>IF(Q286="DEP","BAS Excluded","GST on Income")</f>
        <v>GST on Income</v>
      </c>
      <c r="U286">
        <f>IF(O286=T286,1,0)</f>
        <v>1</v>
      </c>
      <c r="V286" s="9">
        <f>IF(OR(M286=0,U286=1),0,IF(T286="GST on Income",ROUND(K286*0.1,2),ROUND(-K286*0.1,2)))</f>
        <v>0</v>
      </c>
    </row>
    <row r="287">
      <c r="A287" t="inlineStr">
        <is>
          <t>INV-4289-2</t>
        </is>
      </c>
      <c r="B287" t="inlineStr">
        <is>
          <t>INV-4289</t>
        </is>
      </c>
      <c r="C287" s="11" t="n">
        <v>45893</v>
      </c>
      <c r="D287" t="inlineStr">
        <is>
          <t>2025-08</t>
        </is>
      </c>
      <c r="E287" t="inlineStr">
        <is>
          <t>C0015</t>
        </is>
      </c>
      <c r="F287" t="inlineStr">
        <is>
          <t>C0015</t>
        </is>
      </c>
      <c r="G287" t="inlineStr">
        <is>
          <t>Bluegum Building Group</t>
        </is>
      </c>
      <c r="H287" t="inlineStr">
        <is>
          <t>S0038</t>
        </is>
      </c>
      <c r="I287" t="inlineStr">
        <is>
          <t>Installation labour - 137 panels @ 2.20</t>
        </is>
      </c>
      <c r="J287" t="n">
        <v>137</v>
      </c>
      <c r="K287" s="9" t="n">
        <v>301.4</v>
      </c>
      <c r="L287" t="inlineStr">
        <is>
          <t>PAID</t>
        </is>
      </c>
      <c r="M287">
        <f>IF(L287="VOIDED",0,1)</f>
        <v>1</v>
      </c>
      <c r="N287" t="n">
        <v>200</v>
      </c>
      <c r="O287" t="inlineStr">
        <is>
          <t>GST on Income</t>
        </is>
      </c>
      <c r="P287" t="inlineStr">
        <is>
          <t>R07</t>
        </is>
      </c>
      <c r="Q287" t="inlineStr">
        <is>
          <t>DEL-FP</t>
        </is>
      </c>
      <c r="R287">
        <f>IF(OR(Q287="CONTEXT",Q287="REVIEW"),"",INDEX('Category Rules'!$D$5:$D$17,MATCH(P287,'Category Rules'!$A$5:$A$17,0)))</f>
        <v>4020</v>
      </c>
      <c r="S287" t="str">
        <f>IF(Q287="CONTEXT","Fencing",IF(Q287="REVIEW","",INDEX('Category Rules'!$E$5:$E$17,MATCH(P287,'Category Rules'!$A$5:$A$17,0))))</f>
        <v>Fencing</v>
      </c>
      <c r="T287" t="str">
        <f>IF(Q287="DEP","BAS Excluded","GST on Income")</f>
        <v>GST on Income</v>
      </c>
      <c r="U287">
        <f>IF(O287=T287,1,0)</f>
        <v>1</v>
      </c>
      <c r="V287" s="9">
        <f>IF(OR(M287=0,U287=1),0,IF(T287="GST on Income",ROUND(K287*0.1,2),ROUND(-K287*0.1,2)))</f>
        <v>0</v>
      </c>
    </row>
    <row r="288">
      <c r="A288" t="inlineStr">
        <is>
          <t>INV-4678-1</t>
        </is>
      </c>
      <c r="B288" t="inlineStr">
        <is>
          <t>INV-4678</t>
        </is>
      </c>
      <c r="C288" s="11" t="n">
        <v>45893</v>
      </c>
      <c r="D288" t="inlineStr">
        <is>
          <t>2025-08</t>
        </is>
      </c>
      <c r="E288" t="inlineStr">
        <is>
          <t>C0018</t>
        </is>
      </c>
      <c r="F288" t="inlineStr">
        <is>
          <t>C0018</t>
        </is>
      </c>
      <c r="G288" t="inlineStr">
        <is>
          <t>Wattle Constructions Pty Ltd</t>
        </is>
      </c>
      <c r="H288" t="inlineStr">
        <is>
          <t>S0121</t>
        </is>
      </c>
      <c r="I288" t="inlineStr">
        <is>
          <t>Temporary fence hire 4 wks (27/07/25-23/08/25) - 35 panels</t>
        </is>
      </c>
      <c r="J288" t="n">
        <v>140</v>
      </c>
      <c r="K288" s="9" t="n">
        <v>630</v>
      </c>
      <c r="L288" t="inlineStr">
        <is>
          <t>PAID</t>
        </is>
      </c>
      <c r="M288">
        <f>IF(L288="VOIDED",0,1)</f>
        <v>1</v>
      </c>
      <c r="N288" t="n">
        <v>200</v>
      </c>
      <c r="O288" t="inlineStr">
        <is>
          <t>GST on Income</t>
        </is>
      </c>
      <c r="P288" t="inlineStr">
        <is>
          <t>R03</t>
        </is>
      </c>
      <c r="Q288" t="inlineStr">
        <is>
          <t>HIRE-FP</t>
        </is>
      </c>
      <c r="R288">
        <f>IF(OR(Q288="CONTEXT",Q288="REVIEW"),"",INDEX('Category Rules'!$D$5:$D$17,MATCH(P288,'Category Rules'!$A$5:$A$17,0)))</f>
        <v>4010</v>
      </c>
      <c r="S288" t="str">
        <f>IF(Q288="CONTEXT","Fencing",IF(Q288="REVIEW","",INDEX('Category Rules'!$E$5:$E$17,MATCH(P288,'Category Rules'!$A$5:$A$17,0))))</f>
        <v>Fencing</v>
      </c>
      <c r="T288" t="str">
        <f>IF(Q288="DEP","BAS Excluded","GST on Income")</f>
        <v>GST on Income</v>
      </c>
      <c r="U288">
        <f>IF(O288=T288,1,0)</f>
        <v>1</v>
      </c>
      <c r="V288" s="9">
        <f>IF(OR(M288=0,U288=1),0,IF(T288="GST on Income",ROUND(K288*0.1,2),ROUND(-K288*0.1,2)))</f>
        <v>0</v>
      </c>
    </row>
    <row r="289">
      <c r="A289" t="inlineStr">
        <is>
          <t>INV-4790-1</t>
        </is>
      </c>
      <c r="B289" t="inlineStr">
        <is>
          <t>INV-4790</t>
        </is>
      </c>
      <c r="C289" s="11" t="n">
        <v>45893</v>
      </c>
      <c r="D289" t="inlineStr">
        <is>
          <t>2025-08</t>
        </is>
      </c>
      <c r="E289" t="inlineStr">
        <is>
          <t>C0029</t>
        </is>
      </c>
      <c r="F289" t="inlineStr">
        <is>
          <t>C0029</t>
        </is>
      </c>
      <c r="G289" t="inlineStr">
        <is>
          <t>Ironbark Constructions</t>
        </is>
      </c>
      <c r="H289" t="inlineStr">
        <is>
          <t>S0147</t>
        </is>
      </c>
      <c r="I289" t="inlineStr">
        <is>
          <t>Delivery and installation - temporary fencing</t>
        </is>
      </c>
      <c r="J289" t="n">
        <v>1</v>
      </c>
      <c r="K289" s="9" t="n">
        <v>165</v>
      </c>
      <c r="L289" t="inlineStr">
        <is>
          <t>PAID</t>
        </is>
      </c>
      <c r="M289">
        <f>IF(L289="VOIDED",0,1)</f>
        <v>1</v>
      </c>
      <c r="N289" t="n">
        <v>200</v>
      </c>
      <c r="O289" t="inlineStr">
        <is>
          <t>GST on Income</t>
        </is>
      </c>
      <c r="P289" t="inlineStr">
        <is>
          <t>R07</t>
        </is>
      </c>
      <c r="Q289" t="inlineStr">
        <is>
          <t>DEL-FP</t>
        </is>
      </c>
      <c r="R289">
        <f>IF(OR(Q289="CONTEXT",Q289="REVIEW"),"",INDEX('Category Rules'!$D$5:$D$17,MATCH(P289,'Category Rules'!$A$5:$A$17,0)))</f>
        <v>4020</v>
      </c>
      <c r="S289" t="str">
        <f>IF(Q289="CONTEXT","Fencing",IF(Q289="REVIEW","",INDEX('Category Rules'!$E$5:$E$17,MATCH(P289,'Category Rules'!$A$5:$A$17,0))))</f>
        <v>Fencing</v>
      </c>
      <c r="T289" t="str">
        <f>IF(Q289="DEP","BAS Excluded","GST on Income")</f>
        <v>GST on Income</v>
      </c>
      <c r="U289">
        <f>IF(O289=T289,1,0)</f>
        <v>1</v>
      </c>
      <c r="V289" s="9">
        <f>IF(OR(M289=0,U289=1),0,IF(T289="GST on Income",ROUND(K289*0.1,2),ROUND(-K289*0.1,2)))</f>
        <v>0</v>
      </c>
    </row>
    <row r="290">
      <c r="A290" t="inlineStr">
        <is>
          <t>INV-4790-2</t>
        </is>
      </c>
      <c r="B290" t="inlineStr">
        <is>
          <t>INV-4790</t>
        </is>
      </c>
      <c r="C290" s="11" t="n">
        <v>45893</v>
      </c>
      <c r="D290" t="inlineStr">
        <is>
          <t>2025-08</t>
        </is>
      </c>
      <c r="E290" t="inlineStr">
        <is>
          <t>C0029</t>
        </is>
      </c>
      <c r="F290" t="inlineStr">
        <is>
          <t>C0029</t>
        </is>
      </c>
      <c r="G290" t="inlineStr">
        <is>
          <t>Ironbark Constructions</t>
        </is>
      </c>
      <c r="H290" t="inlineStr">
        <is>
          <t>S0147</t>
        </is>
      </c>
      <c r="I290" t="inlineStr">
        <is>
          <t>Installation labour - 40 panels @ 2.20</t>
        </is>
      </c>
      <c r="J290" t="n">
        <v>40</v>
      </c>
      <c r="K290" s="9" t="n">
        <v>88</v>
      </c>
      <c r="L290" t="inlineStr">
        <is>
          <t>PAID</t>
        </is>
      </c>
      <c r="M290">
        <f>IF(L290="VOIDED",0,1)</f>
        <v>1</v>
      </c>
      <c r="N290" t="n">
        <v>260</v>
      </c>
      <c r="O290" t="inlineStr">
        <is>
          <t>GST on Income</t>
        </is>
      </c>
      <c r="P290" t="inlineStr">
        <is>
          <t>R07</t>
        </is>
      </c>
      <c r="Q290" t="inlineStr">
        <is>
          <t>DEL-FP</t>
        </is>
      </c>
      <c r="R290">
        <f>IF(OR(Q290="CONTEXT",Q290="REVIEW"),"",INDEX('Category Rules'!$D$5:$D$17,MATCH(P290,'Category Rules'!$A$5:$A$17,0)))</f>
        <v>4020</v>
      </c>
      <c r="S290" t="str">
        <f>IF(Q290="CONTEXT","Fencing",IF(Q290="REVIEW","",INDEX('Category Rules'!$E$5:$E$17,MATCH(P290,'Category Rules'!$A$5:$A$17,0))))</f>
        <v>Fencing</v>
      </c>
      <c r="T290" t="str">
        <f>IF(Q290="DEP","BAS Excluded","GST on Income")</f>
        <v>GST on Income</v>
      </c>
      <c r="U290">
        <f>IF(O290=T290,1,0)</f>
        <v>1</v>
      </c>
      <c r="V290" s="9">
        <f>IF(OR(M290=0,U290=1),0,IF(T290="GST on Income",ROUND(K290*0.1,2),ROUND(-K290*0.1,2)))</f>
        <v>0</v>
      </c>
    </row>
    <row r="291">
      <c r="A291" t="inlineStr">
        <is>
          <t>INV-4915-1</t>
        </is>
      </c>
      <c r="B291" t="inlineStr">
        <is>
          <t>INV-4915</t>
        </is>
      </c>
      <c r="C291" s="11" t="n">
        <v>45893</v>
      </c>
      <c r="D291" t="inlineStr">
        <is>
          <t>2025-08</t>
        </is>
      </c>
      <c r="E291" t="inlineStr">
        <is>
          <t>C0022</t>
        </is>
      </c>
      <c r="F291" t="inlineStr">
        <is>
          <t>C0022</t>
        </is>
      </c>
      <c r="G291" t="inlineStr">
        <is>
          <t>Highpoint Projects</t>
        </is>
      </c>
      <c r="H291" t="inlineStr">
        <is>
          <t>S0172</t>
        </is>
      </c>
      <c r="I291" t="inlineStr">
        <is>
          <t>Temporary fence hire 4 wks (27/07/25-23/08/25) - 23 panels</t>
        </is>
      </c>
      <c r="J291" t="n">
        <v>92</v>
      </c>
      <c r="K291" s="9" t="n">
        <v>414</v>
      </c>
      <c r="L291" t="inlineStr">
        <is>
          <t>PAID</t>
        </is>
      </c>
      <c r="M291">
        <f>IF(L291="VOIDED",0,1)</f>
        <v>1</v>
      </c>
      <c r="N291" t="n">
        <v>200</v>
      </c>
      <c r="O291" t="inlineStr">
        <is>
          <t>GST on Income</t>
        </is>
      </c>
      <c r="P291" t="inlineStr">
        <is>
          <t>R03</t>
        </is>
      </c>
      <c r="Q291" t="inlineStr">
        <is>
          <t>HIRE-FP</t>
        </is>
      </c>
      <c r="R291">
        <f>IF(OR(Q291="CONTEXT",Q291="REVIEW"),"",INDEX('Category Rules'!$D$5:$D$17,MATCH(P291,'Category Rules'!$A$5:$A$17,0)))</f>
        <v>4010</v>
      </c>
      <c r="S291" t="str">
        <f>IF(Q291="CONTEXT","Fencing",IF(Q291="REVIEW","",INDEX('Category Rules'!$E$5:$E$17,MATCH(P291,'Category Rules'!$A$5:$A$17,0))))</f>
        <v>Fencing</v>
      </c>
      <c r="T291" t="str">
        <f>IF(Q291="DEP","BAS Excluded","GST on Income")</f>
        <v>GST on Income</v>
      </c>
      <c r="U291">
        <f>IF(O291=T291,1,0)</f>
        <v>1</v>
      </c>
      <c r="V291" s="9">
        <f>IF(OR(M291=0,U291=1),0,IF(T291="GST on Income",ROUND(K291*0.1,2),ROUND(-K291*0.1,2)))</f>
        <v>0</v>
      </c>
    </row>
    <row r="292">
      <c r="A292" t="inlineStr">
        <is>
          <t>INV-5342-1</t>
        </is>
      </c>
      <c r="B292" t="inlineStr">
        <is>
          <t>INV-5342</t>
        </is>
      </c>
      <c r="C292" s="11" t="n">
        <v>45893</v>
      </c>
      <c r="D292" t="inlineStr">
        <is>
          <t>2025-08</t>
        </is>
      </c>
      <c r="E292" t="inlineStr">
        <is>
          <t>C0055</t>
        </is>
      </c>
      <c r="F292" t="inlineStr">
        <is>
          <t>C0055</t>
        </is>
      </c>
      <c r="G292" t="inlineStr">
        <is>
          <t>Coastline Strata Management Pty Ltd</t>
        </is>
      </c>
      <c r="H292" t="inlineStr">
        <is>
          <t>S0269</t>
        </is>
      </c>
      <c r="I292" t="inlineStr">
        <is>
          <t>Scaffold erect - 4 tower(s)</t>
        </is>
      </c>
      <c r="J292" t="n">
        <v>4</v>
      </c>
      <c r="K292" s="9" t="n">
        <v>1680</v>
      </c>
      <c r="L292" t="inlineStr">
        <is>
          <t>PAID</t>
        </is>
      </c>
      <c r="M292">
        <f>IF(L292="VOIDED",0,1)</f>
        <v>1</v>
      </c>
      <c r="N292" t="n">
        <v>200</v>
      </c>
      <c r="O292" t="inlineStr">
        <is>
          <t>GST on Income</t>
        </is>
      </c>
      <c r="P292" t="inlineStr">
        <is>
          <t>R08</t>
        </is>
      </c>
      <c r="Q292" t="inlineStr">
        <is>
          <t>LAB-ST</t>
        </is>
      </c>
      <c r="R292">
        <f>IF(OR(Q292="CONTEXT",Q292="REVIEW"),"",INDEX('Category Rules'!$D$5:$D$17,MATCH(P292,'Category Rules'!$A$5:$A$17,0)))</f>
        <v>4020</v>
      </c>
      <c r="S292" t="str">
        <f>IF(Q292="CONTEXT","Scaffolding",IF(Q292="REVIEW","",INDEX('Category Rules'!$E$5:$E$17,MATCH(P292,'Category Rules'!$A$5:$A$17,0))))</f>
        <v>Scaffolding</v>
      </c>
      <c r="T292" t="str">
        <f>IF(Q292="DEP","BAS Excluded","GST on Income")</f>
        <v>GST on Income</v>
      </c>
      <c r="U292">
        <f>IF(O292=T292,1,0)</f>
        <v>1</v>
      </c>
      <c r="V292" s="9">
        <f>IF(OR(M292=0,U292=1),0,IF(T292="GST on Income",ROUND(K292*0.1,2),ROUND(-K292*0.1,2)))</f>
        <v>0</v>
      </c>
    </row>
    <row r="293">
      <c r="A293" t="inlineStr">
        <is>
          <t>INV-5505-1</t>
        </is>
      </c>
      <c r="B293" t="inlineStr">
        <is>
          <t>INV-5505</t>
        </is>
      </c>
      <c r="C293" s="11" t="n">
        <v>45893</v>
      </c>
      <c r="D293" t="inlineStr">
        <is>
          <t>2025-08</t>
        </is>
      </c>
      <c r="E293" t="inlineStr">
        <is>
          <t>C0068</t>
        </is>
      </c>
      <c r="F293" t="inlineStr">
        <is>
          <t>C0068</t>
        </is>
      </c>
      <c r="G293" t="inlineStr">
        <is>
          <t>Coastline Claims Services</t>
        </is>
      </c>
      <c r="H293" t="inlineStr">
        <is>
          <t>S0330</t>
        </is>
      </c>
      <c r="I293" t="inlineStr">
        <is>
          <t>Make safe call-out</t>
        </is>
      </c>
      <c r="J293" t="n">
        <v>1</v>
      </c>
      <c r="K293" s="9" t="n">
        <v>385</v>
      </c>
      <c r="L293" t="inlineStr">
        <is>
          <t>PAID</t>
        </is>
      </c>
      <c r="M293">
        <f>IF(L293="VOIDED",0,1)</f>
        <v>1</v>
      </c>
      <c r="N293" t="n">
        <v>200</v>
      </c>
      <c r="O293" t="inlineStr">
        <is>
          <t>GST on Income</t>
        </is>
      </c>
      <c r="P293" t="inlineStr">
        <is>
          <t>R09</t>
        </is>
      </c>
      <c r="Q293" t="inlineStr">
        <is>
          <t>MS</t>
        </is>
      </c>
      <c r="R293">
        <f>IF(OR(Q293="CONTEXT",Q293="REVIEW"),"",INDEX('Category Rules'!$D$5:$D$17,MATCH(P293,'Category Rules'!$A$5:$A$17,0)))</f>
        <v>4020</v>
      </c>
      <c r="S293" t="str">
        <f>IF(Q293="CONTEXT","Make-safe",IF(Q293="REVIEW","",INDEX('Category Rules'!$E$5:$E$17,MATCH(P293,'Category Rules'!$A$5:$A$17,0))))</f>
        <v>Make-safe</v>
      </c>
      <c r="T293" t="str">
        <f>IF(Q293="DEP","BAS Excluded","GST on Income")</f>
        <v>GST on Income</v>
      </c>
      <c r="U293">
        <f>IF(O293=T293,1,0)</f>
        <v>1</v>
      </c>
      <c r="V293" s="9">
        <f>IF(OR(M293=0,U293=1),0,IF(T293="GST on Income",ROUND(K293*0.1,2),ROUND(-K293*0.1,2)))</f>
        <v>0</v>
      </c>
    </row>
    <row r="294">
      <c r="A294" t="inlineStr">
        <is>
          <t>INV-5505-2</t>
        </is>
      </c>
      <c r="B294" t="inlineStr">
        <is>
          <t>INV-5505</t>
        </is>
      </c>
      <c r="C294" s="11" t="n">
        <v>45893</v>
      </c>
      <c r="D294" t="inlineStr">
        <is>
          <t>2025-08</t>
        </is>
      </c>
      <c r="E294" t="inlineStr">
        <is>
          <t>C0068</t>
        </is>
      </c>
      <c r="F294" t="inlineStr">
        <is>
          <t>C0068</t>
        </is>
      </c>
      <c r="G294" t="inlineStr">
        <is>
          <t>Coastline Claims Services</t>
        </is>
      </c>
      <c r="H294" t="inlineStr">
        <is>
          <t>S0330</t>
        </is>
      </c>
      <c r="I294" t="inlineStr">
        <is>
          <t>Tarp supply and install - 2 tarp(s)</t>
        </is>
      </c>
      <c r="J294" t="n">
        <v>2</v>
      </c>
      <c r="K294" s="9" t="n">
        <v>480</v>
      </c>
      <c r="L294" t="inlineStr">
        <is>
          <t>PAID</t>
        </is>
      </c>
      <c r="M294">
        <f>IF(L294="VOIDED",0,1)</f>
        <v>1</v>
      </c>
      <c r="N294" t="n">
        <v>200</v>
      </c>
      <c r="O294" t="inlineStr">
        <is>
          <t>GST on Income</t>
        </is>
      </c>
      <c r="P294" t="inlineStr">
        <is>
          <t>R09</t>
        </is>
      </c>
      <c r="Q294" t="inlineStr">
        <is>
          <t>MS</t>
        </is>
      </c>
      <c r="R294">
        <f>IF(OR(Q294="CONTEXT",Q294="REVIEW"),"",INDEX('Category Rules'!$D$5:$D$17,MATCH(P294,'Category Rules'!$A$5:$A$17,0)))</f>
        <v>4020</v>
      </c>
      <c r="S294" t="str">
        <f>IF(Q294="CONTEXT","Make-safe",IF(Q294="REVIEW","",INDEX('Category Rules'!$E$5:$E$17,MATCH(P294,'Category Rules'!$A$5:$A$17,0))))</f>
        <v>Make-safe</v>
      </c>
      <c r="T294" t="str">
        <f>IF(Q294="DEP","BAS Excluded","GST on Income")</f>
        <v>GST on Income</v>
      </c>
      <c r="U294">
        <f>IF(O294=T294,1,0)</f>
        <v>1</v>
      </c>
      <c r="V294" s="9">
        <f>IF(OR(M294=0,U294=1),0,IF(T294="GST on Income",ROUND(K294*0.1,2),ROUND(-K294*0.1,2)))</f>
        <v>0</v>
      </c>
    </row>
    <row r="295">
      <c r="A295" t="inlineStr">
        <is>
          <t>INV-4464-1</t>
        </is>
      </c>
      <c r="B295" t="inlineStr">
        <is>
          <t>INV-4464</t>
        </is>
      </c>
      <c r="C295" s="11" t="n">
        <v>45894</v>
      </c>
      <c r="D295" t="inlineStr">
        <is>
          <t>2025-08</t>
        </is>
      </c>
      <c r="E295" t="inlineStr">
        <is>
          <t>C0022</t>
        </is>
      </c>
      <c r="F295" t="inlineStr">
        <is>
          <t>C0022</t>
        </is>
      </c>
      <c r="G295" t="inlineStr">
        <is>
          <t>Highpoint Projects</t>
        </is>
      </c>
      <c r="H295" t="inlineStr">
        <is>
          <t>S0074</t>
        </is>
      </c>
      <c r="I295" t="inlineStr">
        <is>
          <t>Temporary fence hire 4 wks (28/07/25-24/08/25) - 98 panels</t>
        </is>
      </c>
      <c r="J295" t="n">
        <v>392</v>
      </c>
      <c r="K295" s="9" t="n">
        <v>1764</v>
      </c>
      <c r="L295" t="inlineStr">
        <is>
          <t>PAID</t>
        </is>
      </c>
      <c r="M295">
        <f>IF(L295="VOIDED",0,1)</f>
        <v>1</v>
      </c>
      <c r="N295" t="n">
        <v>200</v>
      </c>
      <c r="O295" t="inlineStr">
        <is>
          <t>GST on Income</t>
        </is>
      </c>
      <c r="P295" t="inlineStr">
        <is>
          <t>R03</t>
        </is>
      </c>
      <c r="Q295" t="inlineStr">
        <is>
          <t>HIRE-FP</t>
        </is>
      </c>
      <c r="R295">
        <f>IF(OR(Q295="CONTEXT",Q295="REVIEW"),"",INDEX('Category Rules'!$D$5:$D$17,MATCH(P295,'Category Rules'!$A$5:$A$17,0)))</f>
        <v>4010</v>
      </c>
      <c r="S295" t="str">
        <f>IF(Q295="CONTEXT","Fencing",IF(Q295="REVIEW","",INDEX('Category Rules'!$E$5:$E$17,MATCH(P295,'Category Rules'!$A$5:$A$17,0))))</f>
        <v>Fencing</v>
      </c>
      <c r="T295" t="str">
        <f>IF(Q295="DEP","BAS Excluded","GST on Income")</f>
        <v>GST on Income</v>
      </c>
      <c r="U295">
        <f>IF(O295=T295,1,0)</f>
        <v>1</v>
      </c>
      <c r="V295" s="9">
        <f>IF(OR(M295=0,U295=1),0,IF(T295="GST on Income",ROUND(K295*0.1,2),ROUND(-K295*0.1,2)))</f>
        <v>0</v>
      </c>
    </row>
    <row r="296">
      <c r="A296" t="inlineStr">
        <is>
          <t>INV-4465-1</t>
        </is>
      </c>
      <c r="B296" t="inlineStr">
        <is>
          <t>INV-4465</t>
        </is>
      </c>
      <c r="C296" s="11" t="n">
        <v>45894</v>
      </c>
      <c r="D296" t="inlineStr">
        <is>
          <t>2025-08</t>
        </is>
      </c>
      <c r="E296" t="inlineStr">
        <is>
          <t>C0022</t>
        </is>
      </c>
      <c r="F296" t="inlineStr">
        <is>
          <t>C0022</t>
        </is>
      </c>
      <c r="G296" t="inlineStr">
        <is>
          <t>Highpoint Projects</t>
        </is>
      </c>
      <c r="H296" t="inlineStr">
        <is>
          <t>S0074</t>
        </is>
      </c>
      <c r="I296" t="inlineStr">
        <is>
          <t>Collection and dismantle - temporary fencing</t>
        </is>
      </c>
      <c r="J296" t="n">
        <v>1</v>
      </c>
      <c r="K296" s="9" t="n">
        <v>165</v>
      </c>
      <c r="L296" t="inlineStr">
        <is>
          <t>PAID</t>
        </is>
      </c>
      <c r="M296">
        <f>IF(L296="VOIDED",0,1)</f>
        <v>1</v>
      </c>
      <c r="N296" t="n">
        <v>260</v>
      </c>
      <c r="O296" t="inlineStr">
        <is>
          <t>GST on Income</t>
        </is>
      </c>
      <c r="P296" t="inlineStr">
        <is>
          <t>R07</t>
        </is>
      </c>
      <c r="Q296" t="inlineStr">
        <is>
          <t>DEL-FP</t>
        </is>
      </c>
      <c r="R296">
        <f>IF(OR(Q296="CONTEXT",Q296="REVIEW"),"",INDEX('Category Rules'!$D$5:$D$17,MATCH(P296,'Category Rules'!$A$5:$A$17,0)))</f>
        <v>4020</v>
      </c>
      <c r="S296" t="str">
        <f>IF(Q296="CONTEXT","Fencing",IF(Q296="REVIEW","",INDEX('Category Rules'!$E$5:$E$17,MATCH(P296,'Category Rules'!$A$5:$A$17,0))))</f>
        <v>Fencing</v>
      </c>
      <c r="T296" t="str">
        <f>IF(Q296="DEP","BAS Excluded","GST on Income")</f>
        <v>GST on Income</v>
      </c>
      <c r="U296">
        <f>IF(O296=T296,1,0)</f>
        <v>1</v>
      </c>
      <c r="V296" s="9">
        <f>IF(OR(M296=0,U296=1),0,IF(T296="GST on Income",ROUND(K296*0.1,2),ROUND(-K296*0.1,2)))</f>
        <v>0</v>
      </c>
    </row>
    <row r="297">
      <c r="A297" t="inlineStr">
        <is>
          <t>INV-4618-1</t>
        </is>
      </c>
      <c r="B297" t="inlineStr">
        <is>
          <t>INV-4618</t>
        </is>
      </c>
      <c r="C297" s="11" t="n">
        <v>45894</v>
      </c>
      <c r="D297" t="inlineStr">
        <is>
          <t>2025-08</t>
        </is>
      </c>
      <c r="E297" t="inlineStr">
        <is>
          <t>C0074</t>
        </is>
      </c>
      <c r="F297" t="inlineStr">
        <is>
          <t>C0074</t>
        </is>
      </c>
      <c r="G297" t="inlineStr">
        <is>
          <t>Ironbark Events Pty Ltd</t>
        </is>
      </c>
      <c r="H297" t="inlineStr">
        <is>
          <t>S0104</t>
        </is>
      </c>
      <c r="I297" t="inlineStr">
        <is>
          <t>Temporary fence hire 2 wks (17/08/25-24/08/25) - 30 panels</t>
        </is>
      </c>
      <c r="J297" t="n">
        <v>60</v>
      </c>
      <c r="K297" s="9" t="n">
        <v>270</v>
      </c>
      <c r="L297" t="inlineStr">
        <is>
          <t>PAID</t>
        </is>
      </c>
      <c r="M297">
        <f>IF(L297="VOIDED",0,1)</f>
        <v>1</v>
      </c>
      <c r="N297" t="n">
        <v>200</v>
      </c>
      <c r="O297" t="inlineStr">
        <is>
          <t>GST on Income</t>
        </is>
      </c>
      <c r="P297" t="inlineStr">
        <is>
          <t>R03</t>
        </is>
      </c>
      <c r="Q297" t="inlineStr">
        <is>
          <t>HIRE-FP</t>
        </is>
      </c>
      <c r="R297">
        <f>IF(OR(Q297="CONTEXT",Q297="REVIEW"),"",INDEX('Category Rules'!$D$5:$D$17,MATCH(P297,'Category Rules'!$A$5:$A$17,0)))</f>
        <v>4010</v>
      </c>
      <c r="S297" t="str">
        <f>IF(Q297="CONTEXT","Fencing",IF(Q297="REVIEW","",INDEX('Category Rules'!$E$5:$E$17,MATCH(P297,'Category Rules'!$A$5:$A$17,0))))</f>
        <v>Fencing</v>
      </c>
      <c r="T297" t="str">
        <f>IF(Q297="DEP","BAS Excluded","GST on Income")</f>
        <v>GST on Income</v>
      </c>
      <c r="U297">
        <f>IF(O297=T297,1,0)</f>
        <v>1</v>
      </c>
      <c r="V297" s="9">
        <f>IF(OR(M297=0,U297=1),0,IF(T297="GST on Income",ROUND(K297*0.1,2),ROUND(-K297*0.1,2)))</f>
        <v>0</v>
      </c>
    </row>
    <row r="298">
      <c r="A298" t="inlineStr">
        <is>
          <t>INV-4620-1</t>
        </is>
      </c>
      <c r="B298" t="inlineStr">
        <is>
          <t>INV-4620</t>
        </is>
      </c>
      <c r="C298" s="11" t="n">
        <v>45894</v>
      </c>
      <c r="D298" t="inlineStr">
        <is>
          <t>2025-08</t>
        </is>
      </c>
      <c r="E298" t="inlineStr">
        <is>
          <t>C0074</t>
        </is>
      </c>
      <c r="F298" t="inlineStr">
        <is>
          <t>C0074</t>
        </is>
      </c>
      <c r="G298" t="inlineStr">
        <is>
          <t>Ironbark Events Pty Ltd</t>
        </is>
      </c>
      <c r="H298" t="inlineStr">
        <is>
          <t>S0104</t>
        </is>
      </c>
      <c r="I298" t="inlineStr">
        <is>
          <t>Collection and dismantle - temporary fencing</t>
        </is>
      </c>
      <c r="J298" t="n">
        <v>1</v>
      </c>
      <c r="K298" s="9" t="n">
        <v>165</v>
      </c>
      <c r="L298" t="inlineStr">
        <is>
          <t>PAID</t>
        </is>
      </c>
      <c r="M298">
        <f>IF(L298="VOIDED",0,1)</f>
        <v>1</v>
      </c>
      <c r="N298" t="n">
        <v>200</v>
      </c>
      <c r="O298" t="inlineStr">
        <is>
          <t>GST on Income</t>
        </is>
      </c>
      <c r="P298" t="inlineStr">
        <is>
          <t>R07</t>
        </is>
      </c>
      <c r="Q298" t="inlineStr">
        <is>
          <t>DEL-FP</t>
        </is>
      </c>
      <c r="R298">
        <f>IF(OR(Q298="CONTEXT",Q298="REVIEW"),"",INDEX('Category Rules'!$D$5:$D$17,MATCH(P298,'Category Rules'!$A$5:$A$17,0)))</f>
        <v>4020</v>
      </c>
      <c r="S298" t="str">
        <f>IF(Q298="CONTEXT","Fencing",IF(Q298="REVIEW","",INDEX('Category Rules'!$E$5:$E$17,MATCH(P298,'Category Rules'!$A$5:$A$17,0))))</f>
        <v>Fencing</v>
      </c>
      <c r="T298" t="str">
        <f>IF(Q298="DEP","BAS Excluded","GST on Income")</f>
        <v>GST on Income</v>
      </c>
      <c r="U298">
        <f>IF(O298=T298,1,0)</f>
        <v>1</v>
      </c>
      <c r="V298" s="9">
        <f>IF(OR(M298=0,U298=1),0,IF(T298="GST on Income",ROUND(K298*0.1,2),ROUND(-K298*0.1,2)))</f>
        <v>0</v>
      </c>
    </row>
    <row r="299">
      <c r="A299" t="inlineStr">
        <is>
          <t>INV-4620-2</t>
        </is>
      </c>
      <c r="B299" t="inlineStr">
        <is>
          <t>INV-4620</t>
        </is>
      </c>
      <c r="C299" s="11" t="n">
        <v>45894</v>
      </c>
      <c r="D299" t="inlineStr">
        <is>
          <t>2025-08</t>
        </is>
      </c>
      <c r="E299" t="inlineStr">
        <is>
          <t>C0074</t>
        </is>
      </c>
      <c r="F299" t="inlineStr">
        <is>
          <t>C0074</t>
        </is>
      </c>
      <c r="G299" t="inlineStr">
        <is>
          <t>Ironbark Events Pty Ltd</t>
        </is>
      </c>
      <c r="H299" t="inlineStr">
        <is>
          <t>S0104</t>
        </is>
      </c>
      <c r="I299" t="inlineStr">
        <is>
          <t>Lost/damaged panels charged - 6 @ 145.00</t>
        </is>
      </c>
      <c r="J299" t="n">
        <v>6</v>
      </c>
      <c r="K299" s="9" t="n">
        <v>870</v>
      </c>
      <c r="L299" t="inlineStr">
        <is>
          <t>PAID</t>
        </is>
      </c>
      <c r="M299">
        <f>IF(L299="VOIDED",0,1)</f>
        <v>1</v>
      </c>
      <c r="N299" t="n">
        <v>200</v>
      </c>
      <c r="O299" t="inlineStr">
        <is>
          <t>GST on Income</t>
        </is>
      </c>
      <c r="P299" t="inlineStr">
        <is>
          <t>R02</t>
        </is>
      </c>
      <c r="Q299" t="inlineStr">
        <is>
          <t>LOSS</t>
        </is>
      </c>
      <c r="R299">
        <f>IF(OR(Q299="CONTEXT",Q299="REVIEW"),"",INDEX('Category Rules'!$D$5:$D$17,MATCH(P299,'Category Rules'!$A$5:$A$17,0)))</f>
        <v>4040</v>
      </c>
      <c r="S299" t="str">
        <f>IF(Q299="CONTEXT","Fencing",IF(Q299="REVIEW","",INDEX('Category Rules'!$E$5:$E$17,MATCH(P299,'Category Rules'!$A$5:$A$17,0))))</f>
        <v>Fencing</v>
      </c>
      <c r="T299" t="str">
        <f>IF(Q299="DEP","BAS Excluded","GST on Income")</f>
        <v>GST on Income</v>
      </c>
      <c r="U299">
        <f>IF(O299=T299,1,0)</f>
        <v>1</v>
      </c>
      <c r="V299" s="9">
        <f>IF(OR(M299=0,U299=1),0,IF(T299="GST on Income",ROUND(K299*0.1,2),ROUND(-K299*0.1,2)))</f>
        <v>0</v>
      </c>
    </row>
    <row r="300">
      <c r="A300" t="inlineStr">
        <is>
          <t>INV-5470-1</t>
        </is>
      </c>
      <c r="B300" t="inlineStr">
        <is>
          <t>INV-5470</t>
        </is>
      </c>
      <c r="C300" s="11" t="n">
        <v>45894</v>
      </c>
      <c r="D300" t="inlineStr">
        <is>
          <t>2025-08</t>
        </is>
      </c>
      <c r="E300" t="inlineStr">
        <is>
          <t>C0116</t>
        </is>
      </c>
      <c r="F300" t="inlineStr">
        <is>
          <t>C0116</t>
        </is>
      </c>
      <c r="G300" t="inlineStr">
        <is>
          <t>Lucas Patel</t>
        </is>
      </c>
      <c r="H300" t="inlineStr">
        <is>
          <t>S0308</t>
        </is>
      </c>
      <c r="I300" t="inlineStr">
        <is>
          <t>Roof repair labour - 16 hrs</t>
        </is>
      </c>
      <c r="J300" t="n">
        <v>16</v>
      </c>
      <c r="K300" s="9" t="n">
        <v>1568</v>
      </c>
      <c r="L300" t="inlineStr">
        <is>
          <t>PAID</t>
        </is>
      </c>
      <c r="M300">
        <f>IF(L300="VOIDED",0,1)</f>
        <v>1</v>
      </c>
      <c r="N300" t="n">
        <v>200</v>
      </c>
      <c r="O300" t="inlineStr">
        <is>
          <t>GST on Income</t>
        </is>
      </c>
      <c r="P300" t="inlineStr">
        <is>
          <t>R10</t>
        </is>
      </c>
      <c r="Q300" t="inlineStr">
        <is>
          <t>LAB-RF</t>
        </is>
      </c>
      <c r="R300">
        <f>IF(OR(Q300="CONTEXT",Q300="REVIEW"),"",INDEX('Category Rules'!$D$5:$D$17,MATCH(P300,'Category Rules'!$A$5:$A$17,0)))</f>
        <v>4020</v>
      </c>
      <c r="S300" t="str">
        <f>IF(Q300="CONTEXT","Roofing",IF(Q300="REVIEW","",INDEX('Category Rules'!$E$5:$E$17,MATCH(P300,'Category Rules'!$A$5:$A$17,0))))</f>
        <v>Roofing</v>
      </c>
      <c r="T300" t="str">
        <f>IF(Q300="DEP","BAS Excluded","GST on Income")</f>
        <v>GST on Income</v>
      </c>
      <c r="U300">
        <f>IF(O300=T300,1,0)</f>
        <v>1</v>
      </c>
      <c r="V300" s="9">
        <f>IF(OR(M300=0,U300=1),0,IF(T300="GST on Income",ROUND(K300*0.1,2),ROUND(-K300*0.1,2)))</f>
        <v>0</v>
      </c>
    </row>
    <row r="301">
      <c r="A301" t="inlineStr">
        <is>
          <t>INV-5470-2</t>
        </is>
      </c>
      <c r="B301" t="inlineStr">
        <is>
          <t>INV-5470</t>
        </is>
      </c>
      <c r="C301" s="11" t="n">
        <v>45894</v>
      </c>
      <c r="D301" t="inlineStr">
        <is>
          <t>2025-08</t>
        </is>
      </c>
      <c r="E301" t="inlineStr">
        <is>
          <t>C0116</t>
        </is>
      </c>
      <c r="F301" t="inlineStr">
        <is>
          <t>C0116</t>
        </is>
      </c>
      <c r="G301" t="inlineStr">
        <is>
          <t>Lucas Patel</t>
        </is>
      </c>
      <c r="H301" t="inlineStr">
        <is>
          <t>S0308</t>
        </is>
      </c>
      <c r="I301" t="inlineStr">
        <is>
          <t>Materials - Colorbond sheet</t>
        </is>
      </c>
      <c r="J301" t="n">
        <v>1</v>
      </c>
      <c r="K301" s="9" t="n">
        <v>776.55</v>
      </c>
      <c r="L301" t="inlineStr">
        <is>
          <t>PAID</t>
        </is>
      </c>
      <c r="M301">
        <f>IF(L301="VOIDED",0,1)</f>
        <v>1</v>
      </c>
      <c r="N301" t="n">
        <v>200</v>
      </c>
      <c r="O301" t="inlineStr">
        <is>
          <t>GST on Income</t>
        </is>
      </c>
      <c r="P301" t="inlineStr">
        <is>
          <t>R11</t>
        </is>
      </c>
      <c r="Q301" t="inlineStr">
        <is>
          <t>MAT-RF</t>
        </is>
      </c>
      <c r="R301">
        <f>IF(OR(Q301="CONTEXT",Q301="REVIEW"),"",INDEX('Category Rules'!$D$5:$D$17,MATCH(P301,'Category Rules'!$A$5:$A$17,0)))</f>
        <v>4030</v>
      </c>
      <c r="S301" t="str">
        <f>IF(Q301="CONTEXT","Roofing",IF(Q301="REVIEW","",INDEX('Category Rules'!$E$5:$E$17,MATCH(P301,'Category Rules'!$A$5:$A$17,0))))</f>
        <v>Roofing</v>
      </c>
      <c r="T301" t="str">
        <f>IF(Q301="DEP","BAS Excluded","GST on Income")</f>
        <v>GST on Income</v>
      </c>
      <c r="U301">
        <f>IF(O301=T301,1,0)</f>
        <v>1</v>
      </c>
      <c r="V301" s="9">
        <f>IF(OR(M301=0,U301=1),0,IF(T301="GST on Income",ROUND(K301*0.1,2),ROUND(-K301*0.1,2)))</f>
        <v>0</v>
      </c>
    </row>
    <row r="302">
      <c r="A302" t="inlineStr">
        <is>
          <t>INV-5470-3</t>
        </is>
      </c>
      <c r="B302" t="inlineStr">
        <is>
          <t>INV-5470</t>
        </is>
      </c>
      <c r="C302" s="11" t="n">
        <v>45894</v>
      </c>
      <c r="D302" t="inlineStr">
        <is>
          <t>2025-08</t>
        </is>
      </c>
      <c r="E302" t="inlineStr">
        <is>
          <t>C0116</t>
        </is>
      </c>
      <c r="F302" t="inlineStr">
        <is>
          <t>C0116</t>
        </is>
      </c>
      <c r="G302" t="inlineStr">
        <is>
          <t>Lucas Patel</t>
        </is>
      </c>
      <c r="H302" t="inlineStr">
        <is>
          <t>S0308</t>
        </is>
      </c>
      <c r="I302" t="inlineStr">
        <is>
          <t>Materials - flashing</t>
        </is>
      </c>
      <c r="J302" t="n">
        <v>1</v>
      </c>
      <c r="K302" s="9" t="n">
        <v>661.3</v>
      </c>
      <c r="L302" t="inlineStr">
        <is>
          <t>PAID</t>
        </is>
      </c>
      <c r="M302">
        <f>IF(L302="VOIDED",0,1)</f>
        <v>1</v>
      </c>
      <c r="N302" t="n">
        <v>200</v>
      </c>
      <c r="O302" t="inlineStr">
        <is>
          <t>GST on Income</t>
        </is>
      </c>
      <c r="P302" t="inlineStr">
        <is>
          <t>R11</t>
        </is>
      </c>
      <c r="Q302" t="inlineStr">
        <is>
          <t>MAT-RF</t>
        </is>
      </c>
      <c r="R302">
        <f>IF(OR(Q302="CONTEXT",Q302="REVIEW"),"",INDEX('Category Rules'!$D$5:$D$17,MATCH(P302,'Category Rules'!$A$5:$A$17,0)))</f>
        <v>4030</v>
      </c>
      <c r="S302" t="str">
        <f>IF(Q302="CONTEXT","Roofing",IF(Q302="REVIEW","",INDEX('Category Rules'!$E$5:$E$17,MATCH(P302,'Category Rules'!$A$5:$A$17,0))))</f>
        <v>Roofing</v>
      </c>
      <c r="T302" t="str">
        <f>IF(Q302="DEP","BAS Excluded","GST on Income")</f>
        <v>GST on Income</v>
      </c>
      <c r="U302">
        <f>IF(O302=T302,1,0)</f>
        <v>1</v>
      </c>
      <c r="V302" s="9">
        <f>IF(OR(M302=0,U302=1),0,IF(T302="GST on Income",ROUND(K302*0.1,2),ROUND(-K302*0.1,2)))</f>
        <v>0</v>
      </c>
    </row>
    <row r="303">
      <c r="A303" t="inlineStr">
        <is>
          <t>INV-5470-4</t>
        </is>
      </c>
      <c r="B303" t="inlineStr">
        <is>
          <t>INV-5470</t>
        </is>
      </c>
      <c r="C303" s="11" t="n">
        <v>45894</v>
      </c>
      <c r="D303" t="inlineStr">
        <is>
          <t>2025-08</t>
        </is>
      </c>
      <c r="E303" t="inlineStr">
        <is>
          <t>C0116</t>
        </is>
      </c>
      <c r="F303" t="inlineStr">
        <is>
          <t>C0116</t>
        </is>
      </c>
      <c r="G303" t="inlineStr">
        <is>
          <t>Lucas Patel</t>
        </is>
      </c>
      <c r="H303" t="inlineStr">
        <is>
          <t>S0308</t>
        </is>
      </c>
      <c r="I303" t="inlineStr">
        <is>
          <t>Waste removal and tip fees</t>
        </is>
      </c>
      <c r="J303" t="n">
        <v>1</v>
      </c>
      <c r="K303" s="9" t="n">
        <v>120</v>
      </c>
      <c r="L303" t="inlineStr">
        <is>
          <t>PAID</t>
        </is>
      </c>
      <c r="M303">
        <f>IF(L303="VOIDED",0,1)</f>
        <v>1</v>
      </c>
      <c r="N303" t="n">
        <v>200</v>
      </c>
      <c r="O303" t="inlineStr">
        <is>
          <t>GST on Income</t>
        </is>
      </c>
      <c r="P303" t="inlineStr">
        <is>
          <t>R11</t>
        </is>
      </c>
      <c r="Q303" t="inlineStr">
        <is>
          <t>MAT-RF</t>
        </is>
      </c>
      <c r="R303">
        <f>IF(OR(Q303="CONTEXT",Q303="REVIEW"),"",INDEX('Category Rules'!$D$5:$D$17,MATCH(P303,'Category Rules'!$A$5:$A$17,0)))</f>
        <v>4030</v>
      </c>
      <c r="S303" t="str">
        <f>IF(Q303="CONTEXT","Roofing",IF(Q303="REVIEW","",INDEX('Category Rules'!$E$5:$E$17,MATCH(P303,'Category Rules'!$A$5:$A$17,0))))</f>
        <v>Roofing</v>
      </c>
      <c r="T303" t="str">
        <f>IF(Q303="DEP","BAS Excluded","GST on Income")</f>
        <v>GST on Income</v>
      </c>
      <c r="U303">
        <f>IF(O303=T303,1,0)</f>
        <v>1</v>
      </c>
      <c r="V303" s="9">
        <f>IF(OR(M303=0,U303=1),0,IF(T303="GST on Income",ROUND(K303*0.1,2),ROUND(-K303*0.1,2)))</f>
        <v>0</v>
      </c>
    </row>
    <row r="304">
      <c r="A304" t="inlineStr">
        <is>
          <t>INV-4441-1</t>
        </is>
      </c>
      <c r="B304" t="inlineStr">
        <is>
          <t>INV-4441</t>
        </is>
      </c>
      <c r="C304" s="11" t="n">
        <v>45895</v>
      </c>
      <c r="D304" t="inlineStr">
        <is>
          <t>2025-08</t>
        </is>
      </c>
      <c r="E304" t="inlineStr">
        <is>
          <t>C0038</t>
        </is>
      </c>
      <c r="F304" t="inlineStr">
        <is>
          <t>C0038</t>
        </is>
      </c>
      <c r="G304" t="inlineStr">
        <is>
          <t>Cobalt Constructions Pty Ltd</t>
        </is>
      </c>
      <c r="H304" t="inlineStr">
        <is>
          <t>S0068</t>
        </is>
      </c>
      <c r="I304" t="inlineStr">
        <is>
          <t>Temporary fence hire 4 wks (29/07/25-25/08/25) - 38 panels</t>
        </is>
      </c>
      <c r="J304" t="n">
        <v>152</v>
      </c>
      <c r="K304" s="9" t="n">
        <v>684</v>
      </c>
      <c r="L304" t="inlineStr">
        <is>
          <t>PAID</t>
        </is>
      </c>
      <c r="M304">
        <f>IF(L304="VOIDED",0,1)</f>
        <v>1</v>
      </c>
      <c r="N304" t="n">
        <v>200</v>
      </c>
      <c r="O304" t="inlineStr">
        <is>
          <t>GST on Income</t>
        </is>
      </c>
      <c r="P304" t="inlineStr">
        <is>
          <t>R03</t>
        </is>
      </c>
      <c r="Q304" t="inlineStr">
        <is>
          <t>HIRE-FP</t>
        </is>
      </c>
      <c r="R304">
        <f>IF(OR(Q304="CONTEXT",Q304="REVIEW"),"",INDEX('Category Rules'!$D$5:$D$17,MATCH(P304,'Category Rules'!$A$5:$A$17,0)))</f>
        <v>4010</v>
      </c>
      <c r="S304" t="str">
        <f>IF(Q304="CONTEXT","Fencing",IF(Q304="REVIEW","",INDEX('Category Rules'!$E$5:$E$17,MATCH(P304,'Category Rules'!$A$5:$A$17,0))))</f>
        <v>Fencing</v>
      </c>
      <c r="T304" t="str">
        <f>IF(Q304="DEP","BAS Excluded","GST on Income")</f>
        <v>GST on Income</v>
      </c>
      <c r="U304">
        <f>IF(O304=T304,1,0)</f>
        <v>1</v>
      </c>
      <c r="V304" s="9">
        <f>IF(OR(M304=0,U304=1),0,IF(T304="GST on Income",ROUND(K304*0.1,2),ROUND(-K304*0.1,2)))</f>
        <v>0</v>
      </c>
    </row>
    <row r="305">
      <c r="A305" t="inlineStr">
        <is>
          <t>INV-4555-1</t>
        </is>
      </c>
      <c r="B305" t="inlineStr">
        <is>
          <t>INV-4555</t>
        </is>
      </c>
      <c r="C305" s="11" t="n">
        <v>45895</v>
      </c>
      <c r="D305" t="inlineStr">
        <is>
          <t>2025-08</t>
        </is>
      </c>
      <c r="E305" t="inlineStr">
        <is>
          <t>C0014</t>
        </is>
      </c>
      <c r="F305" t="inlineStr">
        <is>
          <t>C0014</t>
        </is>
      </c>
      <c r="G305" t="inlineStr">
        <is>
          <t>Riverbend Homes Pty Ltd</t>
        </is>
      </c>
      <c r="H305" t="inlineStr">
        <is>
          <t>S0091</t>
        </is>
      </c>
      <c r="I305" t="inlineStr">
        <is>
          <t>Temporary fence hire 4 wks (29/07/25-25/08/25) - 32 panels</t>
        </is>
      </c>
      <c r="J305" t="n">
        <v>128</v>
      </c>
      <c r="K305" s="9" t="n">
        <v>576</v>
      </c>
      <c r="L305" t="inlineStr">
        <is>
          <t>PAID</t>
        </is>
      </c>
      <c r="M305">
        <f>IF(L305="VOIDED",0,1)</f>
        <v>1</v>
      </c>
      <c r="N305" t="n">
        <v>200</v>
      </c>
      <c r="O305" t="inlineStr">
        <is>
          <t>GST on Income</t>
        </is>
      </c>
      <c r="P305" t="inlineStr">
        <is>
          <t>R03</t>
        </is>
      </c>
      <c r="Q305" t="inlineStr">
        <is>
          <t>HIRE-FP</t>
        </is>
      </c>
      <c r="R305">
        <f>IF(OR(Q305="CONTEXT",Q305="REVIEW"),"",INDEX('Category Rules'!$D$5:$D$17,MATCH(P305,'Category Rules'!$A$5:$A$17,0)))</f>
        <v>4010</v>
      </c>
      <c r="S305" t="str">
        <f>IF(Q305="CONTEXT","Fencing",IF(Q305="REVIEW","",INDEX('Category Rules'!$E$5:$E$17,MATCH(P305,'Category Rules'!$A$5:$A$17,0))))</f>
        <v>Fencing</v>
      </c>
      <c r="T305" t="str">
        <f>IF(Q305="DEP","BAS Excluded","GST on Income")</f>
        <v>GST on Income</v>
      </c>
      <c r="U305">
        <f>IF(O305=T305,1,0)</f>
        <v>1</v>
      </c>
      <c r="V305" s="9">
        <f>IF(OR(M305=0,U305=1),0,IF(T305="GST on Income",ROUND(K305*0.1,2),ROUND(-K305*0.1,2)))</f>
        <v>0</v>
      </c>
    </row>
    <row r="306">
      <c r="A306" t="inlineStr">
        <is>
          <t>INV-4971-1</t>
        </is>
      </c>
      <c r="B306" t="inlineStr">
        <is>
          <t>INV-4971</t>
        </is>
      </c>
      <c r="C306" s="11" t="n">
        <v>45895</v>
      </c>
      <c r="D306" t="inlineStr">
        <is>
          <t>2025-08</t>
        </is>
      </c>
      <c r="E306" t="inlineStr">
        <is>
          <t>C0122</t>
        </is>
      </c>
      <c r="F306" t="inlineStr">
        <is>
          <t>C0122</t>
        </is>
      </c>
      <c r="G306" t="inlineStr">
        <is>
          <t>Bluegum Construction Pty Ltd</t>
        </is>
      </c>
      <c r="H306" t="inlineStr">
        <is>
          <t>S0185</t>
        </is>
      </c>
      <c r="I306" t="inlineStr">
        <is>
          <t>Temporary fence hire 4 wks (29/07/25-25/08/25) - 54 panels</t>
        </is>
      </c>
      <c r="J306" t="n">
        <v>216</v>
      </c>
      <c r="K306" s="9" t="n">
        <v>972</v>
      </c>
      <c r="L306" t="inlineStr">
        <is>
          <t>PAID</t>
        </is>
      </c>
      <c r="M306">
        <f>IF(L306="VOIDED",0,1)</f>
        <v>1</v>
      </c>
      <c r="N306" t="n">
        <v>200</v>
      </c>
      <c r="O306" t="inlineStr">
        <is>
          <t>GST on Income</t>
        </is>
      </c>
      <c r="P306" t="inlineStr">
        <is>
          <t>R03</t>
        </is>
      </c>
      <c r="Q306" t="inlineStr">
        <is>
          <t>HIRE-FP</t>
        </is>
      </c>
      <c r="R306">
        <f>IF(OR(Q306="CONTEXT",Q306="REVIEW"),"",INDEX('Category Rules'!$D$5:$D$17,MATCH(P306,'Category Rules'!$A$5:$A$17,0)))</f>
        <v>4010</v>
      </c>
      <c r="S306" t="str">
        <f>IF(Q306="CONTEXT","Fencing",IF(Q306="REVIEW","",INDEX('Category Rules'!$E$5:$E$17,MATCH(P306,'Category Rules'!$A$5:$A$17,0))))</f>
        <v>Fencing</v>
      </c>
      <c r="T306" t="str">
        <f>IF(Q306="DEP","BAS Excluded","GST on Income")</f>
        <v>GST on Income</v>
      </c>
      <c r="U306">
        <f>IF(O306=T306,1,0)</f>
        <v>1</v>
      </c>
      <c r="V306" s="9">
        <f>IF(OR(M306=0,U306=1),0,IF(T306="GST on Income",ROUND(K306*0.1,2),ROUND(-K306*0.1,2)))</f>
        <v>0</v>
      </c>
    </row>
    <row r="307">
      <c r="A307" t="inlineStr">
        <is>
          <t>INV-5609-1</t>
        </is>
      </c>
      <c r="B307" t="inlineStr">
        <is>
          <t>INV-5609</t>
        </is>
      </c>
      <c r="C307" s="11" t="n">
        <v>45895</v>
      </c>
      <c r="D307" t="inlineStr">
        <is>
          <t>2025-08</t>
        </is>
      </c>
      <c r="E307" t="inlineStr">
        <is>
          <t>C0124</t>
        </is>
      </c>
      <c r="F307" t="inlineStr">
        <is>
          <t>C0124</t>
        </is>
      </c>
      <c r="G307" t="inlineStr">
        <is>
          <t>Harbor Strata Management</t>
        </is>
      </c>
      <c r="H307" t="inlineStr">
        <is>
          <t>S0385</t>
        </is>
      </c>
      <c r="I307" t="inlineStr">
        <is>
          <t>Make safe call-out</t>
        </is>
      </c>
      <c r="J307" t="n">
        <v>1</v>
      </c>
      <c r="K307" s="9" t="n">
        <v>385</v>
      </c>
      <c r="L307" t="inlineStr">
        <is>
          <t>PAID</t>
        </is>
      </c>
      <c r="M307">
        <f>IF(L307="VOIDED",0,1)</f>
        <v>1</v>
      </c>
      <c r="N307" t="n">
        <v>260</v>
      </c>
      <c r="O307" t="inlineStr">
        <is>
          <t>GST on Income</t>
        </is>
      </c>
      <c r="P307" t="inlineStr">
        <is>
          <t>R09</t>
        </is>
      </c>
      <c r="Q307" t="inlineStr">
        <is>
          <t>MS</t>
        </is>
      </c>
      <c r="R307">
        <f>IF(OR(Q307="CONTEXT",Q307="REVIEW"),"",INDEX('Category Rules'!$D$5:$D$17,MATCH(P307,'Category Rules'!$A$5:$A$17,0)))</f>
        <v>4020</v>
      </c>
      <c r="S307" t="str">
        <f>IF(Q307="CONTEXT","Make-safe",IF(Q307="REVIEW","",INDEX('Category Rules'!$E$5:$E$17,MATCH(P307,'Category Rules'!$A$5:$A$17,0))))</f>
        <v>Make-safe</v>
      </c>
      <c r="T307" t="str">
        <f>IF(Q307="DEP","BAS Excluded","GST on Income")</f>
        <v>GST on Income</v>
      </c>
      <c r="U307">
        <f>IF(O307=T307,1,0)</f>
        <v>1</v>
      </c>
      <c r="V307" s="9">
        <f>IF(OR(M307=0,U307=1),0,IF(T307="GST on Income",ROUND(K307*0.1,2),ROUND(-K307*0.1,2)))</f>
        <v>0</v>
      </c>
    </row>
    <row r="308">
      <c r="A308" t="inlineStr">
        <is>
          <t>INV-4972-1</t>
        </is>
      </c>
      <c r="B308" t="inlineStr">
        <is>
          <t>INV-4972</t>
        </is>
      </c>
      <c r="C308" s="11" t="n">
        <v>45896</v>
      </c>
      <c r="D308" t="inlineStr">
        <is>
          <t>2025-08</t>
        </is>
      </c>
      <c r="E308" t="inlineStr">
        <is>
          <t>C0122</t>
        </is>
      </c>
      <c r="F308" t="inlineStr">
        <is>
          <t>C0122</t>
        </is>
      </c>
      <c r="G308" t="inlineStr">
        <is>
          <t>Bluegum Construction Pty Ltd</t>
        </is>
      </c>
      <c r="H308" t="inlineStr">
        <is>
          <t>S0185</t>
        </is>
      </c>
      <c r="I308" t="inlineStr">
        <is>
          <t>Temporary fence hire 1 wks (26/08/25-26/08/25) - 54 panels</t>
        </is>
      </c>
      <c r="J308" t="n">
        <v>54</v>
      </c>
      <c r="K308" s="9" t="n">
        <v>243</v>
      </c>
      <c r="L308" t="inlineStr">
        <is>
          <t>PAID</t>
        </is>
      </c>
      <c r="M308">
        <f>IF(L308="VOIDED",0,1)</f>
        <v>1</v>
      </c>
      <c r="N308" t="n">
        <v>200</v>
      </c>
      <c r="O308" t="inlineStr">
        <is>
          <t>GST on Income</t>
        </is>
      </c>
      <c r="P308" t="inlineStr">
        <is>
          <t>R03</t>
        </is>
      </c>
      <c r="Q308" t="inlineStr">
        <is>
          <t>HIRE-FP</t>
        </is>
      </c>
      <c r="R308">
        <f>IF(OR(Q308="CONTEXT",Q308="REVIEW"),"",INDEX('Category Rules'!$D$5:$D$17,MATCH(P308,'Category Rules'!$A$5:$A$17,0)))</f>
        <v>4010</v>
      </c>
      <c r="S308" t="str">
        <f>IF(Q308="CONTEXT","Fencing",IF(Q308="REVIEW","",INDEX('Category Rules'!$E$5:$E$17,MATCH(P308,'Category Rules'!$A$5:$A$17,0))))</f>
        <v>Fencing</v>
      </c>
      <c r="T308" t="str">
        <f>IF(Q308="DEP","BAS Excluded","GST on Income")</f>
        <v>GST on Income</v>
      </c>
      <c r="U308">
        <f>IF(O308=T308,1,0)</f>
        <v>1</v>
      </c>
      <c r="V308" s="9">
        <f>IF(OR(M308=0,U308=1),0,IF(T308="GST on Income",ROUND(K308*0.1,2),ROUND(-K308*0.1,2)))</f>
        <v>0</v>
      </c>
    </row>
    <row r="309">
      <c r="A309" t="inlineStr">
        <is>
          <t>INV-4974-1</t>
        </is>
      </c>
      <c r="B309" t="inlineStr">
        <is>
          <t>INV-4974</t>
        </is>
      </c>
      <c r="C309" s="11" t="n">
        <v>45896</v>
      </c>
      <c r="D309" t="inlineStr">
        <is>
          <t>2025-08</t>
        </is>
      </c>
      <c r="E309" t="inlineStr">
        <is>
          <t>C0122</t>
        </is>
      </c>
      <c r="F309" t="inlineStr">
        <is>
          <t>C0122</t>
        </is>
      </c>
      <c r="G309" t="inlineStr">
        <is>
          <t>Bluegum Construction Pty Ltd</t>
        </is>
      </c>
      <c r="H309" t="inlineStr">
        <is>
          <t>S0185</t>
        </is>
      </c>
      <c r="I309" t="inlineStr">
        <is>
          <t>Collection and dismantle - temporary fencing</t>
        </is>
      </c>
      <c r="J309" t="n">
        <v>1</v>
      </c>
      <c r="K309" s="9" t="n">
        <v>165</v>
      </c>
      <c r="L309" t="inlineStr">
        <is>
          <t>PAID</t>
        </is>
      </c>
      <c r="M309">
        <f>IF(L309="VOIDED",0,1)</f>
        <v>1</v>
      </c>
      <c r="N309" t="n">
        <v>200</v>
      </c>
      <c r="O309" t="inlineStr">
        <is>
          <t>GST on Income</t>
        </is>
      </c>
      <c r="P309" t="inlineStr">
        <is>
          <t>R07</t>
        </is>
      </c>
      <c r="Q309" t="inlineStr">
        <is>
          <t>DEL-FP</t>
        </is>
      </c>
      <c r="R309">
        <f>IF(OR(Q309="CONTEXT",Q309="REVIEW"),"",INDEX('Category Rules'!$D$5:$D$17,MATCH(P309,'Category Rules'!$A$5:$A$17,0)))</f>
        <v>4020</v>
      </c>
      <c r="S309" t="str">
        <f>IF(Q309="CONTEXT","Fencing",IF(Q309="REVIEW","",INDEX('Category Rules'!$E$5:$E$17,MATCH(P309,'Category Rules'!$A$5:$A$17,0))))</f>
        <v>Fencing</v>
      </c>
      <c r="T309" t="str">
        <f>IF(Q309="DEP","BAS Excluded","GST on Income")</f>
        <v>GST on Income</v>
      </c>
      <c r="U309">
        <f>IF(O309=T309,1,0)</f>
        <v>1</v>
      </c>
      <c r="V309" s="9">
        <f>IF(OR(M309=0,U309=1),0,IF(T309="GST on Income",ROUND(K309*0.1,2),ROUND(-K309*0.1,2)))</f>
        <v>0</v>
      </c>
    </row>
    <row r="310">
      <c r="A310" t="inlineStr">
        <is>
          <t>INV-5285-1</t>
        </is>
      </c>
      <c r="B310" t="inlineStr">
        <is>
          <t>INV-5285</t>
        </is>
      </c>
      <c r="C310" s="11" t="n">
        <v>45896</v>
      </c>
      <c r="D310" t="inlineStr">
        <is>
          <t>2025-08</t>
        </is>
      </c>
      <c r="E310" t="inlineStr">
        <is>
          <t>C0050</t>
        </is>
      </c>
      <c r="F310" t="inlineStr">
        <is>
          <t>C0050</t>
        </is>
      </c>
      <c r="G310" t="inlineStr">
        <is>
          <t>Southbank Body Corporate Pty Ltd</t>
        </is>
      </c>
      <c r="H310" t="inlineStr">
        <is>
          <t>S0256</t>
        </is>
      </c>
      <c r="I310" t="inlineStr">
        <is>
          <t>Scaffold tower hire 3 wks (12/08/25-26/08/25) - 2 towers</t>
        </is>
      </c>
      <c r="J310" t="n">
        <v>6</v>
      </c>
      <c r="K310" s="9" t="n">
        <v>570</v>
      </c>
      <c r="L310" t="inlineStr">
        <is>
          <t>PAID</t>
        </is>
      </c>
      <c r="M310">
        <f>IF(L310="VOIDED",0,1)</f>
        <v>1</v>
      </c>
      <c r="N310" t="n">
        <v>200</v>
      </c>
      <c r="O310" t="inlineStr">
        <is>
          <t>GST on Income</t>
        </is>
      </c>
      <c r="P310" t="inlineStr">
        <is>
          <t>R05</t>
        </is>
      </c>
      <c r="Q310" t="inlineStr">
        <is>
          <t>HIRE-ST</t>
        </is>
      </c>
      <c r="R310">
        <f>IF(OR(Q310="CONTEXT",Q310="REVIEW"),"",INDEX('Category Rules'!$D$5:$D$17,MATCH(P310,'Category Rules'!$A$5:$A$17,0)))</f>
        <v>4010</v>
      </c>
      <c r="S310" t="str">
        <f>IF(Q310="CONTEXT","Scaffolding",IF(Q310="REVIEW","",INDEX('Category Rules'!$E$5:$E$17,MATCH(P310,'Category Rules'!$A$5:$A$17,0))))</f>
        <v>Scaffolding</v>
      </c>
      <c r="T310" t="str">
        <f>IF(Q310="DEP","BAS Excluded","GST on Income")</f>
        <v>GST on Income</v>
      </c>
      <c r="U310">
        <f>IF(O310=T310,1,0)</f>
        <v>1</v>
      </c>
      <c r="V310" s="9">
        <f>IF(OR(M310=0,U310=1),0,IF(T310="GST on Income",ROUND(K310*0.1,2),ROUND(-K310*0.1,2)))</f>
        <v>0</v>
      </c>
    </row>
    <row r="311">
      <c r="A311" t="inlineStr">
        <is>
          <t>INV-5287-1</t>
        </is>
      </c>
      <c r="B311" t="inlineStr">
        <is>
          <t>INV-5287</t>
        </is>
      </c>
      <c r="C311" s="11" t="n">
        <v>45896</v>
      </c>
      <c r="D311" t="inlineStr">
        <is>
          <t>2025-08</t>
        </is>
      </c>
      <c r="E311" t="inlineStr">
        <is>
          <t>C0050</t>
        </is>
      </c>
      <c r="F311" t="inlineStr">
        <is>
          <t>C0050</t>
        </is>
      </c>
      <c r="G311" t="inlineStr">
        <is>
          <t>Southbank Body Corporate Pty Ltd</t>
        </is>
      </c>
      <c r="H311" t="inlineStr">
        <is>
          <t>S0256</t>
        </is>
      </c>
      <c r="I311" t="inlineStr">
        <is>
          <t>Scaffold dismantle - 2 tower(s)</t>
        </is>
      </c>
      <c r="J311" t="n">
        <v>2</v>
      </c>
      <c r="K311" s="9" t="n">
        <v>640</v>
      </c>
      <c r="L311" t="inlineStr">
        <is>
          <t>PAID</t>
        </is>
      </c>
      <c r="M311">
        <f>IF(L311="VOIDED",0,1)</f>
        <v>1</v>
      </c>
      <c r="N311" t="n">
        <v>200</v>
      </c>
      <c r="O311" t="inlineStr">
        <is>
          <t>GST on Income</t>
        </is>
      </c>
      <c r="P311" t="inlineStr">
        <is>
          <t>R08</t>
        </is>
      </c>
      <c r="Q311" t="inlineStr">
        <is>
          <t>LAB-ST</t>
        </is>
      </c>
      <c r="R311">
        <f>IF(OR(Q311="CONTEXT",Q311="REVIEW"),"",INDEX('Category Rules'!$D$5:$D$17,MATCH(P311,'Category Rules'!$A$5:$A$17,0)))</f>
        <v>4020</v>
      </c>
      <c r="S311" t="str">
        <f>IF(Q311="CONTEXT","Scaffolding",IF(Q311="REVIEW","",INDEX('Category Rules'!$E$5:$E$17,MATCH(P311,'Category Rules'!$A$5:$A$17,0))))</f>
        <v>Scaffolding</v>
      </c>
      <c r="T311" t="str">
        <f>IF(Q311="DEP","BAS Excluded","GST on Income")</f>
        <v>GST on Income</v>
      </c>
      <c r="U311">
        <f>IF(O311=T311,1,0)</f>
        <v>1</v>
      </c>
      <c r="V311" s="9">
        <f>IF(OR(M311=0,U311=1),0,IF(T311="GST on Income",ROUND(K311*0.1,2),ROUND(-K311*0.1,2)))</f>
        <v>0</v>
      </c>
    </row>
    <row r="312">
      <c r="A312" t="inlineStr">
        <is>
          <t>INV-5573-1</t>
        </is>
      </c>
      <c r="B312" t="inlineStr">
        <is>
          <t>INV-5573</t>
        </is>
      </c>
      <c r="C312" s="11" t="n">
        <v>45896</v>
      </c>
      <c r="D312" t="inlineStr">
        <is>
          <t>2025-08</t>
        </is>
      </c>
      <c r="E312" t="inlineStr">
        <is>
          <t>C0091</t>
        </is>
      </c>
      <c r="F312" t="inlineStr">
        <is>
          <t>C0091</t>
        </is>
      </c>
      <c r="G312" t="inlineStr">
        <is>
          <t>Zoe Martin</t>
        </is>
      </c>
      <c r="H312" t="inlineStr">
        <is>
          <t>S0365</t>
        </is>
      </c>
      <c r="I312" t="inlineStr">
        <is>
          <t>Make safe call-out</t>
        </is>
      </c>
      <c r="J312" t="n">
        <v>1</v>
      </c>
      <c r="K312" s="9" t="n">
        <v>385</v>
      </c>
      <c r="L312" t="inlineStr">
        <is>
          <t>PAID</t>
        </is>
      </c>
      <c r="M312">
        <f>IF(L312="VOIDED",0,1)</f>
        <v>1</v>
      </c>
      <c r="N312" t="n">
        <v>200</v>
      </c>
      <c r="O312" t="inlineStr">
        <is>
          <t>GST on Income</t>
        </is>
      </c>
      <c r="P312" t="inlineStr">
        <is>
          <t>R09</t>
        </is>
      </c>
      <c r="Q312" t="inlineStr">
        <is>
          <t>MS</t>
        </is>
      </c>
      <c r="R312">
        <f>IF(OR(Q312="CONTEXT",Q312="REVIEW"),"",INDEX('Category Rules'!$D$5:$D$17,MATCH(P312,'Category Rules'!$A$5:$A$17,0)))</f>
        <v>4020</v>
      </c>
      <c r="S312" t="str">
        <f>IF(Q312="CONTEXT","Make-safe",IF(Q312="REVIEW","",INDEX('Category Rules'!$E$5:$E$17,MATCH(P312,'Category Rules'!$A$5:$A$17,0))))</f>
        <v>Make-safe</v>
      </c>
      <c r="T312" t="str">
        <f>IF(Q312="DEP","BAS Excluded","GST on Income")</f>
        <v>GST on Income</v>
      </c>
      <c r="U312">
        <f>IF(O312=T312,1,0)</f>
        <v>1</v>
      </c>
      <c r="V312" s="9">
        <f>IF(OR(M312=0,U312=1),0,IF(T312="GST on Income",ROUND(K312*0.1,2),ROUND(-K312*0.1,2)))</f>
        <v>0</v>
      </c>
    </row>
    <row r="313">
      <c r="A313" t="inlineStr">
        <is>
          <t>INV-5624-1</t>
        </is>
      </c>
      <c r="B313" t="inlineStr">
        <is>
          <t>INV-5624</t>
        </is>
      </c>
      <c r="C313" s="11" t="n">
        <v>45896</v>
      </c>
      <c r="D313" t="inlineStr">
        <is>
          <t>2025-08</t>
        </is>
      </c>
      <c r="E313" t="inlineStr">
        <is>
          <t>C0082</t>
        </is>
      </c>
      <c r="F313" t="inlineStr">
        <is>
          <t>C0082</t>
        </is>
      </c>
      <c r="G313" t="inlineStr">
        <is>
          <t>Olivia Hughes</t>
        </is>
      </c>
      <c r="H313" t="inlineStr">
        <is>
          <t>S0392</t>
        </is>
      </c>
      <c r="I313" t="inlineStr">
        <is>
          <t>Roof repair labour - 24 hrs</t>
        </is>
      </c>
      <c r="J313" t="n">
        <v>24</v>
      </c>
      <c r="K313" s="9" t="n">
        <v>2352</v>
      </c>
      <c r="L313" t="inlineStr">
        <is>
          <t>PAID</t>
        </is>
      </c>
      <c r="M313">
        <f>IF(L313="VOIDED",0,1)</f>
        <v>1</v>
      </c>
      <c r="N313" t="n">
        <v>200</v>
      </c>
      <c r="O313" t="inlineStr">
        <is>
          <t>GST on Income</t>
        </is>
      </c>
      <c r="P313" t="inlineStr">
        <is>
          <t>R10</t>
        </is>
      </c>
      <c r="Q313" t="inlineStr">
        <is>
          <t>LAB-RF</t>
        </is>
      </c>
      <c r="R313">
        <f>IF(OR(Q313="CONTEXT",Q313="REVIEW"),"",INDEX('Category Rules'!$D$5:$D$17,MATCH(P313,'Category Rules'!$A$5:$A$17,0)))</f>
        <v>4020</v>
      </c>
      <c r="S313" t="str">
        <f>IF(Q313="CONTEXT","Roofing",IF(Q313="REVIEW","",INDEX('Category Rules'!$E$5:$E$17,MATCH(P313,'Category Rules'!$A$5:$A$17,0))))</f>
        <v>Roofing</v>
      </c>
      <c r="T313" t="str">
        <f>IF(Q313="DEP","BAS Excluded","GST on Income")</f>
        <v>GST on Income</v>
      </c>
      <c r="U313">
        <f>IF(O313=T313,1,0)</f>
        <v>1</v>
      </c>
      <c r="V313" s="9">
        <f>IF(OR(M313=0,U313=1),0,IF(T313="GST on Income",ROUND(K313*0.1,2),ROUND(-K313*0.1,2)))</f>
        <v>0</v>
      </c>
    </row>
    <row r="314">
      <c r="A314" t="inlineStr">
        <is>
          <t>INV-5624-2</t>
        </is>
      </c>
      <c r="B314" t="inlineStr">
        <is>
          <t>INV-5624</t>
        </is>
      </c>
      <c r="C314" s="11" t="n">
        <v>45896</v>
      </c>
      <c r="D314" t="inlineStr">
        <is>
          <t>2025-08</t>
        </is>
      </c>
      <c r="E314" t="inlineStr">
        <is>
          <t>C0082</t>
        </is>
      </c>
      <c r="F314" t="inlineStr">
        <is>
          <t>C0082</t>
        </is>
      </c>
      <c r="G314" t="inlineStr">
        <is>
          <t>Olivia Hughes</t>
        </is>
      </c>
      <c r="H314" t="inlineStr">
        <is>
          <t>S0392</t>
        </is>
      </c>
      <c r="I314" t="inlineStr">
        <is>
          <t>Materials - flashing</t>
        </is>
      </c>
      <c r="J314" t="n">
        <v>1</v>
      </c>
      <c r="K314" s="9" t="n">
        <v>972.51</v>
      </c>
      <c r="L314" t="inlineStr">
        <is>
          <t>PAID</t>
        </is>
      </c>
      <c r="M314">
        <f>IF(L314="VOIDED",0,1)</f>
        <v>1</v>
      </c>
      <c r="N314" t="n">
        <v>260</v>
      </c>
      <c r="O314" t="inlineStr">
        <is>
          <t>GST on Income</t>
        </is>
      </c>
      <c r="P314" t="inlineStr">
        <is>
          <t>R11</t>
        </is>
      </c>
      <c r="Q314" t="inlineStr">
        <is>
          <t>MAT-RF</t>
        </is>
      </c>
      <c r="R314">
        <f>IF(OR(Q314="CONTEXT",Q314="REVIEW"),"",INDEX('Category Rules'!$D$5:$D$17,MATCH(P314,'Category Rules'!$A$5:$A$17,0)))</f>
        <v>4030</v>
      </c>
      <c r="S314" t="str">
        <f>IF(Q314="CONTEXT","Roofing",IF(Q314="REVIEW","",INDEX('Category Rules'!$E$5:$E$17,MATCH(P314,'Category Rules'!$A$5:$A$17,0))))</f>
        <v>Roofing</v>
      </c>
      <c r="T314" t="str">
        <f>IF(Q314="DEP","BAS Excluded","GST on Income")</f>
        <v>GST on Income</v>
      </c>
      <c r="U314">
        <f>IF(O314=T314,1,0)</f>
        <v>1</v>
      </c>
      <c r="V314" s="9">
        <f>IF(OR(M314=0,U314=1),0,IF(T314="GST on Income",ROUND(K314*0.1,2),ROUND(-K314*0.1,2)))</f>
        <v>0</v>
      </c>
    </row>
    <row r="315">
      <c r="A315" t="inlineStr">
        <is>
          <t>INV-5624-3</t>
        </is>
      </c>
      <c r="B315" t="inlineStr">
        <is>
          <t>INV-5624</t>
        </is>
      </c>
      <c r="C315" s="11" t="n">
        <v>45896</v>
      </c>
      <c r="D315" t="inlineStr">
        <is>
          <t>2025-08</t>
        </is>
      </c>
      <c r="E315" t="inlineStr">
        <is>
          <t>C0082</t>
        </is>
      </c>
      <c r="F315" t="inlineStr">
        <is>
          <t>C0082</t>
        </is>
      </c>
      <c r="G315" t="inlineStr">
        <is>
          <t>Olivia Hughes</t>
        </is>
      </c>
      <c r="H315" t="inlineStr">
        <is>
          <t>S0392</t>
        </is>
      </c>
      <c r="I315" t="inlineStr">
        <is>
          <t>Waste removal and tip fees</t>
        </is>
      </c>
      <c r="J315" t="n">
        <v>1</v>
      </c>
      <c r="K315" s="9" t="n">
        <v>120</v>
      </c>
      <c r="L315" t="inlineStr">
        <is>
          <t>PAID</t>
        </is>
      </c>
      <c r="M315">
        <f>IF(L315="VOIDED",0,1)</f>
        <v>1</v>
      </c>
      <c r="N315" t="n">
        <v>200</v>
      </c>
      <c r="O315" t="inlineStr">
        <is>
          <t>GST on Income</t>
        </is>
      </c>
      <c r="P315" t="inlineStr">
        <is>
          <t>R11</t>
        </is>
      </c>
      <c r="Q315" t="inlineStr">
        <is>
          <t>MAT-RF</t>
        </is>
      </c>
      <c r="R315">
        <f>IF(OR(Q315="CONTEXT",Q315="REVIEW"),"",INDEX('Category Rules'!$D$5:$D$17,MATCH(P315,'Category Rules'!$A$5:$A$17,0)))</f>
        <v>4030</v>
      </c>
      <c r="S315" t="str">
        <f>IF(Q315="CONTEXT","Roofing",IF(Q315="REVIEW","",INDEX('Category Rules'!$E$5:$E$17,MATCH(P315,'Category Rules'!$A$5:$A$17,0))))</f>
        <v>Roofing</v>
      </c>
      <c r="T315" t="str">
        <f>IF(Q315="DEP","BAS Excluded","GST on Income")</f>
        <v>GST on Income</v>
      </c>
      <c r="U315">
        <f>IF(O315=T315,1,0)</f>
        <v>1</v>
      </c>
      <c r="V315" s="9">
        <f>IF(OR(M315=0,U315=1),0,IF(T315="GST on Income",ROUND(K315*0.1,2),ROUND(-K315*0.1,2)))</f>
        <v>0</v>
      </c>
    </row>
    <row r="316">
      <c r="A316" t="inlineStr">
        <is>
          <t>INV-5772-1</t>
        </is>
      </c>
      <c r="B316" t="inlineStr">
        <is>
          <t>INV-5772</t>
        </is>
      </c>
      <c r="C316" s="11" t="n">
        <v>45896</v>
      </c>
      <c r="D316" t="inlineStr">
        <is>
          <t>2025-08</t>
        </is>
      </c>
      <c r="E316" t="inlineStr">
        <is>
          <t>C0049</t>
        </is>
      </c>
      <c r="F316" t="inlineStr">
        <is>
          <t>C0049</t>
        </is>
      </c>
      <c r="G316" t="inlineStr">
        <is>
          <t>Fairway Body Corporate Pty Ltd</t>
        </is>
      </c>
      <c r="H316" t="inlineStr">
        <is>
          <t>S0474</t>
        </is>
      </c>
      <c r="I316" t="inlineStr">
        <is>
          <t>Roof repair labour - 16 hrs</t>
        </is>
      </c>
      <c r="J316" t="n">
        <v>16</v>
      </c>
      <c r="K316" s="9" t="n">
        <v>1568</v>
      </c>
      <c r="L316" t="inlineStr">
        <is>
          <t>PAID</t>
        </is>
      </c>
      <c r="M316">
        <f>IF(L316="VOIDED",0,1)</f>
        <v>1</v>
      </c>
      <c r="N316" t="n">
        <v>200</v>
      </c>
      <c r="O316" t="inlineStr">
        <is>
          <t>GST on Income</t>
        </is>
      </c>
      <c r="P316" t="inlineStr">
        <is>
          <t>R10</t>
        </is>
      </c>
      <c r="Q316" t="inlineStr">
        <is>
          <t>LAB-RF</t>
        </is>
      </c>
      <c r="R316">
        <f>IF(OR(Q316="CONTEXT",Q316="REVIEW"),"",INDEX('Category Rules'!$D$5:$D$17,MATCH(P316,'Category Rules'!$A$5:$A$17,0)))</f>
        <v>4020</v>
      </c>
      <c r="S316" t="str">
        <f>IF(Q316="CONTEXT","Roofing",IF(Q316="REVIEW","",INDEX('Category Rules'!$E$5:$E$17,MATCH(P316,'Category Rules'!$A$5:$A$17,0))))</f>
        <v>Roofing</v>
      </c>
      <c r="T316" t="str">
        <f>IF(Q316="DEP","BAS Excluded","GST on Income")</f>
        <v>GST on Income</v>
      </c>
      <c r="U316">
        <f>IF(O316=T316,1,0)</f>
        <v>1</v>
      </c>
      <c r="V316" s="9">
        <f>IF(OR(M316=0,U316=1),0,IF(T316="GST on Income",ROUND(K316*0.1,2),ROUND(-K316*0.1,2)))</f>
        <v>0</v>
      </c>
    </row>
    <row r="317">
      <c r="A317" t="inlineStr">
        <is>
          <t>INV-5772-2</t>
        </is>
      </c>
      <c r="B317" t="inlineStr">
        <is>
          <t>INV-5772</t>
        </is>
      </c>
      <c r="C317" s="11" t="n">
        <v>45896</v>
      </c>
      <c r="D317" t="inlineStr">
        <is>
          <t>2025-08</t>
        </is>
      </c>
      <c r="E317" t="inlineStr">
        <is>
          <t>C0049</t>
        </is>
      </c>
      <c r="F317" t="inlineStr">
        <is>
          <t>C0049</t>
        </is>
      </c>
      <c r="G317" t="inlineStr">
        <is>
          <t>Fairway Body Corporate Pty Ltd</t>
        </is>
      </c>
      <c r="H317" t="inlineStr">
        <is>
          <t>S0474</t>
        </is>
      </c>
      <c r="I317" t="inlineStr">
        <is>
          <t>Materials - sealant and fixings</t>
        </is>
      </c>
      <c r="J317" t="n">
        <v>1</v>
      </c>
      <c r="K317" s="9" t="n">
        <v>1172.74</v>
      </c>
      <c r="L317" t="inlineStr">
        <is>
          <t>PAID</t>
        </is>
      </c>
      <c r="M317">
        <f>IF(L317="VOIDED",0,1)</f>
        <v>1</v>
      </c>
      <c r="N317" t="n">
        <v>200</v>
      </c>
      <c r="O317" t="inlineStr">
        <is>
          <t>GST on Income</t>
        </is>
      </c>
      <c r="P317" t="inlineStr">
        <is>
          <t>R11</t>
        </is>
      </c>
      <c r="Q317" t="inlineStr">
        <is>
          <t>MAT-RF</t>
        </is>
      </c>
      <c r="R317">
        <f>IF(OR(Q317="CONTEXT",Q317="REVIEW"),"",INDEX('Category Rules'!$D$5:$D$17,MATCH(P317,'Category Rules'!$A$5:$A$17,0)))</f>
        <v>4030</v>
      </c>
      <c r="S317" t="str">
        <f>IF(Q317="CONTEXT","Roofing",IF(Q317="REVIEW","",INDEX('Category Rules'!$E$5:$E$17,MATCH(P317,'Category Rules'!$A$5:$A$17,0))))</f>
        <v>Roofing</v>
      </c>
      <c r="T317" t="str">
        <f>IF(Q317="DEP","BAS Excluded","GST on Income")</f>
        <v>GST on Income</v>
      </c>
      <c r="U317">
        <f>IF(O317=T317,1,0)</f>
        <v>1</v>
      </c>
      <c r="V317" s="9">
        <f>IF(OR(M317=0,U317=1),0,IF(T317="GST on Income",ROUND(K317*0.1,2),ROUND(-K317*0.1,2)))</f>
        <v>0</v>
      </c>
    </row>
    <row r="318">
      <c r="A318" t="inlineStr">
        <is>
          <t>INV-5772-3</t>
        </is>
      </c>
      <c r="B318" t="inlineStr">
        <is>
          <t>INV-5772</t>
        </is>
      </c>
      <c r="C318" s="11" t="n">
        <v>45896</v>
      </c>
      <c r="D318" t="inlineStr">
        <is>
          <t>2025-08</t>
        </is>
      </c>
      <c r="E318" t="inlineStr">
        <is>
          <t>C0049</t>
        </is>
      </c>
      <c r="F318" t="inlineStr">
        <is>
          <t>C0049</t>
        </is>
      </c>
      <c r="G318" t="inlineStr">
        <is>
          <t>Fairway Body Corporate Pty Ltd</t>
        </is>
      </c>
      <c r="H318" t="inlineStr">
        <is>
          <t>S0474</t>
        </is>
      </c>
      <c r="I318" t="inlineStr">
        <is>
          <t>Materials - Colorbond sheet</t>
        </is>
      </c>
      <c r="J318" t="n">
        <v>1</v>
      </c>
      <c r="K318" s="9" t="n">
        <v>501.6</v>
      </c>
      <c r="L318" t="inlineStr">
        <is>
          <t>PAID</t>
        </is>
      </c>
      <c r="M318">
        <f>IF(L318="VOIDED",0,1)</f>
        <v>1</v>
      </c>
      <c r="N318" t="n">
        <v>200</v>
      </c>
      <c r="O318" t="inlineStr">
        <is>
          <t>GST on Income</t>
        </is>
      </c>
      <c r="P318" t="inlineStr">
        <is>
          <t>R11</t>
        </is>
      </c>
      <c r="Q318" t="inlineStr">
        <is>
          <t>MAT-RF</t>
        </is>
      </c>
      <c r="R318">
        <f>IF(OR(Q318="CONTEXT",Q318="REVIEW"),"",INDEX('Category Rules'!$D$5:$D$17,MATCH(P318,'Category Rules'!$A$5:$A$17,0)))</f>
        <v>4030</v>
      </c>
      <c r="S318" t="str">
        <f>IF(Q318="CONTEXT","Roofing",IF(Q318="REVIEW","",INDEX('Category Rules'!$E$5:$E$17,MATCH(P318,'Category Rules'!$A$5:$A$17,0))))</f>
        <v>Roofing</v>
      </c>
      <c r="T318" t="str">
        <f>IF(Q318="DEP","BAS Excluded","GST on Income")</f>
        <v>GST on Income</v>
      </c>
      <c r="U318">
        <f>IF(O318=T318,1,0)</f>
        <v>1</v>
      </c>
      <c r="V318" s="9">
        <f>IF(OR(M318=0,U318=1),0,IF(T318="GST on Income",ROUND(K318*0.1,2),ROUND(-K318*0.1,2)))</f>
        <v>0</v>
      </c>
    </row>
    <row r="319">
      <c r="A319" t="inlineStr">
        <is>
          <t>INV-5772-4</t>
        </is>
      </c>
      <c r="B319" t="inlineStr">
        <is>
          <t>INV-5772</t>
        </is>
      </c>
      <c r="C319" s="11" t="n">
        <v>45896</v>
      </c>
      <c r="D319" t="inlineStr">
        <is>
          <t>2025-08</t>
        </is>
      </c>
      <c r="E319" t="inlineStr">
        <is>
          <t>C0049</t>
        </is>
      </c>
      <c r="F319" t="inlineStr">
        <is>
          <t>C0049</t>
        </is>
      </c>
      <c r="G319" t="inlineStr">
        <is>
          <t>Fairway Body Corporate Pty Ltd</t>
        </is>
      </c>
      <c r="H319" t="inlineStr">
        <is>
          <t>S0474</t>
        </is>
      </c>
      <c r="I319" t="inlineStr">
        <is>
          <t>Materials - roof tiles (matched)</t>
        </is>
      </c>
      <c r="J319" t="n">
        <v>1</v>
      </c>
      <c r="K319" s="9" t="n">
        <v>610.1900000000001</v>
      </c>
      <c r="L319" t="inlineStr">
        <is>
          <t>PAID</t>
        </is>
      </c>
      <c r="M319">
        <f>IF(L319="VOIDED",0,1)</f>
        <v>1</v>
      </c>
      <c r="N319" t="n">
        <v>200</v>
      </c>
      <c r="O319" t="inlineStr">
        <is>
          <t>GST on Income</t>
        </is>
      </c>
      <c r="P319" t="inlineStr">
        <is>
          <t>R11</t>
        </is>
      </c>
      <c r="Q319" t="inlineStr">
        <is>
          <t>MAT-RF</t>
        </is>
      </c>
      <c r="R319">
        <f>IF(OR(Q319="CONTEXT",Q319="REVIEW"),"",INDEX('Category Rules'!$D$5:$D$17,MATCH(P319,'Category Rules'!$A$5:$A$17,0)))</f>
        <v>4030</v>
      </c>
      <c r="S319" t="str">
        <f>IF(Q319="CONTEXT","Roofing",IF(Q319="REVIEW","",INDEX('Category Rules'!$E$5:$E$17,MATCH(P319,'Category Rules'!$A$5:$A$17,0))))</f>
        <v>Roofing</v>
      </c>
      <c r="T319" t="str">
        <f>IF(Q319="DEP","BAS Excluded","GST on Income")</f>
        <v>GST on Income</v>
      </c>
      <c r="U319">
        <f>IF(O319=T319,1,0)</f>
        <v>1</v>
      </c>
      <c r="V319" s="9">
        <f>IF(OR(M319=0,U319=1),0,IF(T319="GST on Income",ROUND(K319*0.1,2),ROUND(-K319*0.1,2)))</f>
        <v>0</v>
      </c>
    </row>
    <row r="320">
      <c r="A320" t="inlineStr">
        <is>
          <t>INV-5848-1</t>
        </is>
      </c>
      <c r="B320" t="inlineStr">
        <is>
          <t>INV-5848</t>
        </is>
      </c>
      <c r="C320" s="11" t="n">
        <v>45896</v>
      </c>
      <c r="D320" t="inlineStr">
        <is>
          <t>2025-08</t>
        </is>
      </c>
      <c r="E320" t="inlineStr">
        <is>
          <t>C0008</t>
        </is>
      </c>
      <c r="F320" t="inlineStr">
        <is>
          <t>C0008</t>
        </is>
      </c>
      <c r="G320" t="inlineStr">
        <is>
          <t>Redline Builders Pty Ltd</t>
        </is>
      </c>
      <c r="H320" t="inlineStr">
        <is>
          <t>S0519</t>
        </is>
      </c>
      <c r="I320" t="inlineStr">
        <is>
          <t>Tarp kit hire 4 wks (05/08/25-26/08/25) - 3 kits</t>
        </is>
      </c>
      <c r="J320" t="n">
        <v>12</v>
      </c>
      <c r="K320" s="9" t="n">
        <v>420</v>
      </c>
      <c r="L320" t="inlineStr">
        <is>
          <t>PAID</t>
        </is>
      </c>
      <c r="M320">
        <f>IF(L320="VOIDED",0,1)</f>
        <v>1</v>
      </c>
      <c r="N320" t="n">
        <v>200</v>
      </c>
      <c r="O320" t="inlineStr">
        <is>
          <t>GST on Income</t>
        </is>
      </c>
      <c r="P320" t="inlineStr">
        <is>
          <t>R06</t>
        </is>
      </c>
      <c r="Q320" t="inlineStr">
        <is>
          <t>HIRE-TK</t>
        </is>
      </c>
      <c r="R320">
        <f>IF(OR(Q320="CONTEXT",Q320="REVIEW"),"",INDEX('Category Rules'!$D$5:$D$17,MATCH(P320,'Category Rules'!$A$5:$A$17,0)))</f>
        <v>4010</v>
      </c>
      <c r="S320" t="str">
        <f>IF(Q320="CONTEXT","Make-safe",IF(Q320="REVIEW","",INDEX('Category Rules'!$E$5:$E$17,MATCH(P320,'Category Rules'!$A$5:$A$17,0))))</f>
        <v>Make-safe</v>
      </c>
      <c r="T320" t="str">
        <f>IF(Q320="DEP","BAS Excluded","GST on Income")</f>
        <v>GST on Income</v>
      </c>
      <c r="U320">
        <f>IF(O320=T320,1,0)</f>
        <v>1</v>
      </c>
      <c r="V320" s="9">
        <f>IF(OR(M320=0,U320=1),0,IF(T320="GST on Income",ROUND(K320*0.1,2),ROUND(-K320*0.1,2)))</f>
        <v>0</v>
      </c>
    </row>
    <row r="321">
      <c r="A321" t="inlineStr">
        <is>
          <t>INV-4126-1</t>
        </is>
      </c>
      <c r="B321" t="inlineStr">
        <is>
          <t>INV-4126</t>
        </is>
      </c>
      <c r="C321" s="11" t="n">
        <v>45897</v>
      </c>
      <c r="D321" t="inlineStr">
        <is>
          <t>2025-08</t>
        </is>
      </c>
      <c r="E321" t="inlineStr">
        <is>
          <t>C0073</t>
        </is>
      </c>
      <c r="F321" t="inlineStr">
        <is>
          <t>C0073</t>
        </is>
      </c>
      <c r="G321" t="inlineStr">
        <is>
          <t>Juniper Festivals</t>
        </is>
      </c>
      <c r="H321" t="inlineStr">
        <is>
          <t>S0006</t>
        </is>
      </c>
      <c r="I321" t="inlineStr">
        <is>
          <t>Delivery and installation - temporary fencing</t>
        </is>
      </c>
      <c r="J321" t="n">
        <v>1</v>
      </c>
      <c r="K321" s="9" t="n">
        <v>165</v>
      </c>
      <c r="L321" t="inlineStr">
        <is>
          <t>PAID</t>
        </is>
      </c>
      <c r="M321">
        <f>IF(L321="VOIDED",0,1)</f>
        <v>1</v>
      </c>
      <c r="N321" t="n">
        <v>200</v>
      </c>
      <c r="O321" t="inlineStr">
        <is>
          <t>GST Free Income</t>
        </is>
      </c>
      <c r="P321" t="inlineStr">
        <is>
          <t>R07</t>
        </is>
      </c>
      <c r="Q321" t="inlineStr">
        <is>
          <t>DEL-FP</t>
        </is>
      </c>
      <c r="R321">
        <f>IF(OR(Q321="CONTEXT",Q321="REVIEW"),"",INDEX('Category Rules'!$D$5:$D$17,MATCH(P321,'Category Rules'!$A$5:$A$17,0)))</f>
        <v>4020</v>
      </c>
      <c r="S321" t="str">
        <f>IF(Q321="CONTEXT","Fencing",IF(Q321="REVIEW","",INDEX('Category Rules'!$E$5:$E$17,MATCH(P321,'Category Rules'!$A$5:$A$17,0))))</f>
        <v>Fencing</v>
      </c>
      <c r="T321" t="str">
        <f>IF(Q321="DEP","BAS Excluded","GST on Income")</f>
        <v>GST on Income</v>
      </c>
      <c r="U321">
        <f>IF(O321=T321,1,0)</f>
        <v>0</v>
      </c>
      <c r="V321" s="9">
        <f>IF(OR(M321=0,U321=1),0,IF(T321="GST on Income",ROUND(K321*0.1,2),ROUND(-K321*0.1,2)))</f>
        <v>16.5</v>
      </c>
    </row>
    <row r="322">
      <c r="A322" t="inlineStr">
        <is>
          <t>INV-4126-2</t>
        </is>
      </c>
      <c r="B322" t="inlineStr">
        <is>
          <t>INV-4126</t>
        </is>
      </c>
      <c r="C322" s="11" t="n">
        <v>45897</v>
      </c>
      <c r="D322" t="inlineStr">
        <is>
          <t>2025-08</t>
        </is>
      </c>
      <c r="E322" t="inlineStr">
        <is>
          <t>C0073</t>
        </is>
      </c>
      <c r="F322" t="inlineStr">
        <is>
          <t>C0073</t>
        </is>
      </c>
      <c r="G322" t="inlineStr">
        <is>
          <t>Juniper Festivals</t>
        </is>
      </c>
      <c r="H322" t="inlineStr">
        <is>
          <t>S0006</t>
        </is>
      </c>
      <c r="I322" t="inlineStr">
        <is>
          <t>Installation labour - 93 panels @ 2.20</t>
        </is>
      </c>
      <c r="J322" t="n">
        <v>93</v>
      </c>
      <c r="K322" s="9" t="n">
        <v>204.6</v>
      </c>
      <c r="L322" t="inlineStr">
        <is>
          <t>PAID</t>
        </is>
      </c>
      <c r="M322">
        <f>IF(L322="VOIDED",0,1)</f>
        <v>1</v>
      </c>
      <c r="N322" t="n">
        <v>200</v>
      </c>
      <c r="O322" t="inlineStr">
        <is>
          <t>GST on Income</t>
        </is>
      </c>
      <c r="P322" t="inlineStr">
        <is>
          <t>R07</t>
        </is>
      </c>
      <c r="Q322" t="inlineStr">
        <is>
          <t>DEL-FP</t>
        </is>
      </c>
      <c r="R322">
        <f>IF(OR(Q322="CONTEXT",Q322="REVIEW"),"",INDEX('Category Rules'!$D$5:$D$17,MATCH(P322,'Category Rules'!$A$5:$A$17,0)))</f>
        <v>4020</v>
      </c>
      <c r="S322" t="str">
        <f>IF(Q322="CONTEXT","Fencing",IF(Q322="REVIEW","",INDEX('Category Rules'!$E$5:$E$17,MATCH(P322,'Category Rules'!$A$5:$A$17,0))))</f>
        <v>Fencing</v>
      </c>
      <c r="T322" t="str">
        <f>IF(Q322="DEP","BAS Excluded","GST on Income")</f>
        <v>GST on Income</v>
      </c>
      <c r="U322">
        <f>IF(O322=T322,1,0)</f>
        <v>1</v>
      </c>
      <c r="V322" s="9">
        <f>IF(OR(M322=0,U322=1),0,IF(T322="GST on Income",ROUND(K322*0.1,2),ROUND(-K322*0.1,2)))</f>
        <v>0</v>
      </c>
    </row>
    <row r="323">
      <c r="A323" t="inlineStr">
        <is>
          <t>INV-4223-1</t>
        </is>
      </c>
      <c r="B323" t="inlineStr">
        <is>
          <t>INV-4223</t>
        </is>
      </c>
      <c r="C323" s="11" t="n">
        <v>45897</v>
      </c>
      <c r="D323" t="inlineStr">
        <is>
          <t>2025-08</t>
        </is>
      </c>
      <c r="E323" t="inlineStr">
        <is>
          <t>C0045</t>
        </is>
      </c>
      <c r="F323" t="inlineStr">
        <is>
          <t>C0045</t>
        </is>
      </c>
      <c r="G323" t="inlineStr">
        <is>
          <t>Westside Owners Corporation Services Pty Ltd</t>
        </is>
      </c>
      <c r="H323" t="inlineStr">
        <is>
          <t>S0022</t>
        </is>
      </c>
      <c r="I323" t="inlineStr">
        <is>
          <t>Delivery and installation - temporary fencing</t>
        </is>
      </c>
      <c r="J323" t="n">
        <v>1</v>
      </c>
      <c r="K323" s="9" t="n">
        <v>165</v>
      </c>
      <c r="L323" t="inlineStr">
        <is>
          <t>PAID</t>
        </is>
      </c>
      <c r="M323">
        <f>IF(L323="VOIDED",0,1)</f>
        <v>1</v>
      </c>
      <c r="N323" t="n">
        <v>200</v>
      </c>
      <c r="O323" t="inlineStr">
        <is>
          <t>GST on Income</t>
        </is>
      </c>
      <c r="P323" t="inlineStr">
        <is>
          <t>R07</t>
        </is>
      </c>
      <c r="Q323" t="inlineStr">
        <is>
          <t>DEL-FP</t>
        </is>
      </c>
      <c r="R323">
        <f>IF(OR(Q323="CONTEXT",Q323="REVIEW"),"",INDEX('Category Rules'!$D$5:$D$17,MATCH(P323,'Category Rules'!$A$5:$A$17,0)))</f>
        <v>4020</v>
      </c>
      <c r="S323" t="str">
        <f>IF(Q323="CONTEXT","Fencing",IF(Q323="REVIEW","",INDEX('Category Rules'!$E$5:$E$17,MATCH(P323,'Category Rules'!$A$5:$A$17,0))))</f>
        <v>Fencing</v>
      </c>
      <c r="T323" t="str">
        <f>IF(Q323="DEP","BAS Excluded","GST on Income")</f>
        <v>GST on Income</v>
      </c>
      <c r="U323">
        <f>IF(O323=T323,1,0)</f>
        <v>1</v>
      </c>
      <c r="V323" s="9">
        <f>IF(OR(M323=0,U323=1),0,IF(T323="GST on Income",ROUND(K323*0.1,2),ROUND(-K323*0.1,2)))</f>
        <v>0</v>
      </c>
    </row>
    <row r="324">
      <c r="A324" t="inlineStr">
        <is>
          <t>INV-4223-2</t>
        </is>
      </c>
      <c r="B324" t="inlineStr">
        <is>
          <t>INV-4223</t>
        </is>
      </c>
      <c r="C324" s="11" t="n">
        <v>45897</v>
      </c>
      <c r="D324" t="inlineStr">
        <is>
          <t>2025-08</t>
        </is>
      </c>
      <c r="E324" t="inlineStr">
        <is>
          <t>C0045</t>
        </is>
      </c>
      <c r="F324" t="inlineStr">
        <is>
          <t>C0045</t>
        </is>
      </c>
      <c r="G324" t="inlineStr">
        <is>
          <t>Westside Owners Corporation Services Pty Ltd</t>
        </is>
      </c>
      <c r="H324" t="inlineStr">
        <is>
          <t>S0022</t>
        </is>
      </c>
      <c r="I324" t="inlineStr">
        <is>
          <t>Installation labour - 135 panels @ 2.20</t>
        </is>
      </c>
      <c r="J324" t="n">
        <v>135</v>
      </c>
      <c r="K324" s="9" t="n">
        <v>297</v>
      </c>
      <c r="L324" t="inlineStr">
        <is>
          <t>PAID</t>
        </is>
      </c>
      <c r="M324">
        <f>IF(L324="VOIDED",0,1)</f>
        <v>1</v>
      </c>
      <c r="N324" t="n">
        <v>200</v>
      </c>
      <c r="O324" t="inlineStr">
        <is>
          <t>GST on Income</t>
        </is>
      </c>
      <c r="P324" t="inlineStr">
        <is>
          <t>R07</t>
        </is>
      </c>
      <c r="Q324" t="inlineStr">
        <is>
          <t>DEL-FP</t>
        </is>
      </c>
      <c r="R324">
        <f>IF(OR(Q324="CONTEXT",Q324="REVIEW"),"",INDEX('Category Rules'!$D$5:$D$17,MATCH(P324,'Category Rules'!$A$5:$A$17,0)))</f>
        <v>4020</v>
      </c>
      <c r="S324" t="str">
        <f>IF(Q324="CONTEXT","Fencing",IF(Q324="REVIEW","",INDEX('Category Rules'!$E$5:$E$17,MATCH(P324,'Category Rules'!$A$5:$A$17,0))))</f>
        <v>Fencing</v>
      </c>
      <c r="T324" t="str">
        <f>IF(Q324="DEP","BAS Excluded","GST on Income")</f>
        <v>GST on Income</v>
      </c>
      <c r="U324">
        <f>IF(O324=T324,1,0)</f>
        <v>1</v>
      </c>
      <c r="V324" s="9">
        <f>IF(OR(M324=0,U324=1),0,IF(T324="GST on Income",ROUND(K324*0.1,2),ROUND(-K324*0.1,2)))</f>
        <v>0</v>
      </c>
    </row>
    <row r="325">
      <c r="A325" t="inlineStr">
        <is>
          <t>INV-4323-1</t>
        </is>
      </c>
      <c r="B325" t="inlineStr">
        <is>
          <t>INV-4323</t>
        </is>
      </c>
      <c r="C325" s="11" t="n">
        <v>45897</v>
      </c>
      <c r="D325" t="inlineStr">
        <is>
          <t>2025-08</t>
        </is>
      </c>
      <c r="E325" t="inlineStr">
        <is>
          <t>C0044</t>
        </is>
      </c>
      <c r="F325" t="inlineStr">
        <is>
          <t>C0044</t>
        </is>
      </c>
      <c r="G325" t="inlineStr">
        <is>
          <t>Granite Constructions</t>
        </is>
      </c>
      <c r="H325" t="inlineStr">
        <is>
          <t>S0048</t>
        </is>
      </c>
      <c r="I325" t="inlineStr">
        <is>
          <t>Temporary fence hire 3 wks (10/08/25-27/08/25) - 100 panels</t>
        </is>
      </c>
      <c r="J325" t="n">
        <v>300</v>
      </c>
      <c r="K325" s="9" t="n">
        <v>1350</v>
      </c>
      <c r="L325" t="inlineStr">
        <is>
          <t>PAID</t>
        </is>
      </c>
      <c r="M325">
        <f>IF(L325="VOIDED",0,1)</f>
        <v>1</v>
      </c>
      <c r="N325" t="n">
        <v>200</v>
      </c>
      <c r="O325" t="inlineStr">
        <is>
          <t>GST on Income</t>
        </is>
      </c>
      <c r="P325" t="inlineStr">
        <is>
          <t>R03</t>
        </is>
      </c>
      <c r="Q325" t="inlineStr">
        <is>
          <t>HIRE-FP</t>
        </is>
      </c>
      <c r="R325">
        <f>IF(OR(Q325="CONTEXT",Q325="REVIEW"),"",INDEX('Category Rules'!$D$5:$D$17,MATCH(P325,'Category Rules'!$A$5:$A$17,0)))</f>
        <v>4010</v>
      </c>
      <c r="S325" t="str">
        <f>IF(Q325="CONTEXT","Fencing",IF(Q325="REVIEW","",INDEX('Category Rules'!$E$5:$E$17,MATCH(P325,'Category Rules'!$A$5:$A$17,0))))</f>
        <v>Fencing</v>
      </c>
      <c r="T325" t="str">
        <f>IF(Q325="DEP","BAS Excluded","GST on Income")</f>
        <v>GST on Income</v>
      </c>
      <c r="U325">
        <f>IF(O325=T325,1,0)</f>
        <v>1</v>
      </c>
      <c r="V325" s="9">
        <f>IF(OR(M325=0,U325=1),0,IF(T325="GST on Income",ROUND(K325*0.1,2),ROUND(-K325*0.1,2)))</f>
        <v>0</v>
      </c>
    </row>
    <row r="326">
      <c r="A326" t="inlineStr">
        <is>
          <t>INV-4325-1</t>
        </is>
      </c>
      <c r="B326" t="inlineStr">
        <is>
          <t>INV-4325</t>
        </is>
      </c>
      <c r="C326" s="11" t="n">
        <v>45897</v>
      </c>
      <c r="D326" t="inlineStr">
        <is>
          <t>2025-08</t>
        </is>
      </c>
      <c r="E326" t="inlineStr">
        <is>
          <t>C0044</t>
        </is>
      </c>
      <c r="F326" t="inlineStr">
        <is>
          <t>C0044</t>
        </is>
      </c>
      <c r="G326" t="inlineStr">
        <is>
          <t>Granite Constructions</t>
        </is>
      </c>
      <c r="H326" t="inlineStr">
        <is>
          <t>S0048</t>
        </is>
      </c>
      <c r="I326" t="inlineStr">
        <is>
          <t>Collection and dismantle - temporary fencing</t>
        </is>
      </c>
      <c r="J326" t="n">
        <v>1</v>
      </c>
      <c r="K326" s="9" t="n">
        <v>165</v>
      </c>
      <c r="L326" t="inlineStr">
        <is>
          <t>PAID</t>
        </is>
      </c>
      <c r="M326">
        <f>IF(L326="VOIDED",0,1)</f>
        <v>1</v>
      </c>
      <c r="N326" t="n">
        <v>200</v>
      </c>
      <c r="O326" t="inlineStr">
        <is>
          <t>GST on Income</t>
        </is>
      </c>
      <c r="P326" t="inlineStr">
        <is>
          <t>R07</t>
        </is>
      </c>
      <c r="Q326" t="inlineStr">
        <is>
          <t>DEL-FP</t>
        </is>
      </c>
      <c r="R326">
        <f>IF(OR(Q326="CONTEXT",Q326="REVIEW"),"",INDEX('Category Rules'!$D$5:$D$17,MATCH(P326,'Category Rules'!$A$5:$A$17,0)))</f>
        <v>4020</v>
      </c>
      <c r="S326" t="str">
        <f>IF(Q326="CONTEXT","Fencing",IF(Q326="REVIEW","",INDEX('Category Rules'!$E$5:$E$17,MATCH(P326,'Category Rules'!$A$5:$A$17,0))))</f>
        <v>Fencing</v>
      </c>
      <c r="T326" t="str">
        <f>IF(Q326="DEP","BAS Excluded","GST on Income")</f>
        <v>GST on Income</v>
      </c>
      <c r="U326">
        <f>IF(O326=T326,1,0)</f>
        <v>1</v>
      </c>
      <c r="V326" s="9">
        <f>IF(OR(M326=0,U326=1),0,IF(T326="GST on Income",ROUND(K326*0.1,2),ROUND(-K326*0.1,2)))</f>
        <v>0</v>
      </c>
    </row>
    <row r="327">
      <c r="A327" t="inlineStr">
        <is>
          <t>INV-4679-1</t>
        </is>
      </c>
      <c r="B327" t="inlineStr">
        <is>
          <t>INV-4679</t>
        </is>
      </c>
      <c r="C327" s="11" t="n">
        <v>45897</v>
      </c>
      <c r="D327" t="inlineStr">
        <is>
          <t>2025-08</t>
        </is>
      </c>
      <c r="E327" t="inlineStr">
        <is>
          <t>C0018</t>
        </is>
      </c>
      <c r="F327" t="inlineStr">
        <is>
          <t>C0018</t>
        </is>
      </c>
      <c r="G327" t="inlineStr">
        <is>
          <t>Wattle Constructions Pty Ltd</t>
        </is>
      </c>
      <c r="H327" t="inlineStr">
        <is>
          <t>S0121</t>
        </is>
      </c>
      <c r="I327" t="inlineStr">
        <is>
          <t>Temporary fence hire 1 wks (24/08/25-27/08/25) - 35 panels</t>
        </is>
      </c>
      <c r="J327" t="n">
        <v>35</v>
      </c>
      <c r="K327" s="9" t="n">
        <v>157.5</v>
      </c>
      <c r="L327" t="inlineStr">
        <is>
          <t>PAID</t>
        </is>
      </c>
      <c r="M327">
        <f>IF(L327="VOIDED",0,1)</f>
        <v>1</v>
      </c>
      <c r="N327" t="n">
        <v>200</v>
      </c>
      <c r="O327" t="inlineStr">
        <is>
          <t>GST on Income</t>
        </is>
      </c>
      <c r="P327" t="inlineStr">
        <is>
          <t>R03</t>
        </is>
      </c>
      <c r="Q327" t="inlineStr">
        <is>
          <t>HIRE-FP</t>
        </is>
      </c>
      <c r="R327">
        <f>IF(OR(Q327="CONTEXT",Q327="REVIEW"),"",INDEX('Category Rules'!$D$5:$D$17,MATCH(P327,'Category Rules'!$A$5:$A$17,0)))</f>
        <v>4010</v>
      </c>
      <c r="S327" t="str">
        <f>IF(Q327="CONTEXT","Fencing",IF(Q327="REVIEW","",INDEX('Category Rules'!$E$5:$E$17,MATCH(P327,'Category Rules'!$A$5:$A$17,0))))</f>
        <v>Fencing</v>
      </c>
      <c r="T327" t="str">
        <f>IF(Q327="DEP","BAS Excluded","GST on Income")</f>
        <v>GST on Income</v>
      </c>
      <c r="U327">
        <f>IF(O327=T327,1,0)</f>
        <v>1</v>
      </c>
      <c r="V327" s="9">
        <f>IF(OR(M327=0,U327=1),0,IF(T327="GST on Income",ROUND(K327*0.1,2),ROUND(-K327*0.1,2)))</f>
        <v>0</v>
      </c>
    </row>
    <row r="328">
      <c r="A328" t="inlineStr">
        <is>
          <t>INV-4680-1</t>
        </is>
      </c>
      <c r="B328" t="inlineStr">
        <is>
          <t>INV-4680</t>
        </is>
      </c>
      <c r="C328" s="11" t="n">
        <v>45897</v>
      </c>
      <c r="D328" t="inlineStr">
        <is>
          <t>2025-08</t>
        </is>
      </c>
      <c r="E328" t="inlineStr">
        <is>
          <t>C0018</t>
        </is>
      </c>
      <c r="F328" t="inlineStr">
        <is>
          <t>C0018</t>
        </is>
      </c>
      <c r="G328" t="inlineStr">
        <is>
          <t>Wattle Constructions Pty Ltd</t>
        </is>
      </c>
      <c r="H328" t="inlineStr">
        <is>
          <t>S0121</t>
        </is>
      </c>
      <c r="I328" t="inlineStr">
        <is>
          <t>Collection and dismantle - temporary fencing</t>
        </is>
      </c>
      <c r="J328" t="n">
        <v>1</v>
      </c>
      <c r="K328" s="9" t="n">
        <v>165</v>
      </c>
      <c r="L328" t="inlineStr">
        <is>
          <t>PAID</t>
        </is>
      </c>
      <c r="M328">
        <f>IF(L328="VOIDED",0,1)</f>
        <v>1</v>
      </c>
      <c r="N328" t="n">
        <v>200</v>
      </c>
      <c r="O328" t="inlineStr">
        <is>
          <t>GST on Income</t>
        </is>
      </c>
      <c r="P328" t="inlineStr">
        <is>
          <t>R07</t>
        </is>
      </c>
      <c r="Q328" t="inlineStr">
        <is>
          <t>DEL-FP</t>
        </is>
      </c>
      <c r="R328">
        <f>IF(OR(Q328="CONTEXT",Q328="REVIEW"),"",INDEX('Category Rules'!$D$5:$D$17,MATCH(P328,'Category Rules'!$A$5:$A$17,0)))</f>
        <v>4020</v>
      </c>
      <c r="S328" t="str">
        <f>IF(Q328="CONTEXT","Fencing",IF(Q328="REVIEW","",INDEX('Category Rules'!$E$5:$E$17,MATCH(P328,'Category Rules'!$A$5:$A$17,0))))</f>
        <v>Fencing</v>
      </c>
      <c r="T328" t="str">
        <f>IF(Q328="DEP","BAS Excluded","GST on Income")</f>
        <v>GST on Income</v>
      </c>
      <c r="U328">
        <f>IF(O328=T328,1,0)</f>
        <v>1</v>
      </c>
      <c r="V328" s="9">
        <f>IF(OR(M328=0,U328=1),0,IF(T328="GST on Income",ROUND(K328*0.1,2),ROUND(-K328*0.1,2)))</f>
        <v>0</v>
      </c>
    </row>
    <row r="329">
      <c r="A329" t="inlineStr">
        <is>
          <t>INV-5767-1</t>
        </is>
      </c>
      <c r="B329" t="inlineStr">
        <is>
          <t>INV-5767</t>
        </is>
      </c>
      <c r="C329" s="11" t="n">
        <v>45897</v>
      </c>
      <c r="D329" t="inlineStr">
        <is>
          <t>2025-08</t>
        </is>
      </c>
      <c r="E329" t="inlineStr">
        <is>
          <t>C0092</t>
        </is>
      </c>
      <c r="F329" t="inlineStr">
        <is>
          <t>C0092</t>
        </is>
      </c>
      <c r="G329" t="inlineStr">
        <is>
          <t>Leo Jones</t>
        </is>
      </c>
      <c r="H329" t="inlineStr">
        <is>
          <t>S0470</t>
        </is>
      </c>
      <c r="I329" t="inlineStr">
        <is>
          <t>Make safe call-out</t>
        </is>
      </c>
      <c r="J329" t="n">
        <v>1</v>
      </c>
      <c r="K329" s="9" t="n">
        <v>385</v>
      </c>
      <c r="L329" t="inlineStr">
        <is>
          <t>PAID</t>
        </is>
      </c>
      <c r="M329">
        <f>IF(L329="VOIDED",0,1)</f>
        <v>1</v>
      </c>
      <c r="N329" t="n">
        <v>260</v>
      </c>
      <c r="O329" t="inlineStr">
        <is>
          <t>GST on Income</t>
        </is>
      </c>
      <c r="P329" t="inlineStr">
        <is>
          <t>R09</t>
        </is>
      </c>
      <c r="Q329" t="inlineStr">
        <is>
          <t>MS</t>
        </is>
      </c>
      <c r="R329">
        <f>IF(OR(Q329="CONTEXT",Q329="REVIEW"),"",INDEX('Category Rules'!$D$5:$D$17,MATCH(P329,'Category Rules'!$A$5:$A$17,0)))</f>
        <v>4020</v>
      </c>
      <c r="S329" t="str">
        <f>IF(Q329="CONTEXT","Make-safe",IF(Q329="REVIEW","",INDEX('Category Rules'!$E$5:$E$17,MATCH(P329,'Category Rules'!$A$5:$A$17,0))))</f>
        <v>Make-safe</v>
      </c>
      <c r="T329" t="str">
        <f>IF(Q329="DEP","BAS Excluded","GST on Income")</f>
        <v>GST on Income</v>
      </c>
      <c r="U329">
        <f>IF(O329=T329,1,0)</f>
        <v>1</v>
      </c>
      <c r="V329" s="9">
        <f>IF(OR(M329=0,U329=1),0,IF(T329="GST on Income",ROUND(K329*0.1,2),ROUND(-K329*0.1,2)))</f>
        <v>0</v>
      </c>
    </row>
    <row r="330">
      <c r="A330" t="inlineStr">
        <is>
          <t>INV-5767-2</t>
        </is>
      </c>
      <c r="B330" t="inlineStr">
        <is>
          <t>INV-5767</t>
        </is>
      </c>
      <c r="C330" s="11" t="n">
        <v>45897</v>
      </c>
      <c r="D330" t="inlineStr">
        <is>
          <t>2025-08</t>
        </is>
      </c>
      <c r="E330" t="inlineStr">
        <is>
          <t>C0092</t>
        </is>
      </c>
      <c r="F330" t="inlineStr">
        <is>
          <t>C0092</t>
        </is>
      </c>
      <c r="G330" t="inlineStr">
        <is>
          <t>Leo Jones</t>
        </is>
      </c>
      <c r="H330" t="inlineStr">
        <is>
          <t>S0470</t>
        </is>
      </c>
      <c r="I330" t="inlineStr">
        <is>
          <t>Tarp supply and install - 3 tarp(s)</t>
        </is>
      </c>
      <c r="J330" t="n">
        <v>3</v>
      </c>
      <c r="K330" s="9" t="n">
        <v>720</v>
      </c>
      <c r="L330" t="inlineStr">
        <is>
          <t>PAID</t>
        </is>
      </c>
      <c r="M330">
        <f>IF(L330="VOIDED",0,1)</f>
        <v>1</v>
      </c>
      <c r="N330" t="n">
        <v>200</v>
      </c>
      <c r="O330" t="inlineStr">
        <is>
          <t>GST on Income</t>
        </is>
      </c>
      <c r="P330" t="inlineStr">
        <is>
          <t>R09</t>
        </is>
      </c>
      <c r="Q330" t="inlineStr">
        <is>
          <t>MS</t>
        </is>
      </c>
      <c r="R330">
        <f>IF(OR(Q330="CONTEXT",Q330="REVIEW"),"",INDEX('Category Rules'!$D$5:$D$17,MATCH(P330,'Category Rules'!$A$5:$A$17,0)))</f>
        <v>4020</v>
      </c>
      <c r="S330" t="str">
        <f>IF(Q330="CONTEXT","Make-safe",IF(Q330="REVIEW","",INDEX('Category Rules'!$E$5:$E$17,MATCH(P330,'Category Rules'!$A$5:$A$17,0))))</f>
        <v>Make-safe</v>
      </c>
      <c r="T330" t="str">
        <f>IF(Q330="DEP","BAS Excluded","GST on Income")</f>
        <v>GST on Income</v>
      </c>
      <c r="U330">
        <f>IF(O330=T330,1,0)</f>
        <v>1</v>
      </c>
      <c r="V330" s="9">
        <f>IF(OR(M330=0,U330=1),0,IF(T330="GST on Income",ROUND(K330*0.1,2),ROUND(-K330*0.1,2)))</f>
        <v>0</v>
      </c>
    </row>
    <row r="331">
      <c r="A331" t="inlineStr">
        <is>
          <t>INV-5939-1</t>
        </is>
      </c>
      <c r="B331" t="inlineStr">
        <is>
          <t>INV-5939</t>
        </is>
      </c>
      <c r="C331" s="11" t="n">
        <v>45897</v>
      </c>
      <c r="D331" t="inlineStr">
        <is>
          <t>2025-08</t>
        </is>
      </c>
      <c r="E331" t="inlineStr">
        <is>
          <t>C0091</t>
        </is>
      </c>
      <c r="F331" t="inlineStr">
        <is>
          <t>C0091</t>
        </is>
      </c>
      <c r="G331" t="inlineStr">
        <is>
          <t>Zoe Martin</t>
        </is>
      </c>
      <c r="H331" t="inlineStr"/>
      <c r="I331" t="inlineStr">
        <is>
          <t>Misc charges</t>
        </is>
      </c>
      <c r="J331" t="n">
        <v>1</v>
      </c>
      <c r="K331" s="9" t="n">
        <v>3532.38</v>
      </c>
      <c r="L331" t="inlineStr">
        <is>
          <t>PAID</t>
        </is>
      </c>
      <c r="M331">
        <f>IF(L331="VOIDED",0,1)</f>
        <v>1</v>
      </c>
      <c r="N331" t="n">
        <v>200</v>
      </c>
      <c r="O331" t="inlineStr">
        <is>
          <t>GST on Income</t>
        </is>
      </c>
      <c r="P331" t="inlineStr">
        <is>
          <t>--</t>
        </is>
      </c>
      <c r="Q331" t="inlineStr">
        <is>
          <t>REVIEW</t>
        </is>
      </c>
      <c r="R331">
        <f>IF(OR(Q331="CONTEXT",Q331="REVIEW"),"",INDEX('Category Rules'!$D$5:$D$17,MATCH(P331,'Category Rules'!$A$5:$A$17,0)))</f>
      </c>
      <c r="S331">
        <f>IF(Q331="CONTEXT","",IF(Q331="REVIEW","",INDEX('Category Rules'!$E$5:$E$17,MATCH(P331,'Category Rules'!$A$5:$A$17,0))))</f>
      </c>
      <c r="T331" t="str">
        <f>IF(Q331="DEP","BAS Excluded","GST on Income")</f>
        <v>GST on Income</v>
      </c>
      <c r="U331">
        <f>IF(O331=T331,1,0)</f>
        <v>1</v>
      </c>
      <c r="V331" s="9">
        <f>IF(OR(M331=0,U331=1),0,IF(T331="GST on Income",ROUND(K331*0.1,2),ROUND(-K331*0.1,2)))</f>
        <v>0</v>
      </c>
    </row>
    <row r="332">
      <c r="A332" t="inlineStr">
        <is>
          <t>INV-4511-1</t>
        </is>
      </c>
      <c r="B332" t="inlineStr">
        <is>
          <t>INV-4511</t>
        </is>
      </c>
      <c r="C332" s="11" t="n">
        <v>45898</v>
      </c>
      <c r="D332" t="inlineStr">
        <is>
          <t>2025-08</t>
        </is>
      </c>
      <c r="E332" t="inlineStr">
        <is>
          <t>C0022</t>
        </is>
      </c>
      <c r="F332" t="inlineStr">
        <is>
          <t>C0022</t>
        </is>
      </c>
      <c r="G332" t="inlineStr">
        <is>
          <t>Highpoint Projects</t>
        </is>
      </c>
      <c r="H332" t="inlineStr">
        <is>
          <t>S0085</t>
        </is>
      </c>
      <c r="I332" t="inlineStr">
        <is>
          <t>Temporary fence hire 4 wks (01/08/25-28/08/25) - 141 panels</t>
        </is>
      </c>
      <c r="J332" t="n">
        <v>564</v>
      </c>
      <c r="K332" s="9" t="n">
        <v>2538</v>
      </c>
      <c r="L332" t="inlineStr">
        <is>
          <t>PAID</t>
        </is>
      </c>
      <c r="M332">
        <f>IF(L332="VOIDED",0,1)</f>
        <v>1</v>
      </c>
      <c r="N332" t="n">
        <v>260</v>
      </c>
      <c r="O332" t="inlineStr">
        <is>
          <t>GST Free Income</t>
        </is>
      </c>
      <c r="P332" t="inlineStr">
        <is>
          <t>R03</t>
        </is>
      </c>
      <c r="Q332" t="inlineStr">
        <is>
          <t>HIRE-FP</t>
        </is>
      </c>
      <c r="R332">
        <f>IF(OR(Q332="CONTEXT",Q332="REVIEW"),"",INDEX('Category Rules'!$D$5:$D$17,MATCH(P332,'Category Rules'!$A$5:$A$17,0)))</f>
        <v>4010</v>
      </c>
      <c r="S332" t="str">
        <f>IF(Q332="CONTEXT","Fencing",IF(Q332="REVIEW","",INDEX('Category Rules'!$E$5:$E$17,MATCH(P332,'Category Rules'!$A$5:$A$17,0))))</f>
        <v>Fencing</v>
      </c>
      <c r="T332" t="str">
        <f>IF(Q332="DEP","BAS Excluded","GST on Income")</f>
        <v>GST on Income</v>
      </c>
      <c r="U332">
        <f>IF(O332=T332,1,0)</f>
        <v>0</v>
      </c>
      <c r="V332" s="9">
        <f>IF(OR(M332=0,U332=1),0,IF(T332="GST on Income",ROUND(K332*0.1,2),ROUND(-K332*0.1,2)))</f>
        <v>253.8</v>
      </c>
    </row>
    <row r="333">
      <c r="A333" t="inlineStr">
        <is>
          <t>INV-4520-1</t>
        </is>
      </c>
      <c r="B333" t="inlineStr">
        <is>
          <t>INV-4520</t>
        </is>
      </c>
      <c r="C333" s="11" t="n">
        <v>45898</v>
      </c>
      <c r="D333" t="inlineStr">
        <is>
          <t>2025-08</t>
        </is>
      </c>
      <c r="E333" t="inlineStr">
        <is>
          <t>C0022</t>
        </is>
      </c>
      <c r="F333" t="inlineStr">
        <is>
          <t>C0022</t>
        </is>
      </c>
      <c r="G333" t="inlineStr">
        <is>
          <t>Highpoint Projects</t>
        </is>
      </c>
      <c r="H333" t="inlineStr">
        <is>
          <t>S0085</t>
        </is>
      </c>
      <c r="I333" t="inlineStr">
        <is>
          <t>Pedestrian barrier hire 4 wks (01/08/25-28/08/25) - 9 barriers</t>
        </is>
      </c>
      <c r="J333" t="n">
        <v>36</v>
      </c>
      <c r="K333" s="9" t="n">
        <v>115.2</v>
      </c>
      <c r="L333" t="inlineStr">
        <is>
          <t>PAID</t>
        </is>
      </c>
      <c r="M333">
        <f>IF(L333="VOIDED",0,1)</f>
        <v>1</v>
      </c>
      <c r="N333" t="n">
        <v>200</v>
      </c>
      <c r="O333" t="inlineStr">
        <is>
          <t>GST on Income</t>
        </is>
      </c>
      <c r="P333" t="inlineStr">
        <is>
          <t>R04</t>
        </is>
      </c>
      <c r="Q333" t="inlineStr">
        <is>
          <t>HIRE-BR</t>
        </is>
      </c>
      <c r="R333">
        <f>IF(OR(Q333="CONTEXT",Q333="REVIEW"),"",INDEX('Category Rules'!$D$5:$D$17,MATCH(P333,'Category Rules'!$A$5:$A$17,0)))</f>
        <v>4010</v>
      </c>
      <c r="S333" t="str">
        <f>IF(Q333="CONTEXT","Fencing",IF(Q333="REVIEW","",INDEX('Category Rules'!$E$5:$E$17,MATCH(P333,'Category Rules'!$A$5:$A$17,0))))</f>
        <v>Fencing</v>
      </c>
      <c r="T333" t="str">
        <f>IF(Q333="DEP","BAS Excluded","GST on Income")</f>
        <v>GST on Income</v>
      </c>
      <c r="U333">
        <f>IF(O333=T333,1,0)</f>
        <v>1</v>
      </c>
      <c r="V333" s="9">
        <f>IF(OR(M333=0,U333=1),0,IF(T333="GST on Income",ROUND(K333*0.1,2),ROUND(-K333*0.1,2)))</f>
        <v>0</v>
      </c>
    </row>
    <row r="334">
      <c r="A334" t="inlineStr">
        <is>
          <t>INV-5199-1</t>
        </is>
      </c>
      <c r="B334" t="inlineStr">
        <is>
          <t>INV-5199</t>
        </is>
      </c>
      <c r="C334" s="11" t="n">
        <v>45898</v>
      </c>
      <c r="D334" t="inlineStr">
        <is>
          <t>2025-08</t>
        </is>
      </c>
      <c r="E334" t="inlineStr">
        <is>
          <t>C0020</t>
        </is>
      </c>
      <c r="F334" t="inlineStr">
        <is>
          <t>C0020</t>
        </is>
      </c>
      <c r="G334" t="inlineStr">
        <is>
          <t>Eastlink Constructions</t>
        </is>
      </c>
      <c r="H334" t="inlineStr">
        <is>
          <t>S0235</t>
        </is>
      </c>
      <c r="I334" t="inlineStr">
        <is>
          <t>Scaffold tower hire 3 wks (14/08/25-28/08/25) - 3 towers</t>
        </is>
      </c>
      <c r="J334" t="n">
        <v>9</v>
      </c>
      <c r="K334" s="9" t="n">
        <v>855</v>
      </c>
      <c r="L334" t="inlineStr">
        <is>
          <t>PAID</t>
        </is>
      </c>
      <c r="M334">
        <f>IF(L334="VOIDED",0,1)</f>
        <v>1</v>
      </c>
      <c r="N334" t="n">
        <v>200</v>
      </c>
      <c r="O334" t="inlineStr">
        <is>
          <t>GST on Income</t>
        </is>
      </c>
      <c r="P334" t="inlineStr">
        <is>
          <t>R05</t>
        </is>
      </c>
      <c r="Q334" t="inlineStr">
        <is>
          <t>HIRE-ST</t>
        </is>
      </c>
      <c r="R334">
        <f>IF(OR(Q334="CONTEXT",Q334="REVIEW"),"",INDEX('Category Rules'!$D$5:$D$17,MATCH(P334,'Category Rules'!$A$5:$A$17,0)))</f>
        <v>4010</v>
      </c>
      <c r="S334" t="str">
        <f>IF(Q334="CONTEXT","Scaffolding",IF(Q334="REVIEW","",INDEX('Category Rules'!$E$5:$E$17,MATCH(P334,'Category Rules'!$A$5:$A$17,0))))</f>
        <v>Scaffolding</v>
      </c>
      <c r="T334" t="str">
        <f>IF(Q334="DEP","BAS Excluded","GST on Income")</f>
        <v>GST on Income</v>
      </c>
      <c r="U334">
        <f>IF(O334=T334,1,0)</f>
        <v>1</v>
      </c>
      <c r="V334" s="9">
        <f>IF(OR(M334=0,U334=1),0,IF(T334="GST on Income",ROUND(K334*0.1,2),ROUND(-K334*0.1,2)))</f>
        <v>0</v>
      </c>
    </row>
    <row r="335">
      <c r="A335" t="inlineStr">
        <is>
          <t>INV-5201-1</t>
        </is>
      </c>
      <c r="B335" t="inlineStr">
        <is>
          <t>INV-5201</t>
        </is>
      </c>
      <c r="C335" s="11" t="n">
        <v>45898</v>
      </c>
      <c r="D335" t="inlineStr">
        <is>
          <t>2025-08</t>
        </is>
      </c>
      <c r="E335" t="inlineStr">
        <is>
          <t>C0020</t>
        </is>
      </c>
      <c r="F335" t="inlineStr">
        <is>
          <t>C0020</t>
        </is>
      </c>
      <c r="G335" t="inlineStr">
        <is>
          <t>Eastlink Constructions</t>
        </is>
      </c>
      <c r="H335" t="inlineStr">
        <is>
          <t>S0235</t>
        </is>
      </c>
      <c r="I335" t="inlineStr">
        <is>
          <t>Scaffold dismantle - 3 tower(s)</t>
        </is>
      </c>
      <c r="J335" t="n">
        <v>3</v>
      </c>
      <c r="K335" s="9" t="n">
        <v>960</v>
      </c>
      <c r="L335" t="inlineStr">
        <is>
          <t>PAID</t>
        </is>
      </c>
      <c r="M335">
        <f>IF(L335="VOIDED",0,1)</f>
        <v>1</v>
      </c>
      <c r="N335" t="n">
        <v>200</v>
      </c>
      <c r="O335" t="inlineStr">
        <is>
          <t>GST on Income</t>
        </is>
      </c>
      <c r="P335" t="inlineStr">
        <is>
          <t>R08</t>
        </is>
      </c>
      <c r="Q335" t="inlineStr">
        <is>
          <t>LAB-ST</t>
        </is>
      </c>
      <c r="R335">
        <f>IF(OR(Q335="CONTEXT",Q335="REVIEW"),"",INDEX('Category Rules'!$D$5:$D$17,MATCH(P335,'Category Rules'!$A$5:$A$17,0)))</f>
        <v>4020</v>
      </c>
      <c r="S335" t="str">
        <f>IF(Q335="CONTEXT","Scaffolding",IF(Q335="REVIEW","",INDEX('Category Rules'!$E$5:$E$17,MATCH(P335,'Category Rules'!$A$5:$A$17,0))))</f>
        <v>Scaffolding</v>
      </c>
      <c r="T335" t="str">
        <f>IF(Q335="DEP","BAS Excluded","GST on Income")</f>
        <v>GST on Income</v>
      </c>
      <c r="U335">
        <f>IF(O335=T335,1,0)</f>
        <v>1</v>
      </c>
      <c r="V335" s="9">
        <f>IF(OR(M335=0,U335=1),0,IF(T335="GST on Income",ROUND(K335*0.1,2),ROUND(-K335*0.1,2)))</f>
        <v>0</v>
      </c>
    </row>
    <row r="336">
      <c r="A336" t="inlineStr">
        <is>
          <t>INV-5506-1</t>
        </is>
      </c>
      <c r="B336" t="inlineStr">
        <is>
          <t>INV-5506</t>
        </is>
      </c>
      <c r="C336" s="11" t="n">
        <v>45898</v>
      </c>
      <c r="D336" t="inlineStr">
        <is>
          <t>2025-08</t>
        </is>
      </c>
      <c r="E336" t="inlineStr">
        <is>
          <t>C0068</t>
        </is>
      </c>
      <c r="F336" t="inlineStr">
        <is>
          <t>C0068</t>
        </is>
      </c>
      <c r="G336" t="inlineStr">
        <is>
          <t>Coastline Claims Services</t>
        </is>
      </c>
      <c r="H336" t="inlineStr">
        <is>
          <t>S0330</t>
        </is>
      </c>
      <c r="I336" t="inlineStr">
        <is>
          <t>Roof repair labour - 12 hrs</t>
        </is>
      </c>
      <c r="J336" t="n">
        <v>12</v>
      </c>
      <c r="K336" s="9" t="n">
        <v>1176</v>
      </c>
      <c r="L336" t="inlineStr">
        <is>
          <t>PAID</t>
        </is>
      </c>
      <c r="M336">
        <f>IF(L336="VOIDED",0,1)</f>
        <v>1</v>
      </c>
      <c r="N336" t="n">
        <v>200</v>
      </c>
      <c r="O336" t="inlineStr">
        <is>
          <t>GST on Income</t>
        </is>
      </c>
      <c r="P336" t="inlineStr">
        <is>
          <t>R10</t>
        </is>
      </c>
      <c r="Q336" t="inlineStr">
        <is>
          <t>LAB-RF</t>
        </is>
      </c>
      <c r="R336">
        <f>IF(OR(Q336="CONTEXT",Q336="REVIEW"),"",INDEX('Category Rules'!$D$5:$D$17,MATCH(P336,'Category Rules'!$A$5:$A$17,0)))</f>
        <v>4020</v>
      </c>
      <c r="S336" t="str">
        <f>IF(Q336="CONTEXT","Roofing",IF(Q336="REVIEW","",INDEX('Category Rules'!$E$5:$E$17,MATCH(P336,'Category Rules'!$A$5:$A$17,0))))</f>
        <v>Roofing</v>
      </c>
      <c r="T336" t="str">
        <f>IF(Q336="DEP","BAS Excluded","GST on Income")</f>
        <v>GST on Income</v>
      </c>
      <c r="U336">
        <f>IF(O336=T336,1,0)</f>
        <v>1</v>
      </c>
      <c r="V336" s="9">
        <f>IF(OR(M336=0,U336=1),0,IF(T336="GST on Income",ROUND(K336*0.1,2),ROUND(-K336*0.1,2)))</f>
        <v>0</v>
      </c>
    </row>
    <row r="337">
      <c r="A337" t="inlineStr">
        <is>
          <t>INV-5506-2</t>
        </is>
      </c>
      <c r="B337" t="inlineStr">
        <is>
          <t>INV-5506</t>
        </is>
      </c>
      <c r="C337" s="11" t="n">
        <v>45898</v>
      </c>
      <c r="D337" t="inlineStr">
        <is>
          <t>2025-08</t>
        </is>
      </c>
      <c r="E337" t="inlineStr">
        <is>
          <t>C0068</t>
        </is>
      </c>
      <c r="F337" t="inlineStr">
        <is>
          <t>C0068</t>
        </is>
      </c>
      <c r="G337" t="inlineStr">
        <is>
          <t>Coastline Claims Services</t>
        </is>
      </c>
      <c r="H337" t="inlineStr">
        <is>
          <t>S0330</t>
        </is>
      </c>
      <c r="I337" t="inlineStr">
        <is>
          <t>Materials - Colorbond sheet</t>
        </is>
      </c>
      <c r="J337" t="n">
        <v>1</v>
      </c>
      <c r="K337" s="9" t="n">
        <v>1377.37</v>
      </c>
      <c r="L337" t="inlineStr">
        <is>
          <t>PAID</t>
        </is>
      </c>
      <c r="M337">
        <f>IF(L337="VOIDED",0,1)</f>
        <v>1</v>
      </c>
      <c r="N337" t="n">
        <v>200</v>
      </c>
      <c r="O337" t="inlineStr">
        <is>
          <t>GST on Income</t>
        </is>
      </c>
      <c r="P337" t="inlineStr">
        <is>
          <t>R11</t>
        </is>
      </c>
      <c r="Q337" t="inlineStr">
        <is>
          <t>MAT-RF</t>
        </is>
      </c>
      <c r="R337">
        <f>IF(OR(Q337="CONTEXT",Q337="REVIEW"),"",INDEX('Category Rules'!$D$5:$D$17,MATCH(P337,'Category Rules'!$A$5:$A$17,0)))</f>
        <v>4030</v>
      </c>
      <c r="S337" t="str">
        <f>IF(Q337="CONTEXT","Roofing",IF(Q337="REVIEW","",INDEX('Category Rules'!$E$5:$E$17,MATCH(P337,'Category Rules'!$A$5:$A$17,0))))</f>
        <v>Roofing</v>
      </c>
      <c r="T337" t="str">
        <f>IF(Q337="DEP","BAS Excluded","GST on Income")</f>
        <v>GST on Income</v>
      </c>
      <c r="U337">
        <f>IF(O337=T337,1,0)</f>
        <v>1</v>
      </c>
      <c r="V337" s="9">
        <f>IF(OR(M337=0,U337=1),0,IF(T337="GST on Income",ROUND(K337*0.1,2),ROUND(-K337*0.1,2)))</f>
        <v>0</v>
      </c>
    </row>
    <row r="338">
      <c r="A338" t="inlineStr">
        <is>
          <t>INV-5506-3</t>
        </is>
      </c>
      <c r="B338" t="inlineStr">
        <is>
          <t>INV-5506</t>
        </is>
      </c>
      <c r="C338" s="11" t="n">
        <v>45898</v>
      </c>
      <c r="D338" t="inlineStr">
        <is>
          <t>2025-08</t>
        </is>
      </c>
      <c r="E338" t="inlineStr">
        <is>
          <t>C0068</t>
        </is>
      </c>
      <c r="F338" t="inlineStr">
        <is>
          <t>C0068</t>
        </is>
      </c>
      <c r="G338" t="inlineStr">
        <is>
          <t>Coastline Claims Services</t>
        </is>
      </c>
      <c r="H338" t="inlineStr">
        <is>
          <t>S0330</t>
        </is>
      </c>
      <c r="I338" t="inlineStr">
        <is>
          <t>Materials - ridge capping</t>
        </is>
      </c>
      <c r="J338" t="n">
        <v>1</v>
      </c>
      <c r="K338" s="9" t="n">
        <v>939.4299999999999</v>
      </c>
      <c r="L338" t="inlineStr">
        <is>
          <t>PAID</t>
        </is>
      </c>
      <c r="M338">
        <f>IF(L338="VOIDED",0,1)</f>
        <v>1</v>
      </c>
      <c r="N338" t="n">
        <v>200</v>
      </c>
      <c r="O338" t="inlineStr">
        <is>
          <t>GST on Income</t>
        </is>
      </c>
      <c r="P338" t="inlineStr">
        <is>
          <t>R11</t>
        </is>
      </c>
      <c r="Q338" t="inlineStr">
        <is>
          <t>MAT-RF</t>
        </is>
      </c>
      <c r="R338">
        <f>IF(OR(Q338="CONTEXT",Q338="REVIEW"),"",INDEX('Category Rules'!$D$5:$D$17,MATCH(P338,'Category Rules'!$A$5:$A$17,0)))</f>
        <v>4030</v>
      </c>
      <c r="S338" t="str">
        <f>IF(Q338="CONTEXT","Roofing",IF(Q338="REVIEW","",INDEX('Category Rules'!$E$5:$E$17,MATCH(P338,'Category Rules'!$A$5:$A$17,0))))</f>
        <v>Roofing</v>
      </c>
      <c r="T338" t="str">
        <f>IF(Q338="DEP","BAS Excluded","GST on Income")</f>
        <v>GST on Income</v>
      </c>
      <c r="U338">
        <f>IF(O338=T338,1,0)</f>
        <v>1</v>
      </c>
      <c r="V338" s="9">
        <f>IF(OR(M338=0,U338=1),0,IF(T338="GST on Income",ROUND(K338*0.1,2),ROUND(-K338*0.1,2)))</f>
        <v>0</v>
      </c>
    </row>
    <row r="339">
      <c r="A339" t="inlineStr">
        <is>
          <t>INV-5506-4</t>
        </is>
      </c>
      <c r="B339" t="inlineStr">
        <is>
          <t>INV-5506</t>
        </is>
      </c>
      <c r="C339" s="11" t="n">
        <v>45898</v>
      </c>
      <c r="D339" t="inlineStr">
        <is>
          <t>2025-08</t>
        </is>
      </c>
      <c r="E339" t="inlineStr">
        <is>
          <t>C0068</t>
        </is>
      </c>
      <c r="F339" t="inlineStr">
        <is>
          <t>C0068</t>
        </is>
      </c>
      <c r="G339" t="inlineStr">
        <is>
          <t>Coastline Claims Services</t>
        </is>
      </c>
      <c r="H339" t="inlineStr">
        <is>
          <t>S0330</t>
        </is>
      </c>
      <c r="I339" t="inlineStr">
        <is>
          <t>Materials - flashing</t>
        </is>
      </c>
      <c r="J339" t="n">
        <v>1</v>
      </c>
      <c r="K339" s="9" t="n">
        <v>891.65</v>
      </c>
      <c r="L339" t="inlineStr">
        <is>
          <t>PAID</t>
        </is>
      </c>
      <c r="M339">
        <f>IF(L339="VOIDED",0,1)</f>
        <v>1</v>
      </c>
      <c r="N339" t="n">
        <v>200</v>
      </c>
      <c r="O339" t="inlineStr">
        <is>
          <t>GST on Income</t>
        </is>
      </c>
      <c r="P339" t="inlineStr">
        <is>
          <t>R11</t>
        </is>
      </c>
      <c r="Q339" t="inlineStr">
        <is>
          <t>MAT-RF</t>
        </is>
      </c>
      <c r="R339">
        <f>IF(OR(Q339="CONTEXT",Q339="REVIEW"),"",INDEX('Category Rules'!$D$5:$D$17,MATCH(P339,'Category Rules'!$A$5:$A$17,0)))</f>
        <v>4030</v>
      </c>
      <c r="S339" t="str">
        <f>IF(Q339="CONTEXT","Roofing",IF(Q339="REVIEW","",INDEX('Category Rules'!$E$5:$E$17,MATCH(P339,'Category Rules'!$A$5:$A$17,0))))</f>
        <v>Roofing</v>
      </c>
      <c r="T339" t="str">
        <f>IF(Q339="DEP","BAS Excluded","GST on Income")</f>
        <v>GST on Income</v>
      </c>
      <c r="U339">
        <f>IF(O339=T339,1,0)</f>
        <v>1</v>
      </c>
      <c r="V339" s="9">
        <f>IF(OR(M339=0,U339=1),0,IF(T339="GST on Income",ROUND(K339*0.1,2),ROUND(-K339*0.1,2)))</f>
        <v>0</v>
      </c>
    </row>
    <row r="340">
      <c r="A340" t="inlineStr">
        <is>
          <t>INV-4985-1</t>
        </is>
      </c>
      <c r="B340" t="inlineStr">
        <is>
          <t>INV-4985</t>
        </is>
      </c>
      <c r="C340" s="11" t="n">
        <v>45899</v>
      </c>
      <c r="D340" t="inlineStr">
        <is>
          <t>2025-08</t>
        </is>
      </c>
      <c r="E340" t="inlineStr">
        <is>
          <t>C0004</t>
        </is>
      </c>
      <c r="F340" t="inlineStr">
        <is>
          <t>C0004</t>
        </is>
      </c>
      <c r="G340" t="inlineStr">
        <is>
          <t>Lakeside Builders Pty Ltd</t>
        </is>
      </c>
      <c r="H340" t="inlineStr">
        <is>
          <t>S0188</t>
        </is>
      </c>
      <c r="I340" t="inlineStr">
        <is>
          <t>Temporary fence hire 2 wks (17/08/25-29/08/25) - 24 panels</t>
        </is>
      </c>
      <c r="J340" t="n">
        <v>48</v>
      </c>
      <c r="K340" s="9" t="n">
        <v>216</v>
      </c>
      <c r="L340" t="inlineStr">
        <is>
          <t>PAID</t>
        </is>
      </c>
      <c r="M340">
        <f>IF(L340="VOIDED",0,1)</f>
        <v>1</v>
      </c>
      <c r="N340" t="n">
        <v>200</v>
      </c>
      <c r="O340" t="inlineStr">
        <is>
          <t>GST on Income</t>
        </is>
      </c>
      <c r="P340" t="inlineStr">
        <is>
          <t>R03</t>
        </is>
      </c>
      <c r="Q340" t="inlineStr">
        <is>
          <t>HIRE-FP</t>
        </is>
      </c>
      <c r="R340">
        <f>IF(OR(Q340="CONTEXT",Q340="REVIEW"),"",INDEX('Category Rules'!$D$5:$D$17,MATCH(P340,'Category Rules'!$A$5:$A$17,0)))</f>
        <v>4010</v>
      </c>
      <c r="S340" t="str">
        <f>IF(Q340="CONTEXT","Fencing",IF(Q340="REVIEW","",INDEX('Category Rules'!$E$5:$E$17,MATCH(P340,'Category Rules'!$A$5:$A$17,0))))</f>
        <v>Fencing</v>
      </c>
      <c r="T340" t="str">
        <f>IF(Q340="DEP","BAS Excluded","GST on Income")</f>
        <v>GST on Income</v>
      </c>
      <c r="U340">
        <f>IF(O340=T340,1,0)</f>
        <v>1</v>
      </c>
      <c r="V340" s="9">
        <f>IF(OR(M340=0,U340=1),0,IF(T340="GST on Income",ROUND(K340*0.1,2),ROUND(-K340*0.1,2)))</f>
        <v>0</v>
      </c>
    </row>
    <row r="341">
      <c r="A341" t="inlineStr">
        <is>
          <t>INV-4987-1</t>
        </is>
      </c>
      <c r="B341" t="inlineStr">
        <is>
          <t>INV-4987</t>
        </is>
      </c>
      <c r="C341" s="11" t="n">
        <v>45899</v>
      </c>
      <c r="D341" t="inlineStr">
        <is>
          <t>2025-08</t>
        </is>
      </c>
      <c r="E341" t="inlineStr">
        <is>
          <t>C0004</t>
        </is>
      </c>
      <c r="F341" t="inlineStr">
        <is>
          <t>C0004</t>
        </is>
      </c>
      <c r="G341" t="inlineStr">
        <is>
          <t>Lakeside Builders Pty Ltd</t>
        </is>
      </c>
      <c r="H341" t="inlineStr">
        <is>
          <t>S0188</t>
        </is>
      </c>
      <c r="I341" t="inlineStr">
        <is>
          <t>Collection and dismantle - temporary fencing</t>
        </is>
      </c>
      <c r="J341" t="n">
        <v>1</v>
      </c>
      <c r="K341" s="9" t="n">
        <v>165</v>
      </c>
      <c r="L341" t="inlineStr">
        <is>
          <t>PAID</t>
        </is>
      </c>
      <c r="M341">
        <f>IF(L341="VOIDED",0,1)</f>
        <v>1</v>
      </c>
      <c r="N341" t="n">
        <v>200</v>
      </c>
      <c r="O341" t="inlineStr">
        <is>
          <t>GST on Income</t>
        </is>
      </c>
      <c r="P341" t="inlineStr">
        <is>
          <t>R07</t>
        </is>
      </c>
      <c r="Q341" t="inlineStr">
        <is>
          <t>DEL-FP</t>
        </is>
      </c>
      <c r="R341">
        <f>IF(OR(Q341="CONTEXT",Q341="REVIEW"),"",INDEX('Category Rules'!$D$5:$D$17,MATCH(P341,'Category Rules'!$A$5:$A$17,0)))</f>
        <v>4020</v>
      </c>
      <c r="S341" t="str">
        <f>IF(Q341="CONTEXT","Fencing",IF(Q341="REVIEW","",INDEX('Category Rules'!$E$5:$E$17,MATCH(P341,'Category Rules'!$A$5:$A$17,0))))</f>
        <v>Fencing</v>
      </c>
      <c r="T341" t="str">
        <f>IF(Q341="DEP","BAS Excluded","GST on Income")</f>
        <v>GST on Income</v>
      </c>
      <c r="U341">
        <f>IF(O341=T341,1,0)</f>
        <v>1</v>
      </c>
      <c r="V341" s="9">
        <f>IF(OR(M341=0,U341=1),0,IF(T341="GST on Income",ROUND(K341*0.1,2),ROUND(-K341*0.1,2)))</f>
        <v>0</v>
      </c>
    </row>
    <row r="342">
      <c r="A342" t="inlineStr">
        <is>
          <t>INV-5482-1</t>
        </is>
      </c>
      <c r="B342" t="inlineStr">
        <is>
          <t>INV-5482</t>
        </is>
      </c>
      <c r="C342" s="11" t="n">
        <v>45899</v>
      </c>
      <c r="D342" t="inlineStr">
        <is>
          <t>2025-08</t>
        </is>
      </c>
      <c r="E342" t="inlineStr">
        <is>
          <t>C0088</t>
        </is>
      </c>
      <c r="F342" t="inlineStr">
        <is>
          <t>C0088</t>
        </is>
      </c>
      <c r="G342" t="inlineStr">
        <is>
          <t>Chloe Papadopoulos</t>
        </is>
      </c>
      <c r="H342" t="inlineStr">
        <is>
          <t>S0315</t>
        </is>
      </c>
      <c r="I342" t="inlineStr">
        <is>
          <t>Emergency make safe call-out - after hours</t>
        </is>
      </c>
      <c r="J342" t="n">
        <v>1</v>
      </c>
      <c r="K342" s="9" t="n">
        <v>560</v>
      </c>
      <c r="L342" t="inlineStr">
        <is>
          <t>PAID</t>
        </is>
      </c>
      <c r="M342">
        <f>IF(L342="VOIDED",0,1)</f>
        <v>1</v>
      </c>
      <c r="N342" t="n">
        <v>200</v>
      </c>
      <c r="O342" t="inlineStr">
        <is>
          <t>GST on Income</t>
        </is>
      </c>
      <c r="P342" t="inlineStr">
        <is>
          <t>R09</t>
        </is>
      </c>
      <c r="Q342" t="inlineStr">
        <is>
          <t>MS</t>
        </is>
      </c>
      <c r="R342">
        <f>IF(OR(Q342="CONTEXT",Q342="REVIEW"),"",INDEX('Category Rules'!$D$5:$D$17,MATCH(P342,'Category Rules'!$A$5:$A$17,0)))</f>
        <v>4020</v>
      </c>
      <c r="S342" t="str">
        <f>IF(Q342="CONTEXT","Make-safe",IF(Q342="REVIEW","",INDEX('Category Rules'!$E$5:$E$17,MATCH(P342,'Category Rules'!$A$5:$A$17,0))))</f>
        <v>Make-safe</v>
      </c>
      <c r="T342" t="str">
        <f>IF(Q342="DEP","BAS Excluded","GST on Income")</f>
        <v>GST on Income</v>
      </c>
      <c r="U342">
        <f>IF(O342=T342,1,0)</f>
        <v>1</v>
      </c>
      <c r="V342" s="9">
        <f>IF(OR(M342=0,U342=1),0,IF(T342="GST on Income",ROUND(K342*0.1,2),ROUND(-K342*0.1,2)))</f>
        <v>0</v>
      </c>
    </row>
    <row r="343">
      <c r="A343" t="inlineStr">
        <is>
          <t>INV-5804-1</t>
        </is>
      </c>
      <c r="B343" t="inlineStr">
        <is>
          <t>INV-5804</t>
        </is>
      </c>
      <c r="C343" s="11" t="n">
        <v>45899</v>
      </c>
      <c r="D343" t="inlineStr">
        <is>
          <t>2025-08</t>
        </is>
      </c>
      <c r="E343" t="inlineStr">
        <is>
          <t>C0021</t>
        </is>
      </c>
      <c r="F343" t="inlineStr">
        <is>
          <t>C0021</t>
        </is>
      </c>
      <c r="G343" t="inlineStr">
        <is>
          <t>Ironbark Building Group</t>
        </is>
      </c>
      <c r="H343" t="inlineStr">
        <is>
          <t>S0491</t>
        </is>
      </c>
      <c r="I343" t="inlineStr">
        <is>
          <t>Roof repair labour - 12 hrs</t>
        </is>
      </c>
      <c r="J343" t="n">
        <v>12</v>
      </c>
      <c r="K343" s="9" t="n">
        <v>1176</v>
      </c>
      <c r="L343" t="inlineStr">
        <is>
          <t>PAID</t>
        </is>
      </c>
      <c r="M343">
        <f>IF(L343="VOIDED",0,1)</f>
        <v>1</v>
      </c>
      <c r="N343" t="n">
        <v>200</v>
      </c>
      <c r="O343" t="inlineStr">
        <is>
          <t>GST on Income</t>
        </is>
      </c>
      <c r="P343" t="inlineStr">
        <is>
          <t>R10</t>
        </is>
      </c>
      <c r="Q343" t="inlineStr">
        <is>
          <t>LAB-RF</t>
        </is>
      </c>
      <c r="R343">
        <f>IF(OR(Q343="CONTEXT",Q343="REVIEW"),"",INDEX('Category Rules'!$D$5:$D$17,MATCH(P343,'Category Rules'!$A$5:$A$17,0)))</f>
        <v>4020</v>
      </c>
      <c r="S343" t="str">
        <f>IF(Q343="CONTEXT","Roofing",IF(Q343="REVIEW","",INDEX('Category Rules'!$E$5:$E$17,MATCH(P343,'Category Rules'!$A$5:$A$17,0))))</f>
        <v>Roofing</v>
      </c>
      <c r="T343" t="str">
        <f>IF(Q343="DEP","BAS Excluded","GST on Income")</f>
        <v>GST on Income</v>
      </c>
      <c r="U343">
        <f>IF(O343=T343,1,0)</f>
        <v>1</v>
      </c>
      <c r="V343" s="9">
        <f>IF(OR(M343=0,U343=1),0,IF(T343="GST on Income",ROUND(K343*0.1,2),ROUND(-K343*0.1,2)))</f>
        <v>0</v>
      </c>
    </row>
    <row r="344">
      <c r="A344" t="inlineStr">
        <is>
          <t>INV-5804-2</t>
        </is>
      </c>
      <c r="B344" t="inlineStr">
        <is>
          <t>INV-5804</t>
        </is>
      </c>
      <c r="C344" s="11" t="n">
        <v>45899</v>
      </c>
      <c r="D344" t="inlineStr">
        <is>
          <t>2025-08</t>
        </is>
      </c>
      <c r="E344" t="inlineStr">
        <is>
          <t>C0021</t>
        </is>
      </c>
      <c r="F344" t="inlineStr">
        <is>
          <t>C0021</t>
        </is>
      </c>
      <c r="G344" t="inlineStr">
        <is>
          <t>Ironbark Building Group</t>
        </is>
      </c>
      <c r="H344" t="inlineStr">
        <is>
          <t>S0491</t>
        </is>
      </c>
      <c r="I344" t="inlineStr">
        <is>
          <t>Materials - gutter and downpipe</t>
        </is>
      </c>
      <c r="J344" t="n">
        <v>1</v>
      </c>
      <c r="K344" s="9" t="n">
        <v>963.09</v>
      </c>
      <c r="L344" t="inlineStr">
        <is>
          <t>PAID</t>
        </is>
      </c>
      <c r="M344">
        <f>IF(L344="VOIDED",0,1)</f>
        <v>1</v>
      </c>
      <c r="N344" t="n">
        <v>200</v>
      </c>
      <c r="O344" t="inlineStr">
        <is>
          <t>GST on Income</t>
        </is>
      </c>
      <c r="P344" t="inlineStr">
        <is>
          <t>R11</t>
        </is>
      </c>
      <c r="Q344" t="inlineStr">
        <is>
          <t>MAT-RF</t>
        </is>
      </c>
      <c r="R344">
        <f>IF(OR(Q344="CONTEXT",Q344="REVIEW"),"",INDEX('Category Rules'!$D$5:$D$17,MATCH(P344,'Category Rules'!$A$5:$A$17,0)))</f>
        <v>4030</v>
      </c>
      <c r="S344" t="str">
        <f>IF(Q344="CONTEXT","Roofing",IF(Q344="REVIEW","",INDEX('Category Rules'!$E$5:$E$17,MATCH(P344,'Category Rules'!$A$5:$A$17,0))))</f>
        <v>Roofing</v>
      </c>
      <c r="T344" t="str">
        <f>IF(Q344="DEP","BAS Excluded","GST on Income")</f>
        <v>GST on Income</v>
      </c>
      <c r="U344">
        <f>IF(O344=T344,1,0)</f>
        <v>1</v>
      </c>
      <c r="V344" s="9">
        <f>IF(OR(M344=0,U344=1),0,IF(T344="GST on Income",ROUND(K344*0.1,2),ROUND(-K344*0.1,2)))</f>
        <v>0</v>
      </c>
    </row>
    <row r="345">
      <c r="A345" t="inlineStr">
        <is>
          <t>INV-5804-3</t>
        </is>
      </c>
      <c r="B345" t="inlineStr">
        <is>
          <t>INV-5804</t>
        </is>
      </c>
      <c r="C345" s="11" t="n">
        <v>45899</v>
      </c>
      <c r="D345" t="inlineStr">
        <is>
          <t>2025-08</t>
        </is>
      </c>
      <c r="E345" t="inlineStr">
        <is>
          <t>C0021</t>
        </is>
      </c>
      <c r="F345" t="inlineStr">
        <is>
          <t>C0021</t>
        </is>
      </c>
      <c r="G345" t="inlineStr">
        <is>
          <t>Ironbark Building Group</t>
        </is>
      </c>
      <c r="H345" t="inlineStr">
        <is>
          <t>S0491</t>
        </is>
      </c>
      <c r="I345" t="inlineStr">
        <is>
          <t>Materials - sealant and fixings</t>
        </is>
      </c>
      <c r="J345" t="n">
        <v>1</v>
      </c>
      <c r="K345" s="9" t="n">
        <v>123.58</v>
      </c>
      <c r="L345" t="inlineStr">
        <is>
          <t>PAID</t>
        </is>
      </c>
      <c r="M345">
        <f>IF(L345="VOIDED",0,1)</f>
        <v>1</v>
      </c>
      <c r="N345" t="n">
        <v>200</v>
      </c>
      <c r="O345" t="inlineStr">
        <is>
          <t>GST on Income</t>
        </is>
      </c>
      <c r="P345" t="inlineStr">
        <is>
          <t>R11</t>
        </is>
      </c>
      <c r="Q345" t="inlineStr">
        <is>
          <t>MAT-RF</t>
        </is>
      </c>
      <c r="R345">
        <f>IF(OR(Q345="CONTEXT",Q345="REVIEW"),"",INDEX('Category Rules'!$D$5:$D$17,MATCH(P345,'Category Rules'!$A$5:$A$17,0)))</f>
        <v>4030</v>
      </c>
      <c r="S345" t="str">
        <f>IF(Q345="CONTEXT","Roofing",IF(Q345="REVIEW","",INDEX('Category Rules'!$E$5:$E$17,MATCH(P345,'Category Rules'!$A$5:$A$17,0))))</f>
        <v>Roofing</v>
      </c>
      <c r="T345" t="str">
        <f>IF(Q345="DEP","BAS Excluded","GST on Income")</f>
        <v>GST on Income</v>
      </c>
      <c r="U345">
        <f>IF(O345=T345,1,0)</f>
        <v>1</v>
      </c>
      <c r="V345" s="9">
        <f>IF(OR(M345=0,U345=1),0,IF(T345="GST on Income",ROUND(K345*0.1,2),ROUND(-K345*0.1,2)))</f>
        <v>0</v>
      </c>
    </row>
    <row r="346">
      <c r="A346" t="inlineStr">
        <is>
          <t>INV-5804-4</t>
        </is>
      </c>
      <c r="B346" t="inlineStr">
        <is>
          <t>INV-5804</t>
        </is>
      </c>
      <c r="C346" s="11" t="n">
        <v>45899</v>
      </c>
      <c r="D346" t="inlineStr">
        <is>
          <t>2025-08</t>
        </is>
      </c>
      <c r="E346" t="inlineStr">
        <is>
          <t>C0021</t>
        </is>
      </c>
      <c r="F346" t="inlineStr">
        <is>
          <t>C0021</t>
        </is>
      </c>
      <c r="G346" t="inlineStr">
        <is>
          <t>Ironbark Building Group</t>
        </is>
      </c>
      <c r="H346" t="inlineStr">
        <is>
          <t>S0491</t>
        </is>
      </c>
      <c r="I346" t="inlineStr">
        <is>
          <t>Waste removal and tip fees</t>
        </is>
      </c>
      <c r="J346" t="n">
        <v>1</v>
      </c>
      <c r="K346" s="9" t="n">
        <v>120</v>
      </c>
      <c r="L346" t="inlineStr">
        <is>
          <t>PAID</t>
        </is>
      </c>
      <c r="M346">
        <f>IF(L346="VOIDED",0,1)</f>
        <v>1</v>
      </c>
      <c r="N346" t="n">
        <v>200</v>
      </c>
      <c r="O346" t="inlineStr">
        <is>
          <t>GST Free Income</t>
        </is>
      </c>
      <c r="P346" t="inlineStr">
        <is>
          <t>R11</t>
        </is>
      </c>
      <c r="Q346" t="inlineStr">
        <is>
          <t>MAT-RF</t>
        </is>
      </c>
      <c r="R346">
        <f>IF(OR(Q346="CONTEXT",Q346="REVIEW"),"",INDEX('Category Rules'!$D$5:$D$17,MATCH(P346,'Category Rules'!$A$5:$A$17,0)))</f>
        <v>4030</v>
      </c>
      <c r="S346" t="str">
        <f>IF(Q346="CONTEXT","Roofing",IF(Q346="REVIEW","",INDEX('Category Rules'!$E$5:$E$17,MATCH(P346,'Category Rules'!$A$5:$A$17,0))))</f>
        <v>Roofing</v>
      </c>
      <c r="T346" t="str">
        <f>IF(Q346="DEP","BAS Excluded","GST on Income")</f>
        <v>GST on Income</v>
      </c>
      <c r="U346">
        <f>IF(O346=T346,1,0)</f>
        <v>0</v>
      </c>
      <c r="V346" s="9">
        <f>IF(OR(M346=0,U346=1),0,IF(T346="GST on Income",ROUND(K346*0.1,2),ROUND(-K346*0.1,2)))</f>
        <v>12</v>
      </c>
    </row>
    <row r="347">
      <c r="A347" t="inlineStr">
        <is>
          <t>INV-5937-1</t>
        </is>
      </c>
      <c r="B347" t="inlineStr">
        <is>
          <t>INV-5937</t>
        </is>
      </c>
      <c r="C347" s="11" t="n">
        <v>45899</v>
      </c>
      <c r="D347" t="inlineStr">
        <is>
          <t>2025-08</t>
        </is>
      </c>
      <c r="E347" t="inlineStr">
        <is>
          <t>C0033</t>
        </is>
      </c>
      <c r="F347" t="inlineStr">
        <is>
          <t>C0033</t>
        </is>
      </c>
      <c r="G347" t="inlineStr">
        <is>
          <t>Granite Projects Pty Ltd</t>
        </is>
      </c>
      <c r="H347" t="inlineStr">
        <is>
          <t>S0539</t>
        </is>
      </c>
      <c r="I347" t="inlineStr">
        <is>
          <t>Fence and make safe package - Job 4149</t>
        </is>
      </c>
      <c r="J347" t="n">
        <v>1</v>
      </c>
      <c r="K347" s="9" t="n">
        <v>2865.9</v>
      </c>
      <c r="L347" t="inlineStr">
        <is>
          <t>PAID</t>
        </is>
      </c>
      <c r="M347">
        <f>IF(L347="VOIDED",0,1)</f>
        <v>1</v>
      </c>
      <c r="N347" t="n">
        <v>200</v>
      </c>
      <c r="O347" t="inlineStr">
        <is>
          <t>GST on Income</t>
        </is>
      </c>
      <c r="P347" t="inlineStr">
        <is>
          <t>R00</t>
        </is>
      </c>
      <c r="Q347" t="inlineStr">
        <is>
          <t>CONTEXT</t>
        </is>
      </c>
      <c r="R347">
        <f>IF(OR(Q347="CONTEXT",Q347="REVIEW"),"",INDEX('Category Rules'!$D$5:$D$17,MATCH(P347,'Category Rules'!$A$5:$A$17,0)))</f>
      </c>
      <c r="S347" t="str">
        <f>IF(Q347="CONTEXT","Roofing",IF(Q347="REVIEW","",INDEX('Category Rules'!$E$5:$E$17,MATCH(P347,'Category Rules'!$A$5:$A$17,0))))</f>
        <v>Roofing</v>
      </c>
      <c r="T347" t="str">
        <f>IF(Q347="DEP","BAS Excluded","GST on Income")</f>
        <v>GST on Income</v>
      </c>
      <c r="U347">
        <f>IF(O347=T347,1,0)</f>
        <v>1</v>
      </c>
      <c r="V347" s="9">
        <f>IF(OR(M347=0,U347=1),0,IF(T347="GST on Income",ROUND(K347*0.1,2),ROUND(-K347*0.1,2)))</f>
        <v>0</v>
      </c>
    </row>
    <row r="348">
      <c r="A348" t="inlineStr">
        <is>
          <t>INV-4582-1</t>
        </is>
      </c>
      <c r="B348" t="inlineStr">
        <is>
          <t>INV-4582</t>
        </is>
      </c>
      <c r="C348" s="11" t="n">
        <v>45900</v>
      </c>
      <c r="D348" t="inlineStr">
        <is>
          <t>2025-08</t>
        </is>
      </c>
      <c r="E348" t="inlineStr">
        <is>
          <t>C0121</t>
        </is>
      </c>
      <c r="F348" t="inlineStr">
        <is>
          <t>C0121</t>
        </is>
      </c>
      <c r="G348" t="inlineStr">
        <is>
          <t>Bluegum Constructions</t>
        </is>
      </c>
      <c r="H348" t="inlineStr">
        <is>
          <t>S0097</t>
        </is>
      </c>
      <c r="I348" t="inlineStr">
        <is>
          <t>Temporary fence hire 3 wks (16/08/25-30/08/25) - 88 panels</t>
        </is>
      </c>
      <c r="J348" t="n">
        <v>264</v>
      </c>
      <c r="K348" s="9" t="n">
        <v>1188</v>
      </c>
      <c r="L348" t="inlineStr">
        <is>
          <t>PAID</t>
        </is>
      </c>
      <c r="M348">
        <f>IF(L348="VOIDED",0,1)</f>
        <v>1</v>
      </c>
      <c r="N348" t="n">
        <v>200</v>
      </c>
      <c r="O348" t="inlineStr">
        <is>
          <t>GST on Income</t>
        </is>
      </c>
      <c r="P348" t="inlineStr">
        <is>
          <t>R03</t>
        </is>
      </c>
      <c r="Q348" t="inlineStr">
        <is>
          <t>HIRE-FP</t>
        </is>
      </c>
      <c r="R348">
        <f>IF(OR(Q348="CONTEXT",Q348="REVIEW"),"",INDEX('Category Rules'!$D$5:$D$17,MATCH(P348,'Category Rules'!$A$5:$A$17,0)))</f>
        <v>4010</v>
      </c>
      <c r="S348" t="str">
        <f>IF(Q348="CONTEXT","Fencing",IF(Q348="REVIEW","",INDEX('Category Rules'!$E$5:$E$17,MATCH(P348,'Category Rules'!$A$5:$A$17,0))))</f>
        <v>Fencing</v>
      </c>
      <c r="T348" t="str">
        <f>IF(Q348="DEP","BAS Excluded","GST on Income")</f>
        <v>GST on Income</v>
      </c>
      <c r="U348">
        <f>IF(O348=T348,1,0)</f>
        <v>1</v>
      </c>
      <c r="V348" s="9">
        <f>IF(OR(M348=0,U348=1),0,IF(T348="GST on Income",ROUND(K348*0.1,2),ROUND(-K348*0.1,2)))</f>
        <v>0</v>
      </c>
    </row>
    <row r="349">
      <c r="A349" t="inlineStr">
        <is>
          <t>INV-4584-1</t>
        </is>
      </c>
      <c r="B349" t="inlineStr">
        <is>
          <t>INV-4584</t>
        </is>
      </c>
      <c r="C349" s="11" t="n">
        <v>45900</v>
      </c>
      <c r="D349" t="inlineStr">
        <is>
          <t>2025-08</t>
        </is>
      </c>
      <c r="E349" t="inlineStr">
        <is>
          <t>C0121</t>
        </is>
      </c>
      <c r="F349" t="inlineStr">
        <is>
          <t>C0121</t>
        </is>
      </c>
      <c r="G349" t="inlineStr">
        <is>
          <t>Bluegum Constructions</t>
        </is>
      </c>
      <c r="H349" t="inlineStr">
        <is>
          <t>S0097</t>
        </is>
      </c>
      <c r="I349" t="inlineStr">
        <is>
          <t>Pedestrian barrier hire 3 wks (16/08/25-30/08/25) - 20 barriers</t>
        </is>
      </c>
      <c r="J349" t="n">
        <v>60</v>
      </c>
      <c r="K349" s="9" t="n">
        <v>192</v>
      </c>
      <c r="L349" t="inlineStr">
        <is>
          <t>PAID</t>
        </is>
      </c>
      <c r="M349">
        <f>IF(L349="VOIDED",0,1)</f>
        <v>1</v>
      </c>
      <c r="N349" t="n">
        <v>200</v>
      </c>
      <c r="O349" t="inlineStr">
        <is>
          <t>GST on Income</t>
        </is>
      </c>
      <c r="P349" t="inlineStr">
        <is>
          <t>R04</t>
        </is>
      </c>
      <c r="Q349" t="inlineStr">
        <is>
          <t>HIRE-BR</t>
        </is>
      </c>
      <c r="R349">
        <f>IF(OR(Q349="CONTEXT",Q349="REVIEW"),"",INDEX('Category Rules'!$D$5:$D$17,MATCH(P349,'Category Rules'!$A$5:$A$17,0)))</f>
        <v>4010</v>
      </c>
      <c r="S349" t="str">
        <f>IF(Q349="CONTEXT","Fencing",IF(Q349="REVIEW","",INDEX('Category Rules'!$E$5:$E$17,MATCH(P349,'Category Rules'!$A$5:$A$17,0))))</f>
        <v>Fencing</v>
      </c>
      <c r="T349" t="str">
        <f>IF(Q349="DEP","BAS Excluded","GST on Income")</f>
        <v>GST on Income</v>
      </c>
      <c r="U349">
        <f>IF(O349=T349,1,0)</f>
        <v>1</v>
      </c>
      <c r="V349" s="9">
        <f>IF(OR(M349=0,U349=1),0,IF(T349="GST on Income",ROUND(K349*0.1,2),ROUND(-K349*0.1,2)))</f>
        <v>0</v>
      </c>
    </row>
    <row r="350">
      <c r="A350" t="inlineStr">
        <is>
          <t>INV-4586-1</t>
        </is>
      </c>
      <c r="B350" t="inlineStr">
        <is>
          <t>INV-4586</t>
        </is>
      </c>
      <c r="C350" s="11" t="n">
        <v>45900</v>
      </c>
      <c r="D350" t="inlineStr">
        <is>
          <t>2025-08</t>
        </is>
      </c>
      <c r="E350" t="inlineStr">
        <is>
          <t>C0121</t>
        </is>
      </c>
      <c r="F350" t="inlineStr">
        <is>
          <t>C0121</t>
        </is>
      </c>
      <c r="G350" t="inlineStr">
        <is>
          <t>Bluegum Constructions</t>
        </is>
      </c>
      <c r="H350" t="inlineStr">
        <is>
          <t>S0097</t>
        </is>
      </c>
      <c r="I350" t="inlineStr">
        <is>
          <t>Collection and dismantle - temporary fencing</t>
        </is>
      </c>
      <c r="J350" t="n">
        <v>1</v>
      </c>
      <c r="K350" s="9" t="n">
        <v>165</v>
      </c>
      <c r="L350" t="inlineStr">
        <is>
          <t>PAID</t>
        </is>
      </c>
      <c r="M350">
        <f>IF(L350="VOIDED",0,1)</f>
        <v>1</v>
      </c>
      <c r="N350" t="n">
        <v>200</v>
      </c>
      <c r="O350" t="inlineStr">
        <is>
          <t>GST on Income</t>
        </is>
      </c>
      <c r="P350" t="inlineStr">
        <is>
          <t>R07</t>
        </is>
      </c>
      <c r="Q350" t="inlineStr">
        <is>
          <t>DEL-FP</t>
        </is>
      </c>
      <c r="R350">
        <f>IF(OR(Q350="CONTEXT",Q350="REVIEW"),"",INDEX('Category Rules'!$D$5:$D$17,MATCH(P350,'Category Rules'!$A$5:$A$17,0)))</f>
        <v>4020</v>
      </c>
      <c r="S350" t="str">
        <f>IF(Q350="CONTEXT","Fencing",IF(Q350="REVIEW","",INDEX('Category Rules'!$E$5:$E$17,MATCH(P350,'Category Rules'!$A$5:$A$17,0))))</f>
        <v>Fencing</v>
      </c>
      <c r="T350" t="str">
        <f>IF(Q350="DEP","BAS Excluded","GST on Income")</f>
        <v>GST on Income</v>
      </c>
      <c r="U350">
        <f>IF(O350=T350,1,0)</f>
        <v>1</v>
      </c>
      <c r="V350" s="9">
        <f>IF(OR(M350=0,U350=1),0,IF(T350="GST on Income",ROUND(K350*0.1,2),ROUND(-K350*0.1,2)))</f>
        <v>0</v>
      </c>
    </row>
    <row r="351">
      <c r="A351" t="inlineStr">
        <is>
          <t>INV-4872-1</t>
        </is>
      </c>
      <c r="B351" t="inlineStr">
        <is>
          <t>INV-4872</t>
        </is>
      </c>
      <c r="C351" s="11" t="n">
        <v>45900</v>
      </c>
      <c r="D351" t="inlineStr">
        <is>
          <t>2025-08</t>
        </is>
      </c>
      <c r="E351" t="inlineStr">
        <is>
          <t>C0038</t>
        </is>
      </c>
      <c r="F351" t="inlineStr">
        <is>
          <t>C0038</t>
        </is>
      </c>
      <c r="G351" t="inlineStr">
        <is>
          <t>Cobalt Constructions Pty Ltd</t>
        </is>
      </c>
      <c r="H351" t="inlineStr">
        <is>
          <t>S0163</t>
        </is>
      </c>
      <c r="I351" t="inlineStr">
        <is>
          <t>Temporary fence hire 4 wks (03/08/25-30/08/25) - 130 panels</t>
        </is>
      </c>
      <c r="J351" t="n">
        <v>520</v>
      </c>
      <c r="K351" s="9" t="n">
        <v>2340</v>
      </c>
      <c r="L351" t="inlineStr">
        <is>
          <t>PAID</t>
        </is>
      </c>
      <c r="M351">
        <f>IF(L351="VOIDED",0,1)</f>
        <v>1</v>
      </c>
      <c r="N351" t="n">
        <v>200</v>
      </c>
      <c r="O351" t="inlineStr">
        <is>
          <t>GST on Income</t>
        </is>
      </c>
      <c r="P351" t="inlineStr">
        <is>
          <t>R03</t>
        </is>
      </c>
      <c r="Q351" t="inlineStr">
        <is>
          <t>HIRE-FP</t>
        </is>
      </c>
      <c r="R351">
        <f>IF(OR(Q351="CONTEXT",Q351="REVIEW"),"",INDEX('Category Rules'!$D$5:$D$17,MATCH(P351,'Category Rules'!$A$5:$A$17,0)))</f>
        <v>4010</v>
      </c>
      <c r="S351" t="str">
        <f>IF(Q351="CONTEXT","Fencing",IF(Q351="REVIEW","",INDEX('Category Rules'!$E$5:$E$17,MATCH(P351,'Category Rules'!$A$5:$A$17,0))))</f>
        <v>Fencing</v>
      </c>
      <c r="T351" t="str">
        <f>IF(Q351="DEP","BAS Excluded","GST on Income")</f>
        <v>GST on Income</v>
      </c>
      <c r="U351">
        <f>IF(O351=T351,1,0)</f>
        <v>1</v>
      </c>
      <c r="V351" s="9">
        <f>IF(OR(M351=0,U351=1),0,IF(T351="GST on Income",ROUND(K351*0.1,2),ROUND(-K351*0.1,2)))</f>
        <v>0</v>
      </c>
    </row>
    <row r="352">
      <c r="A352" t="inlineStr">
        <is>
          <t>INV-5787-1</t>
        </is>
      </c>
      <c r="B352" t="inlineStr">
        <is>
          <t>INV-5787</t>
        </is>
      </c>
      <c r="C352" s="11" t="n">
        <v>45900</v>
      </c>
      <c r="D352" t="inlineStr">
        <is>
          <t>2025-08</t>
        </is>
      </c>
      <c r="E352" t="inlineStr">
        <is>
          <t>C0064</t>
        </is>
      </c>
      <c r="F352" t="inlineStr">
        <is>
          <t>C0064</t>
        </is>
      </c>
      <c r="G352" t="inlineStr">
        <is>
          <t>Lakeside Claims Services Pty Ltd</t>
        </is>
      </c>
      <c r="H352" t="inlineStr">
        <is>
          <t>S0484</t>
        </is>
      </c>
      <c r="I352" t="inlineStr">
        <is>
          <t>Emergency make safe call-out - after hours</t>
        </is>
      </c>
      <c r="J352" t="n">
        <v>1</v>
      </c>
      <c r="K352" s="9" t="n">
        <v>560</v>
      </c>
      <c r="L352" t="inlineStr">
        <is>
          <t>PAID</t>
        </is>
      </c>
      <c r="M352">
        <f>IF(L352="VOIDED",0,1)</f>
        <v>1</v>
      </c>
      <c r="N352" t="n">
        <v>200</v>
      </c>
      <c r="O352" t="inlineStr">
        <is>
          <t>GST on Income</t>
        </is>
      </c>
      <c r="P352" t="inlineStr">
        <is>
          <t>R09</t>
        </is>
      </c>
      <c r="Q352" t="inlineStr">
        <is>
          <t>MS</t>
        </is>
      </c>
      <c r="R352">
        <f>IF(OR(Q352="CONTEXT",Q352="REVIEW"),"",INDEX('Category Rules'!$D$5:$D$17,MATCH(P352,'Category Rules'!$A$5:$A$17,0)))</f>
        <v>4020</v>
      </c>
      <c r="S352" t="str">
        <f>IF(Q352="CONTEXT","Make-safe",IF(Q352="REVIEW","",INDEX('Category Rules'!$E$5:$E$17,MATCH(P352,'Category Rules'!$A$5:$A$17,0))))</f>
        <v>Make-safe</v>
      </c>
      <c r="T352" t="str">
        <f>IF(Q352="DEP","BAS Excluded","GST on Income")</f>
        <v>GST on Income</v>
      </c>
      <c r="U352">
        <f>IF(O352=T352,1,0)</f>
        <v>1</v>
      </c>
      <c r="V352" s="9">
        <f>IF(OR(M352=0,U352=1),0,IF(T352="GST on Income",ROUND(K352*0.1,2),ROUND(-K352*0.1,2)))</f>
        <v>0</v>
      </c>
    </row>
    <row r="353">
      <c r="A353" t="inlineStr">
        <is>
          <t>INV-5877-1</t>
        </is>
      </c>
      <c r="B353" t="inlineStr">
        <is>
          <t>INV-5877</t>
        </is>
      </c>
      <c r="C353" s="11" t="n">
        <v>45900</v>
      </c>
      <c r="D353" t="inlineStr">
        <is>
          <t>2025-08</t>
        </is>
      </c>
      <c r="E353" t="inlineStr">
        <is>
          <t>C0066</t>
        </is>
      </c>
      <c r="F353" t="inlineStr">
        <is>
          <t>C0066</t>
        </is>
      </c>
      <c r="G353" t="inlineStr">
        <is>
          <t>Northgate Insurance Repairs</t>
        </is>
      </c>
      <c r="H353" t="inlineStr">
        <is>
          <t>S0537</t>
        </is>
      </c>
      <c r="I353" t="inlineStr">
        <is>
          <t>Roof repair labour - 8 hrs</t>
        </is>
      </c>
      <c r="J353" t="n">
        <v>8</v>
      </c>
      <c r="K353" s="9" t="n">
        <v>784</v>
      </c>
      <c r="L353" t="inlineStr">
        <is>
          <t>PAID</t>
        </is>
      </c>
      <c r="M353">
        <f>IF(L353="VOIDED",0,1)</f>
        <v>1</v>
      </c>
      <c r="N353" t="n">
        <v>200</v>
      </c>
      <c r="O353" t="inlineStr">
        <is>
          <t>GST Free Income</t>
        </is>
      </c>
      <c r="P353" t="inlineStr">
        <is>
          <t>R10</t>
        </is>
      </c>
      <c r="Q353" t="inlineStr">
        <is>
          <t>LAB-RF</t>
        </is>
      </c>
      <c r="R353">
        <f>IF(OR(Q353="CONTEXT",Q353="REVIEW"),"",INDEX('Category Rules'!$D$5:$D$17,MATCH(P353,'Category Rules'!$A$5:$A$17,0)))</f>
        <v>4020</v>
      </c>
      <c r="S353" t="str">
        <f>IF(Q353="CONTEXT","Roofing",IF(Q353="REVIEW","",INDEX('Category Rules'!$E$5:$E$17,MATCH(P353,'Category Rules'!$A$5:$A$17,0))))</f>
        <v>Roofing</v>
      </c>
      <c r="T353" t="str">
        <f>IF(Q353="DEP","BAS Excluded","GST on Income")</f>
        <v>GST on Income</v>
      </c>
      <c r="U353">
        <f>IF(O353=T353,1,0)</f>
        <v>0</v>
      </c>
      <c r="V353" s="9">
        <f>IF(OR(M353=0,U353=1),0,IF(T353="GST on Income",ROUND(K353*0.1,2),ROUND(-K353*0.1,2)))</f>
        <v>78.4</v>
      </c>
    </row>
    <row r="354">
      <c r="A354" t="inlineStr">
        <is>
          <t>INV-5877-2</t>
        </is>
      </c>
      <c r="B354" t="inlineStr">
        <is>
          <t>INV-5877</t>
        </is>
      </c>
      <c r="C354" s="11" t="n">
        <v>45900</v>
      </c>
      <c r="D354" t="inlineStr">
        <is>
          <t>2025-08</t>
        </is>
      </c>
      <c r="E354" t="inlineStr">
        <is>
          <t>C0066</t>
        </is>
      </c>
      <c r="F354" t="inlineStr">
        <is>
          <t>C0066</t>
        </is>
      </c>
      <c r="G354" t="inlineStr">
        <is>
          <t>Northgate Insurance Repairs</t>
        </is>
      </c>
      <c r="H354" t="inlineStr">
        <is>
          <t>S0537</t>
        </is>
      </c>
      <c r="I354" t="inlineStr">
        <is>
          <t>Materials - sealant and fixings</t>
        </is>
      </c>
      <c r="J354" t="n">
        <v>1</v>
      </c>
      <c r="K354" s="9" t="n">
        <v>361.1</v>
      </c>
      <c r="L354" t="inlineStr">
        <is>
          <t>PAID</t>
        </is>
      </c>
      <c r="M354">
        <f>IF(L354="VOIDED",0,1)</f>
        <v>1</v>
      </c>
      <c r="N354" t="n">
        <v>200</v>
      </c>
      <c r="O354" t="inlineStr">
        <is>
          <t>GST on Income</t>
        </is>
      </c>
      <c r="P354" t="inlineStr">
        <is>
          <t>R11</t>
        </is>
      </c>
      <c r="Q354" t="inlineStr">
        <is>
          <t>MAT-RF</t>
        </is>
      </c>
      <c r="R354">
        <f>IF(OR(Q354="CONTEXT",Q354="REVIEW"),"",INDEX('Category Rules'!$D$5:$D$17,MATCH(P354,'Category Rules'!$A$5:$A$17,0)))</f>
        <v>4030</v>
      </c>
      <c r="S354" t="str">
        <f>IF(Q354="CONTEXT","Roofing",IF(Q354="REVIEW","",INDEX('Category Rules'!$E$5:$E$17,MATCH(P354,'Category Rules'!$A$5:$A$17,0))))</f>
        <v>Roofing</v>
      </c>
      <c r="T354" t="str">
        <f>IF(Q354="DEP","BAS Excluded","GST on Income")</f>
        <v>GST on Income</v>
      </c>
      <c r="U354">
        <f>IF(O354=T354,1,0)</f>
        <v>1</v>
      </c>
      <c r="V354" s="9">
        <f>IF(OR(M354=0,U354=1),0,IF(T354="GST on Income",ROUND(K354*0.1,2),ROUND(-K354*0.1,2)))</f>
        <v>0</v>
      </c>
    </row>
    <row r="355">
      <c r="A355" t="inlineStr">
        <is>
          <t>INV-5877-3</t>
        </is>
      </c>
      <c r="B355" t="inlineStr">
        <is>
          <t>INV-5877</t>
        </is>
      </c>
      <c r="C355" s="11" t="n">
        <v>45900</v>
      </c>
      <c r="D355" t="inlineStr">
        <is>
          <t>2025-08</t>
        </is>
      </c>
      <c r="E355" t="inlineStr">
        <is>
          <t>C0066</t>
        </is>
      </c>
      <c r="F355" t="inlineStr">
        <is>
          <t>C0066</t>
        </is>
      </c>
      <c r="G355" t="inlineStr">
        <is>
          <t>Northgate Insurance Repairs</t>
        </is>
      </c>
      <c r="H355" t="inlineStr">
        <is>
          <t>S0537</t>
        </is>
      </c>
      <c r="I355" t="inlineStr">
        <is>
          <t>Materials - flashing</t>
        </is>
      </c>
      <c r="J355" t="n">
        <v>1</v>
      </c>
      <c r="K355" s="9" t="n">
        <v>592.51</v>
      </c>
      <c r="L355" t="inlineStr">
        <is>
          <t>PAID</t>
        </is>
      </c>
      <c r="M355">
        <f>IF(L355="VOIDED",0,1)</f>
        <v>1</v>
      </c>
      <c r="N355" t="n">
        <v>200</v>
      </c>
      <c r="O355" t="inlineStr">
        <is>
          <t>GST on Income</t>
        </is>
      </c>
      <c r="P355" t="inlineStr">
        <is>
          <t>R11</t>
        </is>
      </c>
      <c r="Q355" t="inlineStr">
        <is>
          <t>MAT-RF</t>
        </is>
      </c>
      <c r="R355">
        <f>IF(OR(Q355="CONTEXT",Q355="REVIEW"),"",INDEX('Category Rules'!$D$5:$D$17,MATCH(P355,'Category Rules'!$A$5:$A$17,0)))</f>
        <v>4030</v>
      </c>
      <c r="S355" t="str">
        <f>IF(Q355="CONTEXT","Roofing",IF(Q355="REVIEW","",INDEX('Category Rules'!$E$5:$E$17,MATCH(P355,'Category Rules'!$A$5:$A$17,0))))</f>
        <v>Roofing</v>
      </c>
      <c r="T355" t="str">
        <f>IF(Q355="DEP","BAS Excluded","GST on Income")</f>
        <v>GST on Income</v>
      </c>
      <c r="U355">
        <f>IF(O355=T355,1,0)</f>
        <v>1</v>
      </c>
      <c r="V355" s="9">
        <f>IF(OR(M355=0,U355=1),0,IF(T355="GST on Income",ROUND(K355*0.1,2),ROUND(-K355*0.1,2)))</f>
        <v>0</v>
      </c>
    </row>
    <row r="356">
      <c r="A356" t="inlineStr">
        <is>
          <t>INV-5877-4</t>
        </is>
      </c>
      <c r="B356" t="inlineStr">
        <is>
          <t>INV-5877</t>
        </is>
      </c>
      <c r="C356" s="11" t="n">
        <v>45900</v>
      </c>
      <c r="D356" t="inlineStr">
        <is>
          <t>2025-08</t>
        </is>
      </c>
      <c r="E356" t="inlineStr">
        <is>
          <t>C0066</t>
        </is>
      </c>
      <c r="F356" t="inlineStr">
        <is>
          <t>C0066</t>
        </is>
      </c>
      <c r="G356" t="inlineStr">
        <is>
          <t>Northgate Insurance Repairs</t>
        </is>
      </c>
      <c r="H356" t="inlineStr">
        <is>
          <t>S0537</t>
        </is>
      </c>
      <c r="I356" t="inlineStr">
        <is>
          <t>Waste removal and tip fees</t>
        </is>
      </c>
      <c r="J356" t="n">
        <v>1</v>
      </c>
      <c r="K356" s="9" t="n">
        <v>120</v>
      </c>
      <c r="L356" t="inlineStr">
        <is>
          <t>PAID</t>
        </is>
      </c>
      <c r="M356">
        <f>IF(L356="VOIDED",0,1)</f>
        <v>1</v>
      </c>
      <c r="N356" t="n">
        <v>200</v>
      </c>
      <c r="O356" t="inlineStr">
        <is>
          <t>GST on Income</t>
        </is>
      </c>
      <c r="P356" t="inlineStr">
        <is>
          <t>R11</t>
        </is>
      </c>
      <c r="Q356" t="inlineStr">
        <is>
          <t>MAT-RF</t>
        </is>
      </c>
      <c r="R356">
        <f>IF(OR(Q356="CONTEXT",Q356="REVIEW"),"",INDEX('Category Rules'!$D$5:$D$17,MATCH(P356,'Category Rules'!$A$5:$A$17,0)))</f>
        <v>4030</v>
      </c>
      <c r="S356" t="str">
        <f>IF(Q356="CONTEXT","Roofing",IF(Q356="REVIEW","",INDEX('Category Rules'!$E$5:$E$17,MATCH(P356,'Category Rules'!$A$5:$A$17,0))))</f>
        <v>Roofing</v>
      </c>
      <c r="T356" t="str">
        <f>IF(Q356="DEP","BAS Excluded","GST on Income")</f>
        <v>GST on Income</v>
      </c>
      <c r="U356">
        <f>IF(O356=T356,1,0)</f>
        <v>1</v>
      </c>
      <c r="V356" s="9">
        <f>IF(OR(M356=0,U356=1),0,IF(T356="GST on Income",ROUND(K356*0.1,2),ROUND(-K356*0.1,2)))</f>
        <v>0</v>
      </c>
    </row>
    <row r="357">
      <c r="A357" t="inlineStr">
        <is>
          <t>INV-4343-1</t>
        </is>
      </c>
      <c r="B357" t="inlineStr">
        <is>
          <t>INV-4343</t>
        </is>
      </c>
      <c r="C357" s="11" t="n">
        <v>45901</v>
      </c>
      <c r="D357" t="inlineStr">
        <is>
          <t>2025-09</t>
        </is>
      </c>
      <c r="E357" t="inlineStr">
        <is>
          <t>C0116</t>
        </is>
      </c>
      <c r="F357" t="inlineStr">
        <is>
          <t>C0116</t>
        </is>
      </c>
      <c r="G357" t="inlineStr">
        <is>
          <t>Lucas Patel</t>
        </is>
      </c>
      <c r="H357" t="inlineStr">
        <is>
          <t>S0051</t>
        </is>
      </c>
      <c r="I357" t="inlineStr">
        <is>
          <t>Temporary fence hire 4 wks (04/08/25-31/08/25) - 38 panels</t>
        </is>
      </c>
      <c r="J357" t="n">
        <v>152</v>
      </c>
      <c r="K357" s="9" t="n">
        <v>684</v>
      </c>
      <c r="L357" t="inlineStr">
        <is>
          <t>PAID</t>
        </is>
      </c>
      <c r="M357">
        <f>IF(L357="VOIDED",0,1)</f>
        <v>1</v>
      </c>
      <c r="N357" t="n">
        <v>260</v>
      </c>
      <c r="O357" t="inlineStr">
        <is>
          <t>GST on Income</t>
        </is>
      </c>
      <c r="P357" t="inlineStr">
        <is>
          <t>R03</t>
        </is>
      </c>
      <c r="Q357" t="inlineStr">
        <is>
          <t>HIRE-FP</t>
        </is>
      </c>
      <c r="R357">
        <f>IF(OR(Q357="CONTEXT",Q357="REVIEW"),"",INDEX('Category Rules'!$D$5:$D$17,MATCH(P357,'Category Rules'!$A$5:$A$17,0)))</f>
        <v>4010</v>
      </c>
      <c r="S357" t="str">
        <f>IF(Q357="CONTEXT","Fencing",IF(Q357="REVIEW","",INDEX('Category Rules'!$E$5:$E$17,MATCH(P357,'Category Rules'!$A$5:$A$17,0))))</f>
        <v>Fencing</v>
      </c>
      <c r="T357" t="str">
        <f>IF(Q357="DEP","BAS Excluded","GST on Income")</f>
        <v>GST on Income</v>
      </c>
      <c r="U357">
        <f>IF(O357=T357,1,0)</f>
        <v>1</v>
      </c>
      <c r="V357" s="9">
        <f>IF(OR(M357=0,U357=1),0,IF(T357="GST on Income",ROUND(K357*0.1,2),ROUND(-K357*0.1,2)))</f>
        <v>0</v>
      </c>
    </row>
    <row r="358">
      <c r="A358" t="inlineStr">
        <is>
          <t>INV-4370-1</t>
        </is>
      </c>
      <c r="B358" t="inlineStr">
        <is>
          <t>INV-4370</t>
        </is>
      </c>
      <c r="C358" s="11" t="n">
        <v>45901</v>
      </c>
      <c r="D358" t="inlineStr">
        <is>
          <t>2025-09</t>
        </is>
      </c>
      <c r="E358" t="inlineStr">
        <is>
          <t>C0136</t>
        </is>
      </c>
      <c r="F358" t="inlineStr">
        <is>
          <t>C0036</t>
        </is>
      </c>
      <c r="G358" t="inlineStr">
        <is>
          <t>Summit Homes Pty Ltd</t>
        </is>
      </c>
      <c r="H358" t="inlineStr">
        <is>
          <t>S0055</t>
        </is>
      </c>
      <c r="I358" t="inlineStr">
        <is>
          <t>Temporary fence hire 2 wks (19/08/25-31/08/25) - 91 panels</t>
        </is>
      </c>
      <c r="J358" t="n">
        <v>182</v>
      </c>
      <c r="K358" s="9" t="n">
        <v>819</v>
      </c>
      <c r="L358" t="inlineStr">
        <is>
          <t>PAID</t>
        </is>
      </c>
      <c r="M358">
        <f>IF(L358="VOIDED",0,1)</f>
        <v>1</v>
      </c>
      <c r="N358" t="n">
        <v>200</v>
      </c>
      <c r="O358" t="inlineStr">
        <is>
          <t>GST on Income</t>
        </is>
      </c>
      <c r="P358" t="inlineStr">
        <is>
          <t>R03</t>
        </is>
      </c>
      <c r="Q358" t="inlineStr">
        <is>
          <t>HIRE-FP</t>
        </is>
      </c>
      <c r="R358">
        <f>IF(OR(Q358="CONTEXT",Q358="REVIEW"),"",INDEX('Category Rules'!$D$5:$D$17,MATCH(P358,'Category Rules'!$A$5:$A$17,0)))</f>
        <v>4010</v>
      </c>
      <c r="S358" t="str">
        <f>IF(Q358="CONTEXT","Fencing",IF(Q358="REVIEW","",INDEX('Category Rules'!$E$5:$E$17,MATCH(P358,'Category Rules'!$A$5:$A$17,0))))</f>
        <v>Fencing</v>
      </c>
      <c r="T358" t="str">
        <f>IF(Q358="DEP","BAS Excluded","GST on Income")</f>
        <v>GST on Income</v>
      </c>
      <c r="U358">
        <f>IF(O358=T358,1,0)</f>
        <v>1</v>
      </c>
      <c r="V358" s="9">
        <f>IF(OR(M358=0,U358=1),0,IF(T358="GST on Income",ROUND(K358*0.1,2),ROUND(-K358*0.1,2)))</f>
        <v>0</v>
      </c>
    </row>
    <row r="359">
      <c r="A359" t="inlineStr">
        <is>
          <t>INV-4373-1</t>
        </is>
      </c>
      <c r="B359" t="inlineStr">
        <is>
          <t>INV-4373</t>
        </is>
      </c>
      <c r="C359" s="11" t="n">
        <v>45901</v>
      </c>
      <c r="D359" t="inlineStr">
        <is>
          <t>2025-09</t>
        </is>
      </c>
      <c r="E359" t="inlineStr">
        <is>
          <t>C0136</t>
        </is>
      </c>
      <c r="F359" t="inlineStr">
        <is>
          <t>C0036</t>
        </is>
      </c>
      <c r="G359" t="inlineStr">
        <is>
          <t>Summit Homes Pty Ltd</t>
        </is>
      </c>
      <c r="H359" t="inlineStr">
        <is>
          <t>S0055</t>
        </is>
      </c>
      <c r="I359" t="inlineStr">
        <is>
          <t>Pedestrian barrier hire 2 wks (19/08/25-31/08/25) - 22 barriers</t>
        </is>
      </c>
      <c r="J359" t="n">
        <v>44</v>
      </c>
      <c r="K359" s="9" t="n">
        <v>140.8</v>
      </c>
      <c r="L359" t="inlineStr">
        <is>
          <t>PAID</t>
        </is>
      </c>
      <c r="M359">
        <f>IF(L359="VOIDED",0,1)</f>
        <v>1</v>
      </c>
      <c r="N359" t="n">
        <v>200</v>
      </c>
      <c r="O359" t="inlineStr">
        <is>
          <t>GST on Income</t>
        </is>
      </c>
      <c r="P359" t="inlineStr">
        <is>
          <t>R04</t>
        </is>
      </c>
      <c r="Q359" t="inlineStr">
        <is>
          <t>HIRE-BR</t>
        </is>
      </c>
      <c r="R359">
        <f>IF(OR(Q359="CONTEXT",Q359="REVIEW"),"",INDEX('Category Rules'!$D$5:$D$17,MATCH(P359,'Category Rules'!$A$5:$A$17,0)))</f>
        <v>4010</v>
      </c>
      <c r="S359" t="str">
        <f>IF(Q359="CONTEXT","Fencing",IF(Q359="REVIEW","",INDEX('Category Rules'!$E$5:$E$17,MATCH(P359,'Category Rules'!$A$5:$A$17,0))))</f>
        <v>Fencing</v>
      </c>
      <c r="T359" t="str">
        <f>IF(Q359="DEP","BAS Excluded","GST on Income")</f>
        <v>GST on Income</v>
      </c>
      <c r="U359">
        <f>IF(O359=T359,1,0)</f>
        <v>1</v>
      </c>
      <c r="V359" s="9">
        <f>IF(OR(M359=0,U359=1),0,IF(T359="GST on Income",ROUND(K359*0.1,2),ROUND(-K359*0.1,2)))</f>
        <v>0</v>
      </c>
    </row>
    <row r="360">
      <c r="A360" t="inlineStr">
        <is>
          <t>INV-4374-1</t>
        </is>
      </c>
      <c r="B360" t="inlineStr">
        <is>
          <t>INV-4374</t>
        </is>
      </c>
      <c r="C360" s="11" t="n">
        <v>45901</v>
      </c>
      <c r="D360" t="inlineStr">
        <is>
          <t>2025-09</t>
        </is>
      </c>
      <c r="E360" t="inlineStr">
        <is>
          <t>C0136</t>
        </is>
      </c>
      <c r="F360" t="inlineStr">
        <is>
          <t>C0036</t>
        </is>
      </c>
      <c r="G360" t="inlineStr">
        <is>
          <t>Summit Homes Pty Ltd</t>
        </is>
      </c>
      <c r="H360" t="inlineStr">
        <is>
          <t>S0055</t>
        </is>
      </c>
      <c r="I360" t="inlineStr">
        <is>
          <t>Collection and dismantle - temporary fencing</t>
        </is>
      </c>
      <c r="J360" t="n">
        <v>1</v>
      </c>
      <c r="K360" s="9" t="n">
        <v>165</v>
      </c>
      <c r="L360" t="inlineStr">
        <is>
          <t>PAID</t>
        </is>
      </c>
      <c r="M360">
        <f>IF(L360="VOIDED",0,1)</f>
        <v>1</v>
      </c>
      <c r="N360" t="n">
        <v>260</v>
      </c>
      <c r="O360" t="inlineStr">
        <is>
          <t>GST on Income</t>
        </is>
      </c>
      <c r="P360" t="inlineStr">
        <is>
          <t>R07</t>
        </is>
      </c>
      <c r="Q360" t="inlineStr">
        <is>
          <t>DEL-FP</t>
        </is>
      </c>
      <c r="R360">
        <f>IF(OR(Q360="CONTEXT",Q360="REVIEW"),"",INDEX('Category Rules'!$D$5:$D$17,MATCH(P360,'Category Rules'!$A$5:$A$17,0)))</f>
        <v>4020</v>
      </c>
      <c r="S360" t="str">
        <f>IF(Q360="CONTEXT","Fencing",IF(Q360="REVIEW","",INDEX('Category Rules'!$E$5:$E$17,MATCH(P360,'Category Rules'!$A$5:$A$17,0))))</f>
        <v>Fencing</v>
      </c>
      <c r="T360" t="str">
        <f>IF(Q360="DEP","BAS Excluded","GST on Income")</f>
        <v>GST on Income</v>
      </c>
      <c r="U360">
        <f>IF(O360=T360,1,0)</f>
        <v>1</v>
      </c>
      <c r="V360" s="9">
        <f>IF(OR(M360=0,U360=1),0,IF(T360="GST on Income",ROUND(K360*0.1,2),ROUND(-K360*0.1,2)))</f>
        <v>0</v>
      </c>
    </row>
    <row r="361">
      <c r="A361" t="inlineStr">
        <is>
          <t>INV-4374-2</t>
        </is>
      </c>
      <c r="B361" t="inlineStr">
        <is>
          <t>INV-4374</t>
        </is>
      </c>
      <c r="C361" s="11" t="n">
        <v>45901</v>
      </c>
      <c r="D361" t="inlineStr">
        <is>
          <t>2025-09</t>
        </is>
      </c>
      <c r="E361" t="inlineStr">
        <is>
          <t>C0136</t>
        </is>
      </c>
      <c r="F361" t="inlineStr">
        <is>
          <t>C0036</t>
        </is>
      </c>
      <c r="G361" t="inlineStr">
        <is>
          <t>Summit Homes Pty Ltd</t>
        </is>
      </c>
      <c r="H361" t="inlineStr">
        <is>
          <t>S0055</t>
        </is>
      </c>
      <c r="I361" t="inlineStr">
        <is>
          <t>Lost/damaged panels charged - 1 @ 145.00</t>
        </is>
      </c>
      <c r="J361" t="n">
        <v>1</v>
      </c>
      <c r="K361" s="9" t="n">
        <v>145</v>
      </c>
      <c r="L361" t="inlineStr">
        <is>
          <t>PAID</t>
        </is>
      </c>
      <c r="M361">
        <f>IF(L361="VOIDED",0,1)</f>
        <v>1</v>
      </c>
      <c r="N361" t="n">
        <v>200</v>
      </c>
      <c r="O361" t="inlineStr">
        <is>
          <t>GST on Income</t>
        </is>
      </c>
      <c r="P361" t="inlineStr">
        <is>
          <t>R02</t>
        </is>
      </c>
      <c r="Q361" t="inlineStr">
        <is>
          <t>LOSS</t>
        </is>
      </c>
      <c r="R361">
        <f>IF(OR(Q361="CONTEXT",Q361="REVIEW"),"",INDEX('Category Rules'!$D$5:$D$17,MATCH(P361,'Category Rules'!$A$5:$A$17,0)))</f>
        <v>4040</v>
      </c>
      <c r="S361" t="str">
        <f>IF(Q361="CONTEXT","Fencing",IF(Q361="REVIEW","",INDEX('Category Rules'!$E$5:$E$17,MATCH(P361,'Category Rules'!$A$5:$A$17,0))))</f>
        <v>Fencing</v>
      </c>
      <c r="T361" t="str">
        <f>IF(Q361="DEP","BAS Excluded","GST on Income")</f>
        <v>GST on Income</v>
      </c>
      <c r="U361">
        <f>IF(O361=T361,1,0)</f>
        <v>1</v>
      </c>
      <c r="V361" s="9">
        <f>IF(OR(M361=0,U361=1),0,IF(T361="GST on Income",ROUND(K361*0.1,2),ROUND(-K361*0.1,2)))</f>
        <v>0</v>
      </c>
    </row>
    <row r="362">
      <c r="A362" t="inlineStr">
        <is>
          <t>INV-5305-1</t>
        </is>
      </c>
      <c r="B362" t="inlineStr">
        <is>
          <t>INV-5305</t>
        </is>
      </c>
      <c r="C362" s="11" t="n">
        <v>45901</v>
      </c>
      <c r="D362" t="inlineStr">
        <is>
          <t>2025-09</t>
        </is>
      </c>
      <c r="E362" t="inlineStr">
        <is>
          <t>C0123</t>
        </is>
      </c>
      <c r="F362" t="inlineStr">
        <is>
          <t>C0123</t>
        </is>
      </c>
      <c r="G362" t="inlineStr">
        <is>
          <t>Harbour Strata Management</t>
        </is>
      </c>
      <c r="H362" t="inlineStr">
        <is>
          <t>S0261</t>
        </is>
      </c>
      <c r="I362" t="inlineStr">
        <is>
          <t>Scaffold erect - 4 tower(s)</t>
        </is>
      </c>
      <c r="J362" t="n">
        <v>4</v>
      </c>
      <c r="K362" s="9" t="n">
        <v>1680</v>
      </c>
      <c r="L362" t="inlineStr">
        <is>
          <t>PAID</t>
        </is>
      </c>
      <c r="M362">
        <f>IF(L362="VOIDED",0,1)</f>
        <v>1</v>
      </c>
      <c r="N362" t="n">
        <v>200</v>
      </c>
      <c r="O362" t="inlineStr">
        <is>
          <t>GST on Income</t>
        </is>
      </c>
      <c r="P362" t="inlineStr">
        <is>
          <t>R08</t>
        </is>
      </c>
      <c r="Q362" t="inlineStr">
        <is>
          <t>LAB-ST</t>
        </is>
      </c>
      <c r="R362">
        <f>IF(OR(Q362="CONTEXT",Q362="REVIEW"),"",INDEX('Category Rules'!$D$5:$D$17,MATCH(P362,'Category Rules'!$A$5:$A$17,0)))</f>
        <v>4020</v>
      </c>
      <c r="S362" t="str">
        <f>IF(Q362="CONTEXT","Scaffolding",IF(Q362="REVIEW","",INDEX('Category Rules'!$E$5:$E$17,MATCH(P362,'Category Rules'!$A$5:$A$17,0))))</f>
        <v>Scaffolding</v>
      </c>
      <c r="T362" t="str">
        <f>IF(Q362="DEP","BAS Excluded","GST on Income")</f>
        <v>GST on Income</v>
      </c>
      <c r="U362">
        <f>IF(O362=T362,1,0)</f>
        <v>1</v>
      </c>
      <c r="V362" s="9">
        <f>IF(OR(M362=0,U362=1),0,IF(T362="GST on Income",ROUND(K362*0.1,2),ROUND(-K362*0.1,2)))</f>
        <v>0</v>
      </c>
    </row>
    <row r="363">
      <c r="A363" t="inlineStr">
        <is>
          <t>INV-5341-1</t>
        </is>
      </c>
      <c r="B363" t="inlineStr">
        <is>
          <t>INV-5341</t>
        </is>
      </c>
      <c r="C363" s="11" t="n">
        <v>45901</v>
      </c>
      <c r="D363" t="inlineStr">
        <is>
          <t>2025-09</t>
        </is>
      </c>
      <c r="E363" t="inlineStr">
        <is>
          <t>C0055</t>
        </is>
      </c>
      <c r="F363" t="inlineStr">
        <is>
          <t>C0055</t>
        </is>
      </c>
      <c r="G363" t="inlineStr">
        <is>
          <t>Coastline Strata Management Pty Ltd</t>
        </is>
      </c>
      <c r="H363" t="inlineStr">
        <is>
          <t>S0269</t>
        </is>
      </c>
      <c r="I363" t="inlineStr">
        <is>
          <t>Scaffold tower hire 2 wks (24/08/25-31/08/25) - 4 towers</t>
        </is>
      </c>
      <c r="J363" t="n">
        <v>8</v>
      </c>
      <c r="K363" s="9" t="n">
        <v>760</v>
      </c>
      <c r="L363" t="inlineStr">
        <is>
          <t>PAID</t>
        </is>
      </c>
      <c r="M363">
        <f>IF(L363="VOIDED",0,1)</f>
        <v>1</v>
      </c>
      <c r="N363" t="n">
        <v>200</v>
      </c>
      <c r="O363" t="inlineStr">
        <is>
          <t>GST on Income</t>
        </is>
      </c>
      <c r="P363" t="inlineStr">
        <is>
          <t>R05</t>
        </is>
      </c>
      <c r="Q363" t="inlineStr">
        <is>
          <t>HIRE-ST</t>
        </is>
      </c>
      <c r="R363">
        <f>IF(OR(Q363="CONTEXT",Q363="REVIEW"),"",INDEX('Category Rules'!$D$5:$D$17,MATCH(P363,'Category Rules'!$A$5:$A$17,0)))</f>
        <v>4010</v>
      </c>
      <c r="S363" t="str">
        <f>IF(Q363="CONTEXT","Scaffolding",IF(Q363="REVIEW","",INDEX('Category Rules'!$E$5:$E$17,MATCH(P363,'Category Rules'!$A$5:$A$17,0))))</f>
        <v>Scaffolding</v>
      </c>
      <c r="T363" t="str">
        <f>IF(Q363="DEP","BAS Excluded","GST on Income")</f>
        <v>GST on Income</v>
      </c>
      <c r="U363">
        <f>IF(O363=T363,1,0)</f>
        <v>1</v>
      </c>
      <c r="V363" s="9">
        <f>IF(OR(M363=0,U363=1),0,IF(T363="GST on Income",ROUND(K363*0.1,2),ROUND(-K363*0.1,2)))</f>
        <v>0</v>
      </c>
    </row>
    <row r="364">
      <c r="A364" t="inlineStr">
        <is>
          <t>INV-5343-1</t>
        </is>
      </c>
      <c r="B364" t="inlineStr">
        <is>
          <t>INV-5343</t>
        </is>
      </c>
      <c r="C364" s="11" t="n">
        <v>45901</v>
      </c>
      <c r="D364" t="inlineStr">
        <is>
          <t>2025-09</t>
        </is>
      </c>
      <c r="E364" t="inlineStr">
        <is>
          <t>C0055</t>
        </is>
      </c>
      <c r="F364" t="inlineStr">
        <is>
          <t>C0055</t>
        </is>
      </c>
      <c r="G364" t="inlineStr">
        <is>
          <t>Coastline Strata Management Pty Ltd</t>
        </is>
      </c>
      <c r="H364" t="inlineStr">
        <is>
          <t>S0269</t>
        </is>
      </c>
      <c r="I364" t="inlineStr">
        <is>
          <t>Scaffold dismantle - 4 tower(s)</t>
        </is>
      </c>
      <c r="J364" t="n">
        <v>4</v>
      </c>
      <c r="K364" s="9" t="n">
        <v>1280</v>
      </c>
      <c r="L364" t="inlineStr">
        <is>
          <t>PAID</t>
        </is>
      </c>
      <c r="M364">
        <f>IF(L364="VOIDED",0,1)</f>
        <v>1</v>
      </c>
      <c r="N364" t="n">
        <v>260</v>
      </c>
      <c r="O364" t="inlineStr">
        <is>
          <t>GST on Income</t>
        </is>
      </c>
      <c r="P364" t="inlineStr">
        <is>
          <t>R08</t>
        </is>
      </c>
      <c r="Q364" t="inlineStr">
        <is>
          <t>LAB-ST</t>
        </is>
      </c>
      <c r="R364">
        <f>IF(OR(Q364="CONTEXT",Q364="REVIEW"),"",INDEX('Category Rules'!$D$5:$D$17,MATCH(P364,'Category Rules'!$A$5:$A$17,0)))</f>
        <v>4020</v>
      </c>
      <c r="S364" t="str">
        <f>IF(Q364="CONTEXT","Scaffolding",IF(Q364="REVIEW","",INDEX('Category Rules'!$E$5:$E$17,MATCH(P364,'Category Rules'!$A$5:$A$17,0))))</f>
        <v>Scaffolding</v>
      </c>
      <c r="T364" t="str">
        <f>IF(Q364="DEP","BAS Excluded","GST on Income")</f>
        <v>GST on Income</v>
      </c>
      <c r="U364">
        <f>IF(O364=T364,1,0)</f>
        <v>1</v>
      </c>
      <c r="V364" s="9">
        <f>IF(OR(M364=0,U364=1),0,IF(T364="GST on Income",ROUND(K364*0.1,2),ROUND(-K364*0.1,2)))</f>
        <v>0</v>
      </c>
    </row>
    <row r="365">
      <c r="A365" t="inlineStr">
        <is>
          <t>INV-4415-1</t>
        </is>
      </c>
      <c r="B365" t="inlineStr">
        <is>
          <t>INV-4415</t>
        </is>
      </c>
      <c r="C365" s="11" t="n">
        <v>45902</v>
      </c>
      <c r="D365" t="inlineStr">
        <is>
          <t>2025-09</t>
        </is>
      </c>
      <c r="E365" t="inlineStr">
        <is>
          <t>C0119</t>
        </is>
      </c>
      <c r="F365" t="inlineStr">
        <is>
          <t>C0119</t>
        </is>
      </c>
      <c r="G365" t="inlineStr">
        <is>
          <t>Northgate Builders Pty Ltd</t>
        </is>
      </c>
      <c r="H365" t="inlineStr">
        <is>
          <t>S0062</t>
        </is>
      </c>
      <c r="I365" t="inlineStr">
        <is>
          <t>Delivery and installation - temporary fencing</t>
        </is>
      </c>
      <c r="J365" t="n">
        <v>1</v>
      </c>
      <c r="K365" s="9" t="n">
        <v>165</v>
      </c>
      <c r="L365" t="inlineStr">
        <is>
          <t>PAID</t>
        </is>
      </c>
      <c r="M365">
        <f>IF(L365="VOIDED",0,1)</f>
        <v>1</v>
      </c>
      <c r="N365" t="n">
        <v>200</v>
      </c>
      <c r="O365" t="inlineStr">
        <is>
          <t>GST on Income</t>
        </is>
      </c>
      <c r="P365" t="inlineStr">
        <is>
          <t>R07</t>
        </is>
      </c>
      <c r="Q365" t="inlineStr">
        <is>
          <t>DEL-FP</t>
        </is>
      </c>
      <c r="R365">
        <f>IF(OR(Q365="CONTEXT",Q365="REVIEW"),"",INDEX('Category Rules'!$D$5:$D$17,MATCH(P365,'Category Rules'!$A$5:$A$17,0)))</f>
        <v>4020</v>
      </c>
      <c r="S365" t="str">
        <f>IF(Q365="CONTEXT","Fencing",IF(Q365="REVIEW","",INDEX('Category Rules'!$E$5:$E$17,MATCH(P365,'Category Rules'!$A$5:$A$17,0))))</f>
        <v>Fencing</v>
      </c>
      <c r="T365" t="str">
        <f>IF(Q365="DEP","BAS Excluded","GST on Income")</f>
        <v>GST on Income</v>
      </c>
      <c r="U365">
        <f>IF(O365=T365,1,0)</f>
        <v>1</v>
      </c>
      <c r="V365" s="9">
        <f>IF(OR(M365=0,U365=1),0,IF(T365="GST on Income",ROUND(K365*0.1,2),ROUND(-K365*0.1,2)))</f>
        <v>0</v>
      </c>
    </row>
    <row r="366">
      <c r="A366" t="inlineStr">
        <is>
          <t>INV-4415-2</t>
        </is>
      </c>
      <c r="B366" t="inlineStr">
        <is>
          <t>INV-4415</t>
        </is>
      </c>
      <c r="C366" s="11" t="n">
        <v>45902</v>
      </c>
      <c r="D366" t="inlineStr">
        <is>
          <t>2025-09</t>
        </is>
      </c>
      <c r="E366" t="inlineStr">
        <is>
          <t>C0119</t>
        </is>
      </c>
      <c r="F366" t="inlineStr">
        <is>
          <t>C0119</t>
        </is>
      </c>
      <c r="G366" t="inlineStr">
        <is>
          <t>Northgate Builders Pty Ltd</t>
        </is>
      </c>
      <c r="H366" t="inlineStr">
        <is>
          <t>S0062</t>
        </is>
      </c>
      <c r="I366" t="inlineStr">
        <is>
          <t>Installation labour - 135 panels @ 2.20</t>
        </is>
      </c>
      <c r="J366" t="n">
        <v>135</v>
      </c>
      <c r="K366" s="9" t="n">
        <v>297</v>
      </c>
      <c r="L366" t="inlineStr">
        <is>
          <t>PAID</t>
        </is>
      </c>
      <c r="M366">
        <f>IF(L366="VOIDED",0,1)</f>
        <v>1</v>
      </c>
      <c r="N366" t="n">
        <v>200</v>
      </c>
      <c r="O366" t="inlineStr">
        <is>
          <t>GST on Income</t>
        </is>
      </c>
      <c r="P366" t="inlineStr">
        <is>
          <t>R07</t>
        </is>
      </c>
      <c r="Q366" t="inlineStr">
        <is>
          <t>DEL-FP</t>
        </is>
      </c>
      <c r="R366">
        <f>IF(OR(Q366="CONTEXT",Q366="REVIEW"),"",INDEX('Category Rules'!$D$5:$D$17,MATCH(P366,'Category Rules'!$A$5:$A$17,0)))</f>
        <v>4020</v>
      </c>
      <c r="S366" t="str">
        <f>IF(Q366="CONTEXT","Fencing",IF(Q366="REVIEW","",INDEX('Category Rules'!$E$5:$E$17,MATCH(P366,'Category Rules'!$A$5:$A$17,0))))</f>
        <v>Fencing</v>
      </c>
      <c r="T366" t="str">
        <f>IF(Q366="DEP","BAS Excluded","GST on Income")</f>
        <v>GST on Income</v>
      </c>
      <c r="U366">
        <f>IF(O366=T366,1,0)</f>
        <v>1</v>
      </c>
      <c r="V366" s="9">
        <f>IF(OR(M366=0,U366=1),0,IF(T366="GST on Income",ROUND(K366*0.1,2),ROUND(-K366*0.1,2)))</f>
        <v>0</v>
      </c>
    </row>
    <row r="367">
      <c r="A367" t="inlineStr">
        <is>
          <t>INV-5113-1</t>
        </is>
      </c>
      <c r="B367" t="inlineStr">
        <is>
          <t>INV-5113</t>
        </is>
      </c>
      <c r="C367" s="11" t="n">
        <v>45902</v>
      </c>
      <c r="D367" t="inlineStr">
        <is>
          <t>2025-09</t>
        </is>
      </c>
      <c r="E367" t="inlineStr">
        <is>
          <t>C0029</t>
        </is>
      </c>
      <c r="F367" t="inlineStr">
        <is>
          <t>C0029</t>
        </is>
      </c>
      <c r="G367" t="inlineStr">
        <is>
          <t>Ironbark Constructions</t>
        </is>
      </c>
      <c r="H367" t="inlineStr">
        <is>
          <t>S0216</t>
        </is>
      </c>
      <c r="I367" t="inlineStr">
        <is>
          <t>Temporary fence hire 4 wks (05/08/25-01/09/25) - 102 panels</t>
        </is>
      </c>
      <c r="J367" t="n">
        <v>408</v>
      </c>
      <c r="K367" s="9" t="n">
        <v>1836</v>
      </c>
      <c r="L367" t="inlineStr">
        <is>
          <t>PAID</t>
        </is>
      </c>
      <c r="M367">
        <f>IF(L367="VOIDED",0,1)</f>
        <v>1</v>
      </c>
      <c r="N367" t="n">
        <v>200</v>
      </c>
      <c r="O367" t="inlineStr">
        <is>
          <t>GST on Income</t>
        </is>
      </c>
      <c r="P367" t="inlineStr">
        <is>
          <t>R03</t>
        </is>
      </c>
      <c r="Q367" t="inlineStr">
        <is>
          <t>HIRE-FP</t>
        </is>
      </c>
      <c r="R367">
        <f>IF(OR(Q367="CONTEXT",Q367="REVIEW"),"",INDEX('Category Rules'!$D$5:$D$17,MATCH(P367,'Category Rules'!$A$5:$A$17,0)))</f>
        <v>4010</v>
      </c>
      <c r="S367" t="str">
        <f>IF(Q367="CONTEXT","Fencing",IF(Q367="REVIEW","",INDEX('Category Rules'!$E$5:$E$17,MATCH(P367,'Category Rules'!$A$5:$A$17,0))))</f>
        <v>Fencing</v>
      </c>
      <c r="T367" t="str">
        <f>IF(Q367="DEP","BAS Excluded","GST on Income")</f>
        <v>GST on Income</v>
      </c>
      <c r="U367">
        <f>IF(O367=T367,1,0)</f>
        <v>1</v>
      </c>
      <c r="V367" s="9">
        <f>IF(OR(M367=0,U367=1),0,IF(T367="GST on Income",ROUND(K367*0.1,2),ROUND(-K367*0.1,2)))</f>
        <v>0</v>
      </c>
    </row>
    <row r="368">
      <c r="A368" t="inlineStr">
        <is>
          <t>INV-5477-1</t>
        </is>
      </c>
      <c r="B368" t="inlineStr">
        <is>
          <t>INV-5477</t>
        </is>
      </c>
      <c r="C368" s="11" t="n">
        <v>45902</v>
      </c>
      <c r="D368" t="inlineStr">
        <is>
          <t>2025-09</t>
        </is>
      </c>
      <c r="E368" t="inlineStr">
        <is>
          <t>C0021</t>
        </is>
      </c>
      <c r="F368" t="inlineStr">
        <is>
          <t>C0021</t>
        </is>
      </c>
      <c r="G368" t="inlineStr">
        <is>
          <t>Ironbark Building Group</t>
        </is>
      </c>
      <c r="H368" t="inlineStr">
        <is>
          <t>S0312</t>
        </is>
      </c>
      <c r="I368" t="inlineStr">
        <is>
          <t>Roof repair labour - 24 hrs</t>
        </is>
      </c>
      <c r="J368" t="n">
        <v>24</v>
      </c>
      <c r="K368" s="9" t="n">
        <v>2352</v>
      </c>
      <c r="L368" t="inlineStr">
        <is>
          <t>PAID</t>
        </is>
      </c>
      <c r="M368">
        <f>IF(L368="VOIDED",0,1)</f>
        <v>1</v>
      </c>
      <c r="N368" t="n">
        <v>200</v>
      </c>
      <c r="O368" t="inlineStr">
        <is>
          <t>GST on Income</t>
        </is>
      </c>
      <c r="P368" t="inlineStr">
        <is>
          <t>R10</t>
        </is>
      </c>
      <c r="Q368" t="inlineStr">
        <is>
          <t>LAB-RF</t>
        </is>
      </c>
      <c r="R368">
        <f>IF(OR(Q368="CONTEXT",Q368="REVIEW"),"",INDEX('Category Rules'!$D$5:$D$17,MATCH(P368,'Category Rules'!$A$5:$A$17,0)))</f>
        <v>4020</v>
      </c>
      <c r="S368" t="str">
        <f>IF(Q368="CONTEXT","Roofing",IF(Q368="REVIEW","",INDEX('Category Rules'!$E$5:$E$17,MATCH(P368,'Category Rules'!$A$5:$A$17,0))))</f>
        <v>Roofing</v>
      </c>
      <c r="T368" t="str">
        <f>IF(Q368="DEP","BAS Excluded","GST on Income")</f>
        <v>GST on Income</v>
      </c>
      <c r="U368">
        <f>IF(O368=T368,1,0)</f>
        <v>1</v>
      </c>
      <c r="V368" s="9">
        <f>IF(OR(M368=0,U368=1),0,IF(T368="GST on Income",ROUND(K368*0.1,2),ROUND(-K368*0.1,2)))</f>
        <v>0</v>
      </c>
    </row>
    <row r="369">
      <c r="A369" t="inlineStr">
        <is>
          <t>INV-5477-2</t>
        </is>
      </c>
      <c r="B369" t="inlineStr">
        <is>
          <t>INV-5477</t>
        </is>
      </c>
      <c r="C369" s="11" t="n">
        <v>45902</v>
      </c>
      <c r="D369" t="inlineStr">
        <is>
          <t>2025-09</t>
        </is>
      </c>
      <c r="E369" t="inlineStr">
        <is>
          <t>C0021</t>
        </is>
      </c>
      <c r="F369" t="inlineStr">
        <is>
          <t>C0021</t>
        </is>
      </c>
      <c r="G369" t="inlineStr">
        <is>
          <t>Ironbark Building Group</t>
        </is>
      </c>
      <c r="H369" t="inlineStr">
        <is>
          <t>S0312</t>
        </is>
      </c>
      <c r="I369" t="inlineStr">
        <is>
          <t>Materials - gutter and downpipe</t>
        </is>
      </c>
      <c r="J369" t="n">
        <v>1</v>
      </c>
      <c r="K369" s="9" t="n">
        <v>1104.73</v>
      </c>
      <c r="L369" t="inlineStr">
        <is>
          <t>PAID</t>
        </is>
      </c>
      <c r="M369">
        <f>IF(L369="VOIDED",0,1)</f>
        <v>1</v>
      </c>
      <c r="N369" t="n">
        <v>200</v>
      </c>
      <c r="O369" t="inlineStr">
        <is>
          <t>GST on Income</t>
        </is>
      </c>
      <c r="P369" t="inlineStr">
        <is>
          <t>R11</t>
        </is>
      </c>
      <c r="Q369" t="inlineStr">
        <is>
          <t>MAT-RF</t>
        </is>
      </c>
      <c r="R369">
        <f>IF(OR(Q369="CONTEXT",Q369="REVIEW"),"",INDEX('Category Rules'!$D$5:$D$17,MATCH(P369,'Category Rules'!$A$5:$A$17,0)))</f>
        <v>4030</v>
      </c>
      <c r="S369" t="str">
        <f>IF(Q369="CONTEXT","Roofing",IF(Q369="REVIEW","",INDEX('Category Rules'!$E$5:$E$17,MATCH(P369,'Category Rules'!$A$5:$A$17,0))))</f>
        <v>Roofing</v>
      </c>
      <c r="T369" t="str">
        <f>IF(Q369="DEP","BAS Excluded","GST on Income")</f>
        <v>GST on Income</v>
      </c>
      <c r="U369">
        <f>IF(O369=T369,1,0)</f>
        <v>1</v>
      </c>
      <c r="V369" s="9">
        <f>IF(OR(M369=0,U369=1),0,IF(T369="GST on Income",ROUND(K369*0.1,2),ROUND(-K369*0.1,2)))</f>
        <v>0</v>
      </c>
    </row>
    <row r="370">
      <c r="A370" t="inlineStr">
        <is>
          <t>INV-5477-3</t>
        </is>
      </c>
      <c r="B370" t="inlineStr">
        <is>
          <t>INV-5477</t>
        </is>
      </c>
      <c r="C370" s="11" t="n">
        <v>45902</v>
      </c>
      <c r="D370" t="inlineStr">
        <is>
          <t>2025-09</t>
        </is>
      </c>
      <c r="E370" t="inlineStr">
        <is>
          <t>C0021</t>
        </is>
      </c>
      <c r="F370" t="inlineStr">
        <is>
          <t>C0021</t>
        </is>
      </c>
      <c r="G370" t="inlineStr">
        <is>
          <t>Ironbark Building Group</t>
        </is>
      </c>
      <c r="H370" t="inlineStr">
        <is>
          <t>S0312</t>
        </is>
      </c>
      <c r="I370" t="inlineStr">
        <is>
          <t>Materials - flashing</t>
        </is>
      </c>
      <c r="J370" t="n">
        <v>1</v>
      </c>
      <c r="K370" s="9" t="n">
        <v>233.38</v>
      </c>
      <c r="L370" t="inlineStr">
        <is>
          <t>PAID</t>
        </is>
      </c>
      <c r="M370">
        <f>IF(L370="VOIDED",0,1)</f>
        <v>1</v>
      </c>
      <c r="N370" t="n">
        <v>200</v>
      </c>
      <c r="O370" t="inlineStr">
        <is>
          <t>GST on Income</t>
        </is>
      </c>
      <c r="P370" t="inlineStr">
        <is>
          <t>R11</t>
        </is>
      </c>
      <c r="Q370" t="inlineStr">
        <is>
          <t>MAT-RF</t>
        </is>
      </c>
      <c r="R370">
        <f>IF(OR(Q370="CONTEXT",Q370="REVIEW"),"",INDEX('Category Rules'!$D$5:$D$17,MATCH(P370,'Category Rules'!$A$5:$A$17,0)))</f>
        <v>4030</v>
      </c>
      <c r="S370" t="str">
        <f>IF(Q370="CONTEXT","Roofing",IF(Q370="REVIEW","",INDEX('Category Rules'!$E$5:$E$17,MATCH(P370,'Category Rules'!$A$5:$A$17,0))))</f>
        <v>Roofing</v>
      </c>
      <c r="T370" t="str">
        <f>IF(Q370="DEP","BAS Excluded","GST on Income")</f>
        <v>GST on Income</v>
      </c>
      <c r="U370">
        <f>IF(O370=T370,1,0)</f>
        <v>1</v>
      </c>
      <c r="V370" s="9">
        <f>IF(OR(M370=0,U370=1),0,IF(T370="GST on Income",ROUND(K370*0.1,2),ROUND(-K370*0.1,2)))</f>
        <v>0</v>
      </c>
    </row>
    <row r="371">
      <c r="A371" t="inlineStr">
        <is>
          <t>INV-5477-4</t>
        </is>
      </c>
      <c r="B371" t="inlineStr">
        <is>
          <t>INV-5477</t>
        </is>
      </c>
      <c r="C371" s="11" t="n">
        <v>45902</v>
      </c>
      <c r="D371" t="inlineStr">
        <is>
          <t>2025-09</t>
        </is>
      </c>
      <c r="E371" t="inlineStr">
        <is>
          <t>C0021</t>
        </is>
      </c>
      <c r="F371" t="inlineStr">
        <is>
          <t>C0021</t>
        </is>
      </c>
      <c r="G371" t="inlineStr">
        <is>
          <t>Ironbark Building Group</t>
        </is>
      </c>
      <c r="H371" t="inlineStr">
        <is>
          <t>S0312</t>
        </is>
      </c>
      <c r="I371" t="inlineStr">
        <is>
          <t>Waste removal and tip fees</t>
        </is>
      </c>
      <c r="J371" t="n">
        <v>1</v>
      </c>
      <c r="K371" s="9" t="n">
        <v>120</v>
      </c>
      <c r="L371" t="inlineStr">
        <is>
          <t>PAID</t>
        </is>
      </c>
      <c r="M371">
        <f>IF(L371="VOIDED",0,1)</f>
        <v>1</v>
      </c>
      <c r="N371" t="n">
        <v>200</v>
      </c>
      <c r="O371" t="inlineStr">
        <is>
          <t>GST on Income</t>
        </is>
      </c>
      <c r="P371" t="inlineStr">
        <is>
          <t>R11</t>
        </is>
      </c>
      <c r="Q371" t="inlineStr">
        <is>
          <t>MAT-RF</t>
        </is>
      </c>
      <c r="R371">
        <f>IF(OR(Q371="CONTEXT",Q371="REVIEW"),"",INDEX('Category Rules'!$D$5:$D$17,MATCH(P371,'Category Rules'!$A$5:$A$17,0)))</f>
        <v>4030</v>
      </c>
      <c r="S371" t="str">
        <f>IF(Q371="CONTEXT","Roofing",IF(Q371="REVIEW","",INDEX('Category Rules'!$E$5:$E$17,MATCH(P371,'Category Rules'!$A$5:$A$17,0))))</f>
        <v>Roofing</v>
      </c>
      <c r="T371" t="str">
        <f>IF(Q371="DEP","BAS Excluded","GST on Income")</f>
        <v>GST on Income</v>
      </c>
      <c r="U371">
        <f>IF(O371=T371,1,0)</f>
        <v>1</v>
      </c>
      <c r="V371" s="9">
        <f>IF(OR(M371=0,U371=1),0,IF(T371="GST on Income",ROUND(K371*0.1,2),ROUND(-K371*0.1,2)))</f>
        <v>0</v>
      </c>
    </row>
    <row r="372">
      <c r="A372" t="inlineStr">
        <is>
          <t>INV-5645-1</t>
        </is>
      </c>
      <c r="B372" t="inlineStr">
        <is>
          <t>INV-5645</t>
        </is>
      </c>
      <c r="C372" s="11" t="n">
        <v>45902</v>
      </c>
      <c r="D372" t="inlineStr">
        <is>
          <t>2025-09</t>
        </is>
      </c>
      <c r="E372" t="inlineStr">
        <is>
          <t>C0068</t>
        </is>
      </c>
      <c r="F372" t="inlineStr">
        <is>
          <t>C0068</t>
        </is>
      </c>
      <c r="G372" t="inlineStr">
        <is>
          <t>Coastline Claims Services</t>
        </is>
      </c>
      <c r="H372" t="inlineStr">
        <is>
          <t>S0404</t>
        </is>
      </c>
      <c r="I372" t="inlineStr">
        <is>
          <t>Roof repair labour - 8 hrs</t>
        </is>
      </c>
      <c r="J372" t="n">
        <v>8</v>
      </c>
      <c r="K372" s="9" t="n">
        <v>784</v>
      </c>
      <c r="L372" t="inlineStr">
        <is>
          <t>PAID</t>
        </is>
      </c>
      <c r="M372">
        <f>IF(L372="VOIDED",0,1)</f>
        <v>1</v>
      </c>
      <c r="N372" t="n">
        <v>200</v>
      </c>
      <c r="O372" t="inlineStr">
        <is>
          <t>GST on Income</t>
        </is>
      </c>
      <c r="P372" t="inlineStr">
        <is>
          <t>R10</t>
        </is>
      </c>
      <c r="Q372" t="inlineStr">
        <is>
          <t>LAB-RF</t>
        </is>
      </c>
      <c r="R372">
        <f>IF(OR(Q372="CONTEXT",Q372="REVIEW"),"",INDEX('Category Rules'!$D$5:$D$17,MATCH(P372,'Category Rules'!$A$5:$A$17,0)))</f>
        <v>4020</v>
      </c>
      <c r="S372" t="str">
        <f>IF(Q372="CONTEXT","Roofing",IF(Q372="REVIEW","",INDEX('Category Rules'!$E$5:$E$17,MATCH(P372,'Category Rules'!$A$5:$A$17,0))))</f>
        <v>Roofing</v>
      </c>
      <c r="T372" t="str">
        <f>IF(Q372="DEP","BAS Excluded","GST on Income")</f>
        <v>GST on Income</v>
      </c>
      <c r="U372">
        <f>IF(O372=T372,1,0)</f>
        <v>1</v>
      </c>
      <c r="V372" s="9">
        <f>IF(OR(M372=0,U372=1),0,IF(T372="GST on Income",ROUND(K372*0.1,2),ROUND(-K372*0.1,2)))</f>
        <v>0</v>
      </c>
    </row>
    <row r="373">
      <c r="A373" t="inlineStr">
        <is>
          <t>INV-5645-2</t>
        </is>
      </c>
      <c r="B373" t="inlineStr">
        <is>
          <t>INV-5645</t>
        </is>
      </c>
      <c r="C373" s="11" t="n">
        <v>45902</v>
      </c>
      <c r="D373" t="inlineStr">
        <is>
          <t>2025-09</t>
        </is>
      </c>
      <c r="E373" t="inlineStr">
        <is>
          <t>C0068</t>
        </is>
      </c>
      <c r="F373" t="inlineStr">
        <is>
          <t>C0068</t>
        </is>
      </c>
      <c r="G373" t="inlineStr">
        <is>
          <t>Coastline Claims Services</t>
        </is>
      </c>
      <c r="H373" t="inlineStr">
        <is>
          <t>S0404</t>
        </is>
      </c>
      <c r="I373" t="inlineStr">
        <is>
          <t>Materials - gutter and downpipe</t>
        </is>
      </c>
      <c r="J373" t="n">
        <v>1</v>
      </c>
      <c r="K373" s="9" t="n">
        <v>924.9400000000001</v>
      </c>
      <c r="L373" t="inlineStr">
        <is>
          <t>PAID</t>
        </is>
      </c>
      <c r="M373">
        <f>IF(L373="VOIDED",0,1)</f>
        <v>1</v>
      </c>
      <c r="N373" t="n">
        <v>200</v>
      </c>
      <c r="O373" t="inlineStr">
        <is>
          <t>GST on Income</t>
        </is>
      </c>
      <c r="P373" t="inlineStr">
        <is>
          <t>R11</t>
        </is>
      </c>
      <c r="Q373" t="inlineStr">
        <is>
          <t>MAT-RF</t>
        </is>
      </c>
      <c r="R373">
        <f>IF(OR(Q373="CONTEXT",Q373="REVIEW"),"",INDEX('Category Rules'!$D$5:$D$17,MATCH(P373,'Category Rules'!$A$5:$A$17,0)))</f>
        <v>4030</v>
      </c>
      <c r="S373" t="str">
        <f>IF(Q373="CONTEXT","Roofing",IF(Q373="REVIEW","",INDEX('Category Rules'!$E$5:$E$17,MATCH(P373,'Category Rules'!$A$5:$A$17,0))))</f>
        <v>Roofing</v>
      </c>
      <c r="T373" t="str">
        <f>IF(Q373="DEP","BAS Excluded","GST on Income")</f>
        <v>GST on Income</v>
      </c>
      <c r="U373">
        <f>IF(O373=T373,1,0)</f>
        <v>1</v>
      </c>
      <c r="V373" s="9">
        <f>IF(OR(M373=0,U373=1),0,IF(T373="GST on Income",ROUND(K373*0.1,2),ROUND(-K373*0.1,2)))</f>
        <v>0</v>
      </c>
    </row>
    <row r="374">
      <c r="A374" t="inlineStr">
        <is>
          <t>INV-5645-3</t>
        </is>
      </c>
      <c r="B374" t="inlineStr">
        <is>
          <t>INV-5645</t>
        </is>
      </c>
      <c r="C374" s="11" t="n">
        <v>45902</v>
      </c>
      <c r="D374" t="inlineStr">
        <is>
          <t>2025-09</t>
        </is>
      </c>
      <c r="E374" t="inlineStr">
        <is>
          <t>C0068</t>
        </is>
      </c>
      <c r="F374" t="inlineStr">
        <is>
          <t>C0068</t>
        </is>
      </c>
      <c r="G374" t="inlineStr">
        <is>
          <t>Coastline Claims Services</t>
        </is>
      </c>
      <c r="H374" t="inlineStr">
        <is>
          <t>S0404</t>
        </is>
      </c>
      <c r="I374" t="inlineStr">
        <is>
          <t>Waste removal and tip fees</t>
        </is>
      </c>
      <c r="J374" t="n">
        <v>1</v>
      </c>
      <c r="K374" s="9" t="n">
        <v>120</v>
      </c>
      <c r="L374" t="inlineStr">
        <is>
          <t>PAID</t>
        </is>
      </c>
      <c r="M374">
        <f>IF(L374="VOIDED",0,1)</f>
        <v>1</v>
      </c>
      <c r="N374" t="n">
        <v>200</v>
      </c>
      <c r="O374" t="inlineStr">
        <is>
          <t>GST on Income</t>
        </is>
      </c>
      <c r="P374" t="inlineStr">
        <is>
          <t>R11</t>
        </is>
      </c>
      <c r="Q374" t="inlineStr">
        <is>
          <t>MAT-RF</t>
        </is>
      </c>
      <c r="R374">
        <f>IF(OR(Q374="CONTEXT",Q374="REVIEW"),"",INDEX('Category Rules'!$D$5:$D$17,MATCH(P374,'Category Rules'!$A$5:$A$17,0)))</f>
        <v>4030</v>
      </c>
      <c r="S374" t="str">
        <f>IF(Q374="CONTEXT","Roofing",IF(Q374="REVIEW","",INDEX('Category Rules'!$E$5:$E$17,MATCH(P374,'Category Rules'!$A$5:$A$17,0))))</f>
        <v>Roofing</v>
      </c>
      <c r="T374" t="str">
        <f>IF(Q374="DEP","BAS Excluded","GST on Income")</f>
        <v>GST on Income</v>
      </c>
      <c r="U374">
        <f>IF(O374=T374,1,0)</f>
        <v>1</v>
      </c>
      <c r="V374" s="9">
        <f>IF(OR(M374=0,U374=1),0,IF(T374="GST on Income",ROUND(K374*0.1,2),ROUND(-K374*0.1,2)))</f>
        <v>0</v>
      </c>
    </row>
    <row r="375">
      <c r="A375" t="inlineStr">
        <is>
          <t>INV-4360-1</t>
        </is>
      </c>
      <c r="B375" t="inlineStr">
        <is>
          <t>INV-4360</t>
        </is>
      </c>
      <c r="C375" s="11" t="n">
        <v>45903</v>
      </c>
      <c r="D375" t="inlineStr">
        <is>
          <t>2025-09</t>
        </is>
      </c>
      <c r="E375" t="inlineStr">
        <is>
          <t>C0022</t>
        </is>
      </c>
      <c r="F375" t="inlineStr">
        <is>
          <t>C0022</t>
        </is>
      </c>
      <c r="G375" t="inlineStr">
        <is>
          <t>Highpoint Projects</t>
        </is>
      </c>
      <c r="H375" t="inlineStr">
        <is>
          <t>S0054</t>
        </is>
      </c>
      <c r="I375" t="inlineStr">
        <is>
          <t>Temporary fence hire 4 wks (06/08/25-02/09/25) - 28 panels</t>
        </is>
      </c>
      <c r="J375" t="n">
        <v>112</v>
      </c>
      <c r="K375" s="9" t="n">
        <v>504</v>
      </c>
      <c r="L375" t="inlineStr">
        <is>
          <t>PAID</t>
        </is>
      </c>
      <c r="M375">
        <f>IF(L375="VOIDED",0,1)</f>
        <v>1</v>
      </c>
      <c r="N375" t="n">
        <v>200</v>
      </c>
      <c r="O375" t="inlineStr">
        <is>
          <t>GST on Income</t>
        </is>
      </c>
      <c r="P375" t="inlineStr">
        <is>
          <t>R03</t>
        </is>
      </c>
      <c r="Q375" t="inlineStr">
        <is>
          <t>HIRE-FP</t>
        </is>
      </c>
      <c r="R375">
        <f>IF(OR(Q375="CONTEXT",Q375="REVIEW"),"",INDEX('Category Rules'!$D$5:$D$17,MATCH(P375,'Category Rules'!$A$5:$A$17,0)))</f>
        <v>4010</v>
      </c>
      <c r="S375" t="str">
        <f>IF(Q375="CONTEXT","Fencing",IF(Q375="REVIEW","",INDEX('Category Rules'!$E$5:$E$17,MATCH(P375,'Category Rules'!$A$5:$A$17,0))))</f>
        <v>Fencing</v>
      </c>
      <c r="T375" t="str">
        <f>IF(Q375="DEP","BAS Excluded","GST on Income")</f>
        <v>GST on Income</v>
      </c>
      <c r="U375">
        <f>IF(O375=T375,1,0)</f>
        <v>1</v>
      </c>
      <c r="V375" s="9">
        <f>IF(OR(M375=0,U375=1),0,IF(T375="GST on Income",ROUND(K375*0.1,2),ROUND(-K375*0.1,2)))</f>
        <v>0</v>
      </c>
    </row>
    <row r="376">
      <c r="A376" t="inlineStr">
        <is>
          <t>INV-4363-1</t>
        </is>
      </c>
      <c r="B376" t="inlineStr">
        <is>
          <t>INV-4363</t>
        </is>
      </c>
      <c r="C376" s="11" t="n">
        <v>45903</v>
      </c>
      <c r="D376" t="inlineStr">
        <is>
          <t>2025-09</t>
        </is>
      </c>
      <c r="E376" t="inlineStr">
        <is>
          <t>C0022</t>
        </is>
      </c>
      <c r="F376" t="inlineStr">
        <is>
          <t>C0022</t>
        </is>
      </c>
      <c r="G376" t="inlineStr">
        <is>
          <t>Highpoint Projects</t>
        </is>
      </c>
      <c r="H376" t="inlineStr">
        <is>
          <t>S0054</t>
        </is>
      </c>
      <c r="I376" t="inlineStr">
        <is>
          <t>Pedestrian barrier hire 4 wks (06/08/25-02/09/25) - 23 barriers</t>
        </is>
      </c>
      <c r="J376" t="n">
        <v>92</v>
      </c>
      <c r="K376" s="9" t="n">
        <v>294.4</v>
      </c>
      <c r="L376" t="inlineStr">
        <is>
          <t>PAID</t>
        </is>
      </c>
      <c r="M376">
        <f>IF(L376="VOIDED",0,1)</f>
        <v>1</v>
      </c>
      <c r="N376" t="n">
        <v>260</v>
      </c>
      <c r="O376" t="inlineStr">
        <is>
          <t>GST on Income</t>
        </is>
      </c>
      <c r="P376" t="inlineStr">
        <is>
          <t>R04</t>
        </is>
      </c>
      <c r="Q376" t="inlineStr">
        <is>
          <t>HIRE-BR</t>
        </is>
      </c>
      <c r="R376">
        <f>IF(OR(Q376="CONTEXT",Q376="REVIEW"),"",INDEX('Category Rules'!$D$5:$D$17,MATCH(P376,'Category Rules'!$A$5:$A$17,0)))</f>
        <v>4010</v>
      </c>
      <c r="S376" t="str">
        <f>IF(Q376="CONTEXT","Fencing",IF(Q376="REVIEW","",INDEX('Category Rules'!$E$5:$E$17,MATCH(P376,'Category Rules'!$A$5:$A$17,0))))</f>
        <v>Fencing</v>
      </c>
      <c r="T376" t="str">
        <f>IF(Q376="DEP","BAS Excluded","GST on Income")</f>
        <v>GST on Income</v>
      </c>
      <c r="U376">
        <f>IF(O376=T376,1,0)</f>
        <v>1</v>
      </c>
      <c r="V376" s="9">
        <f>IF(OR(M376=0,U376=1),0,IF(T376="GST on Income",ROUND(K376*0.1,2),ROUND(-K376*0.1,2)))</f>
        <v>0</v>
      </c>
    </row>
    <row r="377">
      <c r="A377" t="inlineStr">
        <is>
          <t>INV-5769-1</t>
        </is>
      </c>
      <c r="B377" t="inlineStr">
        <is>
          <t>INV-5769</t>
        </is>
      </c>
      <c r="C377" s="11" t="n">
        <v>45903</v>
      </c>
      <c r="D377" t="inlineStr">
        <is>
          <t>2025-09</t>
        </is>
      </c>
      <c r="E377" t="inlineStr">
        <is>
          <t>C0064</t>
        </is>
      </c>
      <c r="F377" t="inlineStr">
        <is>
          <t>C0064</t>
        </is>
      </c>
      <c r="G377" t="inlineStr">
        <is>
          <t>Lakeside Claims Services Pty Ltd</t>
        </is>
      </c>
      <c r="H377" t="inlineStr">
        <is>
          <t>S0472</t>
        </is>
      </c>
      <c r="I377" t="inlineStr">
        <is>
          <t>Emergency make safe call-out - after hours</t>
        </is>
      </c>
      <c r="J377" t="n">
        <v>1</v>
      </c>
      <c r="K377" s="9" t="n">
        <v>560</v>
      </c>
      <c r="L377" t="inlineStr">
        <is>
          <t>PAID</t>
        </is>
      </c>
      <c r="M377">
        <f>IF(L377="VOIDED",0,1)</f>
        <v>1</v>
      </c>
      <c r="N377" t="n">
        <v>200</v>
      </c>
      <c r="O377" t="inlineStr">
        <is>
          <t>GST on Income</t>
        </is>
      </c>
      <c r="P377" t="inlineStr">
        <is>
          <t>R09</t>
        </is>
      </c>
      <c r="Q377" t="inlineStr">
        <is>
          <t>MS</t>
        </is>
      </c>
      <c r="R377">
        <f>IF(OR(Q377="CONTEXT",Q377="REVIEW"),"",INDEX('Category Rules'!$D$5:$D$17,MATCH(P377,'Category Rules'!$A$5:$A$17,0)))</f>
        <v>4020</v>
      </c>
      <c r="S377" t="str">
        <f>IF(Q377="CONTEXT","Make-safe",IF(Q377="REVIEW","",INDEX('Category Rules'!$E$5:$E$17,MATCH(P377,'Category Rules'!$A$5:$A$17,0))))</f>
        <v>Make-safe</v>
      </c>
      <c r="T377" t="str">
        <f>IF(Q377="DEP","BAS Excluded","GST on Income")</f>
        <v>GST on Income</v>
      </c>
      <c r="U377">
        <f>IF(O377=T377,1,0)</f>
        <v>1</v>
      </c>
      <c r="V377" s="9">
        <f>IF(OR(M377=0,U377=1),0,IF(T377="GST on Income",ROUND(K377*0.1,2),ROUND(-K377*0.1,2)))</f>
        <v>0</v>
      </c>
    </row>
    <row r="378">
      <c r="A378" t="inlineStr">
        <is>
          <t>INV-5033-1</t>
        </is>
      </c>
      <c r="B378" t="inlineStr">
        <is>
          <t>INV-5033</t>
        </is>
      </c>
      <c r="C378" s="11" t="n">
        <v>45904</v>
      </c>
      <c r="D378" t="inlineStr">
        <is>
          <t>2025-09</t>
        </is>
      </c>
      <c r="E378" t="inlineStr">
        <is>
          <t>C0034</t>
        </is>
      </c>
      <c r="F378" t="inlineStr">
        <is>
          <t>C0034</t>
        </is>
      </c>
      <c r="G378" t="inlineStr">
        <is>
          <t>Norfolk Constructions Pty Ltd</t>
        </is>
      </c>
      <c r="H378" t="inlineStr">
        <is>
          <t>S0201</t>
        </is>
      </c>
      <c r="I378" t="inlineStr">
        <is>
          <t>Delivery and installation - temporary fencing</t>
        </is>
      </c>
      <c r="J378" t="n">
        <v>1</v>
      </c>
      <c r="K378" s="9" t="n">
        <v>165</v>
      </c>
      <c r="L378" t="inlineStr">
        <is>
          <t>PAID</t>
        </is>
      </c>
      <c r="M378">
        <f>IF(L378="VOIDED",0,1)</f>
        <v>1</v>
      </c>
      <c r="N378" t="n">
        <v>200</v>
      </c>
      <c r="O378" t="inlineStr">
        <is>
          <t>GST on Income</t>
        </is>
      </c>
      <c r="P378" t="inlineStr">
        <is>
          <t>R07</t>
        </is>
      </c>
      <c r="Q378" t="inlineStr">
        <is>
          <t>DEL-FP</t>
        </is>
      </c>
      <c r="R378">
        <f>IF(OR(Q378="CONTEXT",Q378="REVIEW"),"",INDEX('Category Rules'!$D$5:$D$17,MATCH(P378,'Category Rules'!$A$5:$A$17,0)))</f>
        <v>4020</v>
      </c>
      <c r="S378" t="str">
        <f>IF(Q378="CONTEXT","Fencing",IF(Q378="REVIEW","",INDEX('Category Rules'!$E$5:$E$17,MATCH(P378,'Category Rules'!$A$5:$A$17,0))))</f>
        <v>Fencing</v>
      </c>
      <c r="T378" t="str">
        <f>IF(Q378="DEP","BAS Excluded","GST on Income")</f>
        <v>GST on Income</v>
      </c>
      <c r="U378">
        <f>IF(O378=T378,1,0)</f>
        <v>1</v>
      </c>
      <c r="V378" s="9">
        <f>IF(OR(M378=0,U378=1),0,IF(T378="GST on Income",ROUND(K378*0.1,2),ROUND(-K378*0.1,2)))</f>
        <v>0</v>
      </c>
    </row>
    <row r="379">
      <c r="A379" t="inlineStr">
        <is>
          <t>INV-5033-2</t>
        </is>
      </c>
      <c r="B379" t="inlineStr">
        <is>
          <t>INV-5033</t>
        </is>
      </c>
      <c r="C379" s="11" t="n">
        <v>45904</v>
      </c>
      <c r="D379" t="inlineStr">
        <is>
          <t>2025-09</t>
        </is>
      </c>
      <c r="E379" t="inlineStr">
        <is>
          <t>C0034</t>
        </is>
      </c>
      <c r="F379" t="inlineStr">
        <is>
          <t>C0034</t>
        </is>
      </c>
      <c r="G379" t="inlineStr">
        <is>
          <t>Norfolk Constructions Pty Ltd</t>
        </is>
      </c>
      <c r="H379" t="inlineStr">
        <is>
          <t>S0201</t>
        </is>
      </c>
      <c r="I379" t="inlineStr">
        <is>
          <t>Installation labour - 22 panels @ 2.20</t>
        </is>
      </c>
      <c r="J379" t="n">
        <v>22</v>
      </c>
      <c r="K379" s="9" t="n">
        <v>48.4</v>
      </c>
      <c r="L379" t="inlineStr">
        <is>
          <t>PAID</t>
        </is>
      </c>
      <c r="M379">
        <f>IF(L379="VOIDED",0,1)</f>
        <v>1</v>
      </c>
      <c r="N379" t="n">
        <v>200</v>
      </c>
      <c r="O379" t="inlineStr">
        <is>
          <t>GST on Income</t>
        </is>
      </c>
      <c r="P379" t="inlineStr">
        <is>
          <t>R07</t>
        </is>
      </c>
      <c r="Q379" t="inlineStr">
        <is>
          <t>DEL-FP</t>
        </is>
      </c>
      <c r="R379">
        <f>IF(OR(Q379="CONTEXT",Q379="REVIEW"),"",INDEX('Category Rules'!$D$5:$D$17,MATCH(P379,'Category Rules'!$A$5:$A$17,0)))</f>
        <v>4020</v>
      </c>
      <c r="S379" t="str">
        <f>IF(Q379="CONTEXT","Fencing",IF(Q379="REVIEW","",INDEX('Category Rules'!$E$5:$E$17,MATCH(P379,'Category Rules'!$A$5:$A$17,0))))</f>
        <v>Fencing</v>
      </c>
      <c r="T379" t="str">
        <f>IF(Q379="DEP","BAS Excluded","GST on Income")</f>
        <v>GST on Income</v>
      </c>
      <c r="U379">
        <f>IF(O379=T379,1,0)</f>
        <v>1</v>
      </c>
      <c r="V379" s="9">
        <f>IF(OR(M379=0,U379=1),0,IF(T379="GST on Income",ROUND(K379*0.1,2),ROUND(-K379*0.1,2)))</f>
        <v>0</v>
      </c>
    </row>
    <row r="380">
      <c r="A380" t="inlineStr">
        <is>
          <t>INV-5571-1</t>
        </is>
      </c>
      <c r="B380" t="inlineStr">
        <is>
          <t>INV-5571</t>
        </is>
      </c>
      <c r="C380" s="11" t="n">
        <v>45904</v>
      </c>
      <c r="D380" t="inlineStr">
        <is>
          <t>2025-09</t>
        </is>
      </c>
      <c r="E380" t="inlineStr">
        <is>
          <t>C0118</t>
        </is>
      </c>
      <c r="F380" t="inlineStr">
        <is>
          <t>C0118</t>
        </is>
      </c>
      <c r="G380" t="inlineStr">
        <is>
          <t>Sofia Singh</t>
        </is>
      </c>
      <c r="H380" t="inlineStr">
        <is>
          <t>S0363</t>
        </is>
      </c>
      <c r="I380" t="inlineStr">
        <is>
          <t>Roof repair labour - 4 hrs</t>
        </is>
      </c>
      <c r="J380" t="n">
        <v>4</v>
      </c>
      <c r="K380" s="9" t="n">
        <v>392</v>
      </c>
      <c r="L380" t="inlineStr">
        <is>
          <t>PAID</t>
        </is>
      </c>
      <c r="M380">
        <f>IF(L380="VOIDED",0,1)</f>
        <v>1</v>
      </c>
      <c r="N380" t="n">
        <v>200</v>
      </c>
      <c r="O380" t="inlineStr">
        <is>
          <t>GST on Income</t>
        </is>
      </c>
      <c r="P380" t="inlineStr">
        <is>
          <t>R10</t>
        </is>
      </c>
      <c r="Q380" t="inlineStr">
        <is>
          <t>LAB-RF</t>
        </is>
      </c>
      <c r="R380">
        <f>IF(OR(Q380="CONTEXT",Q380="REVIEW"),"",INDEX('Category Rules'!$D$5:$D$17,MATCH(P380,'Category Rules'!$A$5:$A$17,0)))</f>
        <v>4020</v>
      </c>
      <c r="S380" t="str">
        <f>IF(Q380="CONTEXT","Roofing",IF(Q380="REVIEW","",INDEX('Category Rules'!$E$5:$E$17,MATCH(P380,'Category Rules'!$A$5:$A$17,0))))</f>
        <v>Roofing</v>
      </c>
      <c r="T380" t="str">
        <f>IF(Q380="DEP","BAS Excluded","GST on Income")</f>
        <v>GST on Income</v>
      </c>
      <c r="U380">
        <f>IF(O380=T380,1,0)</f>
        <v>1</v>
      </c>
      <c r="V380" s="9">
        <f>IF(OR(M380=0,U380=1),0,IF(T380="GST on Income",ROUND(K380*0.1,2),ROUND(-K380*0.1,2)))</f>
        <v>0</v>
      </c>
    </row>
    <row r="381">
      <c r="A381" t="inlineStr">
        <is>
          <t>INV-5571-2</t>
        </is>
      </c>
      <c r="B381" t="inlineStr">
        <is>
          <t>INV-5571</t>
        </is>
      </c>
      <c r="C381" s="11" t="n">
        <v>45904</v>
      </c>
      <c r="D381" t="inlineStr">
        <is>
          <t>2025-09</t>
        </is>
      </c>
      <c r="E381" t="inlineStr">
        <is>
          <t>C0118</t>
        </is>
      </c>
      <c r="F381" t="inlineStr">
        <is>
          <t>C0118</t>
        </is>
      </c>
      <c r="G381" t="inlineStr">
        <is>
          <t>Sofia Singh</t>
        </is>
      </c>
      <c r="H381" t="inlineStr">
        <is>
          <t>S0363</t>
        </is>
      </c>
      <c r="I381" t="inlineStr">
        <is>
          <t>Materials - sealant and fixings</t>
        </is>
      </c>
      <c r="J381" t="n">
        <v>1</v>
      </c>
      <c r="K381" s="9" t="n">
        <v>661.4299999999999</v>
      </c>
      <c r="L381" t="inlineStr">
        <is>
          <t>PAID</t>
        </is>
      </c>
      <c r="M381">
        <f>IF(L381="VOIDED",0,1)</f>
        <v>1</v>
      </c>
      <c r="N381" t="n">
        <v>200</v>
      </c>
      <c r="O381" t="inlineStr">
        <is>
          <t>GST on Income</t>
        </is>
      </c>
      <c r="P381" t="inlineStr">
        <is>
          <t>R11</t>
        </is>
      </c>
      <c r="Q381" t="inlineStr">
        <is>
          <t>MAT-RF</t>
        </is>
      </c>
      <c r="R381">
        <f>IF(OR(Q381="CONTEXT",Q381="REVIEW"),"",INDEX('Category Rules'!$D$5:$D$17,MATCH(P381,'Category Rules'!$A$5:$A$17,0)))</f>
        <v>4030</v>
      </c>
      <c r="S381" t="str">
        <f>IF(Q381="CONTEXT","Roofing",IF(Q381="REVIEW","",INDEX('Category Rules'!$E$5:$E$17,MATCH(P381,'Category Rules'!$A$5:$A$17,0))))</f>
        <v>Roofing</v>
      </c>
      <c r="T381" t="str">
        <f>IF(Q381="DEP","BAS Excluded","GST on Income")</f>
        <v>GST on Income</v>
      </c>
      <c r="U381">
        <f>IF(O381=T381,1,0)</f>
        <v>1</v>
      </c>
      <c r="V381" s="9">
        <f>IF(OR(M381=0,U381=1),0,IF(T381="GST on Income",ROUND(K381*0.1,2),ROUND(-K381*0.1,2)))</f>
        <v>0</v>
      </c>
    </row>
    <row r="382">
      <c r="A382" t="inlineStr">
        <is>
          <t>INV-5571-3</t>
        </is>
      </c>
      <c r="B382" t="inlineStr">
        <is>
          <t>INV-5571</t>
        </is>
      </c>
      <c r="C382" s="11" t="n">
        <v>45904</v>
      </c>
      <c r="D382" t="inlineStr">
        <is>
          <t>2025-09</t>
        </is>
      </c>
      <c r="E382" t="inlineStr">
        <is>
          <t>C0118</t>
        </is>
      </c>
      <c r="F382" t="inlineStr">
        <is>
          <t>C0118</t>
        </is>
      </c>
      <c r="G382" t="inlineStr">
        <is>
          <t>Sofia Singh</t>
        </is>
      </c>
      <c r="H382" t="inlineStr">
        <is>
          <t>S0363</t>
        </is>
      </c>
      <c r="I382" t="inlineStr">
        <is>
          <t>Materials - gutter and downpipe</t>
        </is>
      </c>
      <c r="J382" t="n">
        <v>1</v>
      </c>
      <c r="K382" s="9" t="n">
        <v>914.4</v>
      </c>
      <c r="L382" t="inlineStr">
        <is>
          <t>PAID</t>
        </is>
      </c>
      <c r="M382">
        <f>IF(L382="VOIDED",0,1)</f>
        <v>1</v>
      </c>
      <c r="N382" t="n">
        <v>200</v>
      </c>
      <c r="O382" t="inlineStr">
        <is>
          <t>GST on Income</t>
        </is>
      </c>
      <c r="P382" t="inlineStr">
        <is>
          <t>R11</t>
        </is>
      </c>
      <c r="Q382" t="inlineStr">
        <is>
          <t>MAT-RF</t>
        </is>
      </c>
      <c r="R382">
        <f>IF(OR(Q382="CONTEXT",Q382="REVIEW"),"",INDEX('Category Rules'!$D$5:$D$17,MATCH(P382,'Category Rules'!$A$5:$A$17,0)))</f>
        <v>4030</v>
      </c>
      <c r="S382" t="str">
        <f>IF(Q382="CONTEXT","Roofing",IF(Q382="REVIEW","",INDEX('Category Rules'!$E$5:$E$17,MATCH(P382,'Category Rules'!$A$5:$A$17,0))))</f>
        <v>Roofing</v>
      </c>
      <c r="T382" t="str">
        <f>IF(Q382="DEP","BAS Excluded","GST on Income")</f>
        <v>GST on Income</v>
      </c>
      <c r="U382">
        <f>IF(O382=T382,1,0)</f>
        <v>1</v>
      </c>
      <c r="V382" s="9">
        <f>IF(OR(M382=0,U382=1),0,IF(T382="GST on Income",ROUND(K382*0.1,2),ROUND(-K382*0.1,2)))</f>
        <v>0</v>
      </c>
    </row>
    <row r="383">
      <c r="A383" t="inlineStr">
        <is>
          <t>INV-5571-4</t>
        </is>
      </c>
      <c r="B383" t="inlineStr">
        <is>
          <t>INV-5571</t>
        </is>
      </c>
      <c r="C383" s="11" t="n">
        <v>45904</v>
      </c>
      <c r="D383" t="inlineStr">
        <is>
          <t>2025-09</t>
        </is>
      </c>
      <c r="E383" t="inlineStr">
        <is>
          <t>C0118</t>
        </is>
      </c>
      <c r="F383" t="inlineStr">
        <is>
          <t>C0118</t>
        </is>
      </c>
      <c r="G383" t="inlineStr">
        <is>
          <t>Sofia Singh</t>
        </is>
      </c>
      <c r="H383" t="inlineStr">
        <is>
          <t>S0363</t>
        </is>
      </c>
      <c r="I383" t="inlineStr">
        <is>
          <t>Materials - Colorbond sheet</t>
        </is>
      </c>
      <c r="J383" t="n">
        <v>1</v>
      </c>
      <c r="K383" s="9" t="n">
        <v>685.55</v>
      </c>
      <c r="L383" t="inlineStr">
        <is>
          <t>PAID</t>
        </is>
      </c>
      <c r="M383">
        <f>IF(L383="VOIDED",0,1)</f>
        <v>1</v>
      </c>
      <c r="N383" t="n">
        <v>200</v>
      </c>
      <c r="O383" t="inlineStr">
        <is>
          <t>GST on Income</t>
        </is>
      </c>
      <c r="P383" t="inlineStr">
        <is>
          <t>R11</t>
        </is>
      </c>
      <c r="Q383" t="inlineStr">
        <is>
          <t>MAT-RF</t>
        </is>
      </c>
      <c r="R383">
        <f>IF(OR(Q383="CONTEXT",Q383="REVIEW"),"",INDEX('Category Rules'!$D$5:$D$17,MATCH(P383,'Category Rules'!$A$5:$A$17,0)))</f>
        <v>4030</v>
      </c>
      <c r="S383" t="str">
        <f>IF(Q383="CONTEXT","Roofing",IF(Q383="REVIEW","",INDEX('Category Rules'!$E$5:$E$17,MATCH(P383,'Category Rules'!$A$5:$A$17,0))))</f>
        <v>Roofing</v>
      </c>
      <c r="T383" t="str">
        <f>IF(Q383="DEP","BAS Excluded","GST on Income")</f>
        <v>GST on Income</v>
      </c>
      <c r="U383">
        <f>IF(O383=T383,1,0)</f>
        <v>1</v>
      </c>
      <c r="V383" s="9">
        <f>IF(OR(M383=0,U383=1),0,IF(T383="GST on Income",ROUND(K383*0.1,2),ROUND(-K383*0.1,2)))</f>
        <v>0</v>
      </c>
    </row>
    <row r="384">
      <c r="A384" t="inlineStr">
        <is>
          <t>INV-5602-1</t>
        </is>
      </c>
      <c r="B384" t="inlineStr">
        <is>
          <t>INV-5602</t>
        </is>
      </c>
      <c r="C384" s="11" t="n">
        <v>45904</v>
      </c>
      <c r="D384" t="inlineStr">
        <is>
          <t>2025-09</t>
        </is>
      </c>
      <c r="E384" t="inlineStr">
        <is>
          <t>C0062</t>
        </is>
      </c>
      <c r="F384" t="inlineStr">
        <is>
          <t>C0062</t>
        </is>
      </c>
      <c r="G384" t="inlineStr">
        <is>
          <t>Wattle Insurance Repairs Pty Ltd</t>
        </is>
      </c>
      <c r="H384" t="inlineStr">
        <is>
          <t>S0383</t>
        </is>
      </c>
      <c r="I384" t="inlineStr">
        <is>
          <t>Tarp kit hire 4 wks (07/08/25-03/09/25) - 1 kits</t>
        </is>
      </c>
      <c r="J384" t="n">
        <v>4</v>
      </c>
      <c r="K384" s="9" t="n">
        <v>140</v>
      </c>
      <c r="L384" t="inlineStr">
        <is>
          <t>PAID</t>
        </is>
      </c>
      <c r="M384">
        <f>IF(L384="VOIDED",0,1)</f>
        <v>1</v>
      </c>
      <c r="N384" t="n">
        <v>200</v>
      </c>
      <c r="O384" t="inlineStr">
        <is>
          <t>GST on Income</t>
        </is>
      </c>
      <c r="P384" t="inlineStr">
        <is>
          <t>R06</t>
        </is>
      </c>
      <c r="Q384" t="inlineStr">
        <is>
          <t>HIRE-TK</t>
        </is>
      </c>
      <c r="R384">
        <f>IF(OR(Q384="CONTEXT",Q384="REVIEW"),"",INDEX('Category Rules'!$D$5:$D$17,MATCH(P384,'Category Rules'!$A$5:$A$17,0)))</f>
        <v>4010</v>
      </c>
      <c r="S384" t="str">
        <f>IF(Q384="CONTEXT","Make-safe",IF(Q384="REVIEW","",INDEX('Category Rules'!$E$5:$E$17,MATCH(P384,'Category Rules'!$A$5:$A$17,0))))</f>
        <v>Make-safe</v>
      </c>
      <c r="T384" t="str">
        <f>IF(Q384="DEP","BAS Excluded","GST on Income")</f>
        <v>GST on Income</v>
      </c>
      <c r="U384">
        <f>IF(O384=T384,1,0)</f>
        <v>1</v>
      </c>
      <c r="V384" s="9">
        <f>IF(OR(M384=0,U384=1),0,IF(T384="GST on Income",ROUND(K384*0.1,2),ROUND(-K384*0.1,2)))</f>
        <v>0</v>
      </c>
    </row>
    <row r="385">
      <c r="A385" t="inlineStr">
        <is>
          <t>INV-5778-1</t>
        </is>
      </c>
      <c r="B385" t="inlineStr">
        <is>
          <t>INV-5778</t>
        </is>
      </c>
      <c r="C385" s="11" t="n">
        <v>45904</v>
      </c>
      <c r="D385" t="inlineStr">
        <is>
          <t>2025-09</t>
        </is>
      </c>
      <c r="E385" t="inlineStr">
        <is>
          <t>C0064</t>
        </is>
      </c>
      <c r="F385" t="inlineStr">
        <is>
          <t>C0064</t>
        </is>
      </c>
      <c r="G385" t="inlineStr">
        <is>
          <t>Lakeside Claims Services Pty Ltd</t>
        </is>
      </c>
      <c r="H385" t="inlineStr">
        <is>
          <t>S0479</t>
        </is>
      </c>
      <c r="I385" t="inlineStr">
        <is>
          <t>Tarp kit hire 3 wks (20/08/25-03/09/25) - 1 kits</t>
        </is>
      </c>
      <c r="J385" t="n">
        <v>3</v>
      </c>
      <c r="K385" s="9" t="n">
        <v>105</v>
      </c>
      <c r="L385" t="inlineStr">
        <is>
          <t>PAID</t>
        </is>
      </c>
      <c r="M385">
        <f>IF(L385="VOIDED",0,1)</f>
        <v>1</v>
      </c>
      <c r="N385" t="n">
        <v>200</v>
      </c>
      <c r="O385" t="inlineStr">
        <is>
          <t>GST on Income</t>
        </is>
      </c>
      <c r="P385" t="inlineStr">
        <is>
          <t>R06</t>
        </is>
      </c>
      <c r="Q385" t="inlineStr">
        <is>
          <t>HIRE-TK</t>
        </is>
      </c>
      <c r="R385">
        <f>IF(OR(Q385="CONTEXT",Q385="REVIEW"),"",INDEX('Category Rules'!$D$5:$D$17,MATCH(P385,'Category Rules'!$A$5:$A$17,0)))</f>
        <v>4010</v>
      </c>
      <c r="S385" t="str">
        <f>IF(Q385="CONTEXT","Make-safe",IF(Q385="REVIEW","",INDEX('Category Rules'!$E$5:$E$17,MATCH(P385,'Category Rules'!$A$5:$A$17,0))))</f>
        <v>Make-safe</v>
      </c>
      <c r="T385" t="str">
        <f>IF(Q385="DEP","BAS Excluded","GST on Income")</f>
        <v>GST on Income</v>
      </c>
      <c r="U385">
        <f>IF(O385=T385,1,0)</f>
        <v>1</v>
      </c>
      <c r="V385" s="9">
        <f>IF(OR(M385=0,U385=1),0,IF(T385="GST on Income",ROUND(K385*0.1,2),ROUND(-K385*0.1,2)))</f>
        <v>0</v>
      </c>
    </row>
    <row r="386">
      <c r="A386" t="inlineStr">
        <is>
          <t>INV-5828-1</t>
        </is>
      </c>
      <c r="B386" t="inlineStr">
        <is>
          <t>INV-5828</t>
        </is>
      </c>
      <c r="C386" s="11" t="n">
        <v>45904</v>
      </c>
      <c r="D386" t="inlineStr">
        <is>
          <t>2025-09</t>
        </is>
      </c>
      <c r="E386" t="inlineStr">
        <is>
          <t>C0007</t>
        </is>
      </c>
      <c r="F386" t="inlineStr">
        <is>
          <t>C0007</t>
        </is>
      </c>
      <c r="G386" t="inlineStr">
        <is>
          <t>Eastlink Projects</t>
        </is>
      </c>
      <c r="H386" t="inlineStr">
        <is>
          <t>S0505</t>
        </is>
      </c>
      <c r="I386" t="inlineStr">
        <is>
          <t>Emergency make safe call-out - after hours</t>
        </is>
      </c>
      <c r="J386" t="n">
        <v>1</v>
      </c>
      <c r="K386" s="9" t="n">
        <v>560</v>
      </c>
      <c r="L386" t="inlineStr">
        <is>
          <t>PAID</t>
        </is>
      </c>
      <c r="M386">
        <f>IF(L386="VOIDED",0,1)</f>
        <v>1</v>
      </c>
      <c r="N386" t="n">
        <v>200</v>
      </c>
      <c r="O386" t="inlineStr">
        <is>
          <t>GST on Income</t>
        </is>
      </c>
      <c r="P386" t="inlineStr">
        <is>
          <t>R09</t>
        </is>
      </c>
      <c r="Q386" t="inlineStr">
        <is>
          <t>MS</t>
        </is>
      </c>
      <c r="R386">
        <f>IF(OR(Q386="CONTEXT",Q386="REVIEW"),"",INDEX('Category Rules'!$D$5:$D$17,MATCH(P386,'Category Rules'!$A$5:$A$17,0)))</f>
        <v>4020</v>
      </c>
      <c r="S386" t="str">
        <f>IF(Q386="CONTEXT","Make-safe",IF(Q386="REVIEW","",INDEX('Category Rules'!$E$5:$E$17,MATCH(P386,'Category Rules'!$A$5:$A$17,0))))</f>
        <v>Make-safe</v>
      </c>
      <c r="T386" t="str">
        <f>IF(Q386="DEP","BAS Excluded","GST on Income")</f>
        <v>GST on Income</v>
      </c>
      <c r="U386">
        <f>IF(O386=T386,1,0)</f>
        <v>1</v>
      </c>
      <c r="V386" s="9">
        <f>IF(OR(M386=0,U386=1),0,IF(T386="GST on Income",ROUND(K386*0.1,2),ROUND(-K386*0.1,2)))</f>
        <v>0</v>
      </c>
    </row>
    <row r="387">
      <c r="A387" t="inlineStr">
        <is>
          <t>INV-5828-2</t>
        </is>
      </c>
      <c r="B387" t="inlineStr">
        <is>
          <t>INV-5828</t>
        </is>
      </c>
      <c r="C387" s="11" t="n">
        <v>45904</v>
      </c>
      <c r="D387" t="inlineStr">
        <is>
          <t>2025-09</t>
        </is>
      </c>
      <c r="E387" t="inlineStr">
        <is>
          <t>C0007</t>
        </is>
      </c>
      <c r="F387" t="inlineStr">
        <is>
          <t>C0007</t>
        </is>
      </c>
      <c r="G387" t="inlineStr">
        <is>
          <t>Eastlink Projects</t>
        </is>
      </c>
      <c r="H387" t="inlineStr">
        <is>
          <t>S0505</t>
        </is>
      </c>
      <c r="I387" t="inlineStr">
        <is>
          <t>Tarp supply and install - 3 tarp(s)</t>
        </is>
      </c>
      <c r="J387" t="n">
        <v>3</v>
      </c>
      <c r="K387" s="9" t="n">
        <v>720</v>
      </c>
      <c r="L387" t="inlineStr">
        <is>
          <t>PAID</t>
        </is>
      </c>
      <c r="M387">
        <f>IF(L387="VOIDED",0,1)</f>
        <v>1</v>
      </c>
      <c r="N387" t="n">
        <v>200</v>
      </c>
      <c r="O387" t="inlineStr">
        <is>
          <t>GST on Income</t>
        </is>
      </c>
      <c r="P387" t="inlineStr">
        <is>
          <t>R09</t>
        </is>
      </c>
      <c r="Q387" t="inlineStr">
        <is>
          <t>MS</t>
        </is>
      </c>
      <c r="R387">
        <f>IF(OR(Q387="CONTEXT",Q387="REVIEW"),"",INDEX('Category Rules'!$D$5:$D$17,MATCH(P387,'Category Rules'!$A$5:$A$17,0)))</f>
        <v>4020</v>
      </c>
      <c r="S387" t="str">
        <f>IF(Q387="CONTEXT","Make-safe",IF(Q387="REVIEW","",INDEX('Category Rules'!$E$5:$E$17,MATCH(P387,'Category Rules'!$A$5:$A$17,0))))</f>
        <v>Make-safe</v>
      </c>
      <c r="T387" t="str">
        <f>IF(Q387="DEP","BAS Excluded","GST on Income")</f>
        <v>GST on Income</v>
      </c>
      <c r="U387">
        <f>IF(O387=T387,1,0)</f>
        <v>1</v>
      </c>
      <c r="V387" s="9">
        <f>IF(OR(M387=0,U387=1),0,IF(T387="GST on Income",ROUND(K387*0.1,2),ROUND(-K387*0.1,2)))</f>
        <v>0</v>
      </c>
    </row>
    <row r="388">
      <c r="A388" t="inlineStr">
        <is>
          <t>INV-5906-1</t>
        </is>
      </c>
      <c r="B388" t="inlineStr">
        <is>
          <t>INV-5906</t>
        </is>
      </c>
      <c r="C388" s="11" t="n">
        <v>45904</v>
      </c>
      <c r="D388" t="inlineStr">
        <is>
          <t>2025-09</t>
        </is>
      </c>
      <c r="E388" t="inlineStr">
        <is>
          <t>C0077</t>
        </is>
      </c>
      <c r="F388" t="inlineStr">
        <is>
          <t>C0077</t>
        </is>
      </c>
      <c r="G388" t="inlineStr">
        <is>
          <t>Corner Events Pty Ltd</t>
        </is>
      </c>
      <c r="H388" t="inlineStr">
        <is>
          <t>S0136</t>
        </is>
      </c>
      <c r="I388" t="inlineStr">
        <is>
          <t>Site works</t>
        </is>
      </c>
      <c r="J388" t="n">
        <v>1</v>
      </c>
      <c r="K388" s="9" t="n">
        <v>3679.7</v>
      </c>
      <c r="L388" t="inlineStr">
        <is>
          <t>PAID</t>
        </is>
      </c>
      <c r="M388">
        <f>IF(L388="VOIDED",0,1)</f>
        <v>1</v>
      </c>
      <c r="N388" t="n">
        <v>200</v>
      </c>
      <c r="O388" t="inlineStr">
        <is>
          <t>GST on Income</t>
        </is>
      </c>
      <c r="P388" t="inlineStr">
        <is>
          <t>R12</t>
        </is>
      </c>
      <c r="Q388" t="inlineStr">
        <is>
          <t>CONTEXT</t>
        </is>
      </c>
      <c r="R388">
        <f>IF(OR(Q388="CONTEXT",Q388="REVIEW"),"",INDEX('Category Rules'!$D$5:$D$17,MATCH(P388,'Category Rules'!$A$5:$A$17,0)))</f>
      </c>
      <c r="S388" t="str">
        <f>IF(Q388="CONTEXT","Fencing",IF(Q388="REVIEW","",INDEX('Category Rules'!$E$5:$E$17,MATCH(P388,'Category Rules'!$A$5:$A$17,0))))</f>
        <v>Fencing</v>
      </c>
      <c r="T388" t="str">
        <f>IF(Q388="DEP","BAS Excluded","GST on Income")</f>
        <v>GST on Income</v>
      </c>
      <c r="U388">
        <f>IF(O388=T388,1,0)</f>
        <v>1</v>
      </c>
      <c r="V388" s="9">
        <f>IF(OR(M388=0,U388=1),0,IF(T388="GST on Income",ROUND(K388*0.1,2),ROUND(-K388*0.1,2)))</f>
        <v>0</v>
      </c>
    </row>
    <row r="389">
      <c r="A389" t="inlineStr">
        <is>
          <t>INV-4228-1</t>
        </is>
      </c>
      <c r="B389" t="inlineStr">
        <is>
          <t>INV-4228</t>
        </is>
      </c>
      <c r="C389" s="11" t="n">
        <v>45905</v>
      </c>
      <c r="D389" t="inlineStr">
        <is>
          <t>2025-09</t>
        </is>
      </c>
      <c r="E389" t="inlineStr">
        <is>
          <t>C0018</t>
        </is>
      </c>
      <c r="F389" t="inlineStr">
        <is>
          <t>C0018</t>
        </is>
      </c>
      <c r="G389" t="inlineStr">
        <is>
          <t>Wattle Constructions Pty Ltd</t>
        </is>
      </c>
      <c r="H389" t="inlineStr">
        <is>
          <t>S0024</t>
        </is>
      </c>
      <c r="I389" t="inlineStr">
        <is>
          <t>Delivery and installation - temporary fencing</t>
        </is>
      </c>
      <c r="J389" t="n">
        <v>1</v>
      </c>
      <c r="K389" s="9" t="n">
        <v>165</v>
      </c>
      <c r="L389" t="inlineStr">
        <is>
          <t>PAID</t>
        </is>
      </c>
      <c r="M389">
        <f>IF(L389="VOIDED",0,1)</f>
        <v>1</v>
      </c>
      <c r="N389" t="n">
        <v>200</v>
      </c>
      <c r="O389" t="inlineStr">
        <is>
          <t>GST on Income</t>
        </is>
      </c>
      <c r="P389" t="inlineStr">
        <is>
          <t>R07</t>
        </is>
      </c>
      <c r="Q389" t="inlineStr">
        <is>
          <t>DEL-FP</t>
        </is>
      </c>
      <c r="R389">
        <f>IF(OR(Q389="CONTEXT",Q389="REVIEW"),"",INDEX('Category Rules'!$D$5:$D$17,MATCH(P389,'Category Rules'!$A$5:$A$17,0)))</f>
        <v>4020</v>
      </c>
      <c r="S389" t="str">
        <f>IF(Q389="CONTEXT","Fencing",IF(Q389="REVIEW","",INDEX('Category Rules'!$E$5:$E$17,MATCH(P389,'Category Rules'!$A$5:$A$17,0))))</f>
        <v>Fencing</v>
      </c>
      <c r="T389" t="str">
        <f>IF(Q389="DEP","BAS Excluded","GST on Income")</f>
        <v>GST on Income</v>
      </c>
      <c r="U389">
        <f>IF(O389=T389,1,0)</f>
        <v>1</v>
      </c>
      <c r="V389" s="9">
        <f>IF(OR(M389=0,U389=1),0,IF(T389="GST on Income",ROUND(K389*0.1,2),ROUND(-K389*0.1,2)))</f>
        <v>0</v>
      </c>
    </row>
    <row r="390">
      <c r="A390" t="inlineStr">
        <is>
          <t>INV-4228-2</t>
        </is>
      </c>
      <c r="B390" t="inlineStr">
        <is>
          <t>INV-4228</t>
        </is>
      </c>
      <c r="C390" s="11" t="n">
        <v>45905</v>
      </c>
      <c r="D390" t="inlineStr">
        <is>
          <t>2025-09</t>
        </is>
      </c>
      <c r="E390" t="inlineStr">
        <is>
          <t>C0018</t>
        </is>
      </c>
      <c r="F390" t="inlineStr">
        <is>
          <t>C0018</t>
        </is>
      </c>
      <c r="G390" t="inlineStr">
        <is>
          <t>Wattle Constructions Pty Ltd</t>
        </is>
      </c>
      <c r="H390" t="inlineStr">
        <is>
          <t>S0024</t>
        </is>
      </c>
      <c r="I390" t="inlineStr">
        <is>
          <t>Installation labour - 25 panels @ 2.20</t>
        </is>
      </c>
      <c r="J390" t="n">
        <v>25</v>
      </c>
      <c r="K390" s="9" t="n">
        <v>55</v>
      </c>
      <c r="L390" t="inlineStr">
        <is>
          <t>PAID</t>
        </is>
      </c>
      <c r="M390">
        <f>IF(L390="VOIDED",0,1)</f>
        <v>1</v>
      </c>
      <c r="N390" t="n">
        <v>200</v>
      </c>
      <c r="O390" t="inlineStr">
        <is>
          <t>GST on Income</t>
        </is>
      </c>
      <c r="P390" t="inlineStr">
        <is>
          <t>R07</t>
        </is>
      </c>
      <c r="Q390" t="inlineStr">
        <is>
          <t>DEL-FP</t>
        </is>
      </c>
      <c r="R390">
        <f>IF(OR(Q390="CONTEXT",Q390="REVIEW"),"",INDEX('Category Rules'!$D$5:$D$17,MATCH(P390,'Category Rules'!$A$5:$A$17,0)))</f>
        <v>4020</v>
      </c>
      <c r="S390" t="str">
        <f>IF(Q390="CONTEXT","Fencing",IF(Q390="REVIEW","",INDEX('Category Rules'!$E$5:$E$17,MATCH(P390,'Category Rules'!$A$5:$A$17,0))))</f>
        <v>Fencing</v>
      </c>
      <c r="T390" t="str">
        <f>IF(Q390="DEP","BAS Excluded","GST on Income")</f>
        <v>GST on Income</v>
      </c>
      <c r="U390">
        <f>IF(O390=T390,1,0)</f>
        <v>1</v>
      </c>
      <c r="V390" s="9">
        <f>IF(OR(M390=0,U390=1),0,IF(T390="GST on Income",ROUND(K390*0.1,2),ROUND(-K390*0.1,2)))</f>
        <v>0</v>
      </c>
    </row>
    <row r="391">
      <c r="A391" t="inlineStr">
        <is>
          <t>INV-4344-1</t>
        </is>
      </c>
      <c r="B391" t="inlineStr">
        <is>
          <t>INV-4344</t>
        </is>
      </c>
      <c r="C391" s="11" t="n">
        <v>45905</v>
      </c>
      <c r="D391" t="inlineStr">
        <is>
          <t>2025-09</t>
        </is>
      </c>
      <c r="E391" t="inlineStr">
        <is>
          <t>C0116</t>
        </is>
      </c>
      <c r="F391" t="inlineStr">
        <is>
          <t>C0116</t>
        </is>
      </c>
      <c r="G391" t="inlineStr">
        <is>
          <t>Lucas Patel</t>
        </is>
      </c>
      <c r="H391" t="inlineStr">
        <is>
          <t>S0051</t>
        </is>
      </c>
      <c r="I391" t="inlineStr">
        <is>
          <t>Temporary fence hire 1 wks (01/09/25-04/09/25) - 38 panels</t>
        </is>
      </c>
      <c r="J391" t="n">
        <v>38</v>
      </c>
      <c r="K391" s="9" t="n">
        <v>171</v>
      </c>
      <c r="L391" t="inlineStr">
        <is>
          <t>PAID</t>
        </is>
      </c>
      <c r="M391">
        <f>IF(L391="VOIDED",0,1)</f>
        <v>1</v>
      </c>
      <c r="N391" t="n">
        <v>200</v>
      </c>
      <c r="O391" t="inlineStr">
        <is>
          <t>GST on Income</t>
        </is>
      </c>
      <c r="P391" t="inlineStr">
        <is>
          <t>R03</t>
        </is>
      </c>
      <c r="Q391" t="inlineStr">
        <is>
          <t>HIRE-FP</t>
        </is>
      </c>
      <c r="R391">
        <f>IF(OR(Q391="CONTEXT",Q391="REVIEW"),"",INDEX('Category Rules'!$D$5:$D$17,MATCH(P391,'Category Rules'!$A$5:$A$17,0)))</f>
        <v>4010</v>
      </c>
      <c r="S391" t="str">
        <f>IF(Q391="CONTEXT","Fencing",IF(Q391="REVIEW","",INDEX('Category Rules'!$E$5:$E$17,MATCH(P391,'Category Rules'!$A$5:$A$17,0))))</f>
        <v>Fencing</v>
      </c>
      <c r="T391" t="str">
        <f>IF(Q391="DEP","BAS Excluded","GST on Income")</f>
        <v>GST on Income</v>
      </c>
      <c r="U391">
        <f>IF(O391=T391,1,0)</f>
        <v>1</v>
      </c>
      <c r="V391" s="9">
        <f>IF(OR(M391=0,U391=1),0,IF(T391="GST on Income",ROUND(K391*0.1,2),ROUND(-K391*0.1,2)))</f>
        <v>0</v>
      </c>
    </row>
    <row r="392">
      <c r="A392" t="inlineStr">
        <is>
          <t>INV-4345-1</t>
        </is>
      </c>
      <c r="B392" t="inlineStr">
        <is>
          <t>INV-4345</t>
        </is>
      </c>
      <c r="C392" s="11" t="n">
        <v>45905</v>
      </c>
      <c r="D392" t="inlineStr">
        <is>
          <t>2025-09</t>
        </is>
      </c>
      <c r="E392" t="inlineStr">
        <is>
          <t>C0116</t>
        </is>
      </c>
      <c r="F392" t="inlineStr">
        <is>
          <t>C0116</t>
        </is>
      </c>
      <c r="G392" t="inlineStr">
        <is>
          <t>Lucas Patel</t>
        </is>
      </c>
      <c r="H392" t="inlineStr">
        <is>
          <t>S0051</t>
        </is>
      </c>
      <c r="I392" t="inlineStr">
        <is>
          <t>Collection and dismantle - temporary fencing</t>
        </is>
      </c>
      <c r="J392" t="n">
        <v>1</v>
      </c>
      <c r="K392" s="9" t="n">
        <v>165</v>
      </c>
      <c r="L392" t="inlineStr">
        <is>
          <t>PAID</t>
        </is>
      </c>
      <c r="M392">
        <f>IF(L392="VOIDED",0,1)</f>
        <v>1</v>
      </c>
      <c r="N392" t="n">
        <v>200</v>
      </c>
      <c r="O392" t="inlineStr">
        <is>
          <t>GST on Income</t>
        </is>
      </c>
      <c r="P392" t="inlineStr">
        <is>
          <t>R07</t>
        </is>
      </c>
      <c r="Q392" t="inlineStr">
        <is>
          <t>DEL-FP</t>
        </is>
      </c>
      <c r="R392">
        <f>IF(OR(Q392="CONTEXT",Q392="REVIEW"),"",INDEX('Category Rules'!$D$5:$D$17,MATCH(P392,'Category Rules'!$A$5:$A$17,0)))</f>
        <v>4020</v>
      </c>
      <c r="S392" t="str">
        <f>IF(Q392="CONTEXT","Fencing",IF(Q392="REVIEW","",INDEX('Category Rules'!$E$5:$E$17,MATCH(P392,'Category Rules'!$A$5:$A$17,0))))</f>
        <v>Fencing</v>
      </c>
      <c r="T392" t="str">
        <f>IF(Q392="DEP","BAS Excluded","GST on Income")</f>
        <v>GST on Income</v>
      </c>
      <c r="U392">
        <f>IF(O392=T392,1,0)</f>
        <v>1</v>
      </c>
      <c r="V392" s="9">
        <f>IF(OR(M392=0,U392=1),0,IF(T392="GST on Income",ROUND(K392*0.1,2),ROUND(-K392*0.1,2)))</f>
        <v>0</v>
      </c>
    </row>
    <row r="393">
      <c r="A393" t="inlineStr">
        <is>
          <t>INV-4693-1</t>
        </is>
      </c>
      <c r="B393" t="inlineStr">
        <is>
          <t>INV-4693</t>
        </is>
      </c>
      <c r="C393" s="11" t="n">
        <v>45905</v>
      </c>
      <c r="D393" t="inlineStr">
        <is>
          <t>2025-09</t>
        </is>
      </c>
      <c r="E393" t="inlineStr">
        <is>
          <t>C0024</t>
        </is>
      </c>
      <c r="F393" t="inlineStr">
        <is>
          <t>C0024</t>
        </is>
      </c>
      <c r="G393" t="inlineStr">
        <is>
          <t>Parkview Homes Pty Ltd</t>
        </is>
      </c>
      <c r="H393" t="inlineStr">
        <is>
          <t>S0124</t>
        </is>
      </c>
      <c r="I393" t="inlineStr">
        <is>
          <t>Temporary fence hire 4 wks (08/08/25-04/09/25) - 138 panels</t>
        </is>
      </c>
      <c r="J393" t="n">
        <v>552</v>
      </c>
      <c r="K393" s="9" t="n">
        <v>2484</v>
      </c>
      <c r="L393" t="inlineStr">
        <is>
          <t>PAID</t>
        </is>
      </c>
      <c r="M393">
        <f>IF(L393="VOIDED",0,1)</f>
        <v>1</v>
      </c>
      <c r="N393" t="n">
        <v>200</v>
      </c>
      <c r="O393" t="inlineStr">
        <is>
          <t>GST on Income</t>
        </is>
      </c>
      <c r="P393" t="inlineStr">
        <is>
          <t>R03</t>
        </is>
      </c>
      <c r="Q393" t="inlineStr">
        <is>
          <t>HIRE-FP</t>
        </is>
      </c>
      <c r="R393">
        <f>IF(OR(Q393="CONTEXT",Q393="REVIEW"),"",INDEX('Category Rules'!$D$5:$D$17,MATCH(P393,'Category Rules'!$A$5:$A$17,0)))</f>
        <v>4010</v>
      </c>
      <c r="S393" t="str">
        <f>IF(Q393="CONTEXT","Fencing",IF(Q393="REVIEW","",INDEX('Category Rules'!$E$5:$E$17,MATCH(P393,'Category Rules'!$A$5:$A$17,0))))</f>
        <v>Fencing</v>
      </c>
      <c r="T393" t="str">
        <f>IF(Q393="DEP","BAS Excluded","GST on Income")</f>
        <v>GST on Income</v>
      </c>
      <c r="U393">
        <f>IF(O393=T393,1,0)</f>
        <v>1</v>
      </c>
      <c r="V393" s="9">
        <f>IF(OR(M393=0,U393=1),0,IF(T393="GST on Income",ROUND(K393*0.1,2),ROUND(-K393*0.1,2)))</f>
        <v>0</v>
      </c>
    </row>
    <row r="394">
      <c r="A394" t="inlineStr">
        <is>
          <t>INV-4698-1</t>
        </is>
      </c>
      <c r="B394" t="inlineStr">
        <is>
          <t>INV-4698</t>
        </is>
      </c>
      <c r="C394" s="11" t="n">
        <v>45905</v>
      </c>
      <c r="D394" t="inlineStr">
        <is>
          <t>2025-09</t>
        </is>
      </c>
      <c r="E394" t="inlineStr">
        <is>
          <t>C0024</t>
        </is>
      </c>
      <c r="F394" t="inlineStr">
        <is>
          <t>C0024</t>
        </is>
      </c>
      <c r="G394" t="inlineStr">
        <is>
          <t>Parkview Homes Pty Ltd</t>
        </is>
      </c>
      <c r="H394" t="inlineStr">
        <is>
          <t>S0124</t>
        </is>
      </c>
      <c r="I394" t="inlineStr">
        <is>
          <t>Pedestrian barrier hire 4 wks (08/08/25-04/09/25) - 4 barriers</t>
        </is>
      </c>
      <c r="J394" t="n">
        <v>16</v>
      </c>
      <c r="K394" s="9" t="n">
        <v>51.2</v>
      </c>
      <c r="L394" t="inlineStr">
        <is>
          <t>PAID</t>
        </is>
      </c>
      <c r="M394">
        <f>IF(L394="VOIDED",0,1)</f>
        <v>1</v>
      </c>
      <c r="N394" t="n">
        <v>200</v>
      </c>
      <c r="O394" t="inlineStr">
        <is>
          <t>GST on Income</t>
        </is>
      </c>
      <c r="P394" t="inlineStr">
        <is>
          <t>R04</t>
        </is>
      </c>
      <c r="Q394" t="inlineStr">
        <is>
          <t>HIRE-BR</t>
        </is>
      </c>
      <c r="R394">
        <f>IF(OR(Q394="CONTEXT",Q394="REVIEW"),"",INDEX('Category Rules'!$D$5:$D$17,MATCH(P394,'Category Rules'!$A$5:$A$17,0)))</f>
        <v>4010</v>
      </c>
      <c r="S394" t="str">
        <f>IF(Q394="CONTEXT","Fencing",IF(Q394="REVIEW","",INDEX('Category Rules'!$E$5:$E$17,MATCH(P394,'Category Rules'!$A$5:$A$17,0))))</f>
        <v>Fencing</v>
      </c>
      <c r="T394" t="str">
        <f>IF(Q394="DEP","BAS Excluded","GST on Income")</f>
        <v>GST on Income</v>
      </c>
      <c r="U394">
        <f>IF(O394=T394,1,0)</f>
        <v>1</v>
      </c>
      <c r="V394" s="9">
        <f>IF(OR(M394=0,U394=1),0,IF(T394="GST on Income",ROUND(K394*0.1,2),ROUND(-K394*0.1,2)))</f>
        <v>0</v>
      </c>
    </row>
    <row r="395">
      <c r="A395" t="inlineStr">
        <is>
          <t>INV-4767-1</t>
        </is>
      </c>
      <c r="B395" t="inlineStr">
        <is>
          <t>INV-4767</t>
        </is>
      </c>
      <c r="C395" s="11" t="n">
        <v>45905</v>
      </c>
      <c r="D395" t="inlineStr">
        <is>
          <t>2025-09</t>
        </is>
      </c>
      <c r="E395" t="inlineStr">
        <is>
          <t>C0151</t>
        </is>
      </c>
      <c r="F395" t="inlineStr">
        <is>
          <t>C0040</t>
        </is>
      </c>
      <c r="G395" t="inlineStr">
        <is>
          <t>Coastline Projects Pty Ltd</t>
        </is>
      </c>
      <c r="H395" t="inlineStr">
        <is>
          <t>S0140</t>
        </is>
      </c>
      <c r="I395" t="inlineStr">
        <is>
          <t>Temporary fence hire 3 wks (18/08/25-04/09/25) - 124 panels</t>
        </is>
      </c>
      <c r="J395" t="n">
        <v>372</v>
      </c>
      <c r="K395" s="9" t="n">
        <v>1674</v>
      </c>
      <c r="L395" t="inlineStr">
        <is>
          <t>PAID</t>
        </is>
      </c>
      <c r="M395">
        <f>IF(L395="VOIDED",0,1)</f>
        <v>1</v>
      </c>
      <c r="N395" t="n">
        <v>200</v>
      </c>
      <c r="O395" t="inlineStr">
        <is>
          <t>GST on Income</t>
        </is>
      </c>
      <c r="P395" t="inlineStr">
        <is>
          <t>R03</t>
        </is>
      </c>
      <c r="Q395" t="inlineStr">
        <is>
          <t>HIRE-FP</t>
        </is>
      </c>
      <c r="R395">
        <f>IF(OR(Q395="CONTEXT",Q395="REVIEW"),"",INDEX('Category Rules'!$D$5:$D$17,MATCH(P395,'Category Rules'!$A$5:$A$17,0)))</f>
        <v>4010</v>
      </c>
      <c r="S395" t="str">
        <f>IF(Q395="CONTEXT","Fencing",IF(Q395="REVIEW","",INDEX('Category Rules'!$E$5:$E$17,MATCH(P395,'Category Rules'!$A$5:$A$17,0))))</f>
        <v>Fencing</v>
      </c>
      <c r="T395" t="str">
        <f>IF(Q395="DEP","BAS Excluded","GST on Income")</f>
        <v>GST on Income</v>
      </c>
      <c r="U395">
        <f>IF(O395=T395,1,0)</f>
        <v>1</v>
      </c>
      <c r="V395" s="9">
        <f>IF(OR(M395=0,U395=1),0,IF(T395="GST on Income",ROUND(K395*0.1,2),ROUND(-K395*0.1,2)))</f>
        <v>0</v>
      </c>
    </row>
    <row r="396">
      <c r="A396" t="inlineStr">
        <is>
          <t>INV-4769-1</t>
        </is>
      </c>
      <c r="B396" t="inlineStr">
        <is>
          <t>INV-4769</t>
        </is>
      </c>
      <c r="C396" s="11" t="n">
        <v>45905</v>
      </c>
      <c r="D396" t="inlineStr">
        <is>
          <t>2025-09</t>
        </is>
      </c>
      <c r="E396" t="inlineStr">
        <is>
          <t>C0151</t>
        </is>
      </c>
      <c r="F396" t="inlineStr">
        <is>
          <t>C0040</t>
        </is>
      </c>
      <c r="G396" t="inlineStr">
        <is>
          <t>Coastline Projects Pty Ltd</t>
        </is>
      </c>
      <c r="H396" t="inlineStr">
        <is>
          <t>S0140</t>
        </is>
      </c>
      <c r="I396" t="inlineStr">
        <is>
          <t>Collection and dismantle - temporary fencing</t>
        </is>
      </c>
      <c r="J396" t="n">
        <v>1</v>
      </c>
      <c r="K396" s="9" t="n">
        <v>165</v>
      </c>
      <c r="L396" t="inlineStr">
        <is>
          <t>PAID</t>
        </is>
      </c>
      <c r="M396">
        <f>IF(L396="VOIDED",0,1)</f>
        <v>1</v>
      </c>
      <c r="N396" t="n">
        <v>200</v>
      </c>
      <c r="O396" t="inlineStr">
        <is>
          <t>GST on Income</t>
        </is>
      </c>
      <c r="P396" t="inlineStr">
        <is>
          <t>R07</t>
        </is>
      </c>
      <c r="Q396" t="inlineStr">
        <is>
          <t>DEL-FP</t>
        </is>
      </c>
      <c r="R396">
        <f>IF(OR(Q396="CONTEXT",Q396="REVIEW"),"",INDEX('Category Rules'!$D$5:$D$17,MATCH(P396,'Category Rules'!$A$5:$A$17,0)))</f>
        <v>4020</v>
      </c>
      <c r="S396" t="str">
        <f>IF(Q396="CONTEXT","Fencing",IF(Q396="REVIEW","",INDEX('Category Rules'!$E$5:$E$17,MATCH(P396,'Category Rules'!$A$5:$A$17,0))))</f>
        <v>Fencing</v>
      </c>
      <c r="T396" t="str">
        <f>IF(Q396="DEP","BAS Excluded","GST on Income")</f>
        <v>GST on Income</v>
      </c>
      <c r="U396">
        <f>IF(O396=T396,1,0)</f>
        <v>1</v>
      </c>
      <c r="V396" s="9">
        <f>IF(OR(M396=0,U396=1),0,IF(T396="GST on Income",ROUND(K396*0.1,2),ROUND(-K396*0.1,2)))</f>
        <v>0</v>
      </c>
    </row>
    <row r="397">
      <c r="A397" t="inlineStr">
        <is>
          <t>INV-5259-1</t>
        </is>
      </c>
      <c r="B397" t="inlineStr">
        <is>
          <t>INV-5259</t>
        </is>
      </c>
      <c r="C397" s="11" t="n">
        <v>45905</v>
      </c>
      <c r="D397" t="inlineStr">
        <is>
          <t>2025-09</t>
        </is>
      </c>
      <c r="E397" t="inlineStr">
        <is>
          <t>C0097</t>
        </is>
      </c>
      <c r="F397" t="inlineStr">
        <is>
          <t>C0097</t>
        </is>
      </c>
      <c r="G397" t="inlineStr">
        <is>
          <t>Arjun Rossi</t>
        </is>
      </c>
      <c r="H397" t="inlineStr">
        <is>
          <t>S0249</t>
        </is>
      </c>
      <c r="I397" t="inlineStr">
        <is>
          <t>Scaffold erect - 1 tower(s)</t>
        </is>
      </c>
      <c r="J397" t="n">
        <v>1</v>
      </c>
      <c r="K397" s="9" t="n">
        <v>420</v>
      </c>
      <c r="L397" t="inlineStr">
        <is>
          <t>PAID</t>
        </is>
      </c>
      <c r="M397">
        <f>IF(L397="VOIDED",0,1)</f>
        <v>1</v>
      </c>
      <c r="N397" t="n">
        <v>200</v>
      </c>
      <c r="O397" t="inlineStr">
        <is>
          <t>GST on Income</t>
        </is>
      </c>
      <c r="P397" t="inlineStr">
        <is>
          <t>R08</t>
        </is>
      </c>
      <c r="Q397" t="inlineStr">
        <is>
          <t>LAB-ST</t>
        </is>
      </c>
      <c r="R397">
        <f>IF(OR(Q397="CONTEXT",Q397="REVIEW"),"",INDEX('Category Rules'!$D$5:$D$17,MATCH(P397,'Category Rules'!$A$5:$A$17,0)))</f>
        <v>4020</v>
      </c>
      <c r="S397" t="str">
        <f>IF(Q397="CONTEXT","Scaffolding",IF(Q397="REVIEW","",INDEX('Category Rules'!$E$5:$E$17,MATCH(P397,'Category Rules'!$A$5:$A$17,0))))</f>
        <v>Scaffolding</v>
      </c>
      <c r="T397" t="str">
        <f>IF(Q397="DEP","BAS Excluded","GST on Income")</f>
        <v>GST on Income</v>
      </c>
      <c r="U397">
        <f>IF(O397=T397,1,0)</f>
        <v>1</v>
      </c>
      <c r="V397" s="9">
        <f>IF(OR(M397=0,U397=1),0,IF(T397="GST on Income",ROUND(K397*0.1,2),ROUND(-K397*0.1,2)))</f>
        <v>0</v>
      </c>
    </row>
    <row r="398">
      <c r="A398" t="inlineStr">
        <is>
          <t>INV-5349-1</t>
        </is>
      </c>
      <c r="B398" t="inlineStr">
        <is>
          <t>INV-5349</t>
        </is>
      </c>
      <c r="C398" s="11" t="n">
        <v>45905</v>
      </c>
      <c r="D398" t="inlineStr">
        <is>
          <t>2025-09</t>
        </is>
      </c>
      <c r="E398" t="inlineStr">
        <is>
          <t>C0119</t>
        </is>
      </c>
      <c r="F398" t="inlineStr">
        <is>
          <t>C0119</t>
        </is>
      </c>
      <c r="G398" t="inlineStr">
        <is>
          <t>Northgate Builders Pty Ltd</t>
        </is>
      </c>
      <c r="H398" t="inlineStr">
        <is>
          <t>S0271</t>
        </is>
      </c>
      <c r="I398" t="inlineStr">
        <is>
          <t>Scaffold tower hire 4 wks (08/08/25-04/09/25) - 4 towers</t>
        </is>
      </c>
      <c r="J398" t="n">
        <v>16</v>
      </c>
      <c r="K398" s="9" t="n">
        <v>1520</v>
      </c>
      <c r="L398" t="inlineStr">
        <is>
          <t>PAID</t>
        </is>
      </c>
      <c r="M398">
        <f>IF(L398="VOIDED",0,1)</f>
        <v>1</v>
      </c>
      <c r="N398" t="n">
        <v>200</v>
      </c>
      <c r="O398" t="inlineStr">
        <is>
          <t>GST on Income</t>
        </is>
      </c>
      <c r="P398" t="inlineStr">
        <is>
          <t>R05</t>
        </is>
      </c>
      <c r="Q398" t="inlineStr">
        <is>
          <t>HIRE-ST</t>
        </is>
      </c>
      <c r="R398">
        <f>IF(OR(Q398="CONTEXT",Q398="REVIEW"),"",INDEX('Category Rules'!$D$5:$D$17,MATCH(P398,'Category Rules'!$A$5:$A$17,0)))</f>
        <v>4010</v>
      </c>
      <c r="S398" t="str">
        <f>IF(Q398="CONTEXT","Scaffolding",IF(Q398="REVIEW","",INDEX('Category Rules'!$E$5:$E$17,MATCH(P398,'Category Rules'!$A$5:$A$17,0))))</f>
        <v>Scaffolding</v>
      </c>
      <c r="T398" t="str">
        <f>IF(Q398="DEP","BAS Excluded","GST on Income")</f>
        <v>GST on Income</v>
      </c>
      <c r="U398">
        <f>IF(O398=T398,1,0)</f>
        <v>1</v>
      </c>
      <c r="V398" s="9">
        <f>IF(OR(M398=0,U398=1),0,IF(T398="GST on Income",ROUND(K398*0.1,2),ROUND(-K398*0.1,2)))</f>
        <v>0</v>
      </c>
    </row>
    <row r="399">
      <c r="A399" t="inlineStr">
        <is>
          <t>INV-5802-1</t>
        </is>
      </c>
      <c r="B399" t="inlineStr">
        <is>
          <t>INV-5802</t>
        </is>
      </c>
      <c r="C399" s="11" t="n">
        <v>45905</v>
      </c>
      <c r="D399" t="inlineStr">
        <is>
          <t>2025-09</t>
        </is>
      </c>
      <c r="E399" t="inlineStr">
        <is>
          <t>C0021</t>
        </is>
      </c>
      <c r="F399" t="inlineStr">
        <is>
          <t>C0021</t>
        </is>
      </c>
      <c r="G399" t="inlineStr">
        <is>
          <t>Ironbark Building Group</t>
        </is>
      </c>
      <c r="H399" t="inlineStr">
        <is>
          <t>S0491</t>
        </is>
      </c>
      <c r="I399" t="inlineStr">
        <is>
          <t>Tarp kit hire 1 wks (04/09/25-04/09/25) - 2 kits</t>
        </is>
      </c>
      <c r="J399" t="n">
        <v>2</v>
      </c>
      <c r="K399" s="9" t="n">
        <v>70</v>
      </c>
      <c r="L399" t="inlineStr">
        <is>
          <t>PAID</t>
        </is>
      </c>
      <c r="M399">
        <f>IF(L399="VOIDED",0,1)</f>
        <v>1</v>
      </c>
      <c r="N399" t="n">
        <v>200</v>
      </c>
      <c r="O399" t="inlineStr">
        <is>
          <t>GST on Income</t>
        </is>
      </c>
      <c r="P399" t="inlineStr">
        <is>
          <t>R06</t>
        </is>
      </c>
      <c r="Q399" t="inlineStr">
        <is>
          <t>HIRE-TK</t>
        </is>
      </c>
      <c r="R399">
        <f>IF(OR(Q399="CONTEXT",Q399="REVIEW"),"",INDEX('Category Rules'!$D$5:$D$17,MATCH(P399,'Category Rules'!$A$5:$A$17,0)))</f>
        <v>4010</v>
      </c>
      <c r="S399" t="str">
        <f>IF(Q399="CONTEXT","Make-safe",IF(Q399="REVIEW","",INDEX('Category Rules'!$E$5:$E$17,MATCH(P399,'Category Rules'!$A$5:$A$17,0))))</f>
        <v>Make-safe</v>
      </c>
      <c r="T399" t="str">
        <f>IF(Q399="DEP","BAS Excluded","GST on Income")</f>
        <v>GST on Income</v>
      </c>
      <c r="U399">
        <f>IF(O399=T399,1,0)</f>
        <v>1</v>
      </c>
      <c r="V399" s="9">
        <f>IF(OR(M399=0,U399=1),0,IF(T399="GST on Income",ROUND(K399*0.1,2),ROUND(-K399*0.1,2)))</f>
        <v>0</v>
      </c>
    </row>
    <row r="400">
      <c r="A400" t="inlineStr">
        <is>
          <t>INV-4194-1</t>
        </is>
      </c>
      <c r="B400" t="inlineStr">
        <is>
          <t>INV-4194</t>
        </is>
      </c>
      <c r="C400" s="11" t="n">
        <v>45906</v>
      </c>
      <c r="D400" t="inlineStr">
        <is>
          <t>2025-09</t>
        </is>
      </c>
      <c r="E400" t="inlineStr">
        <is>
          <t>C0034</t>
        </is>
      </c>
      <c r="F400" t="inlineStr">
        <is>
          <t>C0034</t>
        </is>
      </c>
      <c r="G400" t="inlineStr">
        <is>
          <t>Norfolk Constructions Pty Ltd</t>
        </is>
      </c>
      <c r="H400" t="inlineStr">
        <is>
          <t>S0018</t>
        </is>
      </c>
      <c r="I400" t="inlineStr">
        <is>
          <t>Temporary fence hire 4 wks (09/08/25-05/09/25) - 80 panels</t>
        </is>
      </c>
      <c r="J400" t="n">
        <v>320</v>
      </c>
      <c r="K400" s="9" t="n">
        <v>1440</v>
      </c>
      <c r="L400" t="inlineStr">
        <is>
          <t>PAID</t>
        </is>
      </c>
      <c r="M400">
        <f>IF(L400="VOIDED",0,1)</f>
        <v>1</v>
      </c>
      <c r="N400" t="n">
        <v>200</v>
      </c>
      <c r="O400" t="inlineStr">
        <is>
          <t>GST on Income</t>
        </is>
      </c>
      <c r="P400" t="inlineStr">
        <is>
          <t>R03</t>
        </is>
      </c>
      <c r="Q400" t="inlineStr">
        <is>
          <t>HIRE-FP</t>
        </is>
      </c>
      <c r="R400">
        <f>IF(OR(Q400="CONTEXT",Q400="REVIEW"),"",INDEX('Category Rules'!$D$5:$D$17,MATCH(P400,'Category Rules'!$A$5:$A$17,0)))</f>
        <v>4010</v>
      </c>
      <c r="S400" t="str">
        <f>IF(Q400="CONTEXT","Fencing",IF(Q400="REVIEW","",INDEX('Category Rules'!$E$5:$E$17,MATCH(P400,'Category Rules'!$A$5:$A$17,0))))</f>
        <v>Fencing</v>
      </c>
      <c r="T400" t="str">
        <f>IF(Q400="DEP","BAS Excluded","GST on Income")</f>
        <v>GST on Income</v>
      </c>
      <c r="U400">
        <f>IF(O400=T400,1,0)</f>
        <v>1</v>
      </c>
      <c r="V400" s="9">
        <f>IF(OR(M400=0,U400=1),0,IF(T400="GST on Income",ROUND(K400*0.1,2),ROUND(-K400*0.1,2)))</f>
        <v>0</v>
      </c>
    </row>
    <row r="401">
      <c r="A401" t="inlineStr">
        <is>
          <t>INV-4668-1</t>
        </is>
      </c>
      <c r="B401" t="inlineStr">
        <is>
          <t>INV-4668</t>
        </is>
      </c>
      <c r="C401" s="11" t="n">
        <v>45906</v>
      </c>
      <c r="D401" t="inlineStr">
        <is>
          <t>2025-09</t>
        </is>
      </c>
      <c r="E401" t="inlineStr">
        <is>
          <t>C0007</t>
        </is>
      </c>
      <c r="F401" t="inlineStr">
        <is>
          <t>C0007</t>
        </is>
      </c>
      <c r="G401" t="inlineStr">
        <is>
          <t>Eastlink Projects</t>
        </is>
      </c>
      <c r="H401" t="inlineStr">
        <is>
          <t>S0116</t>
        </is>
      </c>
      <c r="I401" t="inlineStr">
        <is>
          <t>Temporary fence hire 4 wks (09/08/25-05/09/25) - 158 panels</t>
        </is>
      </c>
      <c r="J401" t="n">
        <v>632</v>
      </c>
      <c r="K401" s="9" t="n">
        <v>2844</v>
      </c>
      <c r="L401" t="inlineStr">
        <is>
          <t>PAID</t>
        </is>
      </c>
      <c r="M401">
        <f>IF(L401="VOIDED",0,1)</f>
        <v>1</v>
      </c>
      <c r="N401" t="n">
        <v>200</v>
      </c>
      <c r="O401" t="inlineStr">
        <is>
          <t>GST on Income</t>
        </is>
      </c>
      <c r="P401" t="inlineStr">
        <is>
          <t>R03</t>
        </is>
      </c>
      <c r="Q401" t="inlineStr">
        <is>
          <t>HIRE-FP</t>
        </is>
      </c>
      <c r="R401">
        <f>IF(OR(Q401="CONTEXT",Q401="REVIEW"),"",INDEX('Category Rules'!$D$5:$D$17,MATCH(P401,'Category Rules'!$A$5:$A$17,0)))</f>
        <v>4010</v>
      </c>
      <c r="S401" t="str">
        <f>IF(Q401="CONTEXT","Fencing",IF(Q401="REVIEW","",INDEX('Category Rules'!$E$5:$E$17,MATCH(P401,'Category Rules'!$A$5:$A$17,0))))</f>
        <v>Fencing</v>
      </c>
      <c r="T401" t="str">
        <f>IF(Q401="DEP","BAS Excluded","GST on Income")</f>
        <v>GST on Income</v>
      </c>
      <c r="U401">
        <f>IF(O401=T401,1,0)</f>
        <v>1</v>
      </c>
      <c r="V401" s="9">
        <f>IF(OR(M401=0,U401=1),0,IF(T401="GST on Income",ROUND(K401*0.1,2),ROUND(-K401*0.1,2)))</f>
        <v>0</v>
      </c>
    </row>
    <row r="402">
      <c r="A402" t="inlineStr">
        <is>
          <t>INV-5254-1</t>
        </is>
      </c>
      <c r="B402" t="inlineStr">
        <is>
          <t>INV-5254</t>
        </is>
      </c>
      <c r="C402" s="11" t="n">
        <v>45906</v>
      </c>
      <c r="D402" t="inlineStr">
        <is>
          <t>2025-09</t>
        </is>
      </c>
      <c r="E402" t="inlineStr">
        <is>
          <t>C0027</t>
        </is>
      </c>
      <c r="F402" t="inlineStr">
        <is>
          <t>C0027</t>
        </is>
      </c>
      <c r="G402" t="inlineStr">
        <is>
          <t>Metro Projects Pty Ltd</t>
        </is>
      </c>
      <c r="H402" t="inlineStr">
        <is>
          <t>S0248</t>
        </is>
      </c>
      <c r="I402" t="inlineStr">
        <is>
          <t>Scaffold tower hire 4 wks (09/08/25-05/09/25) - 2 towers</t>
        </is>
      </c>
      <c r="J402" t="n">
        <v>8</v>
      </c>
      <c r="K402" s="9" t="n">
        <v>760</v>
      </c>
      <c r="L402" t="inlineStr">
        <is>
          <t>PAID</t>
        </is>
      </c>
      <c r="M402">
        <f>IF(L402="VOIDED",0,1)</f>
        <v>1</v>
      </c>
      <c r="N402" t="n">
        <v>200</v>
      </c>
      <c r="O402" t="inlineStr">
        <is>
          <t>GST on Income</t>
        </is>
      </c>
      <c r="P402" t="inlineStr">
        <is>
          <t>R05</t>
        </is>
      </c>
      <c r="Q402" t="inlineStr">
        <is>
          <t>HIRE-ST</t>
        </is>
      </c>
      <c r="R402">
        <f>IF(OR(Q402="CONTEXT",Q402="REVIEW"),"",INDEX('Category Rules'!$D$5:$D$17,MATCH(P402,'Category Rules'!$A$5:$A$17,0)))</f>
        <v>4010</v>
      </c>
      <c r="S402" t="str">
        <f>IF(Q402="CONTEXT","Scaffolding",IF(Q402="REVIEW","",INDEX('Category Rules'!$E$5:$E$17,MATCH(P402,'Category Rules'!$A$5:$A$17,0))))</f>
        <v>Scaffolding</v>
      </c>
      <c r="T402" t="str">
        <f>IF(Q402="DEP","BAS Excluded","GST on Income")</f>
        <v>GST on Income</v>
      </c>
      <c r="U402">
        <f>IF(O402=T402,1,0)</f>
        <v>1</v>
      </c>
      <c r="V402" s="9">
        <f>IF(OR(M402=0,U402=1),0,IF(T402="GST on Income",ROUND(K402*0.1,2),ROUND(-K402*0.1,2)))</f>
        <v>0</v>
      </c>
    </row>
    <row r="403">
      <c r="A403" t="inlineStr">
        <is>
          <t>INV-5676-1</t>
        </is>
      </c>
      <c r="B403" t="inlineStr">
        <is>
          <t>INV-5676</t>
        </is>
      </c>
      <c r="C403" s="11" t="n">
        <v>45906</v>
      </c>
      <c r="D403" t="inlineStr">
        <is>
          <t>2025-09</t>
        </is>
      </c>
      <c r="E403" t="inlineStr">
        <is>
          <t>C0116</t>
        </is>
      </c>
      <c r="F403" t="inlineStr">
        <is>
          <t>C0116</t>
        </is>
      </c>
      <c r="G403" t="inlineStr">
        <is>
          <t>Lucas Patel</t>
        </is>
      </c>
      <c r="H403" t="inlineStr">
        <is>
          <t>S0422</t>
        </is>
      </c>
      <c r="I403" t="inlineStr">
        <is>
          <t>Tarp kit hire 4 wks (09/08/25-05/09/25) - 2 kits</t>
        </is>
      </c>
      <c r="J403" t="n">
        <v>8</v>
      </c>
      <c r="K403" s="9" t="n">
        <v>280</v>
      </c>
      <c r="L403" t="inlineStr">
        <is>
          <t>PAID</t>
        </is>
      </c>
      <c r="M403">
        <f>IF(L403="VOIDED",0,1)</f>
        <v>1</v>
      </c>
      <c r="N403" t="n">
        <v>200</v>
      </c>
      <c r="O403" t="inlineStr">
        <is>
          <t>GST on Income</t>
        </is>
      </c>
      <c r="P403" t="inlineStr">
        <is>
          <t>R06</t>
        </is>
      </c>
      <c r="Q403" t="inlineStr">
        <is>
          <t>HIRE-TK</t>
        </is>
      </c>
      <c r="R403">
        <f>IF(OR(Q403="CONTEXT",Q403="REVIEW"),"",INDEX('Category Rules'!$D$5:$D$17,MATCH(P403,'Category Rules'!$A$5:$A$17,0)))</f>
        <v>4010</v>
      </c>
      <c r="S403" t="str">
        <f>IF(Q403="CONTEXT","Make-safe",IF(Q403="REVIEW","",INDEX('Category Rules'!$E$5:$E$17,MATCH(P403,'Category Rules'!$A$5:$A$17,0))))</f>
        <v>Make-safe</v>
      </c>
      <c r="T403" t="str">
        <f>IF(Q403="DEP","BAS Excluded","GST on Income")</f>
        <v>GST on Income</v>
      </c>
      <c r="U403">
        <f>IF(O403=T403,1,0)</f>
        <v>1</v>
      </c>
      <c r="V403" s="9">
        <f>IF(OR(M403=0,U403=1),0,IF(T403="GST on Income",ROUND(K403*0.1,2),ROUND(-K403*0.1,2)))</f>
        <v>0</v>
      </c>
    </row>
    <row r="404">
      <c r="A404" t="inlineStr">
        <is>
          <t>INV-5843-1</t>
        </is>
      </c>
      <c r="B404" t="inlineStr">
        <is>
          <t>INV-5843</t>
        </is>
      </c>
      <c r="C404" s="11" t="n">
        <v>45906</v>
      </c>
      <c r="D404" t="inlineStr">
        <is>
          <t>2025-09</t>
        </is>
      </c>
      <c r="E404" t="inlineStr">
        <is>
          <t>C0082</t>
        </is>
      </c>
      <c r="F404" t="inlineStr">
        <is>
          <t>C0082</t>
        </is>
      </c>
      <c r="G404" t="inlineStr">
        <is>
          <t>Olivia Hughes</t>
        </is>
      </c>
      <c r="H404" t="inlineStr">
        <is>
          <t>S0515</t>
        </is>
      </c>
      <c r="I404" t="inlineStr">
        <is>
          <t>Emergency make safe call-out - after hours</t>
        </is>
      </c>
      <c r="J404" t="n">
        <v>1</v>
      </c>
      <c r="K404" s="9" t="n">
        <v>560</v>
      </c>
      <c r="L404" t="inlineStr">
        <is>
          <t>PAID</t>
        </is>
      </c>
      <c r="M404">
        <f>IF(L404="VOIDED",0,1)</f>
        <v>1</v>
      </c>
      <c r="N404" t="n">
        <v>200</v>
      </c>
      <c r="O404" t="inlineStr">
        <is>
          <t>GST on Income</t>
        </is>
      </c>
      <c r="P404" t="inlineStr">
        <is>
          <t>R09</t>
        </is>
      </c>
      <c r="Q404" t="inlineStr">
        <is>
          <t>MS</t>
        </is>
      </c>
      <c r="R404">
        <f>IF(OR(Q404="CONTEXT",Q404="REVIEW"),"",INDEX('Category Rules'!$D$5:$D$17,MATCH(P404,'Category Rules'!$A$5:$A$17,0)))</f>
        <v>4020</v>
      </c>
      <c r="S404" t="str">
        <f>IF(Q404="CONTEXT","Make-safe",IF(Q404="REVIEW","",INDEX('Category Rules'!$E$5:$E$17,MATCH(P404,'Category Rules'!$A$5:$A$17,0))))</f>
        <v>Make-safe</v>
      </c>
      <c r="T404" t="str">
        <f>IF(Q404="DEP","BAS Excluded","GST on Income")</f>
        <v>GST on Income</v>
      </c>
      <c r="U404">
        <f>IF(O404=T404,1,0)</f>
        <v>1</v>
      </c>
      <c r="V404" s="9">
        <f>IF(OR(M404=0,U404=1),0,IF(T404="GST on Income",ROUND(K404*0.1,2),ROUND(-K404*0.1,2)))</f>
        <v>0</v>
      </c>
    </row>
    <row r="405">
      <c r="A405" t="inlineStr">
        <is>
          <t>INV-5843-2</t>
        </is>
      </c>
      <c r="B405" t="inlineStr">
        <is>
          <t>INV-5843</t>
        </is>
      </c>
      <c r="C405" s="11" t="n">
        <v>45906</v>
      </c>
      <c r="D405" t="inlineStr">
        <is>
          <t>2025-09</t>
        </is>
      </c>
      <c r="E405" t="inlineStr">
        <is>
          <t>C0082</t>
        </is>
      </c>
      <c r="F405" t="inlineStr">
        <is>
          <t>C0082</t>
        </is>
      </c>
      <c r="G405" t="inlineStr">
        <is>
          <t>Olivia Hughes</t>
        </is>
      </c>
      <c r="H405" t="inlineStr">
        <is>
          <t>S0515</t>
        </is>
      </c>
      <c r="I405" t="inlineStr">
        <is>
          <t>Tarp supply and install - 2 tarp(s)</t>
        </is>
      </c>
      <c r="J405" t="n">
        <v>2</v>
      </c>
      <c r="K405" s="9" t="n">
        <v>480</v>
      </c>
      <c r="L405" t="inlineStr">
        <is>
          <t>PAID</t>
        </is>
      </c>
      <c r="M405">
        <f>IF(L405="VOIDED",0,1)</f>
        <v>1</v>
      </c>
      <c r="N405" t="n">
        <v>260</v>
      </c>
      <c r="O405" t="inlineStr">
        <is>
          <t>GST on Income</t>
        </is>
      </c>
      <c r="P405" t="inlineStr">
        <is>
          <t>R09</t>
        </is>
      </c>
      <c r="Q405" t="inlineStr">
        <is>
          <t>MS</t>
        </is>
      </c>
      <c r="R405">
        <f>IF(OR(Q405="CONTEXT",Q405="REVIEW"),"",INDEX('Category Rules'!$D$5:$D$17,MATCH(P405,'Category Rules'!$A$5:$A$17,0)))</f>
        <v>4020</v>
      </c>
      <c r="S405" t="str">
        <f>IF(Q405="CONTEXT","Make-safe",IF(Q405="REVIEW","",INDEX('Category Rules'!$E$5:$E$17,MATCH(P405,'Category Rules'!$A$5:$A$17,0))))</f>
        <v>Make-safe</v>
      </c>
      <c r="T405" t="str">
        <f>IF(Q405="DEP","BAS Excluded","GST on Income")</f>
        <v>GST on Income</v>
      </c>
      <c r="U405">
        <f>IF(O405=T405,1,0)</f>
        <v>1</v>
      </c>
      <c r="V405" s="9">
        <f>IF(OR(M405=0,U405=1),0,IF(T405="GST on Income",ROUND(K405*0.1,2),ROUND(-K405*0.1,2)))</f>
        <v>0</v>
      </c>
    </row>
    <row r="406">
      <c r="A406" t="inlineStr">
        <is>
          <t>INV-4965-1</t>
        </is>
      </c>
      <c r="B406" t="inlineStr">
        <is>
          <t>INV-4965</t>
        </is>
      </c>
      <c r="C406" s="11" t="n">
        <v>45907</v>
      </c>
      <c r="D406" t="inlineStr">
        <is>
          <t>2025-09</t>
        </is>
      </c>
      <c r="E406" t="inlineStr">
        <is>
          <t>C0112</t>
        </is>
      </c>
      <c r="F406" t="inlineStr">
        <is>
          <t>C0112</t>
        </is>
      </c>
      <c r="G406" t="inlineStr">
        <is>
          <t>Sam Murphy</t>
        </is>
      </c>
      <c r="H406" t="inlineStr">
        <is>
          <t>S0183</t>
        </is>
      </c>
      <c r="I406" t="inlineStr">
        <is>
          <t>Delivery and installation - temporary fencing</t>
        </is>
      </c>
      <c r="J406" t="n">
        <v>1</v>
      </c>
      <c r="K406" s="9" t="n">
        <v>165</v>
      </c>
      <c r="L406" t="inlineStr">
        <is>
          <t>PAID</t>
        </is>
      </c>
      <c r="M406">
        <f>IF(L406="VOIDED",0,1)</f>
        <v>1</v>
      </c>
      <c r="N406" t="n">
        <v>200</v>
      </c>
      <c r="O406" t="inlineStr">
        <is>
          <t>GST on Income</t>
        </is>
      </c>
      <c r="P406" t="inlineStr">
        <is>
          <t>R07</t>
        </is>
      </c>
      <c r="Q406" t="inlineStr">
        <is>
          <t>DEL-FP</t>
        </is>
      </c>
      <c r="R406">
        <f>IF(OR(Q406="CONTEXT",Q406="REVIEW"),"",INDEX('Category Rules'!$D$5:$D$17,MATCH(P406,'Category Rules'!$A$5:$A$17,0)))</f>
        <v>4020</v>
      </c>
      <c r="S406" t="str">
        <f>IF(Q406="CONTEXT","Fencing",IF(Q406="REVIEW","",INDEX('Category Rules'!$E$5:$E$17,MATCH(P406,'Category Rules'!$A$5:$A$17,0))))</f>
        <v>Fencing</v>
      </c>
      <c r="T406" t="str">
        <f>IF(Q406="DEP","BAS Excluded","GST on Income")</f>
        <v>GST on Income</v>
      </c>
      <c r="U406">
        <f>IF(O406=T406,1,0)</f>
        <v>1</v>
      </c>
      <c r="V406" s="9">
        <f>IF(OR(M406=0,U406=1),0,IF(T406="GST on Income",ROUND(K406*0.1,2),ROUND(-K406*0.1,2)))</f>
        <v>0</v>
      </c>
    </row>
    <row r="407">
      <c r="A407" t="inlineStr">
        <is>
          <t>INV-4965-2</t>
        </is>
      </c>
      <c r="B407" t="inlineStr">
        <is>
          <t>INV-4965</t>
        </is>
      </c>
      <c r="C407" s="11" t="n">
        <v>45907</v>
      </c>
      <c r="D407" t="inlineStr">
        <is>
          <t>2025-09</t>
        </is>
      </c>
      <c r="E407" t="inlineStr">
        <is>
          <t>C0112</t>
        </is>
      </c>
      <c r="F407" t="inlineStr">
        <is>
          <t>C0112</t>
        </is>
      </c>
      <c r="G407" t="inlineStr">
        <is>
          <t>Sam Murphy</t>
        </is>
      </c>
      <c r="H407" t="inlineStr">
        <is>
          <t>S0183</t>
        </is>
      </c>
      <c r="I407" t="inlineStr">
        <is>
          <t>Installation labour - 78 panels @ 2.20</t>
        </is>
      </c>
      <c r="J407" t="n">
        <v>78</v>
      </c>
      <c r="K407" s="9" t="n">
        <v>171.6</v>
      </c>
      <c r="L407" t="inlineStr">
        <is>
          <t>PAID</t>
        </is>
      </c>
      <c r="M407">
        <f>IF(L407="VOIDED",0,1)</f>
        <v>1</v>
      </c>
      <c r="N407" t="n">
        <v>200</v>
      </c>
      <c r="O407" t="inlineStr">
        <is>
          <t>GST on Income</t>
        </is>
      </c>
      <c r="P407" t="inlineStr">
        <is>
          <t>R07</t>
        </is>
      </c>
      <c r="Q407" t="inlineStr">
        <is>
          <t>DEL-FP</t>
        </is>
      </c>
      <c r="R407">
        <f>IF(OR(Q407="CONTEXT",Q407="REVIEW"),"",INDEX('Category Rules'!$D$5:$D$17,MATCH(P407,'Category Rules'!$A$5:$A$17,0)))</f>
        <v>4020</v>
      </c>
      <c r="S407" t="str">
        <f>IF(Q407="CONTEXT","Fencing",IF(Q407="REVIEW","",INDEX('Category Rules'!$E$5:$E$17,MATCH(P407,'Category Rules'!$A$5:$A$17,0))))</f>
        <v>Fencing</v>
      </c>
      <c r="T407" t="str">
        <f>IF(Q407="DEP","BAS Excluded","GST on Income")</f>
        <v>GST on Income</v>
      </c>
      <c r="U407">
        <f>IF(O407=T407,1,0)</f>
        <v>1</v>
      </c>
      <c r="V407" s="9">
        <f>IF(OR(M407=0,U407=1),0,IF(T407="GST on Income",ROUND(K407*0.1,2),ROUND(-K407*0.1,2)))</f>
        <v>0</v>
      </c>
    </row>
    <row r="408">
      <c r="A408" t="inlineStr">
        <is>
          <t>INV-4965-3</t>
        </is>
      </c>
      <c r="B408" t="inlineStr">
        <is>
          <t>INV-4965</t>
        </is>
      </c>
      <c r="C408" s="11" t="n">
        <v>45907</v>
      </c>
      <c r="D408" t="inlineStr">
        <is>
          <t>2025-09</t>
        </is>
      </c>
      <c r="E408" t="inlineStr">
        <is>
          <t>C0112</t>
        </is>
      </c>
      <c r="F408" t="inlineStr">
        <is>
          <t>C0112</t>
        </is>
      </c>
      <c r="G408" t="inlineStr">
        <is>
          <t>Sam Murphy</t>
        </is>
      </c>
      <c r="H408" t="inlineStr">
        <is>
          <t>S0183</t>
        </is>
      </c>
      <c r="I408" t="inlineStr">
        <is>
          <t>Security deposit - fence panels (refundable)</t>
        </is>
      </c>
      <c r="J408" t="n">
        <v>1</v>
      </c>
      <c r="K408" s="9" t="n">
        <v>620</v>
      </c>
      <c r="L408" t="inlineStr">
        <is>
          <t>PAID</t>
        </is>
      </c>
      <c r="M408">
        <f>IF(L408="VOIDED",0,1)</f>
        <v>1</v>
      </c>
      <c r="N408" t="n">
        <v>200</v>
      </c>
      <c r="O408" t="inlineStr">
        <is>
          <t>GST on Income</t>
        </is>
      </c>
      <c r="P408" t="inlineStr">
        <is>
          <t>R01</t>
        </is>
      </c>
      <c r="Q408" t="inlineStr">
        <is>
          <t>DEP</t>
        </is>
      </c>
      <c r="R408">
        <f>IF(OR(Q408="CONTEXT",Q408="REVIEW"),"",INDEX('Category Rules'!$D$5:$D$17,MATCH(P408,'Category Rules'!$A$5:$A$17,0)))</f>
        <v>835</v>
      </c>
      <c r="S408" t="str">
        <f>IF(Q408="CONTEXT","Fencing",IF(Q408="REVIEW","",INDEX('Category Rules'!$E$5:$E$17,MATCH(P408,'Category Rules'!$A$5:$A$17,0))))</f>
        <v>Fencing</v>
      </c>
      <c r="T408" t="str">
        <f>IF(Q408="DEP","BAS Excluded","GST on Income")</f>
        <v>BAS Excluded</v>
      </c>
      <c r="U408">
        <f>IF(O408=T408,1,0)</f>
        <v>0</v>
      </c>
      <c r="V408" s="9">
        <f>IF(OR(M408=0,U408=1),0,IF(T408="GST on Income",ROUND(K408*0.1,2),ROUND(-K408*0.1,2)))</f>
        <v>-62</v>
      </c>
    </row>
    <row r="409">
      <c r="A409" t="inlineStr">
        <is>
          <t>INV-5098-1</t>
        </is>
      </c>
      <c r="B409" t="inlineStr">
        <is>
          <t>INV-5098</t>
        </is>
      </c>
      <c r="C409" s="11" t="n">
        <v>45907</v>
      </c>
      <c r="D409" t="inlineStr">
        <is>
          <t>2025-09</t>
        </is>
      </c>
      <c r="E409" t="inlineStr">
        <is>
          <t>C0002</t>
        </is>
      </c>
      <c r="F409" t="inlineStr">
        <is>
          <t>C0002</t>
        </is>
      </c>
      <c r="G409" t="inlineStr">
        <is>
          <t>Summit Building Group</t>
        </is>
      </c>
      <c r="H409" t="inlineStr">
        <is>
          <t>S0215</t>
        </is>
      </c>
      <c r="I409" t="inlineStr">
        <is>
          <t>Temporary fence hire 4 wks (10/08/25-06/09/25) - 91 panels</t>
        </is>
      </c>
      <c r="J409" t="n">
        <v>364</v>
      </c>
      <c r="K409" s="9" t="n">
        <v>1638</v>
      </c>
      <c r="L409" t="inlineStr">
        <is>
          <t>PAID</t>
        </is>
      </c>
      <c r="M409">
        <f>IF(L409="VOIDED",0,1)</f>
        <v>1</v>
      </c>
      <c r="N409" t="n">
        <v>200</v>
      </c>
      <c r="O409" t="inlineStr">
        <is>
          <t>GST on Income</t>
        </is>
      </c>
      <c r="P409" t="inlineStr">
        <is>
          <t>R03</t>
        </is>
      </c>
      <c r="Q409" t="inlineStr">
        <is>
          <t>HIRE-FP</t>
        </is>
      </c>
      <c r="R409">
        <f>IF(OR(Q409="CONTEXT",Q409="REVIEW"),"",INDEX('Category Rules'!$D$5:$D$17,MATCH(P409,'Category Rules'!$A$5:$A$17,0)))</f>
        <v>4010</v>
      </c>
      <c r="S409" t="str">
        <f>IF(Q409="CONTEXT","Fencing",IF(Q409="REVIEW","",INDEX('Category Rules'!$E$5:$E$17,MATCH(P409,'Category Rules'!$A$5:$A$17,0))))</f>
        <v>Fencing</v>
      </c>
      <c r="T409" t="str">
        <f>IF(Q409="DEP","BAS Excluded","GST on Income")</f>
        <v>GST on Income</v>
      </c>
      <c r="U409">
        <f>IF(O409=T409,1,0)</f>
        <v>1</v>
      </c>
      <c r="V409" s="9">
        <f>IF(OR(M409=0,U409=1),0,IF(T409="GST on Income",ROUND(K409*0.1,2),ROUND(-K409*0.1,2)))</f>
        <v>0</v>
      </c>
    </row>
    <row r="410">
      <c r="A410" t="inlineStr">
        <is>
          <t>INV-5104-1</t>
        </is>
      </c>
      <c r="B410" t="inlineStr">
        <is>
          <t>INV-5104</t>
        </is>
      </c>
      <c r="C410" s="11" t="n">
        <v>45907</v>
      </c>
      <c r="D410" t="inlineStr">
        <is>
          <t>2025-09</t>
        </is>
      </c>
      <c r="E410" t="inlineStr">
        <is>
          <t>C0002</t>
        </is>
      </c>
      <c r="F410" t="inlineStr">
        <is>
          <t>C0002</t>
        </is>
      </c>
      <c r="G410" t="inlineStr">
        <is>
          <t>Summit Building Group</t>
        </is>
      </c>
      <c r="H410" t="inlineStr">
        <is>
          <t>S0215</t>
        </is>
      </c>
      <c r="I410" t="inlineStr">
        <is>
          <t>Pedestrian barrier hire 4 wks (10/08/25-06/09/25) - 18 barriers</t>
        </is>
      </c>
      <c r="J410" t="n">
        <v>72</v>
      </c>
      <c r="K410" s="9" t="n">
        <v>230.4</v>
      </c>
      <c r="L410" t="inlineStr">
        <is>
          <t>PAID</t>
        </is>
      </c>
      <c r="M410">
        <f>IF(L410="VOIDED",0,1)</f>
        <v>1</v>
      </c>
      <c r="N410" t="n">
        <v>200</v>
      </c>
      <c r="O410" t="inlineStr">
        <is>
          <t>GST on Income</t>
        </is>
      </c>
      <c r="P410" t="inlineStr">
        <is>
          <t>R04</t>
        </is>
      </c>
      <c r="Q410" t="inlineStr">
        <is>
          <t>HIRE-BR</t>
        </is>
      </c>
      <c r="R410">
        <f>IF(OR(Q410="CONTEXT",Q410="REVIEW"),"",INDEX('Category Rules'!$D$5:$D$17,MATCH(P410,'Category Rules'!$A$5:$A$17,0)))</f>
        <v>4010</v>
      </c>
      <c r="S410" t="str">
        <f>IF(Q410="CONTEXT","Fencing",IF(Q410="REVIEW","",INDEX('Category Rules'!$E$5:$E$17,MATCH(P410,'Category Rules'!$A$5:$A$17,0))))</f>
        <v>Fencing</v>
      </c>
      <c r="T410" t="str">
        <f>IF(Q410="DEP","BAS Excluded","GST on Income")</f>
        <v>GST on Income</v>
      </c>
      <c r="U410">
        <f>IF(O410=T410,1,0)</f>
        <v>1</v>
      </c>
      <c r="V410" s="9">
        <f>IF(OR(M410=0,U410=1),0,IF(T410="GST on Income",ROUND(K410*0.1,2),ROUND(-K410*0.1,2)))</f>
        <v>0</v>
      </c>
    </row>
    <row r="411">
      <c r="A411" t="inlineStr">
        <is>
          <t>INV-5180-1</t>
        </is>
      </c>
      <c r="B411" t="inlineStr">
        <is>
          <t>INV-5180</t>
        </is>
      </c>
      <c r="C411" s="11" t="n">
        <v>45907</v>
      </c>
      <c r="D411" t="inlineStr">
        <is>
          <t>2025-09</t>
        </is>
      </c>
      <c r="E411" t="inlineStr">
        <is>
          <t>C0148</t>
        </is>
      </c>
      <c r="F411" t="inlineStr">
        <is>
          <t>C0042</t>
        </is>
      </c>
      <c r="G411" t="inlineStr">
        <is>
          <t>Lakeside Constructions Pty Ltd</t>
        </is>
      </c>
      <c r="H411" t="inlineStr">
        <is>
          <t>S0231</t>
        </is>
      </c>
      <c r="I411" t="inlineStr">
        <is>
          <t>Delivery and installation - temporary fencing</t>
        </is>
      </c>
      <c r="J411" t="n">
        <v>1</v>
      </c>
      <c r="K411" s="9" t="n">
        <v>165</v>
      </c>
      <c r="L411" t="inlineStr">
        <is>
          <t>PAID</t>
        </is>
      </c>
      <c r="M411">
        <f>IF(L411="VOIDED",0,1)</f>
        <v>1</v>
      </c>
      <c r="N411" t="n">
        <v>200</v>
      </c>
      <c r="O411" t="inlineStr">
        <is>
          <t>GST on Income</t>
        </is>
      </c>
      <c r="P411" t="inlineStr">
        <is>
          <t>R07</t>
        </is>
      </c>
      <c r="Q411" t="inlineStr">
        <is>
          <t>DEL-FP</t>
        </is>
      </c>
      <c r="R411">
        <f>IF(OR(Q411="CONTEXT",Q411="REVIEW"),"",INDEX('Category Rules'!$D$5:$D$17,MATCH(P411,'Category Rules'!$A$5:$A$17,0)))</f>
        <v>4020</v>
      </c>
      <c r="S411" t="str">
        <f>IF(Q411="CONTEXT","Fencing",IF(Q411="REVIEW","",INDEX('Category Rules'!$E$5:$E$17,MATCH(P411,'Category Rules'!$A$5:$A$17,0))))</f>
        <v>Fencing</v>
      </c>
      <c r="T411" t="str">
        <f>IF(Q411="DEP","BAS Excluded","GST on Income")</f>
        <v>GST on Income</v>
      </c>
      <c r="U411">
        <f>IF(O411=T411,1,0)</f>
        <v>1</v>
      </c>
      <c r="V411" s="9">
        <f>IF(OR(M411=0,U411=1),0,IF(T411="GST on Income",ROUND(K411*0.1,2),ROUND(-K411*0.1,2)))</f>
        <v>0</v>
      </c>
    </row>
    <row r="412">
      <c r="A412" t="inlineStr">
        <is>
          <t>INV-5180-2</t>
        </is>
      </c>
      <c r="B412" t="inlineStr">
        <is>
          <t>INV-5180</t>
        </is>
      </c>
      <c r="C412" s="11" t="n">
        <v>45907</v>
      </c>
      <c r="D412" t="inlineStr">
        <is>
          <t>2025-09</t>
        </is>
      </c>
      <c r="E412" t="inlineStr">
        <is>
          <t>C0148</t>
        </is>
      </c>
      <c r="F412" t="inlineStr">
        <is>
          <t>C0042</t>
        </is>
      </c>
      <c r="G412" t="inlineStr">
        <is>
          <t>Lakeside Constructions Pty Ltd</t>
        </is>
      </c>
      <c r="H412" t="inlineStr">
        <is>
          <t>S0231</t>
        </is>
      </c>
      <c r="I412" t="inlineStr">
        <is>
          <t>Installation labour - 125 panels @ 2.20</t>
        </is>
      </c>
      <c r="J412" t="n">
        <v>125</v>
      </c>
      <c r="K412" s="9" t="n">
        <v>275</v>
      </c>
      <c r="L412" t="inlineStr">
        <is>
          <t>PAID</t>
        </is>
      </c>
      <c r="M412">
        <f>IF(L412="VOIDED",0,1)</f>
        <v>1</v>
      </c>
      <c r="N412" t="n">
        <v>200</v>
      </c>
      <c r="O412" t="inlineStr">
        <is>
          <t>GST on Income</t>
        </is>
      </c>
      <c r="P412" t="inlineStr">
        <is>
          <t>R07</t>
        </is>
      </c>
      <c r="Q412" t="inlineStr">
        <is>
          <t>DEL-FP</t>
        </is>
      </c>
      <c r="R412">
        <f>IF(OR(Q412="CONTEXT",Q412="REVIEW"),"",INDEX('Category Rules'!$D$5:$D$17,MATCH(P412,'Category Rules'!$A$5:$A$17,0)))</f>
        <v>4020</v>
      </c>
      <c r="S412" t="str">
        <f>IF(Q412="CONTEXT","Fencing",IF(Q412="REVIEW","",INDEX('Category Rules'!$E$5:$E$17,MATCH(P412,'Category Rules'!$A$5:$A$17,0))))</f>
        <v>Fencing</v>
      </c>
      <c r="T412" t="str">
        <f>IF(Q412="DEP","BAS Excluded","GST on Income")</f>
        <v>GST on Income</v>
      </c>
      <c r="U412">
        <f>IF(O412=T412,1,0)</f>
        <v>1</v>
      </c>
      <c r="V412" s="9">
        <f>IF(OR(M412=0,U412=1),0,IF(T412="GST on Income",ROUND(K412*0.1,2),ROUND(-K412*0.1,2)))</f>
        <v>0</v>
      </c>
    </row>
    <row r="413">
      <c r="A413" t="inlineStr">
        <is>
          <t>INV-5255-1</t>
        </is>
      </c>
      <c r="B413" t="inlineStr">
        <is>
          <t>INV-5255</t>
        </is>
      </c>
      <c r="C413" s="11" t="n">
        <v>45907</v>
      </c>
      <c r="D413" t="inlineStr">
        <is>
          <t>2025-09</t>
        </is>
      </c>
      <c r="E413" t="inlineStr">
        <is>
          <t>C0027</t>
        </is>
      </c>
      <c r="F413" t="inlineStr">
        <is>
          <t>C0027</t>
        </is>
      </c>
      <c r="G413" t="inlineStr">
        <is>
          <t>Metro Projects Pty Ltd</t>
        </is>
      </c>
      <c r="H413" t="inlineStr">
        <is>
          <t>S0248</t>
        </is>
      </c>
      <c r="I413" t="inlineStr">
        <is>
          <t>Scaffold tower hire 1 wks (06/09/25-06/09/25) - 2 towers</t>
        </is>
      </c>
      <c r="J413" t="n">
        <v>2</v>
      </c>
      <c r="K413" s="9" t="n">
        <v>190</v>
      </c>
      <c r="L413" t="inlineStr">
        <is>
          <t>PAID</t>
        </is>
      </c>
      <c r="M413">
        <f>IF(L413="VOIDED",0,1)</f>
        <v>1</v>
      </c>
      <c r="N413" t="n">
        <v>260</v>
      </c>
      <c r="O413" t="inlineStr">
        <is>
          <t>GST on Income</t>
        </is>
      </c>
      <c r="P413" t="inlineStr">
        <is>
          <t>R05</t>
        </is>
      </c>
      <c r="Q413" t="inlineStr">
        <is>
          <t>HIRE-ST</t>
        </is>
      </c>
      <c r="R413">
        <f>IF(OR(Q413="CONTEXT",Q413="REVIEW"),"",INDEX('Category Rules'!$D$5:$D$17,MATCH(P413,'Category Rules'!$A$5:$A$17,0)))</f>
        <v>4010</v>
      </c>
      <c r="S413" t="str">
        <f>IF(Q413="CONTEXT","Scaffolding",IF(Q413="REVIEW","",INDEX('Category Rules'!$E$5:$E$17,MATCH(P413,'Category Rules'!$A$5:$A$17,0))))</f>
        <v>Scaffolding</v>
      </c>
      <c r="T413" t="str">
        <f>IF(Q413="DEP","BAS Excluded","GST on Income")</f>
        <v>GST on Income</v>
      </c>
      <c r="U413">
        <f>IF(O413=T413,1,0)</f>
        <v>1</v>
      </c>
      <c r="V413" s="9">
        <f>IF(OR(M413=0,U413=1),0,IF(T413="GST on Income",ROUND(K413*0.1,2),ROUND(-K413*0.1,2)))</f>
        <v>0</v>
      </c>
    </row>
    <row r="414">
      <c r="A414" t="inlineStr">
        <is>
          <t>INV-5257-1</t>
        </is>
      </c>
      <c r="B414" t="inlineStr">
        <is>
          <t>INV-5257</t>
        </is>
      </c>
      <c r="C414" s="11" t="n">
        <v>45907</v>
      </c>
      <c r="D414" t="inlineStr">
        <is>
          <t>2025-09</t>
        </is>
      </c>
      <c r="E414" t="inlineStr">
        <is>
          <t>C0027</t>
        </is>
      </c>
      <c r="F414" t="inlineStr">
        <is>
          <t>C0027</t>
        </is>
      </c>
      <c r="G414" t="inlineStr">
        <is>
          <t>Metro Projects Pty Ltd</t>
        </is>
      </c>
      <c r="H414" t="inlineStr">
        <is>
          <t>S0248</t>
        </is>
      </c>
      <c r="I414" t="inlineStr">
        <is>
          <t>Scaffold dismantle - 2 tower(s)</t>
        </is>
      </c>
      <c r="J414" t="n">
        <v>2</v>
      </c>
      <c r="K414" s="9" t="n">
        <v>640</v>
      </c>
      <c r="L414" t="inlineStr">
        <is>
          <t>PAID</t>
        </is>
      </c>
      <c r="M414">
        <f>IF(L414="VOIDED",0,1)</f>
        <v>1</v>
      </c>
      <c r="N414" t="n">
        <v>200</v>
      </c>
      <c r="O414" t="inlineStr">
        <is>
          <t>GST on Income</t>
        </is>
      </c>
      <c r="P414" t="inlineStr">
        <is>
          <t>R08</t>
        </is>
      </c>
      <c r="Q414" t="inlineStr">
        <is>
          <t>LAB-ST</t>
        </is>
      </c>
      <c r="R414">
        <f>IF(OR(Q414="CONTEXT",Q414="REVIEW"),"",INDEX('Category Rules'!$D$5:$D$17,MATCH(P414,'Category Rules'!$A$5:$A$17,0)))</f>
        <v>4020</v>
      </c>
      <c r="S414" t="str">
        <f>IF(Q414="CONTEXT","Scaffolding",IF(Q414="REVIEW","",INDEX('Category Rules'!$E$5:$E$17,MATCH(P414,'Category Rules'!$A$5:$A$17,0))))</f>
        <v>Scaffolding</v>
      </c>
      <c r="T414" t="str">
        <f>IF(Q414="DEP","BAS Excluded","GST on Income")</f>
        <v>GST on Income</v>
      </c>
      <c r="U414">
        <f>IF(O414=T414,1,0)</f>
        <v>1</v>
      </c>
      <c r="V414" s="9">
        <f>IF(OR(M414=0,U414=1),0,IF(T414="GST on Income",ROUND(K414*0.1,2),ROUND(-K414*0.1,2)))</f>
        <v>0</v>
      </c>
    </row>
    <row r="415">
      <c r="A415" t="inlineStr">
        <is>
          <t>INV-5417-1</t>
        </is>
      </c>
      <c r="B415" t="inlineStr">
        <is>
          <t>INV-5417</t>
        </is>
      </c>
      <c r="C415" s="11" t="n">
        <v>45907</v>
      </c>
      <c r="D415" t="inlineStr">
        <is>
          <t>2025-09</t>
        </is>
      </c>
      <c r="E415" t="inlineStr">
        <is>
          <t>C0002</t>
        </is>
      </c>
      <c r="F415" t="inlineStr">
        <is>
          <t>C0002</t>
        </is>
      </c>
      <c r="G415" t="inlineStr">
        <is>
          <t>Summit Building Group</t>
        </is>
      </c>
      <c r="H415" t="inlineStr">
        <is>
          <t>S0288</t>
        </is>
      </c>
      <c r="I415" t="inlineStr">
        <is>
          <t>Scaffold tower hire 4 wks (10/08/25-06/09/25) - 3 towers</t>
        </is>
      </c>
      <c r="J415" t="n">
        <v>12</v>
      </c>
      <c r="K415" s="9" t="n">
        <v>1140</v>
      </c>
      <c r="L415" t="inlineStr">
        <is>
          <t>PAID</t>
        </is>
      </c>
      <c r="M415">
        <f>IF(L415="VOIDED",0,1)</f>
        <v>1</v>
      </c>
      <c r="N415" t="n">
        <v>200</v>
      </c>
      <c r="O415" t="inlineStr">
        <is>
          <t>GST on Income</t>
        </is>
      </c>
      <c r="P415" t="inlineStr">
        <is>
          <t>R05</t>
        </is>
      </c>
      <c r="Q415" t="inlineStr">
        <is>
          <t>HIRE-ST</t>
        </is>
      </c>
      <c r="R415">
        <f>IF(OR(Q415="CONTEXT",Q415="REVIEW"),"",INDEX('Category Rules'!$D$5:$D$17,MATCH(P415,'Category Rules'!$A$5:$A$17,0)))</f>
        <v>4010</v>
      </c>
      <c r="S415" t="str">
        <f>IF(Q415="CONTEXT","Scaffolding",IF(Q415="REVIEW","",INDEX('Category Rules'!$E$5:$E$17,MATCH(P415,'Category Rules'!$A$5:$A$17,0))))</f>
        <v>Scaffolding</v>
      </c>
      <c r="T415" t="str">
        <f>IF(Q415="DEP","BAS Excluded","GST on Income")</f>
        <v>GST on Income</v>
      </c>
      <c r="U415">
        <f>IF(O415=T415,1,0)</f>
        <v>1</v>
      </c>
      <c r="V415" s="9">
        <f>IF(OR(M415=0,U415=1),0,IF(T415="GST on Income",ROUND(K415*0.1,2),ROUND(-K415*0.1,2)))</f>
        <v>0</v>
      </c>
    </row>
    <row r="416">
      <c r="A416" t="inlineStr">
        <is>
          <t>INV-5677-1</t>
        </is>
      </c>
      <c r="B416" t="inlineStr">
        <is>
          <t>INV-5677</t>
        </is>
      </c>
      <c r="C416" s="11" t="n">
        <v>45907</v>
      </c>
      <c r="D416" t="inlineStr">
        <is>
          <t>2025-09</t>
        </is>
      </c>
      <c r="E416" t="inlineStr">
        <is>
          <t>C0116</t>
        </is>
      </c>
      <c r="F416" t="inlineStr">
        <is>
          <t>C0116</t>
        </is>
      </c>
      <c r="G416" t="inlineStr">
        <is>
          <t>Lucas Patel</t>
        </is>
      </c>
      <c r="H416" t="inlineStr">
        <is>
          <t>S0422</t>
        </is>
      </c>
      <c r="I416" t="inlineStr">
        <is>
          <t>Tarp kit hire 1 wks (06/09/25-06/09/25) - 2 kits</t>
        </is>
      </c>
      <c r="J416" t="n">
        <v>2</v>
      </c>
      <c r="K416" s="9" t="n">
        <v>70</v>
      </c>
      <c r="L416" t="inlineStr">
        <is>
          <t>PAID</t>
        </is>
      </c>
      <c r="M416">
        <f>IF(L416="VOIDED",0,1)</f>
        <v>1</v>
      </c>
      <c r="N416" t="n">
        <v>200</v>
      </c>
      <c r="O416" t="inlineStr">
        <is>
          <t>GST on Income</t>
        </is>
      </c>
      <c r="P416" t="inlineStr">
        <is>
          <t>R06</t>
        </is>
      </c>
      <c r="Q416" t="inlineStr">
        <is>
          <t>HIRE-TK</t>
        </is>
      </c>
      <c r="R416">
        <f>IF(OR(Q416="CONTEXT",Q416="REVIEW"),"",INDEX('Category Rules'!$D$5:$D$17,MATCH(P416,'Category Rules'!$A$5:$A$17,0)))</f>
        <v>4010</v>
      </c>
      <c r="S416" t="str">
        <f>IF(Q416="CONTEXT","Make-safe",IF(Q416="REVIEW","",INDEX('Category Rules'!$E$5:$E$17,MATCH(P416,'Category Rules'!$A$5:$A$17,0))))</f>
        <v>Make-safe</v>
      </c>
      <c r="T416" t="str">
        <f>IF(Q416="DEP","BAS Excluded","GST on Income")</f>
        <v>GST on Income</v>
      </c>
      <c r="U416">
        <f>IF(O416=T416,1,0)</f>
        <v>1</v>
      </c>
      <c r="V416" s="9">
        <f>IF(OR(M416=0,U416=1),0,IF(T416="GST on Income",ROUND(K416*0.1,2),ROUND(-K416*0.1,2)))</f>
        <v>0</v>
      </c>
    </row>
    <row r="417">
      <c r="A417" t="inlineStr">
        <is>
          <t>INV-4665-1</t>
        </is>
      </c>
      <c r="B417" t="inlineStr">
        <is>
          <t>INV-4665</t>
        </is>
      </c>
      <c r="C417" s="11" t="n">
        <v>45908</v>
      </c>
      <c r="D417" t="inlineStr">
        <is>
          <t>2025-09</t>
        </is>
      </c>
      <c r="E417" t="inlineStr">
        <is>
          <t>C0038</t>
        </is>
      </c>
      <c r="F417" t="inlineStr">
        <is>
          <t>C0038</t>
        </is>
      </c>
      <c r="G417" t="inlineStr">
        <is>
          <t>Cobalt Constructions Pty Ltd</t>
        </is>
      </c>
      <c r="H417" t="inlineStr">
        <is>
          <t>S0115</t>
        </is>
      </c>
      <c r="I417" t="inlineStr">
        <is>
          <t>Delivery and installation - temporary fencing</t>
        </is>
      </c>
      <c r="J417" t="n">
        <v>1</v>
      </c>
      <c r="K417" s="9" t="n">
        <v>165</v>
      </c>
      <c r="L417" t="inlineStr">
        <is>
          <t>PAID</t>
        </is>
      </c>
      <c r="M417">
        <f>IF(L417="VOIDED",0,1)</f>
        <v>1</v>
      </c>
      <c r="N417" t="n">
        <v>200</v>
      </c>
      <c r="O417" t="inlineStr">
        <is>
          <t>GST on Income</t>
        </is>
      </c>
      <c r="P417" t="inlineStr">
        <is>
          <t>R07</t>
        </is>
      </c>
      <c r="Q417" t="inlineStr">
        <is>
          <t>DEL-FP</t>
        </is>
      </c>
      <c r="R417">
        <f>IF(OR(Q417="CONTEXT",Q417="REVIEW"),"",INDEX('Category Rules'!$D$5:$D$17,MATCH(P417,'Category Rules'!$A$5:$A$17,0)))</f>
        <v>4020</v>
      </c>
      <c r="S417" t="str">
        <f>IF(Q417="CONTEXT","Fencing",IF(Q417="REVIEW","",INDEX('Category Rules'!$E$5:$E$17,MATCH(P417,'Category Rules'!$A$5:$A$17,0))))</f>
        <v>Fencing</v>
      </c>
      <c r="T417" t="str">
        <f>IF(Q417="DEP","BAS Excluded","GST on Income")</f>
        <v>GST on Income</v>
      </c>
      <c r="U417">
        <f>IF(O417=T417,1,0)</f>
        <v>1</v>
      </c>
      <c r="V417" s="9">
        <f>IF(OR(M417=0,U417=1),0,IF(T417="GST on Income",ROUND(K417*0.1,2),ROUND(-K417*0.1,2)))</f>
        <v>0</v>
      </c>
    </row>
    <row r="418">
      <c r="A418" t="inlineStr">
        <is>
          <t>INV-4665-2</t>
        </is>
      </c>
      <c r="B418" t="inlineStr">
        <is>
          <t>INV-4665</t>
        </is>
      </c>
      <c r="C418" s="11" t="n">
        <v>45908</v>
      </c>
      <c r="D418" t="inlineStr">
        <is>
          <t>2025-09</t>
        </is>
      </c>
      <c r="E418" t="inlineStr">
        <is>
          <t>C0038</t>
        </is>
      </c>
      <c r="F418" t="inlineStr">
        <is>
          <t>C0038</t>
        </is>
      </c>
      <c r="G418" t="inlineStr">
        <is>
          <t>Cobalt Constructions Pty Ltd</t>
        </is>
      </c>
      <c r="H418" t="inlineStr">
        <is>
          <t>S0115</t>
        </is>
      </c>
      <c r="I418" t="inlineStr">
        <is>
          <t>Installation labour - 81 panels @ 2.20</t>
        </is>
      </c>
      <c r="J418" t="n">
        <v>81</v>
      </c>
      <c r="K418" s="9" t="n">
        <v>178.2</v>
      </c>
      <c r="L418" t="inlineStr">
        <is>
          <t>PAID</t>
        </is>
      </c>
      <c r="M418">
        <f>IF(L418="VOIDED",0,1)</f>
        <v>1</v>
      </c>
      <c r="N418" t="n">
        <v>200</v>
      </c>
      <c r="O418" t="inlineStr">
        <is>
          <t>GST on Income</t>
        </is>
      </c>
      <c r="P418" t="inlineStr">
        <is>
          <t>R07</t>
        </is>
      </c>
      <c r="Q418" t="inlineStr">
        <is>
          <t>DEL-FP</t>
        </is>
      </c>
      <c r="R418">
        <f>IF(OR(Q418="CONTEXT",Q418="REVIEW"),"",INDEX('Category Rules'!$D$5:$D$17,MATCH(P418,'Category Rules'!$A$5:$A$17,0)))</f>
        <v>4020</v>
      </c>
      <c r="S418" t="str">
        <f>IF(Q418="CONTEXT","Fencing",IF(Q418="REVIEW","",INDEX('Category Rules'!$E$5:$E$17,MATCH(P418,'Category Rules'!$A$5:$A$17,0))))</f>
        <v>Fencing</v>
      </c>
      <c r="T418" t="str">
        <f>IF(Q418="DEP","BAS Excluded","GST on Income")</f>
        <v>GST on Income</v>
      </c>
      <c r="U418">
        <f>IF(O418=T418,1,0)</f>
        <v>1</v>
      </c>
      <c r="V418" s="9">
        <f>IF(OR(M418=0,U418=1),0,IF(T418="GST on Income",ROUND(K418*0.1,2),ROUND(-K418*0.1,2)))</f>
        <v>0</v>
      </c>
    </row>
    <row r="419">
      <c r="A419" t="inlineStr">
        <is>
          <t>INV-5095-1</t>
        </is>
      </c>
      <c r="B419" t="inlineStr">
        <is>
          <t>INV-5095</t>
        </is>
      </c>
      <c r="C419" s="11" t="n">
        <v>45908</v>
      </c>
      <c r="D419" t="inlineStr">
        <is>
          <t>2025-09</t>
        </is>
      </c>
      <c r="E419" t="inlineStr">
        <is>
          <t>C0122</t>
        </is>
      </c>
      <c r="F419" t="inlineStr">
        <is>
          <t>C0122</t>
        </is>
      </c>
      <c r="G419" t="inlineStr">
        <is>
          <t>Bluegum Construction Pty Ltd</t>
        </is>
      </c>
      <c r="H419" t="inlineStr">
        <is>
          <t>S0214</t>
        </is>
      </c>
      <c r="I419" t="inlineStr">
        <is>
          <t>Delivery and installation - temporary fencing</t>
        </is>
      </c>
      <c r="J419" t="n">
        <v>1</v>
      </c>
      <c r="K419" s="9" t="n">
        <v>165</v>
      </c>
      <c r="L419" t="inlineStr">
        <is>
          <t>PAID</t>
        </is>
      </c>
      <c r="M419">
        <f>IF(L419="VOIDED",0,1)</f>
        <v>1</v>
      </c>
      <c r="N419" t="n">
        <v>200</v>
      </c>
      <c r="O419" t="inlineStr">
        <is>
          <t>GST on Income</t>
        </is>
      </c>
      <c r="P419" t="inlineStr">
        <is>
          <t>R07</t>
        </is>
      </c>
      <c r="Q419" t="inlineStr">
        <is>
          <t>DEL-FP</t>
        </is>
      </c>
      <c r="R419">
        <f>IF(OR(Q419="CONTEXT",Q419="REVIEW"),"",INDEX('Category Rules'!$D$5:$D$17,MATCH(P419,'Category Rules'!$A$5:$A$17,0)))</f>
        <v>4020</v>
      </c>
      <c r="S419" t="str">
        <f>IF(Q419="CONTEXT","Fencing",IF(Q419="REVIEW","",INDEX('Category Rules'!$E$5:$E$17,MATCH(P419,'Category Rules'!$A$5:$A$17,0))))</f>
        <v>Fencing</v>
      </c>
      <c r="T419" t="str">
        <f>IF(Q419="DEP","BAS Excluded","GST on Income")</f>
        <v>GST on Income</v>
      </c>
      <c r="U419">
        <f>IF(O419=T419,1,0)</f>
        <v>1</v>
      </c>
      <c r="V419" s="9">
        <f>IF(OR(M419=0,U419=1),0,IF(T419="GST on Income",ROUND(K419*0.1,2),ROUND(-K419*0.1,2)))</f>
        <v>0</v>
      </c>
    </row>
    <row r="420">
      <c r="A420" t="inlineStr">
        <is>
          <t>INV-5095-2</t>
        </is>
      </c>
      <c r="B420" t="inlineStr">
        <is>
          <t>INV-5095</t>
        </is>
      </c>
      <c r="C420" s="11" t="n">
        <v>45908</v>
      </c>
      <c r="D420" t="inlineStr">
        <is>
          <t>2025-09</t>
        </is>
      </c>
      <c r="E420" t="inlineStr">
        <is>
          <t>C0122</t>
        </is>
      </c>
      <c r="F420" t="inlineStr">
        <is>
          <t>C0122</t>
        </is>
      </c>
      <c r="G420" t="inlineStr">
        <is>
          <t>Bluegum Construction Pty Ltd</t>
        </is>
      </c>
      <c r="H420" t="inlineStr">
        <is>
          <t>S0214</t>
        </is>
      </c>
      <c r="I420" t="inlineStr">
        <is>
          <t>Installation labour - 147 panels @ 2.20</t>
        </is>
      </c>
      <c r="J420" t="n">
        <v>147</v>
      </c>
      <c r="K420" s="9" t="n">
        <v>323.4</v>
      </c>
      <c r="L420" t="inlineStr">
        <is>
          <t>PAID</t>
        </is>
      </c>
      <c r="M420">
        <f>IF(L420="VOIDED",0,1)</f>
        <v>1</v>
      </c>
      <c r="N420" t="n">
        <v>200</v>
      </c>
      <c r="O420" t="inlineStr">
        <is>
          <t>GST on Income</t>
        </is>
      </c>
      <c r="P420" t="inlineStr">
        <is>
          <t>R07</t>
        </is>
      </c>
      <c r="Q420" t="inlineStr">
        <is>
          <t>DEL-FP</t>
        </is>
      </c>
      <c r="R420">
        <f>IF(OR(Q420="CONTEXT",Q420="REVIEW"),"",INDEX('Category Rules'!$D$5:$D$17,MATCH(P420,'Category Rules'!$A$5:$A$17,0)))</f>
        <v>4020</v>
      </c>
      <c r="S420" t="str">
        <f>IF(Q420="CONTEXT","Fencing",IF(Q420="REVIEW","",INDEX('Category Rules'!$E$5:$E$17,MATCH(P420,'Category Rules'!$A$5:$A$17,0))))</f>
        <v>Fencing</v>
      </c>
      <c r="T420" t="str">
        <f>IF(Q420="DEP","BAS Excluded","GST on Income")</f>
        <v>GST on Income</v>
      </c>
      <c r="U420">
        <f>IF(O420=T420,1,0)</f>
        <v>1</v>
      </c>
      <c r="V420" s="9">
        <f>IF(OR(M420=0,U420=1),0,IF(T420="GST on Income",ROUND(K420*0.1,2),ROUND(-K420*0.1,2)))</f>
        <v>0</v>
      </c>
    </row>
    <row r="421">
      <c r="A421" t="inlineStr">
        <is>
          <t>INV-5335-1</t>
        </is>
      </c>
      <c r="B421" t="inlineStr">
        <is>
          <t>INV-5335</t>
        </is>
      </c>
      <c r="C421" s="11" t="n">
        <v>45908</v>
      </c>
      <c r="D421" t="inlineStr">
        <is>
          <t>2025-09</t>
        </is>
      </c>
      <c r="E421" t="inlineStr">
        <is>
          <t>C0006</t>
        </is>
      </c>
      <c r="F421" t="inlineStr">
        <is>
          <t>C0006</t>
        </is>
      </c>
      <c r="G421" t="inlineStr">
        <is>
          <t>Harbour Homes</t>
        </is>
      </c>
      <c r="H421" t="inlineStr">
        <is>
          <t>S0268</t>
        </is>
      </c>
      <c r="I421" t="inlineStr">
        <is>
          <t>Scaffold tower hire 4 wks (11/08/25-07/09/25) - 6 towers</t>
        </is>
      </c>
      <c r="J421" t="n">
        <v>24</v>
      </c>
      <c r="K421" s="9" t="n">
        <v>2280</v>
      </c>
      <c r="L421" t="inlineStr">
        <is>
          <t>PAID</t>
        </is>
      </c>
      <c r="M421">
        <f>IF(L421="VOIDED",0,1)</f>
        <v>1</v>
      </c>
      <c r="N421" t="n">
        <v>200</v>
      </c>
      <c r="O421" t="inlineStr">
        <is>
          <t>GST on Income</t>
        </is>
      </c>
      <c r="P421" t="inlineStr">
        <is>
          <t>R05</t>
        </is>
      </c>
      <c r="Q421" t="inlineStr">
        <is>
          <t>HIRE-ST</t>
        </is>
      </c>
      <c r="R421">
        <f>IF(OR(Q421="CONTEXT",Q421="REVIEW"),"",INDEX('Category Rules'!$D$5:$D$17,MATCH(P421,'Category Rules'!$A$5:$A$17,0)))</f>
        <v>4010</v>
      </c>
      <c r="S421" t="str">
        <f>IF(Q421="CONTEXT","Scaffolding",IF(Q421="REVIEW","",INDEX('Category Rules'!$E$5:$E$17,MATCH(P421,'Category Rules'!$A$5:$A$17,0))))</f>
        <v>Scaffolding</v>
      </c>
      <c r="T421" t="str">
        <f>IF(Q421="DEP","BAS Excluded","GST on Income")</f>
        <v>GST on Income</v>
      </c>
      <c r="U421">
        <f>IF(O421=T421,1,0)</f>
        <v>1</v>
      </c>
      <c r="V421" s="9">
        <f>IF(OR(M421=0,U421=1),0,IF(T421="GST on Income",ROUND(K421*0.1,2),ROUND(-K421*0.1,2)))</f>
        <v>0</v>
      </c>
    </row>
    <row r="422">
      <c r="A422" t="inlineStr">
        <is>
          <t>INV-5418-1</t>
        </is>
      </c>
      <c r="B422" t="inlineStr">
        <is>
          <t>INV-5418</t>
        </is>
      </c>
      <c r="C422" s="11" t="n">
        <v>45908</v>
      </c>
      <c r="D422" t="inlineStr">
        <is>
          <t>2025-09</t>
        </is>
      </c>
      <c r="E422" t="inlineStr">
        <is>
          <t>C0002</t>
        </is>
      </c>
      <c r="F422" t="inlineStr">
        <is>
          <t>C0002</t>
        </is>
      </c>
      <c r="G422" t="inlineStr">
        <is>
          <t>Summit Building Group</t>
        </is>
      </c>
      <c r="H422" t="inlineStr">
        <is>
          <t>S0288</t>
        </is>
      </c>
      <c r="I422" t="inlineStr">
        <is>
          <t>Scaffold tower hire 1 wks (07/09/25-07/09/25) - 3 towers</t>
        </is>
      </c>
      <c r="J422" t="n">
        <v>3</v>
      </c>
      <c r="K422" s="9" t="n">
        <v>285</v>
      </c>
      <c r="L422" t="inlineStr">
        <is>
          <t>PAID</t>
        </is>
      </c>
      <c r="M422">
        <f>IF(L422="VOIDED",0,1)</f>
        <v>1</v>
      </c>
      <c r="N422" t="n">
        <v>200</v>
      </c>
      <c r="O422" t="inlineStr">
        <is>
          <t>GST on Income</t>
        </is>
      </c>
      <c r="P422" t="inlineStr">
        <is>
          <t>R05</t>
        </is>
      </c>
      <c r="Q422" t="inlineStr">
        <is>
          <t>HIRE-ST</t>
        </is>
      </c>
      <c r="R422">
        <f>IF(OR(Q422="CONTEXT",Q422="REVIEW"),"",INDEX('Category Rules'!$D$5:$D$17,MATCH(P422,'Category Rules'!$A$5:$A$17,0)))</f>
        <v>4010</v>
      </c>
      <c r="S422" t="str">
        <f>IF(Q422="CONTEXT","Scaffolding",IF(Q422="REVIEW","",INDEX('Category Rules'!$E$5:$E$17,MATCH(P422,'Category Rules'!$A$5:$A$17,0))))</f>
        <v>Scaffolding</v>
      </c>
      <c r="T422" t="str">
        <f>IF(Q422="DEP","BAS Excluded","GST on Income")</f>
        <v>GST on Income</v>
      </c>
      <c r="U422">
        <f>IF(O422=T422,1,0)</f>
        <v>1</v>
      </c>
      <c r="V422" s="9">
        <f>IF(OR(M422=0,U422=1),0,IF(T422="GST on Income",ROUND(K422*0.1,2),ROUND(-K422*0.1,2)))</f>
        <v>0</v>
      </c>
    </row>
    <row r="423">
      <c r="A423" t="inlineStr">
        <is>
          <t>INV-5420-1</t>
        </is>
      </c>
      <c r="B423" t="inlineStr">
        <is>
          <t>INV-5420</t>
        </is>
      </c>
      <c r="C423" s="11" t="n">
        <v>45908</v>
      </c>
      <c r="D423" t="inlineStr">
        <is>
          <t>2025-09</t>
        </is>
      </c>
      <c r="E423" t="inlineStr">
        <is>
          <t>C0002</t>
        </is>
      </c>
      <c r="F423" t="inlineStr">
        <is>
          <t>C0002</t>
        </is>
      </c>
      <c r="G423" t="inlineStr">
        <is>
          <t>Summit Building Group</t>
        </is>
      </c>
      <c r="H423" t="inlineStr">
        <is>
          <t>S0288</t>
        </is>
      </c>
      <c r="I423" t="inlineStr">
        <is>
          <t>Scaffold dismantle - 3 tower(s)</t>
        </is>
      </c>
      <c r="J423" t="n">
        <v>3</v>
      </c>
      <c r="K423" s="9" t="n">
        <v>960</v>
      </c>
      <c r="L423" t="inlineStr">
        <is>
          <t>PAID</t>
        </is>
      </c>
      <c r="M423">
        <f>IF(L423="VOIDED",0,1)</f>
        <v>1</v>
      </c>
      <c r="N423" t="n">
        <v>200</v>
      </c>
      <c r="O423" t="inlineStr">
        <is>
          <t>GST on Income</t>
        </is>
      </c>
      <c r="P423" t="inlineStr">
        <is>
          <t>R08</t>
        </is>
      </c>
      <c r="Q423" t="inlineStr">
        <is>
          <t>LAB-ST</t>
        </is>
      </c>
      <c r="R423">
        <f>IF(OR(Q423="CONTEXT",Q423="REVIEW"),"",INDEX('Category Rules'!$D$5:$D$17,MATCH(P423,'Category Rules'!$A$5:$A$17,0)))</f>
        <v>4020</v>
      </c>
      <c r="S423" t="str">
        <f>IF(Q423="CONTEXT","Scaffolding",IF(Q423="REVIEW","",INDEX('Category Rules'!$E$5:$E$17,MATCH(P423,'Category Rules'!$A$5:$A$17,0))))</f>
        <v>Scaffolding</v>
      </c>
      <c r="T423" t="str">
        <f>IF(Q423="DEP","BAS Excluded","GST on Income")</f>
        <v>GST on Income</v>
      </c>
      <c r="U423">
        <f>IF(O423=T423,1,0)</f>
        <v>1</v>
      </c>
      <c r="V423" s="9">
        <f>IF(OR(M423=0,U423=1),0,IF(T423="GST on Income",ROUND(K423*0.1,2),ROUND(-K423*0.1,2)))</f>
        <v>0</v>
      </c>
    </row>
    <row r="424">
      <c r="A424" t="inlineStr">
        <is>
          <t>INV-5574-1</t>
        </is>
      </c>
      <c r="B424" t="inlineStr">
        <is>
          <t>INV-5574</t>
        </is>
      </c>
      <c r="C424" s="11" t="n">
        <v>45908</v>
      </c>
      <c r="D424" t="inlineStr">
        <is>
          <t>2025-09</t>
        </is>
      </c>
      <c r="E424" t="inlineStr">
        <is>
          <t>C0091</t>
        </is>
      </c>
      <c r="F424" t="inlineStr">
        <is>
          <t>C0091</t>
        </is>
      </c>
      <c r="G424" t="inlineStr">
        <is>
          <t>Zoe Martin</t>
        </is>
      </c>
      <c r="H424" t="inlineStr">
        <is>
          <t>S0365</t>
        </is>
      </c>
      <c r="I424" t="inlineStr">
        <is>
          <t>Roof repair labour - 3 hrs</t>
        </is>
      </c>
      <c r="J424" t="n">
        <v>3</v>
      </c>
      <c r="K424" s="9" t="n">
        <v>294</v>
      </c>
      <c r="L424" t="inlineStr">
        <is>
          <t>PAID</t>
        </is>
      </c>
      <c r="M424">
        <f>IF(L424="VOIDED",0,1)</f>
        <v>1</v>
      </c>
      <c r="N424" t="n">
        <v>200</v>
      </c>
      <c r="O424" t="inlineStr">
        <is>
          <t>GST on Income</t>
        </is>
      </c>
      <c r="P424" t="inlineStr">
        <is>
          <t>R10</t>
        </is>
      </c>
      <c r="Q424" t="inlineStr">
        <is>
          <t>LAB-RF</t>
        </is>
      </c>
      <c r="R424">
        <f>IF(OR(Q424="CONTEXT",Q424="REVIEW"),"",INDEX('Category Rules'!$D$5:$D$17,MATCH(P424,'Category Rules'!$A$5:$A$17,0)))</f>
        <v>4020</v>
      </c>
      <c r="S424" t="str">
        <f>IF(Q424="CONTEXT","Roofing",IF(Q424="REVIEW","",INDEX('Category Rules'!$E$5:$E$17,MATCH(P424,'Category Rules'!$A$5:$A$17,0))))</f>
        <v>Roofing</v>
      </c>
      <c r="T424" t="str">
        <f>IF(Q424="DEP","BAS Excluded","GST on Income")</f>
        <v>GST on Income</v>
      </c>
      <c r="U424">
        <f>IF(O424=T424,1,0)</f>
        <v>1</v>
      </c>
      <c r="V424" s="9">
        <f>IF(OR(M424=0,U424=1),0,IF(T424="GST on Income",ROUND(K424*0.1,2),ROUND(-K424*0.1,2)))</f>
        <v>0</v>
      </c>
    </row>
    <row r="425">
      <c r="A425" t="inlineStr">
        <is>
          <t>INV-5574-2</t>
        </is>
      </c>
      <c r="B425" t="inlineStr">
        <is>
          <t>INV-5574</t>
        </is>
      </c>
      <c r="C425" s="11" t="n">
        <v>45908</v>
      </c>
      <c r="D425" t="inlineStr">
        <is>
          <t>2025-09</t>
        </is>
      </c>
      <c r="E425" t="inlineStr">
        <is>
          <t>C0091</t>
        </is>
      </c>
      <c r="F425" t="inlineStr">
        <is>
          <t>C0091</t>
        </is>
      </c>
      <c r="G425" t="inlineStr">
        <is>
          <t>Zoe Martin</t>
        </is>
      </c>
      <c r="H425" t="inlineStr">
        <is>
          <t>S0365</t>
        </is>
      </c>
      <c r="I425" t="inlineStr">
        <is>
          <t>Materials - flashing</t>
        </is>
      </c>
      <c r="J425" t="n">
        <v>1</v>
      </c>
      <c r="K425" s="9" t="n">
        <v>1025.48</v>
      </c>
      <c r="L425" t="inlineStr">
        <is>
          <t>PAID</t>
        </is>
      </c>
      <c r="M425">
        <f>IF(L425="VOIDED",0,1)</f>
        <v>1</v>
      </c>
      <c r="N425" t="n">
        <v>200</v>
      </c>
      <c r="O425" t="inlineStr">
        <is>
          <t>GST on Income</t>
        </is>
      </c>
      <c r="P425" t="inlineStr">
        <is>
          <t>R11</t>
        </is>
      </c>
      <c r="Q425" t="inlineStr">
        <is>
          <t>MAT-RF</t>
        </is>
      </c>
      <c r="R425">
        <f>IF(OR(Q425="CONTEXT",Q425="REVIEW"),"",INDEX('Category Rules'!$D$5:$D$17,MATCH(P425,'Category Rules'!$A$5:$A$17,0)))</f>
        <v>4030</v>
      </c>
      <c r="S425" t="str">
        <f>IF(Q425="CONTEXT","Roofing",IF(Q425="REVIEW","",INDEX('Category Rules'!$E$5:$E$17,MATCH(P425,'Category Rules'!$A$5:$A$17,0))))</f>
        <v>Roofing</v>
      </c>
      <c r="T425" t="str">
        <f>IF(Q425="DEP","BAS Excluded","GST on Income")</f>
        <v>GST on Income</v>
      </c>
      <c r="U425">
        <f>IF(O425=T425,1,0)</f>
        <v>1</v>
      </c>
      <c r="V425" s="9">
        <f>IF(OR(M425=0,U425=1),0,IF(T425="GST on Income",ROUND(K425*0.1,2),ROUND(-K425*0.1,2)))</f>
        <v>0</v>
      </c>
    </row>
    <row r="426">
      <c r="A426" t="inlineStr">
        <is>
          <t>INV-5574-3</t>
        </is>
      </c>
      <c r="B426" t="inlineStr">
        <is>
          <t>INV-5574</t>
        </is>
      </c>
      <c r="C426" s="11" t="n">
        <v>45908</v>
      </c>
      <c r="D426" t="inlineStr">
        <is>
          <t>2025-09</t>
        </is>
      </c>
      <c r="E426" t="inlineStr">
        <is>
          <t>C0091</t>
        </is>
      </c>
      <c r="F426" t="inlineStr">
        <is>
          <t>C0091</t>
        </is>
      </c>
      <c r="G426" t="inlineStr">
        <is>
          <t>Zoe Martin</t>
        </is>
      </c>
      <c r="H426" t="inlineStr">
        <is>
          <t>S0365</t>
        </is>
      </c>
      <c r="I426" t="inlineStr">
        <is>
          <t>Waste removal and tip fees</t>
        </is>
      </c>
      <c r="J426" t="n">
        <v>1</v>
      </c>
      <c r="K426" s="9" t="n">
        <v>120</v>
      </c>
      <c r="L426" t="inlineStr">
        <is>
          <t>PAID</t>
        </is>
      </c>
      <c r="M426">
        <f>IF(L426="VOIDED",0,1)</f>
        <v>1</v>
      </c>
      <c r="N426" t="n">
        <v>200</v>
      </c>
      <c r="O426" t="inlineStr">
        <is>
          <t>GST on Income</t>
        </is>
      </c>
      <c r="P426" t="inlineStr">
        <is>
          <t>R11</t>
        </is>
      </c>
      <c r="Q426" t="inlineStr">
        <is>
          <t>MAT-RF</t>
        </is>
      </c>
      <c r="R426">
        <f>IF(OR(Q426="CONTEXT",Q426="REVIEW"),"",INDEX('Category Rules'!$D$5:$D$17,MATCH(P426,'Category Rules'!$A$5:$A$17,0)))</f>
        <v>4030</v>
      </c>
      <c r="S426" t="str">
        <f>IF(Q426="CONTEXT","Roofing",IF(Q426="REVIEW","",INDEX('Category Rules'!$E$5:$E$17,MATCH(P426,'Category Rules'!$A$5:$A$17,0))))</f>
        <v>Roofing</v>
      </c>
      <c r="T426" t="str">
        <f>IF(Q426="DEP","BAS Excluded","GST on Income")</f>
        <v>GST on Income</v>
      </c>
      <c r="U426">
        <f>IF(O426=T426,1,0)</f>
        <v>1</v>
      </c>
      <c r="V426" s="9">
        <f>IF(OR(M426=0,U426=1),0,IF(T426="GST on Income",ROUND(K426*0.1,2),ROUND(-K426*0.1,2)))</f>
        <v>0</v>
      </c>
    </row>
    <row r="427">
      <c r="A427" t="inlineStr">
        <is>
          <t>INV-4418-1</t>
        </is>
      </c>
      <c r="B427" t="inlineStr">
        <is>
          <t>INV-4418</t>
        </is>
      </c>
      <c r="C427" s="11" t="n">
        <v>45909</v>
      </c>
      <c r="D427" t="inlineStr">
        <is>
          <t>2025-09</t>
        </is>
      </c>
      <c r="E427" t="inlineStr">
        <is>
          <t>C0070</t>
        </is>
      </c>
      <c r="F427" t="inlineStr">
        <is>
          <t>C0070</t>
        </is>
      </c>
      <c r="G427" t="inlineStr">
        <is>
          <t>Banyule City Council</t>
        </is>
      </c>
      <c r="H427" t="inlineStr">
        <is>
          <t>S0063</t>
        </is>
      </c>
      <c r="I427" t="inlineStr">
        <is>
          <t>Delivery and installation - temporary fencing</t>
        </is>
      </c>
      <c r="J427" t="n">
        <v>1</v>
      </c>
      <c r="K427" s="9" t="n">
        <v>165</v>
      </c>
      <c r="L427" t="inlineStr">
        <is>
          <t>PAID</t>
        </is>
      </c>
      <c r="M427">
        <f>IF(L427="VOIDED",0,1)</f>
        <v>1</v>
      </c>
      <c r="N427" t="n">
        <v>260</v>
      </c>
      <c r="O427" t="inlineStr">
        <is>
          <t>GST on Income</t>
        </is>
      </c>
      <c r="P427" t="inlineStr">
        <is>
          <t>R07</t>
        </is>
      </c>
      <c r="Q427" t="inlineStr">
        <is>
          <t>DEL-FP</t>
        </is>
      </c>
      <c r="R427">
        <f>IF(OR(Q427="CONTEXT",Q427="REVIEW"),"",INDEX('Category Rules'!$D$5:$D$17,MATCH(P427,'Category Rules'!$A$5:$A$17,0)))</f>
        <v>4020</v>
      </c>
      <c r="S427" t="str">
        <f>IF(Q427="CONTEXT","Fencing",IF(Q427="REVIEW","",INDEX('Category Rules'!$E$5:$E$17,MATCH(P427,'Category Rules'!$A$5:$A$17,0))))</f>
        <v>Fencing</v>
      </c>
      <c r="T427" t="str">
        <f>IF(Q427="DEP","BAS Excluded","GST on Income")</f>
        <v>GST on Income</v>
      </c>
      <c r="U427">
        <f>IF(O427=T427,1,0)</f>
        <v>1</v>
      </c>
      <c r="V427" s="9">
        <f>IF(OR(M427=0,U427=1),0,IF(T427="GST on Income",ROUND(K427*0.1,2),ROUND(-K427*0.1,2)))</f>
        <v>0</v>
      </c>
    </row>
    <row r="428">
      <c r="A428" t="inlineStr">
        <is>
          <t>INV-4418-2</t>
        </is>
      </c>
      <c r="B428" t="inlineStr">
        <is>
          <t>INV-4418</t>
        </is>
      </c>
      <c r="C428" s="11" t="n">
        <v>45909</v>
      </c>
      <c r="D428" t="inlineStr">
        <is>
          <t>2025-09</t>
        </is>
      </c>
      <c r="E428" t="inlineStr">
        <is>
          <t>C0070</t>
        </is>
      </c>
      <c r="F428" t="inlineStr">
        <is>
          <t>C0070</t>
        </is>
      </c>
      <c r="G428" t="inlineStr">
        <is>
          <t>Banyule City Council</t>
        </is>
      </c>
      <c r="H428" t="inlineStr">
        <is>
          <t>S0063</t>
        </is>
      </c>
      <c r="I428" t="inlineStr">
        <is>
          <t>Installation labour - 32 panels @ 2.20</t>
        </is>
      </c>
      <c r="J428" t="n">
        <v>32</v>
      </c>
      <c r="K428" s="9" t="n">
        <v>70.40000000000001</v>
      </c>
      <c r="L428" t="inlineStr">
        <is>
          <t>PAID</t>
        </is>
      </c>
      <c r="M428">
        <f>IF(L428="VOIDED",0,1)</f>
        <v>1</v>
      </c>
      <c r="N428" t="n">
        <v>200</v>
      </c>
      <c r="O428" t="inlineStr">
        <is>
          <t>GST on Income</t>
        </is>
      </c>
      <c r="P428" t="inlineStr">
        <is>
          <t>R07</t>
        </is>
      </c>
      <c r="Q428" t="inlineStr">
        <is>
          <t>DEL-FP</t>
        </is>
      </c>
      <c r="R428">
        <f>IF(OR(Q428="CONTEXT",Q428="REVIEW"),"",INDEX('Category Rules'!$D$5:$D$17,MATCH(P428,'Category Rules'!$A$5:$A$17,0)))</f>
        <v>4020</v>
      </c>
      <c r="S428" t="str">
        <f>IF(Q428="CONTEXT","Fencing",IF(Q428="REVIEW","",INDEX('Category Rules'!$E$5:$E$17,MATCH(P428,'Category Rules'!$A$5:$A$17,0))))</f>
        <v>Fencing</v>
      </c>
      <c r="T428" t="str">
        <f>IF(Q428="DEP","BAS Excluded","GST on Income")</f>
        <v>GST on Income</v>
      </c>
      <c r="U428">
        <f>IF(O428=T428,1,0)</f>
        <v>1</v>
      </c>
      <c r="V428" s="9">
        <f>IF(OR(M428=0,U428=1),0,IF(T428="GST on Income",ROUND(K428*0.1,2),ROUND(-K428*0.1,2)))</f>
        <v>0</v>
      </c>
    </row>
    <row r="429">
      <c r="A429" t="inlineStr">
        <is>
          <t>INV-4471-1</t>
        </is>
      </c>
      <c r="B429" t="inlineStr">
        <is>
          <t>INV-4471</t>
        </is>
      </c>
      <c r="C429" s="11" t="n">
        <v>45909</v>
      </c>
      <c r="D429" t="inlineStr">
        <is>
          <t>2025-09</t>
        </is>
      </c>
      <c r="E429" t="inlineStr">
        <is>
          <t>C0040</t>
        </is>
      </c>
      <c r="F429" t="inlineStr">
        <is>
          <t>C0040</t>
        </is>
      </c>
      <c r="G429" t="inlineStr">
        <is>
          <t>Coastline Projects Pty Ltd</t>
        </is>
      </c>
      <c r="H429" t="inlineStr">
        <is>
          <t>S0076</t>
        </is>
      </c>
      <c r="I429" t="inlineStr">
        <is>
          <t>Delivery and installation - temporary fencing</t>
        </is>
      </c>
      <c r="J429" t="n">
        <v>1</v>
      </c>
      <c r="K429" s="9" t="n">
        <v>165</v>
      </c>
      <c r="L429" t="inlineStr">
        <is>
          <t>PAID</t>
        </is>
      </c>
      <c r="M429">
        <f>IF(L429="VOIDED",0,1)</f>
        <v>1</v>
      </c>
      <c r="N429" t="n">
        <v>200</v>
      </c>
      <c r="O429" t="inlineStr">
        <is>
          <t>GST on Income</t>
        </is>
      </c>
      <c r="P429" t="inlineStr">
        <is>
          <t>R07</t>
        </is>
      </c>
      <c r="Q429" t="inlineStr">
        <is>
          <t>DEL-FP</t>
        </is>
      </c>
      <c r="R429">
        <f>IF(OR(Q429="CONTEXT",Q429="REVIEW"),"",INDEX('Category Rules'!$D$5:$D$17,MATCH(P429,'Category Rules'!$A$5:$A$17,0)))</f>
        <v>4020</v>
      </c>
      <c r="S429" t="str">
        <f>IF(Q429="CONTEXT","Fencing",IF(Q429="REVIEW","",INDEX('Category Rules'!$E$5:$E$17,MATCH(P429,'Category Rules'!$A$5:$A$17,0))))</f>
        <v>Fencing</v>
      </c>
      <c r="T429" t="str">
        <f>IF(Q429="DEP","BAS Excluded","GST on Income")</f>
        <v>GST on Income</v>
      </c>
      <c r="U429">
        <f>IF(O429=T429,1,0)</f>
        <v>1</v>
      </c>
      <c r="V429" s="9">
        <f>IF(OR(M429=0,U429=1),0,IF(T429="GST on Income",ROUND(K429*0.1,2),ROUND(-K429*0.1,2)))</f>
        <v>0</v>
      </c>
    </row>
    <row r="430">
      <c r="A430" t="inlineStr">
        <is>
          <t>INV-4471-2</t>
        </is>
      </c>
      <c r="B430" t="inlineStr">
        <is>
          <t>INV-4471</t>
        </is>
      </c>
      <c r="C430" s="11" t="n">
        <v>45909</v>
      </c>
      <c r="D430" t="inlineStr">
        <is>
          <t>2025-09</t>
        </is>
      </c>
      <c r="E430" t="inlineStr">
        <is>
          <t>C0040</t>
        </is>
      </c>
      <c r="F430" t="inlineStr">
        <is>
          <t>C0040</t>
        </is>
      </c>
      <c r="G430" t="inlineStr">
        <is>
          <t>Coastline Projects Pty Ltd</t>
        </is>
      </c>
      <c r="H430" t="inlineStr">
        <is>
          <t>S0076</t>
        </is>
      </c>
      <c r="I430" t="inlineStr">
        <is>
          <t>Installation labour - 19 panels @ 2.20</t>
        </is>
      </c>
      <c r="J430" t="n">
        <v>19</v>
      </c>
      <c r="K430" s="9" t="n">
        <v>41.8</v>
      </c>
      <c r="L430" t="inlineStr">
        <is>
          <t>PAID</t>
        </is>
      </c>
      <c r="M430">
        <f>IF(L430="VOIDED",0,1)</f>
        <v>1</v>
      </c>
      <c r="N430" t="n">
        <v>200</v>
      </c>
      <c r="O430" t="inlineStr">
        <is>
          <t>GST on Income</t>
        </is>
      </c>
      <c r="P430" t="inlineStr">
        <is>
          <t>R07</t>
        </is>
      </c>
      <c r="Q430" t="inlineStr">
        <is>
          <t>DEL-FP</t>
        </is>
      </c>
      <c r="R430">
        <f>IF(OR(Q430="CONTEXT",Q430="REVIEW"),"",INDEX('Category Rules'!$D$5:$D$17,MATCH(P430,'Category Rules'!$A$5:$A$17,0)))</f>
        <v>4020</v>
      </c>
      <c r="S430" t="str">
        <f>IF(Q430="CONTEXT","Fencing",IF(Q430="REVIEW","",INDEX('Category Rules'!$E$5:$E$17,MATCH(P430,'Category Rules'!$A$5:$A$17,0))))</f>
        <v>Fencing</v>
      </c>
      <c r="T430" t="str">
        <f>IF(Q430="DEP","BAS Excluded","GST on Income")</f>
        <v>GST on Income</v>
      </c>
      <c r="U430">
        <f>IF(O430=T430,1,0)</f>
        <v>1</v>
      </c>
      <c r="V430" s="9">
        <f>IF(OR(M430=0,U430=1),0,IF(T430="GST on Income",ROUND(K430*0.1,2),ROUND(-K430*0.1,2)))</f>
        <v>0</v>
      </c>
    </row>
    <row r="431">
      <c r="A431" t="inlineStr">
        <is>
          <t>INV-4549-1</t>
        </is>
      </c>
      <c r="B431" t="inlineStr">
        <is>
          <t>INV-4549</t>
        </is>
      </c>
      <c r="C431" s="11" t="n">
        <v>45909</v>
      </c>
      <c r="D431" t="inlineStr">
        <is>
          <t>2025-09</t>
        </is>
      </c>
      <c r="E431" t="inlineStr">
        <is>
          <t>C0003</t>
        </is>
      </c>
      <c r="F431" t="inlineStr">
        <is>
          <t>C0003</t>
        </is>
      </c>
      <c r="G431" t="inlineStr">
        <is>
          <t>Summit Projects Pty Ltd</t>
        </is>
      </c>
      <c r="H431" t="inlineStr">
        <is>
          <t>S0090</t>
        </is>
      </c>
      <c r="I431" t="inlineStr">
        <is>
          <t>Temporary fence hire 4 wks (12/08/25-08/09/25) - 141 panels</t>
        </is>
      </c>
      <c r="J431" t="n">
        <v>564</v>
      </c>
      <c r="K431" s="9" t="n">
        <v>2538</v>
      </c>
      <c r="L431" t="inlineStr">
        <is>
          <t>PAID</t>
        </is>
      </c>
      <c r="M431">
        <f>IF(L431="VOIDED",0,1)</f>
        <v>1</v>
      </c>
      <c r="N431" t="n">
        <v>200</v>
      </c>
      <c r="O431" t="inlineStr">
        <is>
          <t>GST on Income</t>
        </is>
      </c>
      <c r="P431" t="inlineStr">
        <is>
          <t>R03</t>
        </is>
      </c>
      <c r="Q431" t="inlineStr">
        <is>
          <t>HIRE-FP</t>
        </is>
      </c>
      <c r="R431">
        <f>IF(OR(Q431="CONTEXT",Q431="REVIEW"),"",INDEX('Category Rules'!$D$5:$D$17,MATCH(P431,'Category Rules'!$A$5:$A$17,0)))</f>
        <v>4010</v>
      </c>
      <c r="S431" t="str">
        <f>IF(Q431="CONTEXT","Fencing",IF(Q431="REVIEW","",INDEX('Category Rules'!$E$5:$E$17,MATCH(P431,'Category Rules'!$A$5:$A$17,0))))</f>
        <v>Fencing</v>
      </c>
      <c r="T431" t="str">
        <f>IF(Q431="DEP","BAS Excluded","GST on Income")</f>
        <v>GST on Income</v>
      </c>
      <c r="U431">
        <f>IF(O431=T431,1,0)</f>
        <v>1</v>
      </c>
      <c r="V431" s="9">
        <f>IF(OR(M431=0,U431=1),0,IF(T431="GST on Income",ROUND(K431*0.1,2),ROUND(-K431*0.1,2)))</f>
        <v>0</v>
      </c>
    </row>
    <row r="432">
      <c r="A432" t="inlineStr">
        <is>
          <t>INV-4551-1</t>
        </is>
      </c>
      <c r="B432" t="inlineStr">
        <is>
          <t>INV-4551</t>
        </is>
      </c>
      <c r="C432" s="11" t="n">
        <v>45909</v>
      </c>
      <c r="D432" t="inlineStr">
        <is>
          <t>2025-09</t>
        </is>
      </c>
      <c r="E432" t="inlineStr">
        <is>
          <t>C0003</t>
        </is>
      </c>
      <c r="F432" t="inlineStr">
        <is>
          <t>C0003</t>
        </is>
      </c>
      <c r="G432" t="inlineStr">
        <is>
          <t>Summit Projects Pty Ltd</t>
        </is>
      </c>
      <c r="H432" t="inlineStr">
        <is>
          <t>S0090</t>
        </is>
      </c>
      <c r="I432" t="inlineStr">
        <is>
          <t>Pedestrian barrier hire 4 wks (12/08/25-08/09/25) - 19 barriers</t>
        </is>
      </c>
      <c r="J432" t="n">
        <v>76</v>
      </c>
      <c r="K432" s="9" t="n">
        <v>243.2</v>
      </c>
      <c r="L432" t="inlineStr">
        <is>
          <t>PAID</t>
        </is>
      </c>
      <c r="M432">
        <f>IF(L432="VOIDED",0,1)</f>
        <v>1</v>
      </c>
      <c r="N432" t="n">
        <v>200</v>
      </c>
      <c r="O432" t="inlineStr">
        <is>
          <t>GST on Income</t>
        </is>
      </c>
      <c r="P432" t="inlineStr">
        <is>
          <t>R04</t>
        </is>
      </c>
      <c r="Q432" t="inlineStr">
        <is>
          <t>HIRE-BR</t>
        </is>
      </c>
      <c r="R432">
        <f>IF(OR(Q432="CONTEXT",Q432="REVIEW"),"",INDEX('Category Rules'!$D$5:$D$17,MATCH(P432,'Category Rules'!$A$5:$A$17,0)))</f>
        <v>4010</v>
      </c>
      <c r="S432" t="str">
        <f>IF(Q432="CONTEXT","Fencing",IF(Q432="REVIEW","",INDEX('Category Rules'!$E$5:$E$17,MATCH(P432,'Category Rules'!$A$5:$A$17,0))))</f>
        <v>Fencing</v>
      </c>
      <c r="T432" t="str">
        <f>IF(Q432="DEP","BAS Excluded","GST on Income")</f>
        <v>GST on Income</v>
      </c>
      <c r="U432">
        <f>IF(O432=T432,1,0)</f>
        <v>1</v>
      </c>
      <c r="V432" s="9">
        <f>IF(OR(M432=0,U432=1),0,IF(T432="GST on Income",ROUND(K432*0.1,2),ROUND(-K432*0.1,2)))</f>
        <v>0</v>
      </c>
    </row>
    <row r="433">
      <c r="A433" t="inlineStr">
        <is>
          <t>INV-4553-1</t>
        </is>
      </c>
      <c r="B433" t="inlineStr">
        <is>
          <t>INV-4553</t>
        </is>
      </c>
      <c r="C433" s="11" t="n">
        <v>45909</v>
      </c>
      <c r="D433" t="inlineStr">
        <is>
          <t>2025-09</t>
        </is>
      </c>
      <c r="E433" t="inlineStr">
        <is>
          <t>C0003</t>
        </is>
      </c>
      <c r="F433" t="inlineStr">
        <is>
          <t>C0003</t>
        </is>
      </c>
      <c r="G433" t="inlineStr">
        <is>
          <t>Summit Projects Pty Ltd</t>
        </is>
      </c>
      <c r="H433" t="inlineStr">
        <is>
          <t>S0090</t>
        </is>
      </c>
      <c r="I433" t="inlineStr">
        <is>
          <t>Collection and dismantle - temporary fencing</t>
        </is>
      </c>
      <c r="J433" t="n">
        <v>1</v>
      </c>
      <c r="K433" s="9" t="n">
        <v>165</v>
      </c>
      <c r="L433" t="inlineStr">
        <is>
          <t>PAID</t>
        </is>
      </c>
      <c r="M433">
        <f>IF(L433="VOIDED",0,1)</f>
        <v>1</v>
      </c>
      <c r="N433" t="n">
        <v>200</v>
      </c>
      <c r="O433" t="inlineStr">
        <is>
          <t>GST on Income</t>
        </is>
      </c>
      <c r="P433" t="inlineStr">
        <is>
          <t>R07</t>
        </is>
      </c>
      <c r="Q433" t="inlineStr">
        <is>
          <t>DEL-FP</t>
        </is>
      </c>
      <c r="R433">
        <f>IF(OR(Q433="CONTEXT",Q433="REVIEW"),"",INDEX('Category Rules'!$D$5:$D$17,MATCH(P433,'Category Rules'!$A$5:$A$17,0)))</f>
        <v>4020</v>
      </c>
      <c r="S433" t="str">
        <f>IF(Q433="CONTEXT","Fencing",IF(Q433="REVIEW","",INDEX('Category Rules'!$E$5:$E$17,MATCH(P433,'Category Rules'!$A$5:$A$17,0))))</f>
        <v>Fencing</v>
      </c>
      <c r="T433" t="str">
        <f>IF(Q433="DEP","BAS Excluded","GST on Income")</f>
        <v>GST on Income</v>
      </c>
      <c r="U433">
        <f>IF(O433=T433,1,0)</f>
        <v>1</v>
      </c>
      <c r="V433" s="9">
        <f>IF(OR(M433=0,U433=1),0,IF(T433="GST on Income",ROUND(K433*0.1,2),ROUND(-K433*0.1,2)))</f>
        <v>0</v>
      </c>
    </row>
    <row r="434">
      <c r="A434" t="inlineStr">
        <is>
          <t>INV-4610-1</t>
        </is>
      </c>
      <c r="B434" t="inlineStr">
        <is>
          <t>INV-4610</t>
        </is>
      </c>
      <c r="C434" s="11" t="n">
        <v>45909</v>
      </c>
      <c r="D434" t="inlineStr">
        <is>
          <t>2025-09</t>
        </is>
      </c>
      <c r="E434" t="inlineStr">
        <is>
          <t>C0024</t>
        </is>
      </c>
      <c r="F434" t="inlineStr">
        <is>
          <t>C0024</t>
        </is>
      </c>
      <c r="G434" t="inlineStr">
        <is>
          <t>Parkview Homes Pty Ltd</t>
        </is>
      </c>
      <c r="H434" t="inlineStr">
        <is>
          <t>S0101</t>
        </is>
      </c>
      <c r="I434" t="inlineStr">
        <is>
          <t>Delivery and installation - temporary fencing</t>
        </is>
      </c>
      <c r="J434" t="n">
        <v>1</v>
      </c>
      <c r="K434" s="9" t="n">
        <v>165</v>
      </c>
      <c r="L434" t="inlineStr">
        <is>
          <t>PAID</t>
        </is>
      </c>
      <c r="M434">
        <f>IF(L434="VOIDED",0,1)</f>
        <v>1</v>
      </c>
      <c r="N434" t="n">
        <v>200</v>
      </c>
      <c r="O434" t="inlineStr">
        <is>
          <t>GST on Income</t>
        </is>
      </c>
      <c r="P434" t="inlineStr">
        <is>
          <t>R07</t>
        </is>
      </c>
      <c r="Q434" t="inlineStr">
        <is>
          <t>DEL-FP</t>
        </is>
      </c>
      <c r="R434">
        <f>IF(OR(Q434="CONTEXT",Q434="REVIEW"),"",INDEX('Category Rules'!$D$5:$D$17,MATCH(P434,'Category Rules'!$A$5:$A$17,0)))</f>
        <v>4020</v>
      </c>
      <c r="S434" t="str">
        <f>IF(Q434="CONTEXT","Fencing",IF(Q434="REVIEW","",INDEX('Category Rules'!$E$5:$E$17,MATCH(P434,'Category Rules'!$A$5:$A$17,0))))</f>
        <v>Fencing</v>
      </c>
      <c r="T434" t="str">
        <f>IF(Q434="DEP","BAS Excluded","GST on Income")</f>
        <v>GST on Income</v>
      </c>
      <c r="U434">
        <f>IF(O434=T434,1,0)</f>
        <v>1</v>
      </c>
      <c r="V434" s="9">
        <f>IF(OR(M434=0,U434=1),0,IF(T434="GST on Income",ROUND(K434*0.1,2),ROUND(-K434*0.1,2)))</f>
        <v>0</v>
      </c>
    </row>
    <row r="435">
      <c r="A435" t="inlineStr">
        <is>
          <t>INV-4610-2</t>
        </is>
      </c>
      <c r="B435" t="inlineStr">
        <is>
          <t>INV-4610</t>
        </is>
      </c>
      <c r="C435" s="11" t="n">
        <v>45909</v>
      </c>
      <c r="D435" t="inlineStr">
        <is>
          <t>2025-09</t>
        </is>
      </c>
      <c r="E435" t="inlineStr">
        <is>
          <t>C0024</t>
        </is>
      </c>
      <c r="F435" t="inlineStr">
        <is>
          <t>C0024</t>
        </is>
      </c>
      <c r="G435" t="inlineStr">
        <is>
          <t>Parkview Homes Pty Ltd</t>
        </is>
      </c>
      <c r="H435" t="inlineStr">
        <is>
          <t>S0101</t>
        </is>
      </c>
      <c r="I435" t="inlineStr">
        <is>
          <t>Installation labour - 51 panels @ 2.20</t>
        </is>
      </c>
      <c r="J435" t="n">
        <v>51</v>
      </c>
      <c r="K435" s="9" t="n">
        <v>112.2</v>
      </c>
      <c r="L435" t="inlineStr">
        <is>
          <t>PAID</t>
        </is>
      </c>
      <c r="M435">
        <f>IF(L435="VOIDED",0,1)</f>
        <v>1</v>
      </c>
      <c r="N435" t="n">
        <v>200</v>
      </c>
      <c r="O435" t="inlineStr">
        <is>
          <t>GST on Income</t>
        </is>
      </c>
      <c r="P435" t="inlineStr">
        <is>
          <t>R07</t>
        </is>
      </c>
      <c r="Q435" t="inlineStr">
        <is>
          <t>DEL-FP</t>
        </is>
      </c>
      <c r="R435">
        <f>IF(OR(Q435="CONTEXT",Q435="REVIEW"),"",INDEX('Category Rules'!$D$5:$D$17,MATCH(P435,'Category Rules'!$A$5:$A$17,0)))</f>
        <v>4020</v>
      </c>
      <c r="S435" t="str">
        <f>IF(Q435="CONTEXT","Fencing",IF(Q435="REVIEW","",INDEX('Category Rules'!$E$5:$E$17,MATCH(P435,'Category Rules'!$A$5:$A$17,0))))</f>
        <v>Fencing</v>
      </c>
      <c r="T435" t="str">
        <f>IF(Q435="DEP","BAS Excluded","GST on Income")</f>
        <v>GST on Income</v>
      </c>
      <c r="U435">
        <f>IF(O435=T435,1,0)</f>
        <v>1</v>
      </c>
      <c r="V435" s="9">
        <f>IF(OR(M435=0,U435=1),0,IF(T435="GST on Income",ROUND(K435*0.1,2),ROUND(-K435*0.1,2)))</f>
        <v>0</v>
      </c>
    </row>
    <row r="436">
      <c r="A436" t="inlineStr">
        <is>
          <t>INV-5782-1</t>
        </is>
      </c>
      <c r="B436" t="inlineStr">
        <is>
          <t>INV-5782</t>
        </is>
      </c>
      <c r="C436" s="11" t="n">
        <v>45909</v>
      </c>
      <c r="D436" t="inlineStr">
        <is>
          <t>2025-09</t>
        </is>
      </c>
      <c r="E436" t="inlineStr">
        <is>
          <t>C0068</t>
        </is>
      </c>
      <c r="F436" t="inlineStr">
        <is>
          <t>C0068</t>
        </is>
      </c>
      <c r="G436" t="inlineStr">
        <is>
          <t>Coastline Claims Services</t>
        </is>
      </c>
      <c r="H436" t="inlineStr">
        <is>
          <t>S0481</t>
        </is>
      </c>
      <c r="I436" t="inlineStr">
        <is>
          <t>Make safe call-out</t>
        </is>
      </c>
      <c r="J436" t="n">
        <v>1</v>
      </c>
      <c r="K436" s="9" t="n">
        <v>385</v>
      </c>
      <c r="L436" t="inlineStr">
        <is>
          <t>PAID</t>
        </is>
      </c>
      <c r="M436">
        <f>IF(L436="VOIDED",0,1)</f>
        <v>1</v>
      </c>
      <c r="N436" t="n">
        <v>200</v>
      </c>
      <c r="O436" t="inlineStr">
        <is>
          <t>GST on Income</t>
        </is>
      </c>
      <c r="P436" t="inlineStr">
        <is>
          <t>R09</t>
        </is>
      </c>
      <c r="Q436" t="inlineStr">
        <is>
          <t>MS</t>
        </is>
      </c>
      <c r="R436">
        <f>IF(OR(Q436="CONTEXT",Q436="REVIEW"),"",INDEX('Category Rules'!$D$5:$D$17,MATCH(P436,'Category Rules'!$A$5:$A$17,0)))</f>
        <v>4020</v>
      </c>
      <c r="S436" t="str">
        <f>IF(Q436="CONTEXT","Make-safe",IF(Q436="REVIEW","",INDEX('Category Rules'!$E$5:$E$17,MATCH(P436,'Category Rules'!$A$5:$A$17,0))))</f>
        <v>Make-safe</v>
      </c>
      <c r="T436" t="str">
        <f>IF(Q436="DEP","BAS Excluded","GST on Income")</f>
        <v>GST on Income</v>
      </c>
      <c r="U436">
        <f>IF(O436=T436,1,0)</f>
        <v>1</v>
      </c>
      <c r="V436" s="9">
        <f>IF(OR(M436=0,U436=1),0,IF(T436="GST on Income",ROUND(K436*0.1,2),ROUND(-K436*0.1,2)))</f>
        <v>0</v>
      </c>
    </row>
    <row r="437">
      <c r="A437" t="inlineStr">
        <is>
          <t>INV-5936-1</t>
        </is>
      </c>
      <c r="B437" t="inlineStr">
        <is>
          <t>INV-5936</t>
        </is>
      </c>
      <c r="C437" s="11" t="n">
        <v>45909</v>
      </c>
      <c r="D437" t="inlineStr">
        <is>
          <t>2025-09</t>
        </is>
      </c>
      <c r="E437" t="inlineStr">
        <is>
          <t>C0019</t>
        </is>
      </c>
      <c r="F437" t="inlineStr">
        <is>
          <t>C0019</t>
        </is>
      </c>
      <c r="G437" t="inlineStr">
        <is>
          <t>Metro Developments</t>
        </is>
      </c>
      <c r="H437" t="inlineStr">
        <is>
          <t>S0424</t>
        </is>
      </c>
      <c r="I437" t="inlineStr">
        <is>
          <t>Job 4063 - progress claim</t>
        </is>
      </c>
      <c r="J437" t="n">
        <v>1</v>
      </c>
      <c r="K437" s="9" t="n">
        <v>1610.68</v>
      </c>
      <c r="L437" t="inlineStr">
        <is>
          <t>PAID</t>
        </is>
      </c>
      <c r="M437">
        <f>IF(L437="VOIDED",0,1)</f>
        <v>1</v>
      </c>
      <c r="N437" t="n">
        <v>200</v>
      </c>
      <c r="O437" t="inlineStr">
        <is>
          <t>GST on Income</t>
        </is>
      </c>
      <c r="P437" t="inlineStr">
        <is>
          <t>R12</t>
        </is>
      </c>
      <c r="Q437" t="inlineStr">
        <is>
          <t>CONTEXT</t>
        </is>
      </c>
      <c r="R437">
        <f>IF(OR(Q437="CONTEXT",Q437="REVIEW"),"",INDEX('Category Rules'!$D$5:$D$17,MATCH(P437,'Category Rules'!$A$5:$A$17,0)))</f>
      </c>
      <c r="S437" t="str">
        <f>IF(Q437="CONTEXT","Roofing",IF(Q437="REVIEW","",INDEX('Category Rules'!$E$5:$E$17,MATCH(P437,'Category Rules'!$A$5:$A$17,0))))</f>
        <v>Roofing</v>
      </c>
      <c r="T437" t="str">
        <f>IF(Q437="DEP","BAS Excluded","GST on Income")</f>
        <v>GST on Income</v>
      </c>
      <c r="U437">
        <f>IF(O437=T437,1,0)</f>
        <v>1</v>
      </c>
      <c r="V437" s="9">
        <f>IF(OR(M437=0,U437=1),0,IF(T437="GST on Income",ROUND(K437*0.1,2),ROUND(-K437*0.1,2)))</f>
        <v>0</v>
      </c>
    </row>
    <row r="438">
      <c r="A438" t="inlineStr">
        <is>
          <t>INV-5495-1</t>
        </is>
      </c>
      <c r="B438" t="inlineStr">
        <is>
          <t>INV-5495</t>
        </is>
      </c>
      <c r="C438" s="11" t="n">
        <v>45910</v>
      </c>
      <c r="D438" t="inlineStr">
        <is>
          <t>2025-09</t>
        </is>
      </c>
      <c r="E438" t="inlineStr">
        <is>
          <t>C0048</t>
        </is>
      </c>
      <c r="F438" t="inlineStr">
        <is>
          <t>C0048</t>
        </is>
      </c>
      <c r="G438" t="inlineStr">
        <is>
          <t>Banksia Strata Management</t>
        </is>
      </c>
      <c r="H438" t="inlineStr">
        <is>
          <t>S0324</t>
        </is>
      </c>
      <c r="I438" t="inlineStr">
        <is>
          <t>Emergency make safe call-out - after hours</t>
        </is>
      </c>
      <c r="J438" t="n">
        <v>1</v>
      </c>
      <c r="K438" s="9" t="n">
        <v>560</v>
      </c>
      <c r="L438" t="inlineStr">
        <is>
          <t>PAID</t>
        </is>
      </c>
      <c r="M438">
        <f>IF(L438="VOIDED",0,1)</f>
        <v>1</v>
      </c>
      <c r="N438" t="n">
        <v>200</v>
      </c>
      <c r="O438" t="inlineStr">
        <is>
          <t>GST on Income</t>
        </is>
      </c>
      <c r="P438" t="inlineStr">
        <is>
          <t>R09</t>
        </is>
      </c>
      <c r="Q438" t="inlineStr">
        <is>
          <t>MS</t>
        </is>
      </c>
      <c r="R438">
        <f>IF(OR(Q438="CONTEXT",Q438="REVIEW"),"",INDEX('Category Rules'!$D$5:$D$17,MATCH(P438,'Category Rules'!$A$5:$A$17,0)))</f>
        <v>4020</v>
      </c>
      <c r="S438" t="str">
        <f>IF(Q438="CONTEXT","Make-safe",IF(Q438="REVIEW","",INDEX('Category Rules'!$E$5:$E$17,MATCH(P438,'Category Rules'!$A$5:$A$17,0))))</f>
        <v>Make-safe</v>
      </c>
      <c r="T438" t="str">
        <f>IF(Q438="DEP","BAS Excluded","GST on Income")</f>
        <v>GST on Income</v>
      </c>
      <c r="U438">
        <f>IF(O438=T438,1,0)</f>
        <v>1</v>
      </c>
      <c r="V438" s="9">
        <f>IF(OR(M438=0,U438=1),0,IF(T438="GST on Income",ROUND(K438*0.1,2),ROUND(-K438*0.1,2)))</f>
        <v>0</v>
      </c>
    </row>
    <row r="439">
      <c r="A439" t="inlineStr">
        <is>
          <t>INV-5495-2</t>
        </is>
      </c>
      <c r="B439" t="inlineStr">
        <is>
          <t>INV-5495</t>
        </is>
      </c>
      <c r="C439" s="11" t="n">
        <v>45910</v>
      </c>
      <c r="D439" t="inlineStr">
        <is>
          <t>2025-09</t>
        </is>
      </c>
      <c r="E439" t="inlineStr">
        <is>
          <t>C0048</t>
        </is>
      </c>
      <c r="F439" t="inlineStr">
        <is>
          <t>C0048</t>
        </is>
      </c>
      <c r="G439" t="inlineStr">
        <is>
          <t>Banksia Strata Management</t>
        </is>
      </c>
      <c r="H439" t="inlineStr">
        <is>
          <t>S0324</t>
        </is>
      </c>
      <c r="I439" t="inlineStr">
        <is>
          <t>Tarp supply and install - 2 tarp(s)</t>
        </is>
      </c>
      <c r="J439" t="n">
        <v>2</v>
      </c>
      <c r="K439" s="9" t="n">
        <v>480</v>
      </c>
      <c r="L439" t="inlineStr">
        <is>
          <t>PAID</t>
        </is>
      </c>
      <c r="M439">
        <f>IF(L439="VOIDED",0,1)</f>
        <v>1</v>
      </c>
      <c r="N439" t="n">
        <v>200</v>
      </c>
      <c r="O439" t="inlineStr">
        <is>
          <t>GST on Income</t>
        </is>
      </c>
      <c r="P439" t="inlineStr">
        <is>
          <t>R09</t>
        </is>
      </c>
      <c r="Q439" t="inlineStr">
        <is>
          <t>MS</t>
        </is>
      </c>
      <c r="R439">
        <f>IF(OR(Q439="CONTEXT",Q439="REVIEW"),"",INDEX('Category Rules'!$D$5:$D$17,MATCH(P439,'Category Rules'!$A$5:$A$17,0)))</f>
        <v>4020</v>
      </c>
      <c r="S439" t="str">
        <f>IF(Q439="CONTEXT","Make-safe",IF(Q439="REVIEW","",INDEX('Category Rules'!$E$5:$E$17,MATCH(P439,'Category Rules'!$A$5:$A$17,0))))</f>
        <v>Make-safe</v>
      </c>
      <c r="T439" t="str">
        <f>IF(Q439="DEP","BAS Excluded","GST on Income")</f>
        <v>GST on Income</v>
      </c>
      <c r="U439">
        <f>IF(O439=T439,1,0)</f>
        <v>1</v>
      </c>
      <c r="V439" s="9">
        <f>IF(OR(M439=0,U439=1),0,IF(T439="GST on Income",ROUND(K439*0.1,2),ROUND(-K439*0.1,2)))</f>
        <v>0</v>
      </c>
    </row>
    <row r="440">
      <c r="A440" t="inlineStr">
        <is>
          <t>INV-5542-1</t>
        </is>
      </c>
      <c r="B440" t="inlineStr">
        <is>
          <t>INV-5542</t>
        </is>
      </c>
      <c r="C440" s="11" t="n">
        <v>45910</v>
      </c>
      <c r="D440" t="inlineStr">
        <is>
          <t>2025-09</t>
        </is>
      </c>
      <c r="E440" t="inlineStr">
        <is>
          <t>C0064</t>
        </is>
      </c>
      <c r="F440" t="inlineStr">
        <is>
          <t>C0064</t>
        </is>
      </c>
      <c r="G440" t="inlineStr">
        <is>
          <t>Lakeside Claims Services Pty Ltd</t>
        </is>
      </c>
      <c r="H440" t="inlineStr">
        <is>
          <t>S0345</t>
        </is>
      </c>
      <c r="I440" t="inlineStr">
        <is>
          <t>Roof repair labour - 24 hrs</t>
        </is>
      </c>
      <c r="J440" t="n">
        <v>24</v>
      </c>
      <c r="K440" s="9" t="n">
        <v>2352</v>
      </c>
      <c r="L440" t="inlineStr">
        <is>
          <t>PAID</t>
        </is>
      </c>
      <c r="M440">
        <f>IF(L440="VOIDED",0,1)</f>
        <v>1</v>
      </c>
      <c r="N440" t="n">
        <v>200</v>
      </c>
      <c r="O440" t="inlineStr">
        <is>
          <t>GST on Income</t>
        </is>
      </c>
      <c r="P440" t="inlineStr">
        <is>
          <t>R10</t>
        </is>
      </c>
      <c r="Q440" t="inlineStr">
        <is>
          <t>LAB-RF</t>
        </is>
      </c>
      <c r="R440">
        <f>IF(OR(Q440="CONTEXT",Q440="REVIEW"),"",INDEX('Category Rules'!$D$5:$D$17,MATCH(P440,'Category Rules'!$A$5:$A$17,0)))</f>
        <v>4020</v>
      </c>
      <c r="S440" t="str">
        <f>IF(Q440="CONTEXT","Roofing",IF(Q440="REVIEW","",INDEX('Category Rules'!$E$5:$E$17,MATCH(P440,'Category Rules'!$A$5:$A$17,0))))</f>
        <v>Roofing</v>
      </c>
      <c r="T440" t="str">
        <f>IF(Q440="DEP","BAS Excluded","GST on Income")</f>
        <v>GST on Income</v>
      </c>
      <c r="U440">
        <f>IF(O440=T440,1,0)</f>
        <v>1</v>
      </c>
      <c r="V440" s="9">
        <f>IF(OR(M440=0,U440=1),0,IF(T440="GST on Income",ROUND(K440*0.1,2),ROUND(-K440*0.1,2)))</f>
        <v>0</v>
      </c>
    </row>
    <row r="441">
      <c r="A441" t="inlineStr">
        <is>
          <t>INV-5542-2</t>
        </is>
      </c>
      <c r="B441" t="inlineStr">
        <is>
          <t>INV-5542</t>
        </is>
      </c>
      <c r="C441" s="11" t="n">
        <v>45910</v>
      </c>
      <c r="D441" t="inlineStr">
        <is>
          <t>2025-09</t>
        </is>
      </c>
      <c r="E441" t="inlineStr">
        <is>
          <t>C0064</t>
        </is>
      </c>
      <c r="F441" t="inlineStr">
        <is>
          <t>C0064</t>
        </is>
      </c>
      <c r="G441" t="inlineStr">
        <is>
          <t>Lakeside Claims Services Pty Ltd</t>
        </is>
      </c>
      <c r="H441" t="inlineStr">
        <is>
          <t>S0345</t>
        </is>
      </c>
      <c r="I441" t="inlineStr">
        <is>
          <t>Materials - roof tiles (matched)</t>
        </is>
      </c>
      <c r="J441" t="n">
        <v>1</v>
      </c>
      <c r="K441" s="9" t="n">
        <v>641.25</v>
      </c>
      <c r="L441" t="inlineStr">
        <is>
          <t>PAID</t>
        </is>
      </c>
      <c r="M441">
        <f>IF(L441="VOIDED",0,1)</f>
        <v>1</v>
      </c>
      <c r="N441" t="n">
        <v>200</v>
      </c>
      <c r="O441" t="inlineStr">
        <is>
          <t>GST on Income</t>
        </is>
      </c>
      <c r="P441" t="inlineStr">
        <is>
          <t>R11</t>
        </is>
      </c>
      <c r="Q441" t="inlineStr">
        <is>
          <t>MAT-RF</t>
        </is>
      </c>
      <c r="R441">
        <f>IF(OR(Q441="CONTEXT",Q441="REVIEW"),"",INDEX('Category Rules'!$D$5:$D$17,MATCH(P441,'Category Rules'!$A$5:$A$17,0)))</f>
        <v>4030</v>
      </c>
      <c r="S441" t="str">
        <f>IF(Q441="CONTEXT","Roofing",IF(Q441="REVIEW","",INDEX('Category Rules'!$E$5:$E$17,MATCH(P441,'Category Rules'!$A$5:$A$17,0))))</f>
        <v>Roofing</v>
      </c>
      <c r="T441" t="str">
        <f>IF(Q441="DEP","BAS Excluded","GST on Income")</f>
        <v>GST on Income</v>
      </c>
      <c r="U441">
        <f>IF(O441=T441,1,0)</f>
        <v>1</v>
      </c>
      <c r="V441" s="9">
        <f>IF(OR(M441=0,U441=1),0,IF(T441="GST on Income",ROUND(K441*0.1,2),ROUND(-K441*0.1,2)))</f>
        <v>0</v>
      </c>
    </row>
    <row r="442">
      <c r="A442" t="inlineStr">
        <is>
          <t>INV-5542-3</t>
        </is>
      </c>
      <c r="B442" t="inlineStr">
        <is>
          <t>INV-5542</t>
        </is>
      </c>
      <c r="C442" s="11" t="n">
        <v>45910</v>
      </c>
      <c r="D442" t="inlineStr">
        <is>
          <t>2025-09</t>
        </is>
      </c>
      <c r="E442" t="inlineStr">
        <is>
          <t>C0064</t>
        </is>
      </c>
      <c r="F442" t="inlineStr">
        <is>
          <t>C0064</t>
        </is>
      </c>
      <c r="G442" t="inlineStr">
        <is>
          <t>Lakeside Claims Services Pty Ltd</t>
        </is>
      </c>
      <c r="H442" t="inlineStr">
        <is>
          <t>S0345</t>
        </is>
      </c>
      <c r="I442" t="inlineStr">
        <is>
          <t>Materials - sealant and fixings</t>
        </is>
      </c>
      <c r="J442" t="n">
        <v>1</v>
      </c>
      <c r="K442" s="9" t="n">
        <v>113.49</v>
      </c>
      <c r="L442" t="inlineStr">
        <is>
          <t>PAID</t>
        </is>
      </c>
      <c r="M442">
        <f>IF(L442="VOIDED",0,1)</f>
        <v>1</v>
      </c>
      <c r="N442" t="n">
        <v>200</v>
      </c>
      <c r="O442" t="inlineStr">
        <is>
          <t>GST on Income</t>
        </is>
      </c>
      <c r="P442" t="inlineStr">
        <is>
          <t>R11</t>
        </is>
      </c>
      <c r="Q442" t="inlineStr">
        <is>
          <t>MAT-RF</t>
        </is>
      </c>
      <c r="R442">
        <f>IF(OR(Q442="CONTEXT",Q442="REVIEW"),"",INDEX('Category Rules'!$D$5:$D$17,MATCH(P442,'Category Rules'!$A$5:$A$17,0)))</f>
        <v>4030</v>
      </c>
      <c r="S442" t="str">
        <f>IF(Q442="CONTEXT","Roofing",IF(Q442="REVIEW","",INDEX('Category Rules'!$E$5:$E$17,MATCH(P442,'Category Rules'!$A$5:$A$17,0))))</f>
        <v>Roofing</v>
      </c>
      <c r="T442" t="str">
        <f>IF(Q442="DEP","BAS Excluded","GST on Income")</f>
        <v>GST on Income</v>
      </c>
      <c r="U442">
        <f>IF(O442=T442,1,0)</f>
        <v>1</v>
      </c>
      <c r="V442" s="9">
        <f>IF(OR(M442=0,U442=1),0,IF(T442="GST on Income",ROUND(K442*0.1,2),ROUND(-K442*0.1,2)))</f>
        <v>0</v>
      </c>
    </row>
    <row r="443">
      <c r="A443" t="inlineStr">
        <is>
          <t>INV-5542-4</t>
        </is>
      </c>
      <c r="B443" t="inlineStr">
        <is>
          <t>INV-5542</t>
        </is>
      </c>
      <c r="C443" s="11" t="n">
        <v>45910</v>
      </c>
      <c r="D443" t="inlineStr">
        <is>
          <t>2025-09</t>
        </is>
      </c>
      <c r="E443" t="inlineStr">
        <is>
          <t>C0064</t>
        </is>
      </c>
      <c r="F443" t="inlineStr">
        <is>
          <t>C0064</t>
        </is>
      </c>
      <c r="G443" t="inlineStr">
        <is>
          <t>Lakeside Claims Services Pty Ltd</t>
        </is>
      </c>
      <c r="H443" t="inlineStr">
        <is>
          <t>S0345</t>
        </is>
      </c>
      <c r="I443" t="inlineStr">
        <is>
          <t>Waste removal and tip fees</t>
        </is>
      </c>
      <c r="J443" t="n">
        <v>1</v>
      </c>
      <c r="K443" s="9" t="n">
        <v>120</v>
      </c>
      <c r="L443" t="inlineStr">
        <is>
          <t>PAID</t>
        </is>
      </c>
      <c r="M443">
        <f>IF(L443="VOIDED",0,1)</f>
        <v>1</v>
      </c>
      <c r="N443" t="n">
        <v>200</v>
      </c>
      <c r="O443" t="inlineStr">
        <is>
          <t>GST on Income</t>
        </is>
      </c>
      <c r="P443" t="inlineStr">
        <is>
          <t>R11</t>
        </is>
      </c>
      <c r="Q443" t="inlineStr">
        <is>
          <t>MAT-RF</t>
        </is>
      </c>
      <c r="R443">
        <f>IF(OR(Q443="CONTEXT",Q443="REVIEW"),"",INDEX('Category Rules'!$D$5:$D$17,MATCH(P443,'Category Rules'!$A$5:$A$17,0)))</f>
        <v>4030</v>
      </c>
      <c r="S443" t="str">
        <f>IF(Q443="CONTEXT","Roofing",IF(Q443="REVIEW","",INDEX('Category Rules'!$E$5:$E$17,MATCH(P443,'Category Rules'!$A$5:$A$17,0))))</f>
        <v>Roofing</v>
      </c>
      <c r="T443" t="str">
        <f>IF(Q443="DEP","BAS Excluded","GST on Income")</f>
        <v>GST on Income</v>
      </c>
      <c r="U443">
        <f>IF(O443=T443,1,0)</f>
        <v>1</v>
      </c>
      <c r="V443" s="9">
        <f>IF(OR(M443=0,U443=1),0,IF(T443="GST on Income",ROUND(K443*0.1,2),ROUND(-K443*0.1,2)))</f>
        <v>0</v>
      </c>
    </row>
    <row r="444">
      <c r="A444" t="inlineStr">
        <is>
          <t>INV-5711-1</t>
        </is>
      </c>
      <c r="B444" t="inlineStr">
        <is>
          <t>INV-5711</t>
        </is>
      </c>
      <c r="C444" s="11" t="n">
        <v>45910</v>
      </c>
      <c r="D444" t="inlineStr">
        <is>
          <t>2025-09</t>
        </is>
      </c>
      <c r="E444" t="inlineStr">
        <is>
          <t>C0104</t>
        </is>
      </c>
      <c r="F444" t="inlineStr">
        <is>
          <t>C0104</t>
        </is>
      </c>
      <c r="G444" t="inlineStr">
        <is>
          <t>Oscar Jones</t>
        </is>
      </c>
      <c r="H444" t="inlineStr">
        <is>
          <t>S0441</t>
        </is>
      </c>
      <c r="I444" t="inlineStr">
        <is>
          <t>Tarp kit hire 4 wks (13/08/25-09/09/25) - 2 kits</t>
        </is>
      </c>
      <c r="J444" t="n">
        <v>8</v>
      </c>
      <c r="K444" s="9" t="n">
        <v>280</v>
      </c>
      <c r="L444" t="inlineStr">
        <is>
          <t>PAID</t>
        </is>
      </c>
      <c r="M444">
        <f>IF(L444="VOIDED",0,1)</f>
        <v>1</v>
      </c>
      <c r="N444" t="n">
        <v>200</v>
      </c>
      <c r="O444" t="inlineStr">
        <is>
          <t>GST on Income</t>
        </is>
      </c>
      <c r="P444" t="inlineStr">
        <is>
          <t>R06</t>
        </is>
      </c>
      <c r="Q444" t="inlineStr">
        <is>
          <t>HIRE-TK</t>
        </is>
      </c>
      <c r="R444">
        <f>IF(OR(Q444="CONTEXT",Q444="REVIEW"),"",INDEX('Category Rules'!$D$5:$D$17,MATCH(P444,'Category Rules'!$A$5:$A$17,0)))</f>
        <v>4010</v>
      </c>
      <c r="S444" t="str">
        <f>IF(Q444="CONTEXT","Make-safe",IF(Q444="REVIEW","",INDEX('Category Rules'!$E$5:$E$17,MATCH(P444,'Category Rules'!$A$5:$A$17,0))))</f>
        <v>Make-safe</v>
      </c>
      <c r="T444" t="str">
        <f>IF(Q444="DEP","BAS Excluded","GST on Income")</f>
        <v>GST on Income</v>
      </c>
      <c r="U444">
        <f>IF(O444=T444,1,0)</f>
        <v>1</v>
      </c>
      <c r="V444" s="9">
        <f>IF(OR(M444=0,U444=1),0,IF(T444="GST on Income",ROUND(K444*0.1,2),ROUND(-K444*0.1,2)))</f>
        <v>0</v>
      </c>
    </row>
    <row r="445">
      <c r="A445" t="inlineStr">
        <is>
          <t>INV-5790-1</t>
        </is>
      </c>
      <c r="B445" t="inlineStr">
        <is>
          <t>INV-5790</t>
        </is>
      </c>
      <c r="C445" s="11" t="n">
        <v>45910</v>
      </c>
      <c r="D445" t="inlineStr">
        <is>
          <t>2025-09</t>
        </is>
      </c>
      <c r="E445" t="inlineStr">
        <is>
          <t>C0019</t>
        </is>
      </c>
      <c r="F445" t="inlineStr">
        <is>
          <t>C0019</t>
        </is>
      </c>
      <c r="G445" t="inlineStr">
        <is>
          <t>Metro Developments</t>
        </is>
      </c>
      <c r="H445" t="inlineStr">
        <is>
          <t>S0485</t>
        </is>
      </c>
      <c r="I445" t="inlineStr">
        <is>
          <t>Make safe call-out</t>
        </is>
      </c>
      <c r="J445" t="n">
        <v>1</v>
      </c>
      <c r="K445" s="9" t="n">
        <v>385</v>
      </c>
      <c r="L445" t="inlineStr">
        <is>
          <t>PAID</t>
        </is>
      </c>
      <c r="M445">
        <f>IF(L445="VOIDED",0,1)</f>
        <v>1</v>
      </c>
      <c r="N445" t="n">
        <v>200</v>
      </c>
      <c r="O445" t="inlineStr">
        <is>
          <t>GST on Income</t>
        </is>
      </c>
      <c r="P445" t="inlineStr">
        <is>
          <t>R09</t>
        </is>
      </c>
      <c r="Q445" t="inlineStr">
        <is>
          <t>MS</t>
        </is>
      </c>
      <c r="R445">
        <f>IF(OR(Q445="CONTEXT",Q445="REVIEW"),"",INDEX('Category Rules'!$D$5:$D$17,MATCH(P445,'Category Rules'!$A$5:$A$17,0)))</f>
        <v>4020</v>
      </c>
      <c r="S445" t="str">
        <f>IF(Q445="CONTEXT","Make-safe",IF(Q445="REVIEW","",INDEX('Category Rules'!$E$5:$E$17,MATCH(P445,'Category Rules'!$A$5:$A$17,0))))</f>
        <v>Make-safe</v>
      </c>
      <c r="T445" t="str">
        <f>IF(Q445="DEP","BAS Excluded","GST on Income")</f>
        <v>GST on Income</v>
      </c>
      <c r="U445">
        <f>IF(O445=T445,1,0)</f>
        <v>1</v>
      </c>
      <c r="V445" s="9">
        <f>IF(OR(M445=0,U445=1),0,IF(T445="GST on Income",ROUND(K445*0.1,2),ROUND(-K445*0.1,2)))</f>
        <v>0</v>
      </c>
    </row>
    <row r="446">
      <c r="A446" t="inlineStr">
        <is>
          <t>INV-5790-2</t>
        </is>
      </c>
      <c r="B446" t="inlineStr">
        <is>
          <t>INV-5790</t>
        </is>
      </c>
      <c r="C446" s="11" t="n">
        <v>45910</v>
      </c>
      <c r="D446" t="inlineStr">
        <is>
          <t>2025-09</t>
        </is>
      </c>
      <c r="E446" t="inlineStr">
        <is>
          <t>C0019</t>
        </is>
      </c>
      <c r="F446" t="inlineStr">
        <is>
          <t>C0019</t>
        </is>
      </c>
      <c r="G446" t="inlineStr">
        <is>
          <t>Metro Developments</t>
        </is>
      </c>
      <c r="H446" t="inlineStr">
        <is>
          <t>S0485</t>
        </is>
      </c>
      <c r="I446" t="inlineStr">
        <is>
          <t>Tarp supply and install - 3 tarp(s)</t>
        </is>
      </c>
      <c r="J446" t="n">
        <v>3</v>
      </c>
      <c r="K446" s="9" t="n">
        <v>720</v>
      </c>
      <c r="L446" t="inlineStr">
        <is>
          <t>PAID</t>
        </is>
      </c>
      <c r="M446">
        <f>IF(L446="VOIDED",0,1)</f>
        <v>1</v>
      </c>
      <c r="N446" t="n">
        <v>200</v>
      </c>
      <c r="O446" t="inlineStr">
        <is>
          <t>GST on Income</t>
        </is>
      </c>
      <c r="P446" t="inlineStr">
        <is>
          <t>R09</t>
        </is>
      </c>
      <c r="Q446" t="inlineStr">
        <is>
          <t>MS</t>
        </is>
      </c>
      <c r="R446">
        <f>IF(OR(Q446="CONTEXT",Q446="REVIEW"),"",INDEX('Category Rules'!$D$5:$D$17,MATCH(P446,'Category Rules'!$A$5:$A$17,0)))</f>
        <v>4020</v>
      </c>
      <c r="S446" t="str">
        <f>IF(Q446="CONTEXT","Make-safe",IF(Q446="REVIEW","",INDEX('Category Rules'!$E$5:$E$17,MATCH(P446,'Category Rules'!$A$5:$A$17,0))))</f>
        <v>Make-safe</v>
      </c>
      <c r="T446" t="str">
        <f>IF(Q446="DEP","BAS Excluded","GST on Income")</f>
        <v>GST on Income</v>
      </c>
      <c r="U446">
        <f>IF(O446=T446,1,0)</f>
        <v>1</v>
      </c>
      <c r="V446" s="9">
        <f>IF(OR(M446=0,U446=1),0,IF(T446="GST on Income",ROUND(K446*0.1,2),ROUND(-K446*0.1,2)))</f>
        <v>0</v>
      </c>
    </row>
    <row r="447">
      <c r="A447" t="inlineStr">
        <is>
          <t>INV-5873-1</t>
        </is>
      </c>
      <c r="B447" t="inlineStr">
        <is>
          <t>INV-5873</t>
        </is>
      </c>
      <c r="C447" s="11" t="n">
        <v>45910</v>
      </c>
      <c r="D447" t="inlineStr">
        <is>
          <t>2025-09</t>
        </is>
      </c>
      <c r="E447" t="inlineStr">
        <is>
          <t>C0063</t>
        </is>
      </c>
      <c r="F447" t="inlineStr">
        <is>
          <t>C0063</t>
        </is>
      </c>
      <c r="G447" t="inlineStr">
        <is>
          <t>Highpoint Insurance Repairs Pty Ltd</t>
        </is>
      </c>
      <c r="H447" t="inlineStr">
        <is>
          <t>S0533</t>
        </is>
      </c>
      <c r="I447" t="inlineStr">
        <is>
          <t>Make safe call-out</t>
        </is>
      </c>
      <c r="J447" t="n">
        <v>1</v>
      </c>
      <c r="K447" s="9" t="n">
        <v>385</v>
      </c>
      <c r="L447" t="inlineStr">
        <is>
          <t>PAID</t>
        </is>
      </c>
      <c r="M447">
        <f>IF(L447="VOIDED",0,1)</f>
        <v>1</v>
      </c>
      <c r="N447" t="n">
        <v>200</v>
      </c>
      <c r="O447" t="inlineStr">
        <is>
          <t>GST on Income</t>
        </is>
      </c>
      <c r="P447" t="inlineStr">
        <is>
          <t>R09</t>
        </is>
      </c>
      <c r="Q447" t="inlineStr">
        <is>
          <t>MS</t>
        </is>
      </c>
      <c r="R447">
        <f>IF(OR(Q447="CONTEXT",Q447="REVIEW"),"",INDEX('Category Rules'!$D$5:$D$17,MATCH(P447,'Category Rules'!$A$5:$A$17,0)))</f>
        <v>4020</v>
      </c>
      <c r="S447" t="str">
        <f>IF(Q447="CONTEXT","Make-safe",IF(Q447="REVIEW","",INDEX('Category Rules'!$E$5:$E$17,MATCH(P447,'Category Rules'!$A$5:$A$17,0))))</f>
        <v>Make-safe</v>
      </c>
      <c r="T447" t="str">
        <f>IF(Q447="DEP","BAS Excluded","GST on Income")</f>
        <v>GST on Income</v>
      </c>
      <c r="U447">
        <f>IF(O447=T447,1,0)</f>
        <v>1</v>
      </c>
      <c r="V447" s="9">
        <f>IF(OR(M447=0,U447=1),0,IF(T447="GST on Income",ROUND(K447*0.1,2),ROUND(-K447*0.1,2)))</f>
        <v>0</v>
      </c>
    </row>
    <row r="448">
      <c r="A448" t="inlineStr">
        <is>
          <t>INV-5873-2</t>
        </is>
      </c>
      <c r="B448" t="inlineStr">
        <is>
          <t>INV-5873</t>
        </is>
      </c>
      <c r="C448" s="11" t="n">
        <v>45910</v>
      </c>
      <c r="D448" t="inlineStr">
        <is>
          <t>2025-09</t>
        </is>
      </c>
      <c r="E448" t="inlineStr">
        <is>
          <t>C0063</t>
        </is>
      </c>
      <c r="F448" t="inlineStr">
        <is>
          <t>C0063</t>
        </is>
      </c>
      <c r="G448" t="inlineStr">
        <is>
          <t>Highpoint Insurance Repairs Pty Ltd</t>
        </is>
      </c>
      <c r="H448" t="inlineStr">
        <is>
          <t>S0533</t>
        </is>
      </c>
      <c r="I448" t="inlineStr">
        <is>
          <t>Tarp supply and install - 2 tarp(s)</t>
        </is>
      </c>
      <c r="J448" t="n">
        <v>2</v>
      </c>
      <c r="K448" s="9" t="n">
        <v>480</v>
      </c>
      <c r="L448" t="inlineStr">
        <is>
          <t>PAID</t>
        </is>
      </c>
      <c r="M448">
        <f>IF(L448="VOIDED",0,1)</f>
        <v>1</v>
      </c>
      <c r="N448" t="n">
        <v>200</v>
      </c>
      <c r="O448" t="inlineStr">
        <is>
          <t>GST on Income</t>
        </is>
      </c>
      <c r="P448" t="inlineStr">
        <is>
          <t>R09</t>
        </is>
      </c>
      <c r="Q448" t="inlineStr">
        <is>
          <t>MS</t>
        </is>
      </c>
      <c r="R448">
        <f>IF(OR(Q448="CONTEXT",Q448="REVIEW"),"",INDEX('Category Rules'!$D$5:$D$17,MATCH(P448,'Category Rules'!$A$5:$A$17,0)))</f>
        <v>4020</v>
      </c>
      <c r="S448" t="str">
        <f>IF(Q448="CONTEXT","Make-safe",IF(Q448="REVIEW","",INDEX('Category Rules'!$E$5:$E$17,MATCH(P448,'Category Rules'!$A$5:$A$17,0))))</f>
        <v>Make-safe</v>
      </c>
      <c r="T448" t="str">
        <f>IF(Q448="DEP","BAS Excluded","GST on Income")</f>
        <v>GST on Income</v>
      </c>
      <c r="U448">
        <f>IF(O448=T448,1,0)</f>
        <v>1</v>
      </c>
      <c r="V448" s="9">
        <f>IF(OR(M448=0,U448=1),0,IF(T448="GST on Income",ROUND(K448*0.1,2),ROUND(-K448*0.1,2)))</f>
        <v>0</v>
      </c>
    </row>
    <row r="449">
      <c r="A449" t="inlineStr">
        <is>
          <t>INV-5032-1</t>
        </is>
      </c>
      <c r="B449" t="inlineStr">
        <is>
          <t>INV-5032</t>
        </is>
      </c>
      <c r="C449" s="11" t="n">
        <v>45911</v>
      </c>
      <c r="D449" t="inlineStr">
        <is>
          <t>2025-09</t>
        </is>
      </c>
      <c r="E449" t="inlineStr">
        <is>
          <t>C0034</t>
        </is>
      </c>
      <c r="F449" t="inlineStr">
        <is>
          <t>C0034</t>
        </is>
      </c>
      <c r="G449" t="inlineStr">
        <is>
          <t>Norfolk Constructions Pty Ltd</t>
        </is>
      </c>
      <c r="H449" t="inlineStr">
        <is>
          <t>S0201</t>
        </is>
      </c>
      <c r="I449" t="inlineStr">
        <is>
          <t>Temporary fence hire 1 wks (04/09/25-10/09/25) - 22 panels</t>
        </is>
      </c>
      <c r="J449" t="n">
        <v>22</v>
      </c>
      <c r="K449" s="9" t="n">
        <v>99</v>
      </c>
      <c r="L449" t="inlineStr">
        <is>
          <t>PAID</t>
        </is>
      </c>
      <c r="M449">
        <f>IF(L449="VOIDED",0,1)</f>
        <v>1</v>
      </c>
      <c r="N449" t="n">
        <v>200</v>
      </c>
      <c r="O449" t="inlineStr">
        <is>
          <t>GST on Income</t>
        </is>
      </c>
      <c r="P449" t="inlineStr">
        <is>
          <t>R03</t>
        </is>
      </c>
      <c r="Q449" t="inlineStr">
        <is>
          <t>HIRE-FP</t>
        </is>
      </c>
      <c r="R449">
        <f>IF(OR(Q449="CONTEXT",Q449="REVIEW"),"",INDEX('Category Rules'!$D$5:$D$17,MATCH(P449,'Category Rules'!$A$5:$A$17,0)))</f>
        <v>4010</v>
      </c>
      <c r="S449" t="str">
        <f>IF(Q449="CONTEXT","Fencing",IF(Q449="REVIEW","",INDEX('Category Rules'!$E$5:$E$17,MATCH(P449,'Category Rules'!$A$5:$A$17,0))))</f>
        <v>Fencing</v>
      </c>
      <c r="T449" t="str">
        <f>IF(Q449="DEP","BAS Excluded","GST on Income")</f>
        <v>GST on Income</v>
      </c>
      <c r="U449">
        <f>IF(O449=T449,1,0)</f>
        <v>1</v>
      </c>
      <c r="V449" s="9">
        <f>IF(OR(M449=0,U449=1),0,IF(T449="GST on Income",ROUND(K449*0.1,2),ROUND(-K449*0.1,2)))</f>
        <v>0</v>
      </c>
    </row>
    <row r="450">
      <c r="A450" t="inlineStr">
        <is>
          <t>INV-5034-1</t>
        </is>
      </c>
      <c r="B450" t="inlineStr">
        <is>
          <t>INV-5034</t>
        </is>
      </c>
      <c r="C450" s="11" t="n">
        <v>45911</v>
      </c>
      <c r="D450" t="inlineStr">
        <is>
          <t>2025-09</t>
        </is>
      </c>
      <c r="E450" t="inlineStr">
        <is>
          <t>C0034</t>
        </is>
      </c>
      <c r="F450" t="inlineStr">
        <is>
          <t>C0034</t>
        </is>
      </c>
      <c r="G450" t="inlineStr">
        <is>
          <t>Norfolk Constructions Pty Ltd</t>
        </is>
      </c>
      <c r="H450" t="inlineStr">
        <is>
          <t>S0201</t>
        </is>
      </c>
      <c r="I450" t="inlineStr">
        <is>
          <t>Collection and dismantle - temporary fencing</t>
        </is>
      </c>
      <c r="J450" t="n">
        <v>1</v>
      </c>
      <c r="K450" s="9" t="n">
        <v>165</v>
      </c>
      <c r="L450" t="inlineStr">
        <is>
          <t>PAID</t>
        </is>
      </c>
      <c r="M450">
        <f>IF(L450="VOIDED",0,1)</f>
        <v>1</v>
      </c>
      <c r="N450" t="n">
        <v>200</v>
      </c>
      <c r="O450" t="inlineStr">
        <is>
          <t>GST on Income</t>
        </is>
      </c>
      <c r="P450" t="inlineStr">
        <is>
          <t>R07</t>
        </is>
      </c>
      <c r="Q450" t="inlineStr">
        <is>
          <t>DEL-FP</t>
        </is>
      </c>
      <c r="R450">
        <f>IF(OR(Q450="CONTEXT",Q450="REVIEW"),"",INDEX('Category Rules'!$D$5:$D$17,MATCH(P450,'Category Rules'!$A$5:$A$17,0)))</f>
        <v>4020</v>
      </c>
      <c r="S450" t="str">
        <f>IF(Q450="CONTEXT","Fencing",IF(Q450="REVIEW","",INDEX('Category Rules'!$E$5:$E$17,MATCH(P450,'Category Rules'!$A$5:$A$17,0))))</f>
        <v>Fencing</v>
      </c>
      <c r="T450" t="str">
        <f>IF(Q450="DEP","BAS Excluded","GST on Income")</f>
        <v>GST on Income</v>
      </c>
      <c r="U450">
        <f>IF(O450=T450,1,0)</f>
        <v>1</v>
      </c>
      <c r="V450" s="9">
        <f>IF(OR(M450=0,U450=1),0,IF(T450="GST on Income",ROUND(K450*0.1,2),ROUND(-K450*0.1,2)))</f>
        <v>0</v>
      </c>
    </row>
    <row r="451">
      <c r="A451" t="inlineStr">
        <is>
          <t>INV-5211-1</t>
        </is>
      </c>
      <c r="B451" t="inlineStr">
        <is>
          <t>INV-5211</t>
        </is>
      </c>
      <c r="C451" s="11" t="n">
        <v>45911</v>
      </c>
      <c r="D451" t="inlineStr">
        <is>
          <t>2025-09</t>
        </is>
      </c>
      <c r="E451" t="inlineStr">
        <is>
          <t>C0035</t>
        </is>
      </c>
      <c r="F451" t="inlineStr">
        <is>
          <t>C0035</t>
        </is>
      </c>
      <c r="G451" t="inlineStr">
        <is>
          <t>Bayside Homes Pty Ltd</t>
        </is>
      </c>
      <c r="H451" t="inlineStr">
        <is>
          <t>S0238</t>
        </is>
      </c>
      <c r="I451" t="inlineStr">
        <is>
          <t>Scaffold tower hire 4 wks (14/08/25-10/09/25) - 1 towers</t>
        </is>
      </c>
      <c r="J451" t="n">
        <v>4</v>
      </c>
      <c r="K451" s="9" t="n">
        <v>380</v>
      </c>
      <c r="L451" t="inlineStr">
        <is>
          <t>PAID</t>
        </is>
      </c>
      <c r="M451">
        <f>IF(L451="VOIDED",0,1)</f>
        <v>1</v>
      </c>
      <c r="N451" t="n">
        <v>200</v>
      </c>
      <c r="O451" t="inlineStr">
        <is>
          <t>GST on Income</t>
        </is>
      </c>
      <c r="P451" t="inlineStr">
        <is>
          <t>R05</t>
        </is>
      </c>
      <c r="Q451" t="inlineStr">
        <is>
          <t>HIRE-ST</t>
        </is>
      </c>
      <c r="R451">
        <f>IF(OR(Q451="CONTEXT",Q451="REVIEW"),"",INDEX('Category Rules'!$D$5:$D$17,MATCH(P451,'Category Rules'!$A$5:$A$17,0)))</f>
        <v>4010</v>
      </c>
      <c r="S451" t="str">
        <f>IF(Q451="CONTEXT","Scaffolding",IF(Q451="REVIEW","",INDEX('Category Rules'!$E$5:$E$17,MATCH(P451,'Category Rules'!$A$5:$A$17,0))))</f>
        <v>Scaffolding</v>
      </c>
      <c r="T451" t="str">
        <f>IF(Q451="DEP","BAS Excluded","GST on Income")</f>
        <v>GST on Income</v>
      </c>
      <c r="U451">
        <f>IF(O451=T451,1,0)</f>
        <v>1</v>
      </c>
      <c r="V451" s="9">
        <f>IF(OR(M451=0,U451=1),0,IF(T451="GST on Income",ROUND(K451*0.1,2),ROUND(-K451*0.1,2)))</f>
        <v>0</v>
      </c>
    </row>
    <row r="452">
      <c r="A452" t="inlineStr">
        <is>
          <t>INV-5724-1</t>
        </is>
      </c>
      <c r="B452" t="inlineStr">
        <is>
          <t>INV-5724</t>
        </is>
      </c>
      <c r="C452" s="11" t="n">
        <v>45911</v>
      </c>
      <c r="D452" t="inlineStr">
        <is>
          <t>2025-09</t>
        </is>
      </c>
      <c r="E452" t="inlineStr">
        <is>
          <t>C0063</t>
        </is>
      </c>
      <c r="F452" t="inlineStr">
        <is>
          <t>C0063</t>
        </is>
      </c>
      <c r="G452" t="inlineStr">
        <is>
          <t>Highpoint Insurance Repairs Pty Ltd</t>
        </is>
      </c>
      <c r="H452" t="inlineStr">
        <is>
          <t>S0448</t>
        </is>
      </c>
      <c r="I452" t="inlineStr">
        <is>
          <t>Tarp kit hire 4 wks (14/08/25-10/09/25) - 3 kits</t>
        </is>
      </c>
      <c r="J452" t="n">
        <v>12</v>
      </c>
      <c r="K452" s="9" t="n">
        <v>420</v>
      </c>
      <c r="L452" t="inlineStr">
        <is>
          <t>PAID</t>
        </is>
      </c>
      <c r="M452">
        <f>IF(L452="VOIDED",0,1)</f>
        <v>1</v>
      </c>
      <c r="N452" t="n">
        <v>200</v>
      </c>
      <c r="O452" t="inlineStr">
        <is>
          <t>GST on Income</t>
        </is>
      </c>
      <c r="P452" t="inlineStr">
        <is>
          <t>R06</t>
        </is>
      </c>
      <c r="Q452" t="inlineStr">
        <is>
          <t>HIRE-TK</t>
        </is>
      </c>
      <c r="R452">
        <f>IF(OR(Q452="CONTEXT",Q452="REVIEW"),"",INDEX('Category Rules'!$D$5:$D$17,MATCH(P452,'Category Rules'!$A$5:$A$17,0)))</f>
        <v>4010</v>
      </c>
      <c r="S452" t="str">
        <f>IF(Q452="CONTEXT","Make-safe",IF(Q452="REVIEW","",INDEX('Category Rules'!$E$5:$E$17,MATCH(P452,'Category Rules'!$A$5:$A$17,0))))</f>
        <v>Make-safe</v>
      </c>
      <c r="T452" t="str">
        <f>IF(Q452="DEP","BAS Excluded","GST on Income")</f>
        <v>GST on Income</v>
      </c>
      <c r="U452">
        <f>IF(O452=T452,1,0)</f>
        <v>1</v>
      </c>
      <c r="V452" s="9">
        <f>IF(OR(M452=0,U452=1),0,IF(T452="GST on Income",ROUND(K452*0.1,2),ROUND(-K452*0.1,2)))</f>
        <v>0</v>
      </c>
    </row>
    <row r="453">
      <c r="A453" t="inlineStr">
        <is>
          <t>INV-5603-1</t>
        </is>
      </c>
      <c r="B453" t="inlineStr">
        <is>
          <t>INV-5603</t>
        </is>
      </c>
      <c r="C453" s="11" t="n">
        <v>45912</v>
      </c>
      <c r="D453" t="inlineStr">
        <is>
          <t>2025-09</t>
        </is>
      </c>
      <c r="E453" t="inlineStr">
        <is>
          <t>C0137</t>
        </is>
      </c>
      <c r="F453" t="inlineStr">
        <is>
          <t>C0062</t>
        </is>
      </c>
      <c r="G453" t="inlineStr">
        <is>
          <t>Wattle Insurance Repairs Pty Ltd</t>
        </is>
      </c>
      <c r="H453" t="inlineStr">
        <is>
          <t>S0383</t>
        </is>
      </c>
      <c r="I453" t="inlineStr">
        <is>
          <t>Tarp kit hire 2 wks (04/09/25-11/09/25) - 1 kits</t>
        </is>
      </c>
      <c r="J453" t="n">
        <v>2</v>
      </c>
      <c r="K453" s="9" t="n">
        <v>70</v>
      </c>
      <c r="L453" t="inlineStr">
        <is>
          <t>PAID</t>
        </is>
      </c>
      <c r="M453">
        <f>IF(L453="VOIDED",0,1)</f>
        <v>1</v>
      </c>
      <c r="N453" t="n">
        <v>200</v>
      </c>
      <c r="O453" t="inlineStr">
        <is>
          <t>GST on Income</t>
        </is>
      </c>
      <c r="P453" t="inlineStr">
        <is>
          <t>R06</t>
        </is>
      </c>
      <c r="Q453" t="inlineStr">
        <is>
          <t>HIRE-TK</t>
        </is>
      </c>
      <c r="R453">
        <f>IF(OR(Q453="CONTEXT",Q453="REVIEW"),"",INDEX('Category Rules'!$D$5:$D$17,MATCH(P453,'Category Rules'!$A$5:$A$17,0)))</f>
        <v>4010</v>
      </c>
      <c r="S453" t="str">
        <f>IF(Q453="CONTEXT","Make-safe",IF(Q453="REVIEW","",INDEX('Category Rules'!$E$5:$E$17,MATCH(P453,'Category Rules'!$A$5:$A$17,0))))</f>
        <v>Make-safe</v>
      </c>
      <c r="T453" t="str">
        <f>IF(Q453="DEP","BAS Excluded","GST on Income")</f>
        <v>GST on Income</v>
      </c>
      <c r="U453">
        <f>IF(O453=T453,1,0)</f>
        <v>1</v>
      </c>
      <c r="V453" s="9">
        <f>IF(OR(M453=0,U453=1),0,IF(T453="GST on Income",ROUND(K453*0.1,2),ROUND(-K453*0.1,2)))</f>
        <v>0</v>
      </c>
    </row>
    <row r="454">
      <c r="A454" t="inlineStr">
        <is>
          <t>INV-5725-1</t>
        </is>
      </c>
      <c r="B454" t="inlineStr">
        <is>
          <t>INV-5725</t>
        </is>
      </c>
      <c r="C454" s="11" t="n">
        <v>45912</v>
      </c>
      <c r="D454" t="inlineStr">
        <is>
          <t>2025-09</t>
        </is>
      </c>
      <c r="E454" t="inlineStr">
        <is>
          <t>C0063</t>
        </is>
      </c>
      <c r="F454" t="inlineStr">
        <is>
          <t>C0063</t>
        </is>
      </c>
      <c r="G454" t="inlineStr">
        <is>
          <t>Highpoint Insurance Repairs Pty Ltd</t>
        </is>
      </c>
      <c r="H454" t="inlineStr">
        <is>
          <t>S0448</t>
        </is>
      </c>
      <c r="I454" t="inlineStr">
        <is>
          <t>Tarp kit hire 1 wks (11/09/25-11/09/25) - 3 kits</t>
        </is>
      </c>
      <c r="J454" t="n">
        <v>3</v>
      </c>
      <c r="K454" s="9" t="n">
        <v>105</v>
      </c>
      <c r="L454" t="inlineStr">
        <is>
          <t>PAID</t>
        </is>
      </c>
      <c r="M454">
        <f>IF(L454="VOIDED",0,1)</f>
        <v>1</v>
      </c>
      <c r="N454" t="n">
        <v>200</v>
      </c>
      <c r="O454" t="inlineStr">
        <is>
          <t>GST on Income</t>
        </is>
      </c>
      <c r="P454" t="inlineStr">
        <is>
          <t>R06</t>
        </is>
      </c>
      <c r="Q454" t="inlineStr">
        <is>
          <t>HIRE-TK</t>
        </is>
      </c>
      <c r="R454">
        <f>IF(OR(Q454="CONTEXT",Q454="REVIEW"),"",INDEX('Category Rules'!$D$5:$D$17,MATCH(P454,'Category Rules'!$A$5:$A$17,0)))</f>
        <v>4010</v>
      </c>
      <c r="S454" t="str">
        <f>IF(Q454="CONTEXT","Make-safe",IF(Q454="REVIEW","",INDEX('Category Rules'!$E$5:$E$17,MATCH(P454,'Category Rules'!$A$5:$A$17,0))))</f>
        <v>Make-safe</v>
      </c>
      <c r="T454" t="str">
        <f>IF(Q454="DEP","BAS Excluded","GST on Income")</f>
        <v>GST on Income</v>
      </c>
      <c r="U454">
        <f>IF(O454=T454,1,0)</f>
        <v>1</v>
      </c>
      <c r="V454" s="9">
        <f>IF(OR(M454=0,U454=1),0,IF(T454="GST on Income",ROUND(K454*0.1,2),ROUND(-K454*0.1,2)))</f>
        <v>0</v>
      </c>
    </row>
    <row r="455">
      <c r="A455" t="inlineStr">
        <is>
          <t>INV-4556-1</t>
        </is>
      </c>
      <c r="B455" t="inlineStr">
        <is>
          <t>INV-4556</t>
        </is>
      </c>
      <c r="C455" s="11" t="n">
        <v>45913</v>
      </c>
      <c r="D455" t="inlineStr">
        <is>
          <t>2025-09</t>
        </is>
      </c>
      <c r="E455" t="inlineStr">
        <is>
          <t>C0014</t>
        </is>
      </c>
      <c r="F455" t="inlineStr">
        <is>
          <t>C0014</t>
        </is>
      </c>
      <c r="G455" t="inlineStr">
        <is>
          <t>Riverbend Homes Pty Ltd</t>
        </is>
      </c>
      <c r="H455" t="inlineStr">
        <is>
          <t>S0091</t>
        </is>
      </c>
      <c r="I455" t="inlineStr">
        <is>
          <t>Temporary fence hire 3 wks (26/08/25-12/09/25) - 32 panels</t>
        </is>
      </c>
      <c r="J455" t="n">
        <v>96</v>
      </c>
      <c r="K455" s="9" t="n">
        <v>432</v>
      </c>
      <c r="L455" t="inlineStr">
        <is>
          <t>PAID</t>
        </is>
      </c>
      <c r="M455">
        <f>IF(L455="VOIDED",0,1)</f>
        <v>1</v>
      </c>
      <c r="N455" t="n">
        <v>200</v>
      </c>
      <c r="O455" t="inlineStr">
        <is>
          <t>GST on Income</t>
        </is>
      </c>
      <c r="P455" t="inlineStr">
        <is>
          <t>R03</t>
        </is>
      </c>
      <c r="Q455" t="inlineStr">
        <is>
          <t>HIRE-FP</t>
        </is>
      </c>
      <c r="R455">
        <f>IF(OR(Q455="CONTEXT",Q455="REVIEW"),"",INDEX('Category Rules'!$D$5:$D$17,MATCH(P455,'Category Rules'!$A$5:$A$17,0)))</f>
        <v>4010</v>
      </c>
      <c r="S455" t="str">
        <f>IF(Q455="CONTEXT","Fencing",IF(Q455="REVIEW","",INDEX('Category Rules'!$E$5:$E$17,MATCH(P455,'Category Rules'!$A$5:$A$17,0))))</f>
        <v>Fencing</v>
      </c>
      <c r="T455" t="str">
        <f>IF(Q455="DEP","BAS Excluded","GST on Income")</f>
        <v>GST on Income</v>
      </c>
      <c r="U455">
        <f>IF(O455=T455,1,0)</f>
        <v>1</v>
      </c>
      <c r="V455" s="9">
        <f>IF(OR(M455=0,U455=1),0,IF(T455="GST on Income",ROUND(K455*0.1,2),ROUND(-K455*0.1,2)))</f>
        <v>0</v>
      </c>
    </row>
    <row r="456">
      <c r="A456" t="inlineStr">
        <is>
          <t>INV-4558-1</t>
        </is>
      </c>
      <c r="B456" t="inlineStr">
        <is>
          <t>INV-4558</t>
        </is>
      </c>
      <c r="C456" s="11" t="n">
        <v>45913</v>
      </c>
      <c r="D456" t="inlineStr">
        <is>
          <t>2025-09</t>
        </is>
      </c>
      <c r="E456" t="inlineStr">
        <is>
          <t>C0014</t>
        </is>
      </c>
      <c r="F456" t="inlineStr">
        <is>
          <t>C0014</t>
        </is>
      </c>
      <c r="G456" t="inlineStr">
        <is>
          <t>Riverbend Homes Pty Ltd</t>
        </is>
      </c>
      <c r="H456" t="inlineStr">
        <is>
          <t>S0091</t>
        </is>
      </c>
      <c r="I456" t="inlineStr">
        <is>
          <t>Collection and dismantle - temporary fencing</t>
        </is>
      </c>
      <c r="J456" t="n">
        <v>1</v>
      </c>
      <c r="K456" s="9" t="n">
        <v>165</v>
      </c>
      <c r="L456" t="inlineStr">
        <is>
          <t>PAID</t>
        </is>
      </c>
      <c r="M456">
        <f>IF(L456="VOIDED",0,1)</f>
        <v>1</v>
      </c>
      <c r="N456" t="n">
        <v>200</v>
      </c>
      <c r="O456" t="inlineStr">
        <is>
          <t>GST Free Income</t>
        </is>
      </c>
      <c r="P456" t="inlineStr">
        <is>
          <t>R07</t>
        </is>
      </c>
      <c r="Q456" t="inlineStr">
        <is>
          <t>DEL-FP</t>
        </is>
      </c>
      <c r="R456">
        <f>IF(OR(Q456="CONTEXT",Q456="REVIEW"),"",INDEX('Category Rules'!$D$5:$D$17,MATCH(P456,'Category Rules'!$A$5:$A$17,0)))</f>
        <v>4020</v>
      </c>
      <c r="S456" t="str">
        <f>IF(Q456="CONTEXT","Fencing",IF(Q456="REVIEW","",INDEX('Category Rules'!$E$5:$E$17,MATCH(P456,'Category Rules'!$A$5:$A$17,0))))</f>
        <v>Fencing</v>
      </c>
      <c r="T456" t="str">
        <f>IF(Q456="DEP","BAS Excluded","GST on Income")</f>
        <v>GST on Income</v>
      </c>
      <c r="U456">
        <f>IF(O456=T456,1,0)</f>
        <v>0</v>
      </c>
      <c r="V456" s="9">
        <f>IF(OR(M456=0,U456=1),0,IF(T456="GST on Income",ROUND(K456*0.1,2),ROUND(-K456*0.1,2)))</f>
        <v>16.5</v>
      </c>
    </row>
    <row r="457">
      <c r="A457" t="inlineStr">
        <is>
          <t>INV-4558-2</t>
        </is>
      </c>
      <c r="B457" t="inlineStr">
        <is>
          <t>INV-4558</t>
        </is>
      </c>
      <c r="C457" s="11" t="n">
        <v>45913</v>
      </c>
      <c r="D457" t="inlineStr">
        <is>
          <t>2025-09</t>
        </is>
      </c>
      <c r="E457" t="inlineStr">
        <is>
          <t>C0014</t>
        </is>
      </c>
      <c r="F457" t="inlineStr">
        <is>
          <t>C0014</t>
        </is>
      </c>
      <c r="G457" t="inlineStr">
        <is>
          <t>Riverbend Homes Pty Ltd</t>
        </is>
      </c>
      <c r="H457" t="inlineStr">
        <is>
          <t>S0091</t>
        </is>
      </c>
      <c r="I457" t="inlineStr">
        <is>
          <t>Lost/damaged panels charged - 3 @ 145.00</t>
        </is>
      </c>
      <c r="J457" t="n">
        <v>3</v>
      </c>
      <c r="K457" s="9" t="n">
        <v>435</v>
      </c>
      <c r="L457" t="inlineStr">
        <is>
          <t>PAID</t>
        </is>
      </c>
      <c r="M457">
        <f>IF(L457="VOIDED",0,1)</f>
        <v>1</v>
      </c>
      <c r="N457" t="n">
        <v>200</v>
      </c>
      <c r="O457" t="inlineStr">
        <is>
          <t>GST on Income</t>
        </is>
      </c>
      <c r="P457" t="inlineStr">
        <is>
          <t>R02</t>
        </is>
      </c>
      <c r="Q457" t="inlineStr">
        <is>
          <t>LOSS</t>
        </is>
      </c>
      <c r="R457">
        <f>IF(OR(Q457="CONTEXT",Q457="REVIEW"),"",INDEX('Category Rules'!$D$5:$D$17,MATCH(P457,'Category Rules'!$A$5:$A$17,0)))</f>
        <v>4040</v>
      </c>
      <c r="S457" t="str">
        <f>IF(Q457="CONTEXT","Fencing",IF(Q457="REVIEW","",INDEX('Category Rules'!$E$5:$E$17,MATCH(P457,'Category Rules'!$A$5:$A$17,0))))</f>
        <v>Fencing</v>
      </c>
      <c r="T457" t="str">
        <f>IF(Q457="DEP","BAS Excluded","GST on Income")</f>
        <v>GST on Income</v>
      </c>
      <c r="U457">
        <f>IF(O457=T457,1,0)</f>
        <v>1</v>
      </c>
      <c r="V457" s="9">
        <f>IF(OR(M457=0,U457=1),0,IF(T457="GST on Income",ROUND(K457*0.1,2),ROUND(-K457*0.1,2)))</f>
        <v>0</v>
      </c>
    </row>
    <row r="458">
      <c r="A458" t="inlineStr">
        <is>
          <t>INV-5568-1</t>
        </is>
      </c>
      <c r="B458" t="inlineStr">
        <is>
          <t>INV-5568</t>
        </is>
      </c>
      <c r="C458" s="11" t="n">
        <v>45913</v>
      </c>
      <c r="D458" t="inlineStr">
        <is>
          <t>2025-09</t>
        </is>
      </c>
      <c r="E458" t="inlineStr">
        <is>
          <t>C0118</t>
        </is>
      </c>
      <c r="F458" t="inlineStr">
        <is>
          <t>C0118</t>
        </is>
      </c>
      <c r="G458" t="inlineStr">
        <is>
          <t>Sofia Singh</t>
        </is>
      </c>
      <c r="H458" t="inlineStr">
        <is>
          <t>S0363</t>
        </is>
      </c>
      <c r="I458" t="inlineStr">
        <is>
          <t>Tarp kit hire 4 wks (16/08/25-12/09/25) - 3 kits</t>
        </is>
      </c>
      <c r="J458" t="n">
        <v>12</v>
      </c>
      <c r="K458" s="9" t="n">
        <v>420</v>
      </c>
      <c r="L458" t="inlineStr">
        <is>
          <t>PAID</t>
        </is>
      </c>
      <c r="M458">
        <f>IF(L458="VOIDED",0,1)</f>
        <v>1</v>
      </c>
      <c r="N458" t="n">
        <v>200</v>
      </c>
      <c r="O458" t="inlineStr">
        <is>
          <t>GST on Income</t>
        </is>
      </c>
      <c r="P458" t="inlineStr">
        <is>
          <t>R06</t>
        </is>
      </c>
      <c r="Q458" t="inlineStr">
        <is>
          <t>HIRE-TK</t>
        </is>
      </c>
      <c r="R458">
        <f>IF(OR(Q458="CONTEXT",Q458="REVIEW"),"",INDEX('Category Rules'!$D$5:$D$17,MATCH(P458,'Category Rules'!$A$5:$A$17,0)))</f>
        <v>4010</v>
      </c>
      <c r="S458" t="str">
        <f>IF(Q458="CONTEXT","Make-safe",IF(Q458="REVIEW","",INDEX('Category Rules'!$E$5:$E$17,MATCH(P458,'Category Rules'!$A$5:$A$17,0))))</f>
        <v>Make-safe</v>
      </c>
      <c r="T458" t="str">
        <f>IF(Q458="DEP","BAS Excluded","GST on Income")</f>
        <v>GST on Income</v>
      </c>
      <c r="U458">
        <f>IF(O458=T458,1,0)</f>
        <v>1</v>
      </c>
      <c r="V458" s="9">
        <f>IF(OR(M458=0,U458=1),0,IF(T458="GST on Income",ROUND(K458*0.1,2),ROUND(-K458*0.1,2)))</f>
        <v>0</v>
      </c>
    </row>
    <row r="459">
      <c r="A459" t="inlineStr">
        <is>
          <t>INV-5273-1</t>
        </is>
      </c>
      <c r="B459" t="inlineStr">
        <is>
          <t>INV-5273</t>
        </is>
      </c>
      <c r="C459" s="11" t="n">
        <v>45914</v>
      </c>
      <c r="D459" t="inlineStr">
        <is>
          <t>2025-09</t>
        </is>
      </c>
      <c r="E459" t="inlineStr">
        <is>
          <t>C0094</t>
        </is>
      </c>
      <c r="F459" t="inlineStr">
        <is>
          <t>C0094</t>
        </is>
      </c>
      <c r="G459" t="inlineStr">
        <is>
          <t>Grace Kelly</t>
        </is>
      </c>
      <c r="H459" t="inlineStr">
        <is>
          <t>S0253</t>
        </is>
      </c>
      <c r="I459" t="inlineStr">
        <is>
          <t>Scaffold tower hire 4 wks (17/08/25-13/09/25) - 3 towers</t>
        </is>
      </c>
      <c r="J459" t="n">
        <v>12</v>
      </c>
      <c r="K459" s="9" t="n">
        <v>1140</v>
      </c>
      <c r="L459" t="inlineStr">
        <is>
          <t>PAID</t>
        </is>
      </c>
      <c r="M459">
        <f>IF(L459="VOIDED",0,1)</f>
        <v>1</v>
      </c>
      <c r="N459" t="n">
        <v>200</v>
      </c>
      <c r="O459" t="inlineStr">
        <is>
          <t>GST on Income</t>
        </is>
      </c>
      <c r="P459" t="inlineStr">
        <is>
          <t>R05</t>
        </is>
      </c>
      <c r="Q459" t="inlineStr">
        <is>
          <t>HIRE-ST</t>
        </is>
      </c>
      <c r="R459">
        <f>IF(OR(Q459="CONTEXT",Q459="REVIEW"),"",INDEX('Category Rules'!$D$5:$D$17,MATCH(P459,'Category Rules'!$A$5:$A$17,0)))</f>
        <v>4010</v>
      </c>
      <c r="S459" t="str">
        <f>IF(Q459="CONTEXT","Scaffolding",IF(Q459="REVIEW","",INDEX('Category Rules'!$E$5:$E$17,MATCH(P459,'Category Rules'!$A$5:$A$17,0))))</f>
        <v>Scaffolding</v>
      </c>
      <c r="T459" t="str">
        <f>IF(Q459="DEP","BAS Excluded","GST on Income")</f>
        <v>GST on Income</v>
      </c>
      <c r="U459">
        <f>IF(O459=T459,1,0)</f>
        <v>1</v>
      </c>
      <c r="V459" s="9">
        <f>IF(OR(M459=0,U459=1),0,IF(T459="GST on Income",ROUND(K459*0.1,2),ROUND(-K459*0.1,2)))</f>
        <v>0</v>
      </c>
    </row>
    <row r="460">
      <c r="A460" t="inlineStr">
        <is>
          <t>INV-5307-1</t>
        </is>
      </c>
      <c r="B460" t="inlineStr">
        <is>
          <t>INV-5307</t>
        </is>
      </c>
      <c r="C460" s="11" t="n">
        <v>45914</v>
      </c>
      <c r="D460" t="inlineStr">
        <is>
          <t>2025-09</t>
        </is>
      </c>
      <c r="E460" t="inlineStr">
        <is>
          <t>C0022</t>
        </is>
      </c>
      <c r="F460" t="inlineStr">
        <is>
          <t>C0022</t>
        </is>
      </c>
      <c r="G460" t="inlineStr">
        <is>
          <t>Highpoint Projects</t>
        </is>
      </c>
      <c r="H460" t="inlineStr">
        <is>
          <t>S0262</t>
        </is>
      </c>
      <c r="I460" t="inlineStr">
        <is>
          <t>Scaffold tower hire 4 wks (17/08/25-13/09/25) - 2 towers</t>
        </is>
      </c>
      <c r="J460" t="n">
        <v>8</v>
      </c>
      <c r="K460" s="9" t="n">
        <v>760</v>
      </c>
      <c r="L460" t="inlineStr">
        <is>
          <t>PAID</t>
        </is>
      </c>
      <c r="M460">
        <f>IF(L460="VOIDED",0,1)</f>
        <v>1</v>
      </c>
      <c r="N460" t="n">
        <v>200</v>
      </c>
      <c r="O460" t="inlineStr">
        <is>
          <t>GST on Income</t>
        </is>
      </c>
      <c r="P460" t="inlineStr">
        <is>
          <t>R05</t>
        </is>
      </c>
      <c r="Q460" t="inlineStr">
        <is>
          <t>HIRE-ST</t>
        </is>
      </c>
      <c r="R460">
        <f>IF(OR(Q460="CONTEXT",Q460="REVIEW"),"",INDEX('Category Rules'!$D$5:$D$17,MATCH(P460,'Category Rules'!$A$5:$A$17,0)))</f>
        <v>4010</v>
      </c>
      <c r="S460" t="str">
        <f>IF(Q460="CONTEXT","Scaffolding",IF(Q460="REVIEW","",INDEX('Category Rules'!$E$5:$E$17,MATCH(P460,'Category Rules'!$A$5:$A$17,0))))</f>
        <v>Scaffolding</v>
      </c>
      <c r="T460" t="str">
        <f>IF(Q460="DEP","BAS Excluded","GST on Income")</f>
        <v>GST on Income</v>
      </c>
      <c r="U460">
        <f>IF(O460=T460,1,0)</f>
        <v>1</v>
      </c>
      <c r="V460" s="9">
        <f>IF(OR(M460=0,U460=1),0,IF(T460="GST on Income",ROUND(K460*0.1,2),ROUND(-K460*0.1,2)))</f>
        <v>0</v>
      </c>
    </row>
    <row r="461">
      <c r="A461" t="inlineStr">
        <is>
          <t>INV-5617-1</t>
        </is>
      </c>
      <c r="B461" t="inlineStr">
        <is>
          <t>INV-5617</t>
        </is>
      </c>
      <c r="C461" s="11" t="n">
        <v>45914</v>
      </c>
      <c r="D461" t="inlineStr">
        <is>
          <t>2025-09</t>
        </is>
      </c>
      <c r="E461" t="inlineStr">
        <is>
          <t>C0068</t>
        </is>
      </c>
      <c r="F461" t="inlineStr">
        <is>
          <t>C0068</t>
        </is>
      </c>
      <c r="G461" t="inlineStr">
        <is>
          <t>Coastline Claims Services</t>
        </is>
      </c>
      <c r="H461" t="inlineStr">
        <is>
          <t>S0389</t>
        </is>
      </c>
      <c r="I461" t="inlineStr">
        <is>
          <t>Make safe call-out</t>
        </is>
      </c>
      <c r="J461" t="n">
        <v>1</v>
      </c>
      <c r="K461" s="9" t="n">
        <v>385</v>
      </c>
      <c r="L461" t="inlineStr">
        <is>
          <t>PAID</t>
        </is>
      </c>
      <c r="M461">
        <f>IF(L461="VOIDED",0,1)</f>
        <v>1</v>
      </c>
      <c r="N461" t="n">
        <v>200</v>
      </c>
      <c r="O461" t="inlineStr">
        <is>
          <t>GST on Income</t>
        </is>
      </c>
      <c r="P461" t="inlineStr">
        <is>
          <t>R09</t>
        </is>
      </c>
      <c r="Q461" t="inlineStr">
        <is>
          <t>MS</t>
        </is>
      </c>
      <c r="R461">
        <f>IF(OR(Q461="CONTEXT",Q461="REVIEW"),"",INDEX('Category Rules'!$D$5:$D$17,MATCH(P461,'Category Rules'!$A$5:$A$17,0)))</f>
        <v>4020</v>
      </c>
      <c r="S461" t="str">
        <f>IF(Q461="CONTEXT","Make-safe",IF(Q461="REVIEW","",INDEX('Category Rules'!$E$5:$E$17,MATCH(P461,'Category Rules'!$A$5:$A$17,0))))</f>
        <v>Make-safe</v>
      </c>
      <c r="T461" t="str">
        <f>IF(Q461="DEP","BAS Excluded","GST on Income")</f>
        <v>GST on Income</v>
      </c>
      <c r="U461">
        <f>IF(O461=T461,1,0)</f>
        <v>1</v>
      </c>
      <c r="V461" s="9">
        <f>IF(OR(M461=0,U461=1),0,IF(T461="GST on Income",ROUND(K461*0.1,2),ROUND(-K461*0.1,2)))</f>
        <v>0</v>
      </c>
    </row>
    <row r="462">
      <c r="A462" t="inlineStr">
        <is>
          <t>INV-5847-1</t>
        </is>
      </c>
      <c r="B462" t="inlineStr">
        <is>
          <t>INV-5847</t>
        </is>
      </c>
      <c r="C462" s="11" t="n">
        <v>45914</v>
      </c>
      <c r="D462" t="inlineStr">
        <is>
          <t>2025-09</t>
        </is>
      </c>
      <c r="E462" t="inlineStr">
        <is>
          <t>C0060</t>
        </is>
      </c>
      <c r="F462" t="inlineStr">
        <is>
          <t>C0060</t>
        </is>
      </c>
      <c r="G462" t="inlineStr">
        <is>
          <t>Redline Claims Services</t>
        </is>
      </c>
      <c r="H462" t="inlineStr">
        <is>
          <t>S0518</t>
        </is>
      </c>
      <c r="I462" t="inlineStr">
        <is>
          <t>Emergency make safe call-out - after hours</t>
        </is>
      </c>
      <c r="J462" t="n">
        <v>1</v>
      </c>
      <c r="K462" s="9" t="n">
        <v>560</v>
      </c>
      <c r="L462" t="inlineStr">
        <is>
          <t>PAID</t>
        </is>
      </c>
      <c r="M462">
        <f>IF(L462="VOIDED",0,1)</f>
        <v>1</v>
      </c>
      <c r="N462" t="n">
        <v>200</v>
      </c>
      <c r="O462" t="inlineStr">
        <is>
          <t>GST on Income</t>
        </is>
      </c>
      <c r="P462" t="inlineStr">
        <is>
          <t>R09</t>
        </is>
      </c>
      <c r="Q462" t="inlineStr">
        <is>
          <t>MS</t>
        </is>
      </c>
      <c r="R462">
        <f>IF(OR(Q462="CONTEXT",Q462="REVIEW"),"",INDEX('Category Rules'!$D$5:$D$17,MATCH(P462,'Category Rules'!$A$5:$A$17,0)))</f>
        <v>4020</v>
      </c>
      <c r="S462" t="str">
        <f>IF(Q462="CONTEXT","Make-safe",IF(Q462="REVIEW","",INDEX('Category Rules'!$E$5:$E$17,MATCH(P462,'Category Rules'!$A$5:$A$17,0))))</f>
        <v>Make-safe</v>
      </c>
      <c r="T462" t="str">
        <f>IF(Q462="DEP","BAS Excluded","GST on Income")</f>
        <v>GST on Income</v>
      </c>
      <c r="U462">
        <f>IF(O462=T462,1,0)</f>
        <v>1</v>
      </c>
      <c r="V462" s="9">
        <f>IF(OR(M462=0,U462=1),0,IF(T462="GST on Income",ROUND(K462*0.1,2),ROUND(-K462*0.1,2)))</f>
        <v>0</v>
      </c>
    </row>
    <row r="463">
      <c r="A463" t="inlineStr">
        <is>
          <t>INV-5847-2</t>
        </is>
      </c>
      <c r="B463" t="inlineStr">
        <is>
          <t>INV-5847</t>
        </is>
      </c>
      <c r="C463" s="11" t="n">
        <v>45914</v>
      </c>
      <c r="D463" t="inlineStr">
        <is>
          <t>2025-09</t>
        </is>
      </c>
      <c r="E463" t="inlineStr">
        <is>
          <t>C0060</t>
        </is>
      </c>
      <c r="F463" t="inlineStr">
        <is>
          <t>C0060</t>
        </is>
      </c>
      <c r="G463" t="inlineStr">
        <is>
          <t>Redline Claims Services</t>
        </is>
      </c>
      <c r="H463" t="inlineStr">
        <is>
          <t>S0518</t>
        </is>
      </c>
      <c r="I463" t="inlineStr">
        <is>
          <t>Tarp supply and install - 2 tarp(s)</t>
        </is>
      </c>
      <c r="J463" t="n">
        <v>2</v>
      </c>
      <c r="K463" s="9" t="n">
        <v>480</v>
      </c>
      <c r="L463" t="inlineStr">
        <is>
          <t>PAID</t>
        </is>
      </c>
      <c r="M463">
        <f>IF(L463="VOIDED",0,1)</f>
        <v>1</v>
      </c>
      <c r="N463" t="n">
        <v>200</v>
      </c>
      <c r="O463" t="inlineStr">
        <is>
          <t>GST on Income</t>
        </is>
      </c>
      <c r="P463" t="inlineStr">
        <is>
          <t>R09</t>
        </is>
      </c>
      <c r="Q463" t="inlineStr">
        <is>
          <t>MS</t>
        </is>
      </c>
      <c r="R463">
        <f>IF(OR(Q463="CONTEXT",Q463="REVIEW"),"",INDEX('Category Rules'!$D$5:$D$17,MATCH(P463,'Category Rules'!$A$5:$A$17,0)))</f>
        <v>4020</v>
      </c>
      <c r="S463" t="str">
        <f>IF(Q463="CONTEXT","Make-safe",IF(Q463="REVIEW","",INDEX('Category Rules'!$E$5:$E$17,MATCH(P463,'Category Rules'!$A$5:$A$17,0))))</f>
        <v>Make-safe</v>
      </c>
      <c r="T463" t="str">
        <f>IF(Q463="DEP","BAS Excluded","GST on Income")</f>
        <v>GST on Income</v>
      </c>
      <c r="U463">
        <f>IF(O463=T463,1,0)</f>
        <v>1</v>
      </c>
      <c r="V463" s="9">
        <f>IF(OR(M463=0,U463=1),0,IF(T463="GST on Income",ROUND(K463*0.1,2),ROUND(-K463*0.1,2)))</f>
        <v>0</v>
      </c>
    </row>
    <row r="464">
      <c r="A464" t="inlineStr">
        <is>
          <t>INV-4721-1</t>
        </is>
      </c>
      <c r="B464" t="inlineStr">
        <is>
          <t>INV-4721</t>
        </is>
      </c>
      <c r="C464" s="11" t="n">
        <v>45915</v>
      </c>
      <c r="D464" t="inlineStr">
        <is>
          <t>2025-09</t>
        </is>
      </c>
      <c r="E464" t="inlineStr">
        <is>
          <t>C0116</t>
        </is>
      </c>
      <c r="F464" t="inlineStr">
        <is>
          <t>C0116</t>
        </is>
      </c>
      <c r="G464" t="inlineStr">
        <is>
          <t>Lucas Patel</t>
        </is>
      </c>
      <c r="H464" t="inlineStr">
        <is>
          <t>S0130</t>
        </is>
      </c>
      <c r="I464" t="inlineStr">
        <is>
          <t>Temporary fence hire 4 wks (18/08/25-14/09/25) - 106 panels</t>
        </is>
      </c>
      <c r="J464" t="n">
        <v>424</v>
      </c>
      <c r="K464" s="9" t="n">
        <v>1908</v>
      </c>
      <c r="L464" t="inlineStr">
        <is>
          <t>PAID</t>
        </is>
      </c>
      <c r="M464">
        <f>IF(L464="VOIDED",0,1)</f>
        <v>1</v>
      </c>
      <c r="N464" t="n">
        <v>200</v>
      </c>
      <c r="O464" t="inlineStr">
        <is>
          <t>GST on Income</t>
        </is>
      </c>
      <c r="P464" t="inlineStr">
        <is>
          <t>R03</t>
        </is>
      </c>
      <c r="Q464" t="inlineStr">
        <is>
          <t>HIRE-FP</t>
        </is>
      </c>
      <c r="R464">
        <f>IF(OR(Q464="CONTEXT",Q464="REVIEW"),"",INDEX('Category Rules'!$D$5:$D$17,MATCH(P464,'Category Rules'!$A$5:$A$17,0)))</f>
        <v>4010</v>
      </c>
      <c r="S464" t="str">
        <f>IF(Q464="CONTEXT","Fencing",IF(Q464="REVIEW","",INDEX('Category Rules'!$E$5:$E$17,MATCH(P464,'Category Rules'!$A$5:$A$17,0))))</f>
        <v>Fencing</v>
      </c>
      <c r="T464" t="str">
        <f>IF(Q464="DEP","BAS Excluded","GST on Income")</f>
        <v>GST on Income</v>
      </c>
      <c r="U464">
        <f>IF(O464=T464,1,0)</f>
        <v>1</v>
      </c>
      <c r="V464" s="9">
        <f>IF(OR(M464=0,U464=1),0,IF(T464="GST on Income",ROUND(K464*0.1,2),ROUND(-K464*0.1,2)))</f>
        <v>0</v>
      </c>
    </row>
    <row r="465">
      <c r="A465" t="inlineStr">
        <is>
          <t>INV-5504-1</t>
        </is>
      </c>
      <c r="B465" t="inlineStr">
        <is>
          <t>INV-5504</t>
        </is>
      </c>
      <c r="C465" s="11" t="n">
        <v>45915</v>
      </c>
      <c r="D465" t="inlineStr">
        <is>
          <t>2025-09</t>
        </is>
      </c>
      <c r="E465" t="inlineStr">
        <is>
          <t>C0068</t>
        </is>
      </c>
      <c r="F465" t="inlineStr">
        <is>
          <t>C0068</t>
        </is>
      </c>
      <c r="G465" t="inlineStr">
        <is>
          <t>Coastline Claims Services</t>
        </is>
      </c>
      <c r="H465" t="inlineStr">
        <is>
          <t>S0330</t>
        </is>
      </c>
      <c r="I465" t="inlineStr">
        <is>
          <t>Tarp kit hire 4 wks (24/08/25-14/09/25) - 2 kits</t>
        </is>
      </c>
      <c r="J465" t="n">
        <v>8</v>
      </c>
      <c r="K465" s="9" t="n">
        <v>280</v>
      </c>
      <c r="L465" t="inlineStr">
        <is>
          <t>PAID</t>
        </is>
      </c>
      <c r="M465">
        <f>IF(L465="VOIDED",0,1)</f>
        <v>1</v>
      </c>
      <c r="N465" t="n">
        <v>200</v>
      </c>
      <c r="O465" t="inlineStr">
        <is>
          <t>GST on Income</t>
        </is>
      </c>
      <c r="P465" t="inlineStr">
        <is>
          <t>R06</t>
        </is>
      </c>
      <c r="Q465" t="inlineStr">
        <is>
          <t>HIRE-TK</t>
        </is>
      </c>
      <c r="R465">
        <f>IF(OR(Q465="CONTEXT",Q465="REVIEW"),"",INDEX('Category Rules'!$D$5:$D$17,MATCH(P465,'Category Rules'!$A$5:$A$17,0)))</f>
        <v>4010</v>
      </c>
      <c r="S465" t="str">
        <f>IF(Q465="CONTEXT","Make-safe",IF(Q465="REVIEW","",INDEX('Category Rules'!$E$5:$E$17,MATCH(P465,'Category Rules'!$A$5:$A$17,0))))</f>
        <v>Make-safe</v>
      </c>
      <c r="T465" t="str">
        <f>IF(Q465="DEP","BAS Excluded","GST on Income")</f>
        <v>GST on Income</v>
      </c>
      <c r="U465">
        <f>IF(O465=T465,1,0)</f>
        <v>1</v>
      </c>
      <c r="V465" s="9">
        <f>IF(OR(M465=0,U465=1),0,IF(T465="GST on Income",ROUND(K465*0.1,2),ROUND(-K465*0.1,2)))</f>
        <v>0</v>
      </c>
    </row>
    <row r="466">
      <c r="A466" t="inlineStr">
        <is>
          <t>INV-5182-1</t>
        </is>
      </c>
      <c r="B466" t="inlineStr">
        <is>
          <t>INV-5182</t>
        </is>
      </c>
      <c r="C466" s="11" t="n">
        <v>45916</v>
      </c>
      <c r="D466" t="inlineStr">
        <is>
          <t>2025-09</t>
        </is>
      </c>
      <c r="E466" t="inlineStr">
        <is>
          <t>C0029</t>
        </is>
      </c>
      <c r="F466" t="inlineStr">
        <is>
          <t>C0029</t>
        </is>
      </c>
      <c r="G466" t="inlineStr">
        <is>
          <t>Ironbark Constructions</t>
        </is>
      </c>
      <c r="H466" t="inlineStr">
        <is>
          <t>S0232</t>
        </is>
      </c>
      <c r="I466" t="inlineStr">
        <is>
          <t>Temporary fence hire 4 wks (19/08/25-15/09/25) - 93 panels</t>
        </is>
      </c>
      <c r="J466" t="n">
        <v>372</v>
      </c>
      <c r="K466" s="9" t="n">
        <v>1674</v>
      </c>
      <c r="L466" t="inlineStr">
        <is>
          <t>PAID</t>
        </is>
      </c>
      <c r="M466">
        <f>IF(L466="VOIDED",0,1)</f>
        <v>1</v>
      </c>
      <c r="N466" t="n">
        <v>200</v>
      </c>
      <c r="O466" t="inlineStr">
        <is>
          <t>GST on Income</t>
        </is>
      </c>
      <c r="P466" t="inlineStr">
        <is>
          <t>R03</t>
        </is>
      </c>
      <c r="Q466" t="inlineStr">
        <is>
          <t>HIRE-FP</t>
        </is>
      </c>
      <c r="R466">
        <f>IF(OR(Q466="CONTEXT",Q466="REVIEW"),"",INDEX('Category Rules'!$D$5:$D$17,MATCH(P466,'Category Rules'!$A$5:$A$17,0)))</f>
        <v>4010</v>
      </c>
      <c r="S466" t="str">
        <f>IF(Q466="CONTEXT","Fencing",IF(Q466="REVIEW","",INDEX('Category Rules'!$E$5:$E$17,MATCH(P466,'Category Rules'!$A$5:$A$17,0))))</f>
        <v>Fencing</v>
      </c>
      <c r="T466" t="str">
        <f>IF(Q466="DEP","BAS Excluded","GST on Income")</f>
        <v>GST on Income</v>
      </c>
      <c r="U466">
        <f>IF(O466=T466,1,0)</f>
        <v>1</v>
      </c>
      <c r="V466" s="9">
        <f>IF(OR(M466=0,U466=1),0,IF(T466="GST on Income",ROUND(K466*0.1,2),ROUND(-K466*0.1,2)))</f>
        <v>0</v>
      </c>
    </row>
    <row r="467">
      <c r="A467" t="inlineStr">
        <is>
          <t>INV-5703-1</t>
        </is>
      </c>
      <c r="B467" t="inlineStr">
        <is>
          <t>INV-5703</t>
        </is>
      </c>
      <c r="C467" s="11" t="n">
        <v>45916</v>
      </c>
      <c r="D467" t="inlineStr">
        <is>
          <t>2025-09</t>
        </is>
      </c>
      <c r="E467" t="inlineStr">
        <is>
          <t>C0060</t>
        </is>
      </c>
      <c r="F467" t="inlineStr">
        <is>
          <t>C0060</t>
        </is>
      </c>
      <c r="G467" t="inlineStr">
        <is>
          <t>Redline Claims Services</t>
        </is>
      </c>
      <c r="H467" t="inlineStr">
        <is>
          <t>S0436</t>
        </is>
      </c>
      <c r="I467" t="inlineStr">
        <is>
          <t>Roof repair labour - 24 hrs</t>
        </is>
      </c>
      <c r="J467" t="n">
        <v>24</v>
      </c>
      <c r="K467" s="9" t="n">
        <v>2352</v>
      </c>
      <c r="L467" t="inlineStr">
        <is>
          <t>PAID</t>
        </is>
      </c>
      <c r="M467">
        <f>IF(L467="VOIDED",0,1)</f>
        <v>1</v>
      </c>
      <c r="N467" t="n">
        <v>200</v>
      </c>
      <c r="O467" t="inlineStr">
        <is>
          <t>GST on Income</t>
        </is>
      </c>
      <c r="P467" t="inlineStr">
        <is>
          <t>R10</t>
        </is>
      </c>
      <c r="Q467" t="inlineStr">
        <is>
          <t>LAB-RF</t>
        </is>
      </c>
      <c r="R467">
        <f>IF(OR(Q467="CONTEXT",Q467="REVIEW"),"",INDEX('Category Rules'!$D$5:$D$17,MATCH(P467,'Category Rules'!$A$5:$A$17,0)))</f>
        <v>4020</v>
      </c>
      <c r="S467" t="str">
        <f>IF(Q467="CONTEXT","Roofing",IF(Q467="REVIEW","",INDEX('Category Rules'!$E$5:$E$17,MATCH(P467,'Category Rules'!$A$5:$A$17,0))))</f>
        <v>Roofing</v>
      </c>
      <c r="T467" t="str">
        <f>IF(Q467="DEP","BAS Excluded","GST on Income")</f>
        <v>GST on Income</v>
      </c>
      <c r="U467">
        <f>IF(O467=T467,1,0)</f>
        <v>1</v>
      </c>
      <c r="V467" s="9">
        <f>IF(OR(M467=0,U467=1),0,IF(T467="GST on Income",ROUND(K467*0.1,2),ROUND(-K467*0.1,2)))</f>
        <v>0</v>
      </c>
    </row>
    <row r="468">
      <c r="A468" t="inlineStr">
        <is>
          <t>INV-5703-2</t>
        </is>
      </c>
      <c r="B468" t="inlineStr">
        <is>
          <t>INV-5703</t>
        </is>
      </c>
      <c r="C468" s="11" t="n">
        <v>45916</v>
      </c>
      <c r="D468" t="inlineStr">
        <is>
          <t>2025-09</t>
        </is>
      </c>
      <c r="E468" t="inlineStr">
        <is>
          <t>C0060</t>
        </is>
      </c>
      <c r="F468" t="inlineStr">
        <is>
          <t>C0060</t>
        </is>
      </c>
      <c r="G468" t="inlineStr">
        <is>
          <t>Redline Claims Services</t>
        </is>
      </c>
      <c r="H468" t="inlineStr">
        <is>
          <t>S0436</t>
        </is>
      </c>
      <c r="I468" t="inlineStr">
        <is>
          <t>Materials - sealant and fixings</t>
        </is>
      </c>
      <c r="J468" t="n">
        <v>1</v>
      </c>
      <c r="K468" s="9" t="n">
        <v>776.65</v>
      </c>
      <c r="L468" t="inlineStr">
        <is>
          <t>PAID</t>
        </is>
      </c>
      <c r="M468">
        <f>IF(L468="VOIDED",0,1)</f>
        <v>1</v>
      </c>
      <c r="N468" t="n">
        <v>200</v>
      </c>
      <c r="O468" t="inlineStr">
        <is>
          <t>GST on Income</t>
        </is>
      </c>
      <c r="P468" t="inlineStr">
        <is>
          <t>R11</t>
        </is>
      </c>
      <c r="Q468" t="inlineStr">
        <is>
          <t>MAT-RF</t>
        </is>
      </c>
      <c r="R468">
        <f>IF(OR(Q468="CONTEXT",Q468="REVIEW"),"",INDEX('Category Rules'!$D$5:$D$17,MATCH(P468,'Category Rules'!$A$5:$A$17,0)))</f>
        <v>4030</v>
      </c>
      <c r="S468" t="str">
        <f>IF(Q468="CONTEXT","Roofing",IF(Q468="REVIEW","",INDEX('Category Rules'!$E$5:$E$17,MATCH(P468,'Category Rules'!$A$5:$A$17,0))))</f>
        <v>Roofing</v>
      </c>
      <c r="T468" t="str">
        <f>IF(Q468="DEP","BAS Excluded","GST on Income")</f>
        <v>GST on Income</v>
      </c>
      <c r="U468">
        <f>IF(O468=T468,1,0)</f>
        <v>1</v>
      </c>
      <c r="V468" s="9">
        <f>IF(OR(M468=0,U468=1),0,IF(T468="GST on Income",ROUND(K468*0.1,2),ROUND(-K468*0.1,2)))</f>
        <v>0</v>
      </c>
    </row>
    <row r="469">
      <c r="A469" t="inlineStr">
        <is>
          <t>INV-5703-3</t>
        </is>
      </c>
      <c r="B469" t="inlineStr">
        <is>
          <t>INV-5703</t>
        </is>
      </c>
      <c r="C469" s="11" t="n">
        <v>45916</v>
      </c>
      <c r="D469" t="inlineStr">
        <is>
          <t>2025-09</t>
        </is>
      </c>
      <c r="E469" t="inlineStr">
        <is>
          <t>C0060</t>
        </is>
      </c>
      <c r="F469" t="inlineStr">
        <is>
          <t>C0060</t>
        </is>
      </c>
      <c r="G469" t="inlineStr">
        <is>
          <t>Redline Claims Services</t>
        </is>
      </c>
      <c r="H469" t="inlineStr">
        <is>
          <t>S0436</t>
        </is>
      </c>
      <c r="I469" t="inlineStr">
        <is>
          <t>Materials - gutter and downpipe</t>
        </is>
      </c>
      <c r="J469" t="n">
        <v>1</v>
      </c>
      <c r="K469" s="9" t="n">
        <v>933.3200000000001</v>
      </c>
      <c r="L469" t="inlineStr">
        <is>
          <t>PAID</t>
        </is>
      </c>
      <c r="M469">
        <f>IF(L469="VOIDED",0,1)</f>
        <v>1</v>
      </c>
      <c r="N469" t="n">
        <v>200</v>
      </c>
      <c r="O469" t="inlineStr">
        <is>
          <t>GST on Income</t>
        </is>
      </c>
      <c r="P469" t="inlineStr">
        <is>
          <t>R11</t>
        </is>
      </c>
      <c r="Q469" t="inlineStr">
        <is>
          <t>MAT-RF</t>
        </is>
      </c>
      <c r="R469">
        <f>IF(OR(Q469="CONTEXT",Q469="REVIEW"),"",INDEX('Category Rules'!$D$5:$D$17,MATCH(P469,'Category Rules'!$A$5:$A$17,0)))</f>
        <v>4030</v>
      </c>
      <c r="S469" t="str">
        <f>IF(Q469="CONTEXT","Roofing",IF(Q469="REVIEW","",INDEX('Category Rules'!$E$5:$E$17,MATCH(P469,'Category Rules'!$A$5:$A$17,0))))</f>
        <v>Roofing</v>
      </c>
      <c r="T469" t="str">
        <f>IF(Q469="DEP","BAS Excluded","GST on Income")</f>
        <v>GST on Income</v>
      </c>
      <c r="U469">
        <f>IF(O469=T469,1,0)</f>
        <v>1</v>
      </c>
      <c r="V469" s="9">
        <f>IF(OR(M469=0,U469=1),0,IF(T469="GST on Income",ROUND(K469*0.1,2),ROUND(-K469*0.1,2)))</f>
        <v>0</v>
      </c>
    </row>
    <row r="470">
      <c r="A470" t="inlineStr">
        <is>
          <t>INV-5703-4</t>
        </is>
      </c>
      <c r="B470" t="inlineStr">
        <is>
          <t>INV-5703</t>
        </is>
      </c>
      <c r="C470" s="11" t="n">
        <v>45916</v>
      </c>
      <c r="D470" t="inlineStr">
        <is>
          <t>2025-09</t>
        </is>
      </c>
      <c r="E470" t="inlineStr">
        <is>
          <t>C0060</t>
        </is>
      </c>
      <c r="F470" t="inlineStr">
        <is>
          <t>C0060</t>
        </is>
      </c>
      <c r="G470" t="inlineStr">
        <is>
          <t>Redline Claims Services</t>
        </is>
      </c>
      <c r="H470" t="inlineStr">
        <is>
          <t>S0436</t>
        </is>
      </c>
      <c r="I470" t="inlineStr">
        <is>
          <t>Materials - roof tiles (matched)</t>
        </is>
      </c>
      <c r="J470" t="n">
        <v>1</v>
      </c>
      <c r="K470" s="9" t="n">
        <v>1211.78</v>
      </c>
      <c r="L470" t="inlineStr">
        <is>
          <t>PAID</t>
        </is>
      </c>
      <c r="M470">
        <f>IF(L470="VOIDED",0,1)</f>
        <v>1</v>
      </c>
      <c r="N470" t="n">
        <v>200</v>
      </c>
      <c r="O470" t="inlineStr">
        <is>
          <t>GST on Income</t>
        </is>
      </c>
      <c r="P470" t="inlineStr">
        <is>
          <t>R11</t>
        </is>
      </c>
      <c r="Q470" t="inlineStr">
        <is>
          <t>MAT-RF</t>
        </is>
      </c>
      <c r="R470">
        <f>IF(OR(Q470="CONTEXT",Q470="REVIEW"),"",INDEX('Category Rules'!$D$5:$D$17,MATCH(P470,'Category Rules'!$A$5:$A$17,0)))</f>
        <v>4030</v>
      </c>
      <c r="S470" t="str">
        <f>IF(Q470="CONTEXT","Roofing",IF(Q470="REVIEW","",INDEX('Category Rules'!$E$5:$E$17,MATCH(P470,'Category Rules'!$A$5:$A$17,0))))</f>
        <v>Roofing</v>
      </c>
      <c r="T470" t="str">
        <f>IF(Q470="DEP","BAS Excluded","GST on Income")</f>
        <v>GST on Income</v>
      </c>
      <c r="U470">
        <f>IF(O470=T470,1,0)</f>
        <v>1</v>
      </c>
      <c r="V470" s="9">
        <f>IF(OR(M470=0,U470=1),0,IF(T470="GST on Income",ROUND(K470*0.1,2),ROUND(-K470*0.1,2)))</f>
        <v>0</v>
      </c>
    </row>
    <row r="471">
      <c r="A471" t="inlineStr">
        <is>
          <t>INV-5703-5</t>
        </is>
      </c>
      <c r="B471" t="inlineStr">
        <is>
          <t>INV-5703</t>
        </is>
      </c>
      <c r="C471" s="11" t="n">
        <v>45916</v>
      </c>
      <c r="D471" t="inlineStr">
        <is>
          <t>2025-09</t>
        </is>
      </c>
      <c r="E471" t="inlineStr">
        <is>
          <t>C0060</t>
        </is>
      </c>
      <c r="F471" t="inlineStr">
        <is>
          <t>C0060</t>
        </is>
      </c>
      <c r="G471" t="inlineStr">
        <is>
          <t>Redline Claims Services</t>
        </is>
      </c>
      <c r="H471" t="inlineStr">
        <is>
          <t>S0436</t>
        </is>
      </c>
      <c r="I471" t="inlineStr">
        <is>
          <t>Waste removal and tip fees</t>
        </is>
      </c>
      <c r="J471" t="n">
        <v>1</v>
      </c>
      <c r="K471" s="9" t="n">
        <v>120</v>
      </c>
      <c r="L471" t="inlineStr">
        <is>
          <t>PAID</t>
        </is>
      </c>
      <c r="M471">
        <f>IF(L471="VOIDED",0,1)</f>
        <v>1</v>
      </c>
      <c r="N471" t="n">
        <v>200</v>
      </c>
      <c r="O471" t="inlineStr">
        <is>
          <t>GST on Income</t>
        </is>
      </c>
      <c r="P471" t="inlineStr">
        <is>
          <t>R11</t>
        </is>
      </c>
      <c r="Q471" t="inlineStr">
        <is>
          <t>MAT-RF</t>
        </is>
      </c>
      <c r="R471">
        <f>IF(OR(Q471="CONTEXT",Q471="REVIEW"),"",INDEX('Category Rules'!$D$5:$D$17,MATCH(P471,'Category Rules'!$A$5:$A$17,0)))</f>
        <v>4030</v>
      </c>
      <c r="S471" t="str">
        <f>IF(Q471="CONTEXT","Roofing",IF(Q471="REVIEW","",INDEX('Category Rules'!$E$5:$E$17,MATCH(P471,'Category Rules'!$A$5:$A$17,0))))</f>
        <v>Roofing</v>
      </c>
      <c r="T471" t="str">
        <f>IF(Q471="DEP","BAS Excluded","GST on Income")</f>
        <v>GST on Income</v>
      </c>
      <c r="U471">
        <f>IF(O471=T471,1,0)</f>
        <v>1</v>
      </c>
      <c r="V471" s="9">
        <f>IF(OR(M471=0,U471=1),0,IF(T471="GST on Income",ROUND(K471*0.1,2),ROUND(-K471*0.1,2)))</f>
        <v>0</v>
      </c>
    </row>
    <row r="472">
      <c r="A472" t="inlineStr">
        <is>
          <t>INV-5705-1</t>
        </is>
      </c>
      <c r="B472" t="inlineStr">
        <is>
          <t>INV-5705</t>
        </is>
      </c>
      <c r="C472" s="11" t="n">
        <v>45916</v>
      </c>
      <c r="D472" t="inlineStr">
        <is>
          <t>2025-09</t>
        </is>
      </c>
      <c r="E472" t="inlineStr">
        <is>
          <t>C0067</t>
        </is>
      </c>
      <c r="F472" t="inlineStr">
        <is>
          <t>C0067</t>
        </is>
      </c>
      <c r="G472" t="inlineStr">
        <is>
          <t>Banksia Claims Services Pty Ltd</t>
        </is>
      </c>
      <c r="H472" t="inlineStr">
        <is>
          <t>S0438</t>
        </is>
      </c>
      <c r="I472" t="inlineStr">
        <is>
          <t>Tarp kit hire 4 wks (19/08/25-15/09/25) - 3 kits</t>
        </is>
      </c>
      <c r="J472" t="n">
        <v>12</v>
      </c>
      <c r="K472" s="9" t="n">
        <v>420</v>
      </c>
      <c r="L472" t="inlineStr">
        <is>
          <t>PAID</t>
        </is>
      </c>
      <c r="M472">
        <f>IF(L472="VOIDED",0,1)</f>
        <v>1</v>
      </c>
      <c r="N472" t="n">
        <v>200</v>
      </c>
      <c r="O472" t="inlineStr">
        <is>
          <t>GST on Income</t>
        </is>
      </c>
      <c r="P472" t="inlineStr">
        <is>
          <t>R06</t>
        </is>
      </c>
      <c r="Q472" t="inlineStr">
        <is>
          <t>HIRE-TK</t>
        </is>
      </c>
      <c r="R472">
        <f>IF(OR(Q472="CONTEXT",Q472="REVIEW"),"",INDEX('Category Rules'!$D$5:$D$17,MATCH(P472,'Category Rules'!$A$5:$A$17,0)))</f>
        <v>4010</v>
      </c>
      <c r="S472" t="str">
        <f>IF(Q472="CONTEXT","Make-safe",IF(Q472="REVIEW","",INDEX('Category Rules'!$E$5:$E$17,MATCH(P472,'Category Rules'!$A$5:$A$17,0))))</f>
        <v>Make-safe</v>
      </c>
      <c r="T472" t="str">
        <f>IF(Q472="DEP","BAS Excluded","GST on Income")</f>
        <v>GST on Income</v>
      </c>
      <c r="U472">
        <f>IF(O472=T472,1,0)</f>
        <v>1</v>
      </c>
      <c r="V472" s="9">
        <f>IF(OR(M472=0,U472=1),0,IF(T472="GST on Income",ROUND(K472*0.1,2),ROUND(-K472*0.1,2)))</f>
        <v>0</v>
      </c>
    </row>
    <row r="473">
      <c r="A473" t="inlineStr">
        <is>
          <t>INV-4483-1</t>
        </is>
      </c>
      <c r="B473" t="inlineStr">
        <is>
          <t>INV-4483</t>
        </is>
      </c>
      <c r="C473" s="11" t="n">
        <v>45917</v>
      </c>
      <c r="D473" t="inlineStr">
        <is>
          <t>2025-09</t>
        </is>
      </c>
      <c r="E473" t="inlineStr">
        <is>
          <t>C0018</t>
        </is>
      </c>
      <c r="F473" t="inlineStr">
        <is>
          <t>C0018</t>
        </is>
      </c>
      <c r="G473" t="inlineStr">
        <is>
          <t>Wattle Constructions Pty Ltd</t>
        </is>
      </c>
      <c r="H473" t="inlineStr">
        <is>
          <t>S0079</t>
        </is>
      </c>
      <c r="I473" t="inlineStr">
        <is>
          <t>Temporary fence hire 4 wks (21/08/25-16/09/25) - 90 panels</t>
        </is>
      </c>
      <c r="J473" t="n">
        <v>360</v>
      </c>
      <c r="K473" s="9" t="n">
        <v>1620</v>
      </c>
      <c r="L473" t="inlineStr">
        <is>
          <t>PAID</t>
        </is>
      </c>
      <c r="M473">
        <f>IF(L473="VOIDED",0,1)</f>
        <v>1</v>
      </c>
      <c r="N473" t="n">
        <v>200</v>
      </c>
      <c r="O473" t="inlineStr">
        <is>
          <t>GST on Income</t>
        </is>
      </c>
      <c r="P473" t="inlineStr">
        <is>
          <t>R03</t>
        </is>
      </c>
      <c r="Q473" t="inlineStr">
        <is>
          <t>HIRE-FP</t>
        </is>
      </c>
      <c r="R473">
        <f>IF(OR(Q473="CONTEXT",Q473="REVIEW"),"",INDEX('Category Rules'!$D$5:$D$17,MATCH(P473,'Category Rules'!$A$5:$A$17,0)))</f>
        <v>4010</v>
      </c>
      <c r="S473" t="str">
        <f>IF(Q473="CONTEXT","Fencing",IF(Q473="REVIEW","",INDEX('Category Rules'!$E$5:$E$17,MATCH(P473,'Category Rules'!$A$5:$A$17,0))))</f>
        <v>Fencing</v>
      </c>
      <c r="T473" t="str">
        <f>IF(Q473="DEP","BAS Excluded","GST on Income")</f>
        <v>GST on Income</v>
      </c>
      <c r="U473">
        <f>IF(O473=T473,1,0)</f>
        <v>1</v>
      </c>
      <c r="V473" s="9">
        <f>IF(OR(M473=0,U473=1),0,IF(T473="GST on Income",ROUND(K473*0.1,2),ROUND(-K473*0.1,2)))</f>
        <v>0</v>
      </c>
    </row>
    <row r="474">
      <c r="A474" t="inlineStr">
        <is>
          <t>INV-4484-1</t>
        </is>
      </c>
      <c r="B474" t="inlineStr">
        <is>
          <t>INV-4484</t>
        </is>
      </c>
      <c r="C474" s="11" t="n">
        <v>45917</v>
      </c>
      <c r="D474" t="inlineStr">
        <is>
          <t>2025-09</t>
        </is>
      </c>
      <c r="E474" t="inlineStr">
        <is>
          <t>C0018</t>
        </is>
      </c>
      <c r="F474" t="inlineStr">
        <is>
          <t>C0018</t>
        </is>
      </c>
      <c r="G474" t="inlineStr">
        <is>
          <t>Wattle Constructions Pty Ltd</t>
        </is>
      </c>
      <c r="H474" t="inlineStr">
        <is>
          <t>S0079</t>
        </is>
      </c>
      <c r="I474" t="inlineStr">
        <is>
          <t>Pedestrian barrier hire 4 wks (21/08/25-16/09/25) - 4 barriers</t>
        </is>
      </c>
      <c r="J474" t="n">
        <v>16</v>
      </c>
      <c r="K474" s="9" t="n">
        <v>51.2</v>
      </c>
      <c r="L474" t="inlineStr">
        <is>
          <t>PAID</t>
        </is>
      </c>
      <c r="M474">
        <f>IF(L474="VOIDED",0,1)</f>
        <v>1</v>
      </c>
      <c r="N474" t="n">
        <v>200</v>
      </c>
      <c r="O474" t="inlineStr">
        <is>
          <t>GST on Income</t>
        </is>
      </c>
      <c r="P474" t="inlineStr">
        <is>
          <t>R04</t>
        </is>
      </c>
      <c r="Q474" t="inlineStr">
        <is>
          <t>HIRE-BR</t>
        </is>
      </c>
      <c r="R474">
        <f>IF(OR(Q474="CONTEXT",Q474="REVIEW"),"",INDEX('Category Rules'!$D$5:$D$17,MATCH(P474,'Category Rules'!$A$5:$A$17,0)))</f>
        <v>4010</v>
      </c>
      <c r="S474" t="str">
        <f>IF(Q474="CONTEXT","Fencing",IF(Q474="REVIEW","",INDEX('Category Rules'!$E$5:$E$17,MATCH(P474,'Category Rules'!$A$5:$A$17,0))))</f>
        <v>Fencing</v>
      </c>
      <c r="T474" t="str">
        <f>IF(Q474="DEP","BAS Excluded","GST on Income")</f>
        <v>GST on Income</v>
      </c>
      <c r="U474">
        <f>IF(O474=T474,1,0)</f>
        <v>1</v>
      </c>
      <c r="V474" s="9">
        <f>IF(OR(M474=0,U474=1),0,IF(T474="GST on Income",ROUND(K474*0.1,2),ROUND(-K474*0.1,2)))</f>
        <v>0</v>
      </c>
    </row>
    <row r="475">
      <c r="A475" t="inlineStr">
        <is>
          <t>INV-4486-1</t>
        </is>
      </c>
      <c r="B475" t="inlineStr">
        <is>
          <t>INV-4486</t>
        </is>
      </c>
      <c r="C475" s="11" t="n">
        <v>45917</v>
      </c>
      <c r="D475" t="inlineStr">
        <is>
          <t>2025-09</t>
        </is>
      </c>
      <c r="E475" t="inlineStr">
        <is>
          <t>C0018</t>
        </is>
      </c>
      <c r="F475" t="inlineStr">
        <is>
          <t>C0018</t>
        </is>
      </c>
      <c r="G475" t="inlineStr">
        <is>
          <t>Wattle Constructions Pty Ltd</t>
        </is>
      </c>
      <c r="H475" t="inlineStr">
        <is>
          <t>S0079</t>
        </is>
      </c>
      <c r="I475" t="inlineStr">
        <is>
          <t>Collection and dismantle - temporary fencing</t>
        </is>
      </c>
      <c r="J475" t="n">
        <v>1</v>
      </c>
      <c r="K475" s="9" t="n">
        <v>165</v>
      </c>
      <c r="L475" t="inlineStr">
        <is>
          <t>PAID</t>
        </is>
      </c>
      <c r="M475">
        <f>IF(L475="VOIDED",0,1)</f>
        <v>1</v>
      </c>
      <c r="N475" t="n">
        <v>200</v>
      </c>
      <c r="O475" t="inlineStr">
        <is>
          <t>GST on Income</t>
        </is>
      </c>
      <c r="P475" t="inlineStr">
        <is>
          <t>R07</t>
        </is>
      </c>
      <c r="Q475" t="inlineStr">
        <is>
          <t>DEL-FP</t>
        </is>
      </c>
      <c r="R475">
        <f>IF(OR(Q475="CONTEXT",Q475="REVIEW"),"",INDEX('Category Rules'!$D$5:$D$17,MATCH(P475,'Category Rules'!$A$5:$A$17,0)))</f>
        <v>4020</v>
      </c>
      <c r="S475" t="str">
        <f>IF(Q475="CONTEXT","Fencing",IF(Q475="REVIEW","",INDEX('Category Rules'!$E$5:$E$17,MATCH(P475,'Category Rules'!$A$5:$A$17,0))))</f>
        <v>Fencing</v>
      </c>
      <c r="T475" t="str">
        <f>IF(Q475="DEP","BAS Excluded","GST on Income")</f>
        <v>GST on Income</v>
      </c>
      <c r="U475">
        <f>IF(O475=T475,1,0)</f>
        <v>1</v>
      </c>
      <c r="V475" s="9">
        <f>IF(OR(M475=0,U475=1),0,IF(T475="GST on Income",ROUND(K475*0.1,2),ROUND(-K475*0.1,2)))</f>
        <v>0</v>
      </c>
    </row>
    <row r="476">
      <c r="A476" t="inlineStr">
        <is>
          <t>INV-4117-1</t>
        </is>
      </c>
      <c r="B476" t="inlineStr">
        <is>
          <t>INV-4117</t>
        </is>
      </c>
      <c r="C476" s="11" t="n">
        <v>45918</v>
      </c>
      <c r="D476" t="inlineStr">
        <is>
          <t>2025-09</t>
        </is>
      </c>
      <c r="E476" t="inlineStr">
        <is>
          <t>C0022</t>
        </is>
      </c>
      <c r="F476" t="inlineStr">
        <is>
          <t>C0022</t>
        </is>
      </c>
      <c r="G476" t="inlineStr">
        <is>
          <t>Highpoint Projects</t>
        </is>
      </c>
      <c r="H476" t="inlineStr">
        <is>
          <t>S0004</t>
        </is>
      </c>
      <c r="I476" t="inlineStr">
        <is>
          <t>Temporary fence hire 4 wks (21/08/25-17/09/25) - 125 panels</t>
        </is>
      </c>
      <c r="J476" t="n">
        <v>500</v>
      </c>
      <c r="K476" s="9" t="n">
        <v>2250</v>
      </c>
      <c r="L476" t="inlineStr">
        <is>
          <t>PAID</t>
        </is>
      </c>
      <c r="M476">
        <f>IF(L476="VOIDED",0,1)</f>
        <v>1</v>
      </c>
      <c r="N476" t="n">
        <v>200</v>
      </c>
      <c r="O476" t="inlineStr">
        <is>
          <t>GST on Income</t>
        </is>
      </c>
      <c r="P476" t="inlineStr">
        <is>
          <t>R03</t>
        </is>
      </c>
      <c r="Q476" t="inlineStr">
        <is>
          <t>HIRE-FP</t>
        </is>
      </c>
      <c r="R476">
        <f>IF(OR(Q476="CONTEXT",Q476="REVIEW"),"",INDEX('Category Rules'!$D$5:$D$17,MATCH(P476,'Category Rules'!$A$5:$A$17,0)))</f>
        <v>4010</v>
      </c>
      <c r="S476" t="str">
        <f>IF(Q476="CONTEXT","Fencing",IF(Q476="REVIEW","",INDEX('Category Rules'!$E$5:$E$17,MATCH(P476,'Category Rules'!$A$5:$A$17,0))))</f>
        <v>Fencing</v>
      </c>
      <c r="T476" t="str">
        <f>IF(Q476="DEP","BAS Excluded","GST on Income")</f>
        <v>GST on Income</v>
      </c>
      <c r="U476">
        <f>IF(O476=T476,1,0)</f>
        <v>1</v>
      </c>
      <c r="V476" s="9">
        <f>IF(OR(M476=0,U476=1),0,IF(T476="GST on Income",ROUND(K476*0.1,2),ROUND(-K476*0.1,2)))</f>
        <v>0</v>
      </c>
    </row>
    <row r="477">
      <c r="A477" t="inlineStr">
        <is>
          <t>INV-4358-1</t>
        </is>
      </c>
      <c r="B477" t="inlineStr">
        <is>
          <t>INV-4358</t>
        </is>
      </c>
      <c r="C477" s="11" t="n">
        <v>45918</v>
      </c>
      <c r="D477" t="inlineStr">
        <is>
          <t>2025-09</t>
        </is>
      </c>
      <c r="E477" t="inlineStr">
        <is>
          <t>C0001</t>
        </is>
      </c>
      <c r="F477" t="inlineStr">
        <is>
          <t>C0001</t>
        </is>
      </c>
      <c r="G477" t="inlineStr">
        <is>
          <t>Parkview Projects Pty Ltd</t>
        </is>
      </c>
      <c r="H477" t="inlineStr">
        <is>
          <t>S0053</t>
        </is>
      </c>
      <c r="I477" t="inlineStr">
        <is>
          <t>Delivery and installation - temporary fencing</t>
        </is>
      </c>
      <c r="J477" t="n">
        <v>1</v>
      </c>
      <c r="K477" s="9" t="n">
        <v>165</v>
      </c>
      <c r="L477" t="inlineStr">
        <is>
          <t>PAID</t>
        </is>
      </c>
      <c r="M477">
        <f>IF(L477="VOIDED",0,1)</f>
        <v>1</v>
      </c>
      <c r="N477" t="n">
        <v>200</v>
      </c>
      <c r="O477" t="inlineStr">
        <is>
          <t>GST on Income</t>
        </is>
      </c>
      <c r="P477" t="inlineStr">
        <is>
          <t>R07</t>
        </is>
      </c>
      <c r="Q477" t="inlineStr">
        <is>
          <t>DEL-FP</t>
        </is>
      </c>
      <c r="R477">
        <f>IF(OR(Q477="CONTEXT",Q477="REVIEW"),"",INDEX('Category Rules'!$D$5:$D$17,MATCH(P477,'Category Rules'!$A$5:$A$17,0)))</f>
        <v>4020</v>
      </c>
      <c r="S477" t="str">
        <f>IF(Q477="CONTEXT","Fencing",IF(Q477="REVIEW","",INDEX('Category Rules'!$E$5:$E$17,MATCH(P477,'Category Rules'!$A$5:$A$17,0))))</f>
        <v>Fencing</v>
      </c>
      <c r="T477" t="str">
        <f>IF(Q477="DEP","BAS Excluded","GST on Income")</f>
        <v>GST on Income</v>
      </c>
      <c r="U477">
        <f>IF(O477=T477,1,0)</f>
        <v>1</v>
      </c>
      <c r="V477" s="9">
        <f>IF(OR(M477=0,U477=1),0,IF(T477="GST on Income",ROUND(K477*0.1,2),ROUND(-K477*0.1,2)))</f>
        <v>0</v>
      </c>
    </row>
    <row r="478">
      <c r="A478" t="inlineStr">
        <is>
          <t>INV-4358-2</t>
        </is>
      </c>
      <c r="B478" t="inlineStr">
        <is>
          <t>INV-4358</t>
        </is>
      </c>
      <c r="C478" s="11" t="n">
        <v>45918</v>
      </c>
      <c r="D478" t="inlineStr">
        <is>
          <t>2025-09</t>
        </is>
      </c>
      <c r="E478" t="inlineStr">
        <is>
          <t>C0001</t>
        </is>
      </c>
      <c r="F478" t="inlineStr">
        <is>
          <t>C0001</t>
        </is>
      </c>
      <c r="G478" t="inlineStr">
        <is>
          <t>Parkview Projects Pty Ltd</t>
        </is>
      </c>
      <c r="H478" t="inlineStr">
        <is>
          <t>S0053</t>
        </is>
      </c>
      <c r="I478" t="inlineStr">
        <is>
          <t>Installation labour - 143 panels @ 2.20</t>
        </is>
      </c>
      <c r="J478" t="n">
        <v>143</v>
      </c>
      <c r="K478" s="9" t="n">
        <v>314.6</v>
      </c>
      <c r="L478" t="inlineStr">
        <is>
          <t>PAID</t>
        </is>
      </c>
      <c r="M478">
        <f>IF(L478="VOIDED",0,1)</f>
        <v>1</v>
      </c>
      <c r="N478" t="n">
        <v>200</v>
      </c>
      <c r="O478" t="inlineStr">
        <is>
          <t>GST on Income</t>
        </is>
      </c>
      <c r="P478" t="inlineStr">
        <is>
          <t>R07</t>
        </is>
      </c>
      <c r="Q478" t="inlineStr">
        <is>
          <t>DEL-FP</t>
        </is>
      </c>
      <c r="R478">
        <f>IF(OR(Q478="CONTEXT",Q478="REVIEW"),"",INDEX('Category Rules'!$D$5:$D$17,MATCH(P478,'Category Rules'!$A$5:$A$17,0)))</f>
        <v>4020</v>
      </c>
      <c r="S478" t="str">
        <f>IF(Q478="CONTEXT","Fencing",IF(Q478="REVIEW","",INDEX('Category Rules'!$E$5:$E$17,MATCH(P478,'Category Rules'!$A$5:$A$17,0))))</f>
        <v>Fencing</v>
      </c>
      <c r="T478" t="str">
        <f>IF(Q478="DEP","BAS Excluded","GST on Income")</f>
        <v>GST on Income</v>
      </c>
      <c r="U478">
        <f>IF(O478=T478,1,0)</f>
        <v>1</v>
      </c>
      <c r="V478" s="9">
        <f>IF(OR(M478=0,U478=1),0,IF(T478="GST on Income",ROUND(K478*0.1,2),ROUND(-K478*0.1,2)))</f>
        <v>0</v>
      </c>
    </row>
    <row r="479">
      <c r="A479" t="inlineStr">
        <is>
          <t>INV-5247-1</t>
        </is>
      </c>
      <c r="B479" t="inlineStr">
        <is>
          <t>INV-5247</t>
        </is>
      </c>
      <c r="C479" s="11" t="n">
        <v>45918</v>
      </c>
      <c r="D479" t="inlineStr">
        <is>
          <t>2025-09</t>
        </is>
      </c>
      <c r="E479" t="inlineStr">
        <is>
          <t>C0124</t>
        </is>
      </c>
      <c r="F479" t="inlineStr">
        <is>
          <t>C0124</t>
        </is>
      </c>
      <c r="G479" t="inlineStr">
        <is>
          <t>Harbor Strata Management</t>
        </is>
      </c>
      <c r="H479" t="inlineStr">
        <is>
          <t>S0247</t>
        </is>
      </c>
      <c r="I479" t="inlineStr">
        <is>
          <t>Scaffold tower hire 4 wks (21/08/25-17/09/25) - 2 towers</t>
        </is>
      </c>
      <c r="J479" t="n">
        <v>8</v>
      </c>
      <c r="K479" s="9" t="n">
        <v>760</v>
      </c>
      <c r="L479" t="inlineStr">
        <is>
          <t>PAID</t>
        </is>
      </c>
      <c r="M479">
        <f>IF(L479="VOIDED",0,1)</f>
        <v>1</v>
      </c>
      <c r="N479" t="n">
        <v>200</v>
      </c>
      <c r="O479" t="inlineStr">
        <is>
          <t>GST on Income</t>
        </is>
      </c>
      <c r="P479" t="inlineStr">
        <is>
          <t>R05</t>
        </is>
      </c>
      <c r="Q479" t="inlineStr">
        <is>
          <t>HIRE-ST</t>
        </is>
      </c>
      <c r="R479">
        <f>IF(OR(Q479="CONTEXT",Q479="REVIEW"),"",INDEX('Category Rules'!$D$5:$D$17,MATCH(P479,'Category Rules'!$A$5:$A$17,0)))</f>
        <v>4010</v>
      </c>
      <c r="S479" t="str">
        <f>IF(Q479="CONTEXT","Scaffolding",IF(Q479="REVIEW","",INDEX('Category Rules'!$E$5:$E$17,MATCH(P479,'Category Rules'!$A$5:$A$17,0))))</f>
        <v>Scaffolding</v>
      </c>
      <c r="T479" t="str">
        <f>IF(Q479="DEP","BAS Excluded","GST on Income")</f>
        <v>GST on Income</v>
      </c>
      <c r="U479">
        <f>IF(O479=T479,1,0)</f>
        <v>1</v>
      </c>
      <c r="V479" s="9">
        <f>IF(OR(M479=0,U479=1),0,IF(T479="GST on Income",ROUND(K479*0.1,2),ROUND(-K479*0.1,2)))</f>
        <v>0</v>
      </c>
    </row>
    <row r="480">
      <c r="A480" t="inlineStr">
        <is>
          <t>INV-5501-1</t>
        </is>
      </c>
      <c r="B480" t="inlineStr">
        <is>
          <t>INV-5501</t>
        </is>
      </c>
      <c r="C480" s="11" t="n">
        <v>45918</v>
      </c>
      <c r="D480" t="inlineStr">
        <is>
          <t>2025-09</t>
        </is>
      </c>
      <c r="E480" t="inlineStr">
        <is>
          <t>C0026</t>
        </is>
      </c>
      <c r="F480" t="inlineStr">
        <is>
          <t>C0026</t>
        </is>
      </c>
      <c r="G480" t="inlineStr">
        <is>
          <t>Juniper Constructions</t>
        </is>
      </c>
      <c r="H480" t="inlineStr">
        <is>
          <t>S0328</t>
        </is>
      </c>
      <c r="I480" t="inlineStr">
        <is>
          <t>Roof repair labour - 4 hrs</t>
        </is>
      </c>
      <c r="J480" t="n">
        <v>4</v>
      </c>
      <c r="K480" s="9" t="n">
        <v>392</v>
      </c>
      <c r="L480" t="inlineStr">
        <is>
          <t>PAID</t>
        </is>
      </c>
      <c r="M480">
        <f>IF(L480="VOIDED",0,1)</f>
        <v>1</v>
      </c>
      <c r="N480" t="n">
        <v>200</v>
      </c>
      <c r="O480" t="inlineStr">
        <is>
          <t>GST on Income</t>
        </is>
      </c>
      <c r="P480" t="inlineStr">
        <is>
          <t>R10</t>
        </is>
      </c>
      <c r="Q480" t="inlineStr">
        <is>
          <t>LAB-RF</t>
        </is>
      </c>
      <c r="R480">
        <f>IF(OR(Q480="CONTEXT",Q480="REVIEW"),"",INDEX('Category Rules'!$D$5:$D$17,MATCH(P480,'Category Rules'!$A$5:$A$17,0)))</f>
        <v>4020</v>
      </c>
      <c r="S480" t="str">
        <f>IF(Q480="CONTEXT","Roofing",IF(Q480="REVIEW","",INDEX('Category Rules'!$E$5:$E$17,MATCH(P480,'Category Rules'!$A$5:$A$17,0))))</f>
        <v>Roofing</v>
      </c>
      <c r="T480" t="str">
        <f>IF(Q480="DEP","BAS Excluded","GST on Income")</f>
        <v>GST on Income</v>
      </c>
      <c r="U480">
        <f>IF(O480=T480,1,0)</f>
        <v>1</v>
      </c>
      <c r="V480" s="9">
        <f>IF(OR(M480=0,U480=1),0,IF(T480="GST on Income",ROUND(K480*0.1,2),ROUND(-K480*0.1,2)))</f>
        <v>0</v>
      </c>
    </row>
    <row r="481">
      <c r="A481" t="inlineStr">
        <is>
          <t>INV-5501-2</t>
        </is>
      </c>
      <c r="B481" t="inlineStr">
        <is>
          <t>INV-5501</t>
        </is>
      </c>
      <c r="C481" s="11" t="n">
        <v>45918</v>
      </c>
      <c r="D481" t="inlineStr">
        <is>
          <t>2025-09</t>
        </is>
      </c>
      <c r="E481" t="inlineStr">
        <is>
          <t>C0026</t>
        </is>
      </c>
      <c r="F481" t="inlineStr">
        <is>
          <t>C0026</t>
        </is>
      </c>
      <c r="G481" t="inlineStr">
        <is>
          <t>Juniper Constructions</t>
        </is>
      </c>
      <c r="H481" t="inlineStr">
        <is>
          <t>S0328</t>
        </is>
      </c>
      <c r="I481" t="inlineStr">
        <is>
          <t>Materials - flashing</t>
        </is>
      </c>
      <c r="J481" t="n">
        <v>1</v>
      </c>
      <c r="K481" s="9" t="n">
        <v>413.09</v>
      </c>
      <c r="L481" t="inlineStr">
        <is>
          <t>PAID</t>
        </is>
      </c>
      <c r="M481">
        <f>IF(L481="VOIDED",0,1)</f>
        <v>1</v>
      </c>
      <c r="N481" t="n">
        <v>200</v>
      </c>
      <c r="O481" t="inlineStr">
        <is>
          <t>GST on Income</t>
        </is>
      </c>
      <c r="P481" t="inlineStr">
        <is>
          <t>R11</t>
        </is>
      </c>
      <c r="Q481" t="inlineStr">
        <is>
          <t>MAT-RF</t>
        </is>
      </c>
      <c r="R481">
        <f>IF(OR(Q481="CONTEXT",Q481="REVIEW"),"",INDEX('Category Rules'!$D$5:$D$17,MATCH(P481,'Category Rules'!$A$5:$A$17,0)))</f>
        <v>4030</v>
      </c>
      <c r="S481" t="str">
        <f>IF(Q481="CONTEXT","Roofing",IF(Q481="REVIEW","",INDEX('Category Rules'!$E$5:$E$17,MATCH(P481,'Category Rules'!$A$5:$A$17,0))))</f>
        <v>Roofing</v>
      </c>
      <c r="T481" t="str">
        <f>IF(Q481="DEP","BAS Excluded","GST on Income")</f>
        <v>GST on Income</v>
      </c>
      <c r="U481">
        <f>IF(O481=T481,1,0)</f>
        <v>1</v>
      </c>
      <c r="V481" s="9">
        <f>IF(OR(M481=0,U481=1),0,IF(T481="GST on Income",ROUND(K481*0.1,2),ROUND(-K481*0.1,2)))</f>
        <v>0</v>
      </c>
    </row>
    <row r="482">
      <c r="A482" t="inlineStr">
        <is>
          <t>INV-5501-3</t>
        </is>
      </c>
      <c r="B482" t="inlineStr">
        <is>
          <t>INV-5501</t>
        </is>
      </c>
      <c r="C482" s="11" t="n">
        <v>45918</v>
      </c>
      <c r="D482" t="inlineStr">
        <is>
          <t>2025-09</t>
        </is>
      </c>
      <c r="E482" t="inlineStr">
        <is>
          <t>C0026</t>
        </is>
      </c>
      <c r="F482" t="inlineStr">
        <is>
          <t>C0026</t>
        </is>
      </c>
      <c r="G482" t="inlineStr">
        <is>
          <t>Juniper Constructions</t>
        </is>
      </c>
      <c r="H482" t="inlineStr">
        <is>
          <t>S0328</t>
        </is>
      </c>
      <c r="I482" t="inlineStr">
        <is>
          <t>Waste removal and tip fees</t>
        </is>
      </c>
      <c r="J482" t="n">
        <v>1</v>
      </c>
      <c r="K482" s="9" t="n">
        <v>120</v>
      </c>
      <c r="L482" t="inlineStr">
        <is>
          <t>PAID</t>
        </is>
      </c>
      <c r="M482">
        <f>IF(L482="VOIDED",0,1)</f>
        <v>1</v>
      </c>
      <c r="N482" t="n">
        <v>200</v>
      </c>
      <c r="O482" t="inlineStr">
        <is>
          <t>GST on Income</t>
        </is>
      </c>
      <c r="P482" t="inlineStr">
        <is>
          <t>R11</t>
        </is>
      </c>
      <c r="Q482" t="inlineStr">
        <is>
          <t>MAT-RF</t>
        </is>
      </c>
      <c r="R482">
        <f>IF(OR(Q482="CONTEXT",Q482="REVIEW"),"",INDEX('Category Rules'!$D$5:$D$17,MATCH(P482,'Category Rules'!$A$5:$A$17,0)))</f>
        <v>4030</v>
      </c>
      <c r="S482" t="str">
        <f>IF(Q482="CONTEXT","Roofing",IF(Q482="REVIEW","",INDEX('Category Rules'!$E$5:$E$17,MATCH(P482,'Category Rules'!$A$5:$A$17,0))))</f>
        <v>Roofing</v>
      </c>
      <c r="T482" t="str">
        <f>IF(Q482="DEP","BAS Excluded","GST on Income")</f>
        <v>GST on Income</v>
      </c>
      <c r="U482">
        <f>IF(O482=T482,1,0)</f>
        <v>1</v>
      </c>
      <c r="V482" s="9">
        <f>IF(OR(M482=0,U482=1),0,IF(T482="GST on Income",ROUND(K482*0.1,2),ROUND(-K482*0.1,2)))</f>
        <v>0</v>
      </c>
    </row>
    <row r="483">
      <c r="A483" t="inlineStr">
        <is>
          <t>INV-5610-1</t>
        </is>
      </c>
      <c r="B483" t="inlineStr">
        <is>
          <t>INV-5610</t>
        </is>
      </c>
      <c r="C483" s="11" t="n">
        <v>45918</v>
      </c>
      <c r="D483" t="inlineStr">
        <is>
          <t>2025-09</t>
        </is>
      </c>
      <c r="E483" t="inlineStr">
        <is>
          <t>C0124</t>
        </is>
      </c>
      <c r="F483" t="inlineStr">
        <is>
          <t>C0124</t>
        </is>
      </c>
      <c r="G483" t="inlineStr">
        <is>
          <t>Harbor Strata Management</t>
        </is>
      </c>
      <c r="H483" t="inlineStr">
        <is>
          <t>S0385</t>
        </is>
      </c>
      <c r="I483" t="inlineStr">
        <is>
          <t>Roof repair labour - 3 hrs</t>
        </is>
      </c>
      <c r="J483" t="n">
        <v>3</v>
      </c>
      <c r="K483" s="9" t="n">
        <v>294</v>
      </c>
      <c r="L483" t="inlineStr">
        <is>
          <t>PAID</t>
        </is>
      </c>
      <c r="M483">
        <f>IF(L483="VOIDED",0,1)</f>
        <v>1</v>
      </c>
      <c r="N483" t="n">
        <v>200</v>
      </c>
      <c r="O483" t="inlineStr">
        <is>
          <t>GST on Income</t>
        </is>
      </c>
      <c r="P483" t="inlineStr">
        <is>
          <t>R10</t>
        </is>
      </c>
      <c r="Q483" t="inlineStr">
        <is>
          <t>LAB-RF</t>
        </is>
      </c>
      <c r="R483">
        <f>IF(OR(Q483="CONTEXT",Q483="REVIEW"),"",INDEX('Category Rules'!$D$5:$D$17,MATCH(P483,'Category Rules'!$A$5:$A$17,0)))</f>
        <v>4020</v>
      </c>
      <c r="S483" t="str">
        <f>IF(Q483="CONTEXT","Roofing",IF(Q483="REVIEW","",INDEX('Category Rules'!$E$5:$E$17,MATCH(P483,'Category Rules'!$A$5:$A$17,0))))</f>
        <v>Roofing</v>
      </c>
      <c r="T483" t="str">
        <f>IF(Q483="DEP","BAS Excluded","GST on Income")</f>
        <v>GST on Income</v>
      </c>
      <c r="U483">
        <f>IF(O483=T483,1,0)</f>
        <v>1</v>
      </c>
      <c r="V483" s="9">
        <f>IF(OR(M483=0,U483=1),0,IF(T483="GST on Income",ROUND(K483*0.1,2),ROUND(-K483*0.1,2)))</f>
        <v>0</v>
      </c>
    </row>
    <row r="484">
      <c r="A484" t="inlineStr">
        <is>
          <t>INV-5610-2</t>
        </is>
      </c>
      <c r="B484" t="inlineStr">
        <is>
          <t>INV-5610</t>
        </is>
      </c>
      <c r="C484" s="11" t="n">
        <v>45918</v>
      </c>
      <c r="D484" t="inlineStr">
        <is>
          <t>2025-09</t>
        </is>
      </c>
      <c r="E484" t="inlineStr">
        <is>
          <t>C0124</t>
        </is>
      </c>
      <c r="F484" t="inlineStr">
        <is>
          <t>C0124</t>
        </is>
      </c>
      <c r="G484" t="inlineStr">
        <is>
          <t>Harbor Strata Management</t>
        </is>
      </c>
      <c r="H484" t="inlineStr">
        <is>
          <t>S0385</t>
        </is>
      </c>
      <c r="I484" t="inlineStr">
        <is>
          <t>Materials - flashing</t>
        </is>
      </c>
      <c r="J484" t="n">
        <v>1</v>
      </c>
      <c r="K484" s="9" t="n">
        <v>247.38</v>
      </c>
      <c r="L484" t="inlineStr">
        <is>
          <t>PAID</t>
        </is>
      </c>
      <c r="M484">
        <f>IF(L484="VOIDED",0,1)</f>
        <v>1</v>
      </c>
      <c r="N484" t="n">
        <v>200</v>
      </c>
      <c r="O484" t="inlineStr">
        <is>
          <t>GST on Income</t>
        </is>
      </c>
      <c r="P484" t="inlineStr">
        <is>
          <t>R11</t>
        </is>
      </c>
      <c r="Q484" t="inlineStr">
        <is>
          <t>MAT-RF</t>
        </is>
      </c>
      <c r="R484">
        <f>IF(OR(Q484="CONTEXT",Q484="REVIEW"),"",INDEX('Category Rules'!$D$5:$D$17,MATCH(P484,'Category Rules'!$A$5:$A$17,0)))</f>
        <v>4030</v>
      </c>
      <c r="S484" t="str">
        <f>IF(Q484="CONTEXT","Roofing",IF(Q484="REVIEW","",INDEX('Category Rules'!$E$5:$E$17,MATCH(P484,'Category Rules'!$A$5:$A$17,0))))</f>
        <v>Roofing</v>
      </c>
      <c r="T484" t="str">
        <f>IF(Q484="DEP","BAS Excluded","GST on Income")</f>
        <v>GST on Income</v>
      </c>
      <c r="U484">
        <f>IF(O484=T484,1,0)</f>
        <v>1</v>
      </c>
      <c r="V484" s="9">
        <f>IF(OR(M484=0,U484=1),0,IF(T484="GST on Income",ROUND(K484*0.1,2),ROUND(-K484*0.1,2)))</f>
        <v>0</v>
      </c>
    </row>
    <row r="485">
      <c r="A485" t="inlineStr">
        <is>
          <t>INV-5610-3</t>
        </is>
      </c>
      <c r="B485" t="inlineStr">
        <is>
          <t>INV-5610</t>
        </is>
      </c>
      <c r="C485" s="11" t="n">
        <v>45918</v>
      </c>
      <c r="D485" t="inlineStr">
        <is>
          <t>2025-09</t>
        </is>
      </c>
      <c r="E485" t="inlineStr">
        <is>
          <t>C0124</t>
        </is>
      </c>
      <c r="F485" t="inlineStr">
        <is>
          <t>C0124</t>
        </is>
      </c>
      <c r="G485" t="inlineStr">
        <is>
          <t>Harbor Strata Management</t>
        </is>
      </c>
      <c r="H485" t="inlineStr">
        <is>
          <t>S0385</t>
        </is>
      </c>
      <c r="I485" t="inlineStr">
        <is>
          <t>Materials - Colorbond sheet</t>
        </is>
      </c>
      <c r="J485" t="n">
        <v>1</v>
      </c>
      <c r="K485" s="9" t="n">
        <v>1332.75</v>
      </c>
      <c r="L485" t="inlineStr">
        <is>
          <t>PAID</t>
        </is>
      </c>
      <c r="M485">
        <f>IF(L485="VOIDED",0,1)</f>
        <v>1</v>
      </c>
      <c r="N485" t="n">
        <v>200</v>
      </c>
      <c r="O485" t="inlineStr">
        <is>
          <t>GST on Income</t>
        </is>
      </c>
      <c r="P485" t="inlineStr">
        <is>
          <t>R11</t>
        </is>
      </c>
      <c r="Q485" t="inlineStr">
        <is>
          <t>MAT-RF</t>
        </is>
      </c>
      <c r="R485">
        <f>IF(OR(Q485="CONTEXT",Q485="REVIEW"),"",INDEX('Category Rules'!$D$5:$D$17,MATCH(P485,'Category Rules'!$A$5:$A$17,0)))</f>
        <v>4030</v>
      </c>
      <c r="S485" t="str">
        <f>IF(Q485="CONTEXT","Roofing",IF(Q485="REVIEW","",INDEX('Category Rules'!$E$5:$E$17,MATCH(P485,'Category Rules'!$A$5:$A$17,0))))</f>
        <v>Roofing</v>
      </c>
      <c r="T485" t="str">
        <f>IF(Q485="DEP","BAS Excluded","GST on Income")</f>
        <v>GST on Income</v>
      </c>
      <c r="U485">
        <f>IF(O485=T485,1,0)</f>
        <v>1</v>
      </c>
      <c r="V485" s="9">
        <f>IF(OR(M485=0,U485=1),0,IF(T485="GST on Income",ROUND(K485*0.1,2),ROUND(-K485*0.1,2)))</f>
        <v>0</v>
      </c>
    </row>
    <row r="486">
      <c r="A486" t="inlineStr">
        <is>
          <t>INV-5610-4</t>
        </is>
      </c>
      <c r="B486" t="inlineStr">
        <is>
          <t>INV-5610</t>
        </is>
      </c>
      <c r="C486" s="11" t="n">
        <v>45918</v>
      </c>
      <c r="D486" t="inlineStr">
        <is>
          <t>2025-09</t>
        </is>
      </c>
      <c r="E486" t="inlineStr">
        <is>
          <t>C0124</t>
        </is>
      </c>
      <c r="F486" t="inlineStr">
        <is>
          <t>C0124</t>
        </is>
      </c>
      <c r="G486" t="inlineStr">
        <is>
          <t>Harbor Strata Management</t>
        </is>
      </c>
      <c r="H486" t="inlineStr">
        <is>
          <t>S0385</t>
        </is>
      </c>
      <c r="I486" t="inlineStr">
        <is>
          <t>Materials - gutter and downpipe</t>
        </is>
      </c>
      <c r="J486" t="n">
        <v>1</v>
      </c>
      <c r="K486" s="9" t="n">
        <v>1124.9</v>
      </c>
      <c r="L486" t="inlineStr">
        <is>
          <t>PAID</t>
        </is>
      </c>
      <c r="M486">
        <f>IF(L486="VOIDED",0,1)</f>
        <v>1</v>
      </c>
      <c r="N486" t="n">
        <v>200</v>
      </c>
      <c r="O486" t="inlineStr">
        <is>
          <t>GST on Income</t>
        </is>
      </c>
      <c r="P486" t="inlineStr">
        <is>
          <t>R11</t>
        </is>
      </c>
      <c r="Q486" t="inlineStr">
        <is>
          <t>MAT-RF</t>
        </is>
      </c>
      <c r="R486">
        <f>IF(OR(Q486="CONTEXT",Q486="REVIEW"),"",INDEX('Category Rules'!$D$5:$D$17,MATCH(P486,'Category Rules'!$A$5:$A$17,0)))</f>
        <v>4030</v>
      </c>
      <c r="S486" t="str">
        <f>IF(Q486="CONTEXT","Roofing",IF(Q486="REVIEW","",INDEX('Category Rules'!$E$5:$E$17,MATCH(P486,'Category Rules'!$A$5:$A$17,0))))</f>
        <v>Roofing</v>
      </c>
      <c r="T486" t="str">
        <f>IF(Q486="DEP","BAS Excluded","GST on Income")</f>
        <v>GST on Income</v>
      </c>
      <c r="U486">
        <f>IF(O486=T486,1,0)</f>
        <v>1</v>
      </c>
      <c r="V486" s="9">
        <f>IF(OR(M486=0,U486=1),0,IF(T486="GST on Income",ROUND(K486*0.1,2),ROUND(-K486*0.1,2)))</f>
        <v>0</v>
      </c>
    </row>
    <row r="487">
      <c r="A487" t="inlineStr">
        <is>
          <t>INV-5788-1</t>
        </is>
      </c>
      <c r="B487" t="inlineStr">
        <is>
          <t>INV-5788</t>
        </is>
      </c>
      <c r="C487" s="11" t="n">
        <v>45918</v>
      </c>
      <c r="D487" t="inlineStr">
        <is>
          <t>2025-09</t>
        </is>
      </c>
      <c r="E487" t="inlineStr">
        <is>
          <t>C0064</t>
        </is>
      </c>
      <c r="F487" t="inlineStr">
        <is>
          <t>C0064</t>
        </is>
      </c>
      <c r="G487" t="inlineStr">
        <is>
          <t>Lakeside Claims Services Pty Ltd</t>
        </is>
      </c>
      <c r="H487" t="inlineStr">
        <is>
          <t>S0484</t>
        </is>
      </c>
      <c r="I487" t="inlineStr">
        <is>
          <t>Roof repair labour - 16 hrs</t>
        </is>
      </c>
      <c r="J487" t="n">
        <v>16</v>
      </c>
      <c r="K487" s="9" t="n">
        <v>1568</v>
      </c>
      <c r="L487" t="inlineStr">
        <is>
          <t>PAID</t>
        </is>
      </c>
      <c r="M487">
        <f>IF(L487="VOIDED",0,1)</f>
        <v>1</v>
      </c>
      <c r="N487" t="n">
        <v>260</v>
      </c>
      <c r="O487" t="inlineStr">
        <is>
          <t>GST on Income</t>
        </is>
      </c>
      <c r="P487" t="inlineStr">
        <is>
          <t>R10</t>
        </is>
      </c>
      <c r="Q487" t="inlineStr">
        <is>
          <t>LAB-RF</t>
        </is>
      </c>
      <c r="R487">
        <f>IF(OR(Q487="CONTEXT",Q487="REVIEW"),"",INDEX('Category Rules'!$D$5:$D$17,MATCH(P487,'Category Rules'!$A$5:$A$17,0)))</f>
        <v>4020</v>
      </c>
      <c r="S487" t="str">
        <f>IF(Q487="CONTEXT","Roofing",IF(Q487="REVIEW","",INDEX('Category Rules'!$E$5:$E$17,MATCH(P487,'Category Rules'!$A$5:$A$17,0))))</f>
        <v>Roofing</v>
      </c>
      <c r="T487" t="str">
        <f>IF(Q487="DEP","BAS Excluded","GST on Income")</f>
        <v>GST on Income</v>
      </c>
      <c r="U487">
        <f>IF(O487=T487,1,0)</f>
        <v>1</v>
      </c>
      <c r="V487" s="9">
        <f>IF(OR(M487=0,U487=1),0,IF(T487="GST on Income",ROUND(K487*0.1,2),ROUND(-K487*0.1,2)))</f>
        <v>0</v>
      </c>
    </row>
    <row r="488">
      <c r="A488" t="inlineStr">
        <is>
          <t>INV-5788-2</t>
        </is>
      </c>
      <c r="B488" t="inlineStr">
        <is>
          <t>INV-5788</t>
        </is>
      </c>
      <c r="C488" s="11" t="n">
        <v>45918</v>
      </c>
      <c r="D488" t="inlineStr">
        <is>
          <t>2025-09</t>
        </is>
      </c>
      <c r="E488" t="inlineStr">
        <is>
          <t>C0064</t>
        </is>
      </c>
      <c r="F488" t="inlineStr">
        <is>
          <t>C0064</t>
        </is>
      </c>
      <c r="G488" t="inlineStr">
        <is>
          <t>Lakeside Claims Services Pty Ltd</t>
        </is>
      </c>
      <c r="H488" t="inlineStr">
        <is>
          <t>S0484</t>
        </is>
      </c>
      <c r="I488" t="inlineStr">
        <is>
          <t>Materials - roof tiles (matched)</t>
        </is>
      </c>
      <c r="J488" t="n">
        <v>1</v>
      </c>
      <c r="K488" s="9" t="n">
        <v>230.97</v>
      </c>
      <c r="L488" t="inlineStr">
        <is>
          <t>PAID</t>
        </is>
      </c>
      <c r="M488">
        <f>IF(L488="VOIDED",0,1)</f>
        <v>1</v>
      </c>
      <c r="N488" t="n">
        <v>200</v>
      </c>
      <c r="O488" t="inlineStr">
        <is>
          <t>GST on Income</t>
        </is>
      </c>
      <c r="P488" t="inlineStr">
        <is>
          <t>R11</t>
        </is>
      </c>
      <c r="Q488" t="inlineStr">
        <is>
          <t>MAT-RF</t>
        </is>
      </c>
      <c r="R488">
        <f>IF(OR(Q488="CONTEXT",Q488="REVIEW"),"",INDEX('Category Rules'!$D$5:$D$17,MATCH(P488,'Category Rules'!$A$5:$A$17,0)))</f>
        <v>4030</v>
      </c>
      <c r="S488" t="str">
        <f>IF(Q488="CONTEXT","Roofing",IF(Q488="REVIEW","",INDEX('Category Rules'!$E$5:$E$17,MATCH(P488,'Category Rules'!$A$5:$A$17,0))))</f>
        <v>Roofing</v>
      </c>
      <c r="T488" t="str">
        <f>IF(Q488="DEP","BAS Excluded","GST on Income")</f>
        <v>GST on Income</v>
      </c>
      <c r="U488">
        <f>IF(O488=T488,1,0)</f>
        <v>1</v>
      </c>
      <c r="V488" s="9">
        <f>IF(OR(M488=0,U488=1),0,IF(T488="GST on Income",ROUND(K488*0.1,2),ROUND(-K488*0.1,2)))</f>
        <v>0</v>
      </c>
    </row>
    <row r="489">
      <c r="A489" t="inlineStr">
        <is>
          <t>INV-5788-3</t>
        </is>
      </c>
      <c r="B489" t="inlineStr">
        <is>
          <t>INV-5788</t>
        </is>
      </c>
      <c r="C489" s="11" t="n">
        <v>45918</v>
      </c>
      <c r="D489" t="inlineStr">
        <is>
          <t>2025-09</t>
        </is>
      </c>
      <c r="E489" t="inlineStr">
        <is>
          <t>C0064</t>
        </is>
      </c>
      <c r="F489" t="inlineStr">
        <is>
          <t>C0064</t>
        </is>
      </c>
      <c r="G489" t="inlineStr">
        <is>
          <t>Lakeside Claims Services Pty Ltd</t>
        </is>
      </c>
      <c r="H489" t="inlineStr">
        <is>
          <t>S0484</t>
        </is>
      </c>
      <c r="I489" t="inlineStr">
        <is>
          <t>Materials - Colorbond sheet</t>
        </is>
      </c>
      <c r="J489" t="n">
        <v>1</v>
      </c>
      <c r="K489" s="9" t="n">
        <v>725.49</v>
      </c>
      <c r="L489" t="inlineStr">
        <is>
          <t>PAID</t>
        </is>
      </c>
      <c r="M489">
        <f>IF(L489="VOIDED",0,1)</f>
        <v>1</v>
      </c>
      <c r="N489" t="n">
        <v>200</v>
      </c>
      <c r="O489" t="inlineStr">
        <is>
          <t>GST on Income</t>
        </is>
      </c>
      <c r="P489" t="inlineStr">
        <is>
          <t>R11</t>
        </is>
      </c>
      <c r="Q489" t="inlineStr">
        <is>
          <t>MAT-RF</t>
        </is>
      </c>
      <c r="R489">
        <f>IF(OR(Q489="CONTEXT",Q489="REVIEW"),"",INDEX('Category Rules'!$D$5:$D$17,MATCH(P489,'Category Rules'!$A$5:$A$17,0)))</f>
        <v>4030</v>
      </c>
      <c r="S489" t="str">
        <f>IF(Q489="CONTEXT","Roofing",IF(Q489="REVIEW","",INDEX('Category Rules'!$E$5:$E$17,MATCH(P489,'Category Rules'!$A$5:$A$17,0))))</f>
        <v>Roofing</v>
      </c>
      <c r="T489" t="str">
        <f>IF(Q489="DEP","BAS Excluded","GST on Income")</f>
        <v>GST on Income</v>
      </c>
      <c r="U489">
        <f>IF(O489=T489,1,0)</f>
        <v>1</v>
      </c>
      <c r="V489" s="9">
        <f>IF(OR(M489=0,U489=1),0,IF(T489="GST on Income",ROUND(K489*0.1,2),ROUND(-K489*0.1,2)))</f>
        <v>0</v>
      </c>
    </row>
    <row r="490">
      <c r="A490" t="inlineStr">
        <is>
          <t>INV-5788-4</t>
        </is>
      </c>
      <c r="B490" t="inlineStr">
        <is>
          <t>INV-5788</t>
        </is>
      </c>
      <c r="C490" s="11" t="n">
        <v>45918</v>
      </c>
      <c r="D490" t="inlineStr">
        <is>
          <t>2025-09</t>
        </is>
      </c>
      <c r="E490" t="inlineStr">
        <is>
          <t>C0064</t>
        </is>
      </c>
      <c r="F490" t="inlineStr">
        <is>
          <t>C0064</t>
        </is>
      </c>
      <c r="G490" t="inlineStr">
        <is>
          <t>Lakeside Claims Services Pty Ltd</t>
        </is>
      </c>
      <c r="H490" t="inlineStr">
        <is>
          <t>S0484</t>
        </is>
      </c>
      <c r="I490" t="inlineStr">
        <is>
          <t>Materials - flashing</t>
        </is>
      </c>
      <c r="J490" t="n">
        <v>1</v>
      </c>
      <c r="K490" s="9" t="n">
        <v>1146.53</v>
      </c>
      <c r="L490" t="inlineStr">
        <is>
          <t>PAID</t>
        </is>
      </c>
      <c r="M490">
        <f>IF(L490="VOIDED",0,1)</f>
        <v>1</v>
      </c>
      <c r="N490" t="n">
        <v>200</v>
      </c>
      <c r="O490" t="inlineStr">
        <is>
          <t>GST on Income</t>
        </is>
      </c>
      <c r="P490" t="inlineStr">
        <is>
          <t>R11</t>
        </is>
      </c>
      <c r="Q490" t="inlineStr">
        <is>
          <t>MAT-RF</t>
        </is>
      </c>
      <c r="R490">
        <f>IF(OR(Q490="CONTEXT",Q490="REVIEW"),"",INDEX('Category Rules'!$D$5:$D$17,MATCH(P490,'Category Rules'!$A$5:$A$17,0)))</f>
        <v>4030</v>
      </c>
      <c r="S490" t="str">
        <f>IF(Q490="CONTEXT","Roofing",IF(Q490="REVIEW","",INDEX('Category Rules'!$E$5:$E$17,MATCH(P490,'Category Rules'!$A$5:$A$17,0))))</f>
        <v>Roofing</v>
      </c>
      <c r="T490" t="str">
        <f>IF(Q490="DEP","BAS Excluded","GST on Income")</f>
        <v>GST on Income</v>
      </c>
      <c r="U490">
        <f>IF(O490=T490,1,0)</f>
        <v>1</v>
      </c>
      <c r="V490" s="9">
        <f>IF(OR(M490=0,U490=1),0,IF(T490="GST on Income",ROUND(K490*0.1,2),ROUND(-K490*0.1,2)))</f>
        <v>0</v>
      </c>
    </row>
    <row r="491">
      <c r="A491" t="inlineStr">
        <is>
          <t>INV-5788-5</t>
        </is>
      </c>
      <c r="B491" t="inlineStr">
        <is>
          <t>INV-5788</t>
        </is>
      </c>
      <c r="C491" s="11" t="n">
        <v>45918</v>
      </c>
      <c r="D491" t="inlineStr">
        <is>
          <t>2025-09</t>
        </is>
      </c>
      <c r="E491" t="inlineStr">
        <is>
          <t>C0064</t>
        </is>
      </c>
      <c r="F491" t="inlineStr">
        <is>
          <t>C0064</t>
        </is>
      </c>
      <c r="G491" t="inlineStr">
        <is>
          <t>Lakeside Claims Services Pty Ltd</t>
        </is>
      </c>
      <c r="H491" t="inlineStr">
        <is>
          <t>S0484</t>
        </is>
      </c>
      <c r="I491" t="inlineStr">
        <is>
          <t>Waste removal and tip fees</t>
        </is>
      </c>
      <c r="J491" t="n">
        <v>1</v>
      </c>
      <c r="K491" s="9" t="n">
        <v>120</v>
      </c>
      <c r="L491" t="inlineStr">
        <is>
          <t>PAID</t>
        </is>
      </c>
      <c r="M491">
        <f>IF(L491="VOIDED",0,1)</f>
        <v>1</v>
      </c>
      <c r="N491" t="n">
        <v>200</v>
      </c>
      <c r="O491" t="inlineStr">
        <is>
          <t>GST on Income</t>
        </is>
      </c>
      <c r="P491" t="inlineStr">
        <is>
          <t>R11</t>
        </is>
      </c>
      <c r="Q491" t="inlineStr">
        <is>
          <t>MAT-RF</t>
        </is>
      </c>
      <c r="R491">
        <f>IF(OR(Q491="CONTEXT",Q491="REVIEW"),"",INDEX('Category Rules'!$D$5:$D$17,MATCH(P491,'Category Rules'!$A$5:$A$17,0)))</f>
        <v>4030</v>
      </c>
      <c r="S491" t="str">
        <f>IF(Q491="CONTEXT","Roofing",IF(Q491="REVIEW","",INDEX('Category Rules'!$E$5:$E$17,MATCH(P491,'Category Rules'!$A$5:$A$17,0))))</f>
        <v>Roofing</v>
      </c>
      <c r="T491" t="str">
        <f>IF(Q491="DEP","BAS Excluded","GST on Income")</f>
        <v>GST on Income</v>
      </c>
      <c r="U491">
        <f>IF(O491=T491,1,0)</f>
        <v>1</v>
      </c>
      <c r="V491" s="9">
        <f>IF(OR(M491=0,U491=1),0,IF(T491="GST on Income",ROUND(K491*0.1,2),ROUND(-K491*0.1,2)))</f>
        <v>0</v>
      </c>
    </row>
    <row r="492">
      <c r="A492" t="inlineStr">
        <is>
          <t>INV-5789-1</t>
        </is>
      </c>
      <c r="B492" t="inlineStr">
        <is>
          <t>INV-5789</t>
        </is>
      </c>
      <c r="C492" s="11" t="n">
        <v>45918</v>
      </c>
      <c r="D492" t="inlineStr">
        <is>
          <t>2025-09</t>
        </is>
      </c>
      <c r="E492" t="inlineStr">
        <is>
          <t>C0019</t>
        </is>
      </c>
      <c r="F492" t="inlineStr">
        <is>
          <t>C0019</t>
        </is>
      </c>
      <c r="G492" t="inlineStr">
        <is>
          <t>Metro Developments</t>
        </is>
      </c>
      <c r="H492" t="inlineStr">
        <is>
          <t>S0485</t>
        </is>
      </c>
      <c r="I492" t="inlineStr">
        <is>
          <t>Tarp kit hire 2 wks (10/09/25-17/09/25) - 3 kits</t>
        </is>
      </c>
      <c r="J492" t="n">
        <v>6</v>
      </c>
      <c r="K492" s="9" t="n">
        <v>210</v>
      </c>
      <c r="L492" t="inlineStr">
        <is>
          <t>PAID</t>
        </is>
      </c>
      <c r="M492">
        <f>IF(L492="VOIDED",0,1)</f>
        <v>1</v>
      </c>
      <c r="N492" t="n">
        <v>200</v>
      </c>
      <c r="O492" t="inlineStr">
        <is>
          <t>GST on Income</t>
        </is>
      </c>
      <c r="P492" t="inlineStr">
        <is>
          <t>R06</t>
        </is>
      </c>
      <c r="Q492" t="inlineStr">
        <is>
          <t>HIRE-TK</t>
        </is>
      </c>
      <c r="R492">
        <f>IF(OR(Q492="CONTEXT",Q492="REVIEW"),"",INDEX('Category Rules'!$D$5:$D$17,MATCH(P492,'Category Rules'!$A$5:$A$17,0)))</f>
        <v>4010</v>
      </c>
      <c r="S492" t="str">
        <f>IF(Q492="CONTEXT","Make-safe",IF(Q492="REVIEW","",INDEX('Category Rules'!$E$5:$E$17,MATCH(P492,'Category Rules'!$A$5:$A$17,0))))</f>
        <v>Make-safe</v>
      </c>
      <c r="T492" t="str">
        <f>IF(Q492="DEP","BAS Excluded","GST on Income")</f>
        <v>GST on Income</v>
      </c>
      <c r="U492">
        <f>IF(O492=T492,1,0)</f>
        <v>1</v>
      </c>
      <c r="V492" s="9">
        <f>IF(OR(M492=0,U492=1),0,IF(T492="GST on Income",ROUND(K492*0.1,2),ROUND(-K492*0.1,2)))</f>
        <v>0</v>
      </c>
    </row>
    <row r="493">
      <c r="A493" t="inlineStr">
        <is>
          <t>INV-4125-1</t>
        </is>
      </c>
      <c r="B493" t="inlineStr">
        <is>
          <t>INV-4125</t>
        </is>
      </c>
      <c r="C493" s="11" t="n">
        <v>45919</v>
      </c>
      <c r="D493" t="inlineStr">
        <is>
          <t>2025-09</t>
        </is>
      </c>
      <c r="E493" t="inlineStr">
        <is>
          <t>C0073</t>
        </is>
      </c>
      <c r="F493" t="inlineStr">
        <is>
          <t>C0073</t>
        </is>
      </c>
      <c r="G493" t="inlineStr">
        <is>
          <t>Juniper Festivals</t>
        </is>
      </c>
      <c r="H493" t="inlineStr">
        <is>
          <t>S0006</t>
        </is>
      </c>
      <c r="I493" t="inlineStr">
        <is>
          <t>Temporary fence hire 4 wks (28/08/25-18/09/25) - 93 panels</t>
        </is>
      </c>
      <c r="J493" t="n">
        <v>372</v>
      </c>
      <c r="K493" s="9" t="n">
        <v>1674</v>
      </c>
      <c r="L493" t="inlineStr">
        <is>
          <t>PAID</t>
        </is>
      </c>
      <c r="M493">
        <f>IF(L493="VOIDED",0,1)</f>
        <v>1</v>
      </c>
      <c r="N493" t="n">
        <v>200</v>
      </c>
      <c r="O493" t="inlineStr">
        <is>
          <t>GST on Income</t>
        </is>
      </c>
      <c r="P493" t="inlineStr">
        <is>
          <t>R03</t>
        </is>
      </c>
      <c r="Q493" t="inlineStr">
        <is>
          <t>HIRE-FP</t>
        </is>
      </c>
      <c r="R493">
        <f>IF(OR(Q493="CONTEXT",Q493="REVIEW"),"",INDEX('Category Rules'!$D$5:$D$17,MATCH(P493,'Category Rules'!$A$5:$A$17,0)))</f>
        <v>4010</v>
      </c>
      <c r="S493" t="str">
        <f>IF(Q493="CONTEXT","Fencing",IF(Q493="REVIEW","",INDEX('Category Rules'!$E$5:$E$17,MATCH(P493,'Category Rules'!$A$5:$A$17,0))))</f>
        <v>Fencing</v>
      </c>
      <c r="T493" t="str">
        <f>IF(Q493="DEP","BAS Excluded","GST on Income")</f>
        <v>GST on Income</v>
      </c>
      <c r="U493">
        <f>IF(O493=T493,1,0)</f>
        <v>1</v>
      </c>
      <c r="V493" s="9">
        <f>IF(OR(M493=0,U493=1),0,IF(T493="GST on Income",ROUND(K493*0.1,2),ROUND(-K493*0.1,2)))</f>
        <v>0</v>
      </c>
    </row>
    <row r="494">
      <c r="A494" t="inlineStr">
        <is>
          <t>INV-4127-1</t>
        </is>
      </c>
      <c r="B494" t="inlineStr">
        <is>
          <t>INV-4127</t>
        </is>
      </c>
      <c r="C494" s="11" t="n">
        <v>45919</v>
      </c>
      <c r="D494" t="inlineStr">
        <is>
          <t>2025-09</t>
        </is>
      </c>
      <c r="E494" t="inlineStr">
        <is>
          <t>C0073</t>
        </is>
      </c>
      <c r="F494" t="inlineStr">
        <is>
          <t>C0073</t>
        </is>
      </c>
      <c r="G494" t="inlineStr">
        <is>
          <t>Juniper Festivals</t>
        </is>
      </c>
      <c r="H494" t="inlineStr">
        <is>
          <t>S0006</t>
        </is>
      </c>
      <c r="I494" t="inlineStr">
        <is>
          <t>Collection and dismantle - temporary fencing</t>
        </is>
      </c>
      <c r="J494" t="n">
        <v>1</v>
      </c>
      <c r="K494" s="9" t="n">
        <v>165</v>
      </c>
      <c r="L494" t="inlineStr">
        <is>
          <t>PAID</t>
        </is>
      </c>
      <c r="M494">
        <f>IF(L494="VOIDED",0,1)</f>
        <v>1</v>
      </c>
      <c r="N494" t="n">
        <v>200</v>
      </c>
      <c r="O494" t="inlineStr">
        <is>
          <t>GST on Income</t>
        </is>
      </c>
      <c r="P494" t="inlineStr">
        <is>
          <t>R07</t>
        </is>
      </c>
      <c r="Q494" t="inlineStr">
        <is>
          <t>DEL-FP</t>
        </is>
      </c>
      <c r="R494">
        <f>IF(OR(Q494="CONTEXT",Q494="REVIEW"),"",INDEX('Category Rules'!$D$5:$D$17,MATCH(P494,'Category Rules'!$A$5:$A$17,0)))</f>
        <v>4020</v>
      </c>
      <c r="S494" t="str">
        <f>IF(Q494="CONTEXT","Fencing",IF(Q494="REVIEW","",INDEX('Category Rules'!$E$5:$E$17,MATCH(P494,'Category Rules'!$A$5:$A$17,0))))</f>
        <v>Fencing</v>
      </c>
      <c r="T494" t="str">
        <f>IF(Q494="DEP","BAS Excluded","GST on Income")</f>
        <v>GST on Income</v>
      </c>
      <c r="U494">
        <f>IF(O494=T494,1,0)</f>
        <v>1</v>
      </c>
      <c r="V494" s="9">
        <f>IF(OR(M494=0,U494=1),0,IF(T494="GST on Income",ROUND(K494*0.1,2),ROUND(-K494*0.1,2)))</f>
        <v>0</v>
      </c>
    </row>
    <row r="495">
      <c r="A495" t="inlineStr">
        <is>
          <t>INV-4327-1</t>
        </is>
      </c>
      <c r="B495" t="inlineStr">
        <is>
          <t>INV-4327</t>
        </is>
      </c>
      <c r="C495" s="11" t="n">
        <v>45919</v>
      </c>
      <c r="D495" t="inlineStr">
        <is>
          <t>2025-09</t>
        </is>
      </c>
      <c r="E495" t="inlineStr">
        <is>
          <t>C0148</t>
        </is>
      </c>
      <c r="F495" t="inlineStr">
        <is>
          <t>C0042</t>
        </is>
      </c>
      <c r="G495" t="inlineStr">
        <is>
          <t>Lakeside Constructions Pty Ltd</t>
        </is>
      </c>
      <c r="H495" t="inlineStr">
        <is>
          <t>S0049</t>
        </is>
      </c>
      <c r="I495" t="inlineStr">
        <is>
          <t>Temporary fence hire 4 wks (22/08/25-18/09/25) - 27 panels</t>
        </is>
      </c>
      <c r="J495" t="n">
        <v>108</v>
      </c>
      <c r="K495" s="9" t="n">
        <v>486</v>
      </c>
      <c r="L495" t="inlineStr">
        <is>
          <t>PAID</t>
        </is>
      </c>
      <c r="M495">
        <f>IF(L495="VOIDED",0,1)</f>
        <v>1</v>
      </c>
      <c r="N495" t="n">
        <v>200</v>
      </c>
      <c r="O495" t="inlineStr">
        <is>
          <t>GST on Income</t>
        </is>
      </c>
      <c r="P495" t="inlineStr">
        <is>
          <t>R03</t>
        </is>
      </c>
      <c r="Q495" t="inlineStr">
        <is>
          <t>HIRE-FP</t>
        </is>
      </c>
      <c r="R495">
        <f>IF(OR(Q495="CONTEXT",Q495="REVIEW"),"",INDEX('Category Rules'!$D$5:$D$17,MATCH(P495,'Category Rules'!$A$5:$A$17,0)))</f>
        <v>4010</v>
      </c>
      <c r="S495" t="str">
        <f>IF(Q495="CONTEXT","Fencing",IF(Q495="REVIEW","",INDEX('Category Rules'!$E$5:$E$17,MATCH(P495,'Category Rules'!$A$5:$A$17,0))))</f>
        <v>Fencing</v>
      </c>
      <c r="T495" t="str">
        <f>IF(Q495="DEP","BAS Excluded","GST on Income")</f>
        <v>GST on Income</v>
      </c>
      <c r="U495">
        <f>IF(O495=T495,1,0)</f>
        <v>1</v>
      </c>
      <c r="V495" s="9">
        <f>IF(OR(M495=0,U495=1),0,IF(T495="GST on Income",ROUND(K495*0.1,2),ROUND(-K495*0.1,2)))</f>
        <v>0</v>
      </c>
    </row>
    <row r="496">
      <c r="A496" t="inlineStr">
        <is>
          <t>INV-5827-1</t>
        </is>
      </c>
      <c r="B496" t="inlineStr">
        <is>
          <t>INV-5827</t>
        </is>
      </c>
      <c r="C496" s="11" t="n">
        <v>45919</v>
      </c>
      <c r="D496" t="inlineStr">
        <is>
          <t>2025-09</t>
        </is>
      </c>
      <c r="E496" t="inlineStr">
        <is>
          <t>C0007</t>
        </is>
      </c>
      <c r="F496" t="inlineStr">
        <is>
          <t>C0007</t>
        </is>
      </c>
      <c r="G496" t="inlineStr">
        <is>
          <t>Eastlink Projects</t>
        </is>
      </c>
      <c r="H496" t="inlineStr">
        <is>
          <t>S0505</t>
        </is>
      </c>
      <c r="I496" t="inlineStr">
        <is>
          <t>Tarp kit hire 3 wks (04/09/25-18/09/25) - 3 kits</t>
        </is>
      </c>
      <c r="J496" t="n">
        <v>9</v>
      </c>
      <c r="K496" s="9" t="n">
        <v>315</v>
      </c>
      <c r="L496" t="inlineStr">
        <is>
          <t>PAID</t>
        </is>
      </c>
      <c r="M496">
        <f>IF(L496="VOIDED",0,1)</f>
        <v>1</v>
      </c>
      <c r="N496" t="n">
        <v>200</v>
      </c>
      <c r="O496" t="inlineStr">
        <is>
          <t>GST on Income</t>
        </is>
      </c>
      <c r="P496" t="inlineStr">
        <is>
          <t>R06</t>
        </is>
      </c>
      <c r="Q496" t="inlineStr">
        <is>
          <t>HIRE-TK</t>
        </is>
      </c>
      <c r="R496">
        <f>IF(OR(Q496="CONTEXT",Q496="REVIEW"),"",INDEX('Category Rules'!$D$5:$D$17,MATCH(P496,'Category Rules'!$A$5:$A$17,0)))</f>
        <v>4010</v>
      </c>
      <c r="S496" t="str">
        <f>IF(Q496="CONTEXT","Make-safe",IF(Q496="REVIEW","",INDEX('Category Rules'!$E$5:$E$17,MATCH(P496,'Category Rules'!$A$5:$A$17,0))))</f>
        <v>Make-safe</v>
      </c>
      <c r="T496" t="str">
        <f>IF(Q496="DEP","BAS Excluded","GST on Income")</f>
        <v>GST on Income</v>
      </c>
      <c r="U496">
        <f>IF(O496=T496,1,0)</f>
        <v>1</v>
      </c>
      <c r="V496" s="9">
        <f>IF(OR(M496=0,U496=1),0,IF(T496="GST on Income",ROUND(K496*0.1,2),ROUND(-K496*0.1,2)))</f>
        <v>0</v>
      </c>
    </row>
    <row r="497">
      <c r="A497" t="inlineStr">
        <is>
          <t>INV-4424-1</t>
        </is>
      </c>
      <c r="B497" t="inlineStr">
        <is>
          <t>INV-4424</t>
        </is>
      </c>
      <c r="C497" s="11" t="n">
        <v>45920</v>
      </c>
      <c r="D497" t="inlineStr">
        <is>
          <t>2025-09</t>
        </is>
      </c>
      <c r="E497" t="inlineStr">
        <is>
          <t>C0061</t>
        </is>
      </c>
      <c r="F497" t="inlineStr">
        <is>
          <t>C0061</t>
        </is>
      </c>
      <c r="G497" t="inlineStr">
        <is>
          <t>Southbank Claims Services Pty Ltd</t>
        </is>
      </c>
      <c r="H497" t="inlineStr">
        <is>
          <t>S0065</t>
        </is>
      </c>
      <c r="I497" t="inlineStr">
        <is>
          <t>Temporary fence hire 4 wks (23/08/25-19/09/25) - 130 panels</t>
        </is>
      </c>
      <c r="J497" t="n">
        <v>520</v>
      </c>
      <c r="K497" s="9" t="n">
        <v>2340</v>
      </c>
      <c r="L497" t="inlineStr">
        <is>
          <t>PAID</t>
        </is>
      </c>
      <c r="M497">
        <f>IF(L497="VOIDED",0,1)</f>
        <v>1</v>
      </c>
      <c r="N497" t="n">
        <v>200</v>
      </c>
      <c r="O497" t="inlineStr">
        <is>
          <t>GST on Income</t>
        </is>
      </c>
      <c r="P497" t="inlineStr">
        <is>
          <t>R03</t>
        </is>
      </c>
      <c r="Q497" t="inlineStr">
        <is>
          <t>HIRE-FP</t>
        </is>
      </c>
      <c r="R497">
        <f>IF(OR(Q497="CONTEXT",Q497="REVIEW"),"",INDEX('Category Rules'!$D$5:$D$17,MATCH(P497,'Category Rules'!$A$5:$A$17,0)))</f>
        <v>4010</v>
      </c>
      <c r="S497" t="str">
        <f>IF(Q497="CONTEXT","Fencing",IF(Q497="REVIEW","",INDEX('Category Rules'!$E$5:$E$17,MATCH(P497,'Category Rules'!$A$5:$A$17,0))))</f>
        <v>Fencing</v>
      </c>
      <c r="T497" t="str">
        <f>IF(Q497="DEP","BAS Excluded","GST on Income")</f>
        <v>GST on Income</v>
      </c>
      <c r="U497">
        <f>IF(O497=T497,1,0)</f>
        <v>1</v>
      </c>
      <c r="V497" s="9">
        <f>IF(OR(M497=0,U497=1),0,IF(T497="GST on Income",ROUND(K497*0.1,2),ROUND(-K497*0.1,2)))</f>
        <v>0</v>
      </c>
    </row>
    <row r="498">
      <c r="A498" t="inlineStr">
        <is>
          <t>INV-4864-1</t>
        </is>
      </c>
      <c r="B498" t="inlineStr">
        <is>
          <t>INV-4864</t>
        </is>
      </c>
      <c r="C498" s="11" t="n">
        <v>45920</v>
      </c>
      <c r="D498" t="inlineStr">
        <is>
          <t>2025-09</t>
        </is>
      </c>
      <c r="E498" t="inlineStr">
        <is>
          <t>C0007</t>
        </is>
      </c>
      <c r="F498" t="inlineStr">
        <is>
          <t>C0007</t>
        </is>
      </c>
      <c r="G498" t="inlineStr">
        <is>
          <t>Eastlink Projects</t>
        </is>
      </c>
      <c r="H498" t="inlineStr">
        <is>
          <t>S0161</t>
        </is>
      </c>
      <c r="I498" t="inlineStr">
        <is>
          <t>Delivery and installation - temporary fencing</t>
        </is>
      </c>
      <c r="J498" t="n">
        <v>1</v>
      </c>
      <c r="K498" s="9" t="n">
        <v>165</v>
      </c>
      <c r="L498" t="inlineStr">
        <is>
          <t>PAID</t>
        </is>
      </c>
      <c r="M498">
        <f>IF(L498="VOIDED",0,1)</f>
        <v>1</v>
      </c>
      <c r="N498" t="n">
        <v>260</v>
      </c>
      <c r="O498" t="inlineStr">
        <is>
          <t>GST on Income</t>
        </is>
      </c>
      <c r="P498" t="inlineStr">
        <is>
          <t>R07</t>
        </is>
      </c>
      <c r="Q498" t="inlineStr">
        <is>
          <t>DEL-FP</t>
        </is>
      </c>
      <c r="R498">
        <f>IF(OR(Q498="CONTEXT",Q498="REVIEW"),"",INDEX('Category Rules'!$D$5:$D$17,MATCH(P498,'Category Rules'!$A$5:$A$17,0)))</f>
        <v>4020</v>
      </c>
      <c r="S498" t="str">
        <f>IF(Q498="CONTEXT","Fencing",IF(Q498="REVIEW","",INDEX('Category Rules'!$E$5:$E$17,MATCH(P498,'Category Rules'!$A$5:$A$17,0))))</f>
        <v>Fencing</v>
      </c>
      <c r="T498" t="str">
        <f>IF(Q498="DEP","BAS Excluded","GST on Income")</f>
        <v>GST on Income</v>
      </c>
      <c r="U498">
        <f>IF(O498=T498,1,0)</f>
        <v>1</v>
      </c>
      <c r="V498" s="9">
        <f>IF(OR(M498=0,U498=1),0,IF(T498="GST on Income",ROUND(K498*0.1,2),ROUND(-K498*0.1,2)))</f>
        <v>0</v>
      </c>
    </row>
    <row r="499">
      <c r="A499" t="inlineStr">
        <is>
          <t>INV-4864-2</t>
        </is>
      </c>
      <c r="B499" t="inlineStr">
        <is>
          <t>INV-4864</t>
        </is>
      </c>
      <c r="C499" s="11" t="n">
        <v>45920</v>
      </c>
      <c r="D499" t="inlineStr">
        <is>
          <t>2025-09</t>
        </is>
      </c>
      <c r="E499" t="inlineStr">
        <is>
          <t>C0007</t>
        </is>
      </c>
      <c r="F499" t="inlineStr">
        <is>
          <t>C0007</t>
        </is>
      </c>
      <c r="G499" t="inlineStr">
        <is>
          <t>Eastlink Projects</t>
        </is>
      </c>
      <c r="H499" t="inlineStr">
        <is>
          <t>S0161</t>
        </is>
      </c>
      <c r="I499" t="inlineStr">
        <is>
          <t>Installation labour - 131 panels @ 2.20</t>
        </is>
      </c>
      <c r="J499" t="n">
        <v>131</v>
      </c>
      <c r="K499" s="9" t="n">
        <v>288.2</v>
      </c>
      <c r="L499" t="inlineStr">
        <is>
          <t>PAID</t>
        </is>
      </c>
      <c r="M499">
        <f>IF(L499="VOIDED",0,1)</f>
        <v>1</v>
      </c>
      <c r="N499" t="n">
        <v>200</v>
      </c>
      <c r="O499" t="inlineStr">
        <is>
          <t>GST on Income</t>
        </is>
      </c>
      <c r="P499" t="inlineStr">
        <is>
          <t>R07</t>
        </is>
      </c>
      <c r="Q499" t="inlineStr">
        <is>
          <t>DEL-FP</t>
        </is>
      </c>
      <c r="R499">
        <f>IF(OR(Q499="CONTEXT",Q499="REVIEW"),"",INDEX('Category Rules'!$D$5:$D$17,MATCH(P499,'Category Rules'!$A$5:$A$17,0)))</f>
        <v>4020</v>
      </c>
      <c r="S499" t="str">
        <f>IF(Q499="CONTEXT","Fencing",IF(Q499="REVIEW","",INDEX('Category Rules'!$E$5:$E$17,MATCH(P499,'Category Rules'!$A$5:$A$17,0))))</f>
        <v>Fencing</v>
      </c>
      <c r="T499" t="str">
        <f>IF(Q499="DEP","BAS Excluded","GST on Income")</f>
        <v>GST on Income</v>
      </c>
      <c r="U499">
        <f>IF(O499=T499,1,0)</f>
        <v>1</v>
      </c>
      <c r="V499" s="9">
        <f>IF(OR(M499=0,U499=1),0,IF(T499="GST on Income",ROUND(K499*0.1,2),ROUND(-K499*0.1,2)))</f>
        <v>0</v>
      </c>
    </row>
    <row r="500">
      <c r="A500" t="inlineStr">
        <is>
          <t>INV-4864-3</t>
        </is>
      </c>
      <c r="B500" t="inlineStr">
        <is>
          <t>INV-4864</t>
        </is>
      </c>
      <c r="C500" s="11" t="n">
        <v>45920</v>
      </c>
      <c r="D500" t="inlineStr">
        <is>
          <t>2025-09</t>
        </is>
      </c>
      <c r="E500" t="inlineStr">
        <is>
          <t>C0007</t>
        </is>
      </c>
      <c r="F500" t="inlineStr">
        <is>
          <t>C0007</t>
        </is>
      </c>
      <c r="G500" t="inlineStr">
        <is>
          <t>Eastlink Projects</t>
        </is>
      </c>
      <c r="H500" t="inlineStr">
        <is>
          <t>S0161</t>
        </is>
      </c>
      <c r="I500" t="inlineStr">
        <is>
          <t>Security deposit - fence panels (refundable)</t>
        </is>
      </c>
      <c r="J500" t="n">
        <v>1</v>
      </c>
      <c r="K500" s="9" t="n">
        <v>1050</v>
      </c>
      <c r="L500" t="inlineStr">
        <is>
          <t>PAID</t>
        </is>
      </c>
      <c r="M500">
        <f>IF(L500="VOIDED",0,1)</f>
        <v>1</v>
      </c>
      <c r="N500" t="n">
        <v>200</v>
      </c>
      <c r="O500" t="inlineStr">
        <is>
          <t>GST on Income</t>
        </is>
      </c>
      <c r="P500" t="inlineStr">
        <is>
          <t>R01</t>
        </is>
      </c>
      <c r="Q500" t="inlineStr">
        <is>
          <t>DEP</t>
        </is>
      </c>
      <c r="R500">
        <f>IF(OR(Q500="CONTEXT",Q500="REVIEW"),"",INDEX('Category Rules'!$D$5:$D$17,MATCH(P500,'Category Rules'!$A$5:$A$17,0)))</f>
        <v>835</v>
      </c>
      <c r="S500" t="str">
        <f>IF(Q500="CONTEXT","Fencing",IF(Q500="REVIEW","",INDEX('Category Rules'!$E$5:$E$17,MATCH(P500,'Category Rules'!$A$5:$A$17,0))))</f>
        <v>Fencing</v>
      </c>
      <c r="T500" t="str">
        <f>IF(Q500="DEP","BAS Excluded","GST on Income")</f>
        <v>BAS Excluded</v>
      </c>
      <c r="U500">
        <f>IF(O500=T500,1,0)</f>
        <v>0</v>
      </c>
      <c r="V500" s="9">
        <f>IF(OR(M500=0,U500=1),0,IF(T500="GST on Income",ROUND(K500*0.1,2),ROUND(-K500*0.1,2)))</f>
        <v>-105</v>
      </c>
    </row>
    <row r="501">
      <c r="A501" t="inlineStr">
        <is>
          <t>INV-5366-1</t>
        </is>
      </c>
      <c r="B501" t="inlineStr">
        <is>
          <t>INV-5366</t>
        </is>
      </c>
      <c r="C501" s="11" t="n">
        <v>45920</v>
      </c>
      <c r="D501" t="inlineStr">
        <is>
          <t>2025-09</t>
        </is>
      </c>
      <c r="E501" t="inlineStr">
        <is>
          <t>C0096</t>
        </is>
      </c>
      <c r="F501" t="inlineStr">
        <is>
          <t>C0096</t>
        </is>
      </c>
      <c r="G501" t="inlineStr">
        <is>
          <t>Lucas Kelly</t>
        </is>
      </c>
      <c r="H501" t="inlineStr">
        <is>
          <t>S0274</t>
        </is>
      </c>
      <c r="I501" t="inlineStr">
        <is>
          <t>Scaffold erect - 1 tower(s)</t>
        </is>
      </c>
      <c r="J501" t="n">
        <v>1</v>
      </c>
      <c r="K501" s="9" t="n">
        <v>420</v>
      </c>
      <c r="L501" t="inlineStr">
        <is>
          <t>PAID</t>
        </is>
      </c>
      <c r="M501">
        <f>IF(L501="VOIDED",0,1)</f>
        <v>1</v>
      </c>
      <c r="N501" t="n">
        <v>200</v>
      </c>
      <c r="O501" t="inlineStr">
        <is>
          <t>GST on Income</t>
        </is>
      </c>
      <c r="P501" t="inlineStr">
        <is>
          <t>R08</t>
        </is>
      </c>
      <c r="Q501" t="inlineStr">
        <is>
          <t>LAB-ST</t>
        </is>
      </c>
      <c r="R501">
        <f>IF(OR(Q501="CONTEXT",Q501="REVIEW"),"",INDEX('Category Rules'!$D$5:$D$17,MATCH(P501,'Category Rules'!$A$5:$A$17,0)))</f>
        <v>4020</v>
      </c>
      <c r="S501" t="str">
        <f>IF(Q501="CONTEXT","Scaffolding",IF(Q501="REVIEW","",INDEX('Category Rules'!$E$5:$E$17,MATCH(P501,'Category Rules'!$A$5:$A$17,0))))</f>
        <v>Scaffolding</v>
      </c>
      <c r="T501" t="str">
        <f>IF(Q501="DEP","BAS Excluded","GST on Income")</f>
        <v>GST on Income</v>
      </c>
      <c r="U501">
        <f>IF(O501=T501,1,0)</f>
        <v>1</v>
      </c>
      <c r="V501" s="9">
        <f>IF(OR(M501=0,U501=1),0,IF(T501="GST on Income",ROUND(K501*0.1,2),ROUND(-K501*0.1,2)))</f>
        <v>0</v>
      </c>
    </row>
    <row r="502">
      <c r="A502" t="inlineStr">
        <is>
          <t>INV-4232-1</t>
        </is>
      </c>
      <c r="B502" t="inlineStr">
        <is>
          <t>INV-4232</t>
        </is>
      </c>
      <c r="C502" s="11" t="n">
        <v>45921</v>
      </c>
      <c r="D502" t="inlineStr">
        <is>
          <t>2025-09</t>
        </is>
      </c>
      <c r="E502" t="inlineStr">
        <is>
          <t>C0105</t>
        </is>
      </c>
      <c r="F502" t="inlineStr">
        <is>
          <t>C0105</t>
        </is>
      </c>
      <c r="G502" t="inlineStr">
        <is>
          <t>Priya Walker</t>
        </is>
      </c>
      <c r="H502" t="inlineStr">
        <is>
          <t>S0025</t>
        </is>
      </c>
      <c r="I502" t="inlineStr">
        <is>
          <t>Temporary fence hire 4 wks (24/08/25-20/09/25) - 76 panels</t>
        </is>
      </c>
      <c r="J502" t="n">
        <v>304</v>
      </c>
      <c r="K502" s="9" t="n">
        <v>1368</v>
      </c>
      <c r="L502" t="inlineStr">
        <is>
          <t>PAID</t>
        </is>
      </c>
      <c r="M502">
        <f>IF(L502="VOIDED",0,1)</f>
        <v>1</v>
      </c>
      <c r="N502" t="n">
        <v>200</v>
      </c>
      <c r="O502" t="inlineStr">
        <is>
          <t>GST on Income</t>
        </is>
      </c>
      <c r="P502" t="inlineStr">
        <is>
          <t>R03</t>
        </is>
      </c>
      <c r="Q502" t="inlineStr">
        <is>
          <t>HIRE-FP</t>
        </is>
      </c>
      <c r="R502">
        <f>IF(OR(Q502="CONTEXT",Q502="REVIEW"),"",INDEX('Category Rules'!$D$5:$D$17,MATCH(P502,'Category Rules'!$A$5:$A$17,0)))</f>
        <v>4010</v>
      </c>
      <c r="S502" t="str">
        <f>IF(Q502="CONTEXT","Fencing",IF(Q502="REVIEW","",INDEX('Category Rules'!$E$5:$E$17,MATCH(P502,'Category Rules'!$A$5:$A$17,0))))</f>
        <v>Fencing</v>
      </c>
      <c r="T502" t="str">
        <f>IF(Q502="DEP","BAS Excluded","GST on Income")</f>
        <v>GST on Income</v>
      </c>
      <c r="U502">
        <f>IF(O502=T502,1,0)</f>
        <v>1</v>
      </c>
      <c r="V502" s="9">
        <f>IF(OR(M502=0,U502=1),0,IF(T502="GST on Income",ROUND(K502*0.1,2),ROUND(-K502*0.1,2)))</f>
        <v>0</v>
      </c>
    </row>
    <row r="503">
      <c r="A503" t="inlineStr">
        <is>
          <t>INV-4279-1</t>
        </is>
      </c>
      <c r="B503" t="inlineStr">
        <is>
          <t>INV-4279</t>
        </is>
      </c>
      <c r="C503" s="11" t="n">
        <v>45921</v>
      </c>
      <c r="D503" t="inlineStr">
        <is>
          <t>2025-09</t>
        </is>
      </c>
      <c r="E503" t="inlineStr">
        <is>
          <t>C0015</t>
        </is>
      </c>
      <c r="F503" t="inlineStr">
        <is>
          <t>C0015</t>
        </is>
      </c>
      <c r="G503" t="inlineStr">
        <is>
          <t>Bluegum Building Group</t>
        </is>
      </c>
      <c r="H503" t="inlineStr">
        <is>
          <t>S0038</t>
        </is>
      </c>
      <c r="I503" t="inlineStr">
        <is>
          <t>Temporary fence hire 4 wks (24/08/25-20/09/25) - 137 panels</t>
        </is>
      </c>
      <c r="J503" t="n">
        <v>548</v>
      </c>
      <c r="K503" s="9" t="n">
        <v>2466</v>
      </c>
      <c r="L503" t="inlineStr">
        <is>
          <t>PAID</t>
        </is>
      </c>
      <c r="M503">
        <f>IF(L503="VOIDED",0,1)</f>
        <v>1</v>
      </c>
      <c r="N503" t="n">
        <v>260</v>
      </c>
      <c r="O503" t="inlineStr">
        <is>
          <t>GST on Income</t>
        </is>
      </c>
      <c r="P503" t="inlineStr">
        <is>
          <t>R03</t>
        </is>
      </c>
      <c r="Q503" t="inlineStr">
        <is>
          <t>HIRE-FP</t>
        </is>
      </c>
      <c r="R503">
        <f>IF(OR(Q503="CONTEXT",Q503="REVIEW"),"",INDEX('Category Rules'!$D$5:$D$17,MATCH(P503,'Category Rules'!$A$5:$A$17,0)))</f>
        <v>4010</v>
      </c>
      <c r="S503" t="str">
        <f>IF(Q503="CONTEXT","Fencing",IF(Q503="REVIEW","",INDEX('Category Rules'!$E$5:$E$17,MATCH(P503,'Category Rules'!$A$5:$A$17,0))))</f>
        <v>Fencing</v>
      </c>
      <c r="T503" t="str">
        <f>IF(Q503="DEP","BAS Excluded","GST on Income")</f>
        <v>GST on Income</v>
      </c>
      <c r="U503">
        <f>IF(O503=T503,1,0)</f>
        <v>1</v>
      </c>
      <c r="V503" s="9">
        <f>IF(OR(M503=0,U503=1),0,IF(T503="GST on Income",ROUND(K503*0.1,2),ROUND(-K503*0.1,2)))</f>
        <v>0</v>
      </c>
    </row>
    <row r="504">
      <c r="A504" t="inlineStr">
        <is>
          <t>INV-4284-1</t>
        </is>
      </c>
      <c r="B504" t="inlineStr">
        <is>
          <t>INV-4284</t>
        </is>
      </c>
      <c r="C504" s="11" t="n">
        <v>45921</v>
      </c>
      <c r="D504" t="inlineStr">
        <is>
          <t>2025-09</t>
        </is>
      </c>
      <c r="E504" t="inlineStr">
        <is>
          <t>C0015</t>
        </is>
      </c>
      <c r="F504" t="inlineStr">
        <is>
          <t>C0015</t>
        </is>
      </c>
      <c r="G504" t="inlineStr">
        <is>
          <t>Bluegum Building Group</t>
        </is>
      </c>
      <c r="H504" t="inlineStr">
        <is>
          <t>S0038</t>
        </is>
      </c>
      <c r="I504" t="inlineStr">
        <is>
          <t>Pedestrian barrier hire 4 wks (24/08/25-20/09/25) - 20 barriers</t>
        </is>
      </c>
      <c r="J504" t="n">
        <v>80</v>
      </c>
      <c r="K504" s="9" t="n">
        <v>256</v>
      </c>
      <c r="L504" t="inlineStr">
        <is>
          <t>PAID</t>
        </is>
      </c>
      <c r="M504">
        <f>IF(L504="VOIDED",0,1)</f>
        <v>1</v>
      </c>
      <c r="N504" t="n">
        <v>200</v>
      </c>
      <c r="O504" t="inlineStr">
        <is>
          <t>GST on Income</t>
        </is>
      </c>
      <c r="P504" t="inlineStr">
        <is>
          <t>R04</t>
        </is>
      </c>
      <c r="Q504" t="inlineStr">
        <is>
          <t>HIRE-BR</t>
        </is>
      </c>
      <c r="R504">
        <f>IF(OR(Q504="CONTEXT",Q504="REVIEW"),"",INDEX('Category Rules'!$D$5:$D$17,MATCH(P504,'Category Rules'!$A$5:$A$17,0)))</f>
        <v>4010</v>
      </c>
      <c r="S504" t="str">
        <f>IF(Q504="CONTEXT","Fencing",IF(Q504="REVIEW","",INDEX('Category Rules'!$E$5:$E$17,MATCH(P504,'Category Rules'!$A$5:$A$17,0))))</f>
        <v>Fencing</v>
      </c>
      <c r="T504" t="str">
        <f>IF(Q504="DEP","BAS Excluded","GST on Income")</f>
        <v>GST on Income</v>
      </c>
      <c r="U504">
        <f>IF(O504=T504,1,0)</f>
        <v>1</v>
      </c>
      <c r="V504" s="9">
        <f>IF(OR(M504=0,U504=1),0,IF(T504="GST on Income",ROUND(K504*0.1,2),ROUND(-K504*0.1,2)))</f>
        <v>0</v>
      </c>
    </row>
    <row r="505">
      <c r="A505" t="inlineStr">
        <is>
          <t>INV-4786-1</t>
        </is>
      </c>
      <c r="B505" t="inlineStr">
        <is>
          <t>INV-4786</t>
        </is>
      </c>
      <c r="C505" s="11" t="n">
        <v>45921</v>
      </c>
      <c r="D505" t="inlineStr">
        <is>
          <t>2025-09</t>
        </is>
      </c>
      <c r="E505" t="inlineStr">
        <is>
          <t>C0029</t>
        </is>
      </c>
      <c r="F505" t="inlineStr">
        <is>
          <t>C0029</t>
        </is>
      </c>
      <c r="G505" t="inlineStr">
        <is>
          <t>Ironbark Constructions</t>
        </is>
      </c>
      <c r="H505" t="inlineStr">
        <is>
          <t>S0147</t>
        </is>
      </c>
      <c r="I505" t="inlineStr">
        <is>
          <t>Temporary fence hire 4 wks (24/08/25-20/09/25) - 40 panels</t>
        </is>
      </c>
      <c r="J505" t="n">
        <v>160</v>
      </c>
      <c r="K505" s="9" t="n">
        <v>720</v>
      </c>
      <c r="L505" t="inlineStr">
        <is>
          <t>PAID</t>
        </is>
      </c>
      <c r="M505">
        <f>IF(L505="VOIDED",0,1)</f>
        <v>1</v>
      </c>
      <c r="N505" t="n">
        <v>200</v>
      </c>
      <c r="O505" t="inlineStr">
        <is>
          <t>GST on Income</t>
        </is>
      </c>
      <c r="P505" t="inlineStr">
        <is>
          <t>R03</t>
        </is>
      </c>
      <c r="Q505" t="inlineStr">
        <is>
          <t>HIRE-FP</t>
        </is>
      </c>
      <c r="R505">
        <f>IF(OR(Q505="CONTEXT",Q505="REVIEW"),"",INDEX('Category Rules'!$D$5:$D$17,MATCH(P505,'Category Rules'!$A$5:$A$17,0)))</f>
        <v>4010</v>
      </c>
      <c r="S505" t="str">
        <f>IF(Q505="CONTEXT","Fencing",IF(Q505="REVIEW","",INDEX('Category Rules'!$E$5:$E$17,MATCH(P505,'Category Rules'!$A$5:$A$17,0))))</f>
        <v>Fencing</v>
      </c>
      <c r="T505" t="str">
        <f>IF(Q505="DEP","BAS Excluded","GST on Income")</f>
        <v>GST on Income</v>
      </c>
      <c r="U505">
        <f>IF(O505=T505,1,0)</f>
        <v>1</v>
      </c>
      <c r="V505" s="9">
        <f>IF(OR(M505=0,U505=1),0,IF(T505="GST on Income",ROUND(K505*0.1,2),ROUND(-K505*0.1,2)))</f>
        <v>0</v>
      </c>
    </row>
    <row r="506">
      <c r="A506" t="inlineStr">
        <is>
          <t>INV-4916-1</t>
        </is>
      </c>
      <c r="B506" t="inlineStr">
        <is>
          <t>INV-4916</t>
        </is>
      </c>
      <c r="C506" s="11" t="n">
        <v>45921</v>
      </c>
      <c r="D506" t="inlineStr">
        <is>
          <t>2025-09</t>
        </is>
      </c>
      <c r="E506" t="inlineStr">
        <is>
          <t>C0022</t>
        </is>
      </c>
      <c r="F506" t="inlineStr">
        <is>
          <t>C0022</t>
        </is>
      </c>
      <c r="G506" t="inlineStr">
        <is>
          <t>Highpoint Projects</t>
        </is>
      </c>
      <c r="H506" t="inlineStr">
        <is>
          <t>S0172</t>
        </is>
      </c>
      <c r="I506" t="inlineStr">
        <is>
          <t>Temporary fence hire 4 wks (24/08/25-20/09/25) - 23 panels</t>
        </is>
      </c>
      <c r="J506" t="n">
        <v>92</v>
      </c>
      <c r="K506" s="9" t="n">
        <v>414</v>
      </c>
      <c r="L506" t="inlineStr">
        <is>
          <t>PAID</t>
        </is>
      </c>
      <c r="M506">
        <f>IF(L506="VOIDED",0,1)</f>
        <v>1</v>
      </c>
      <c r="N506" t="n">
        <v>200</v>
      </c>
      <c r="O506" t="inlineStr">
        <is>
          <t>GST on Income</t>
        </is>
      </c>
      <c r="P506" t="inlineStr">
        <is>
          <t>R03</t>
        </is>
      </c>
      <c r="Q506" t="inlineStr">
        <is>
          <t>HIRE-FP</t>
        </is>
      </c>
      <c r="R506">
        <f>IF(OR(Q506="CONTEXT",Q506="REVIEW"),"",INDEX('Category Rules'!$D$5:$D$17,MATCH(P506,'Category Rules'!$A$5:$A$17,0)))</f>
        <v>4010</v>
      </c>
      <c r="S506" t="str">
        <f>IF(Q506="CONTEXT","Fencing",IF(Q506="REVIEW","",INDEX('Category Rules'!$E$5:$E$17,MATCH(P506,'Category Rules'!$A$5:$A$17,0))))</f>
        <v>Fencing</v>
      </c>
      <c r="T506" t="str">
        <f>IF(Q506="DEP","BAS Excluded","GST on Income")</f>
        <v>GST on Income</v>
      </c>
      <c r="U506">
        <f>IF(O506=T506,1,0)</f>
        <v>1</v>
      </c>
      <c r="V506" s="9">
        <f>IF(OR(M506=0,U506=1),0,IF(T506="GST on Income",ROUND(K506*0.1,2),ROUND(-K506*0.1,2)))</f>
        <v>0</v>
      </c>
    </row>
    <row r="507">
      <c r="A507" t="inlineStr">
        <is>
          <t>INV-5513-1</t>
        </is>
      </c>
      <c r="B507" t="inlineStr">
        <is>
          <t>INV-5513</t>
        </is>
      </c>
      <c r="C507" s="11" t="n">
        <v>45922</v>
      </c>
      <c r="D507" t="inlineStr">
        <is>
          <t>2025-09</t>
        </is>
      </c>
      <c r="E507" t="inlineStr">
        <is>
          <t>C0048</t>
        </is>
      </c>
      <c r="F507" t="inlineStr">
        <is>
          <t>C0048</t>
        </is>
      </c>
      <c r="G507" t="inlineStr">
        <is>
          <t>Banksia Strata Management</t>
        </is>
      </c>
      <c r="H507" t="inlineStr">
        <is>
          <t>S0333</t>
        </is>
      </c>
      <c r="I507" t="inlineStr">
        <is>
          <t>Make safe call-out</t>
        </is>
      </c>
      <c r="J507" t="n">
        <v>1</v>
      </c>
      <c r="K507" s="9" t="n">
        <v>385</v>
      </c>
      <c r="L507" t="inlineStr">
        <is>
          <t>PAID</t>
        </is>
      </c>
      <c r="M507">
        <f>IF(L507="VOIDED",0,1)</f>
        <v>1</v>
      </c>
      <c r="N507" t="n">
        <v>200</v>
      </c>
      <c r="O507" t="inlineStr">
        <is>
          <t>GST on Income</t>
        </is>
      </c>
      <c r="P507" t="inlineStr">
        <is>
          <t>R09</t>
        </is>
      </c>
      <c r="Q507" t="inlineStr">
        <is>
          <t>MS</t>
        </is>
      </c>
      <c r="R507">
        <f>IF(OR(Q507="CONTEXT",Q507="REVIEW"),"",INDEX('Category Rules'!$D$5:$D$17,MATCH(P507,'Category Rules'!$A$5:$A$17,0)))</f>
        <v>4020</v>
      </c>
      <c r="S507" t="str">
        <f>IF(Q507="CONTEXT","Make-safe",IF(Q507="REVIEW","",INDEX('Category Rules'!$E$5:$E$17,MATCH(P507,'Category Rules'!$A$5:$A$17,0))))</f>
        <v>Make-safe</v>
      </c>
      <c r="T507" t="str">
        <f>IF(Q507="DEP","BAS Excluded","GST on Income")</f>
        <v>GST on Income</v>
      </c>
      <c r="U507">
        <f>IF(O507=T507,1,0)</f>
        <v>1</v>
      </c>
      <c r="V507" s="9">
        <f>IF(OR(M507=0,U507=1),0,IF(T507="GST on Income",ROUND(K507*0.1,2),ROUND(-K507*0.1,2)))</f>
        <v>0</v>
      </c>
    </row>
    <row r="508">
      <c r="A508" t="inlineStr">
        <is>
          <t>INV-5823-1</t>
        </is>
      </c>
      <c r="B508" t="inlineStr">
        <is>
          <t>INV-5823</t>
        </is>
      </c>
      <c r="C508" s="11" t="n">
        <v>45922</v>
      </c>
      <c r="D508" t="inlineStr">
        <is>
          <t>2025-09</t>
        </is>
      </c>
      <c r="E508" t="inlineStr">
        <is>
          <t>C0116</t>
        </is>
      </c>
      <c r="F508" t="inlineStr">
        <is>
          <t>C0116</t>
        </is>
      </c>
      <c r="G508" t="inlineStr">
        <is>
          <t>Lucas Patel</t>
        </is>
      </c>
      <c r="H508" t="inlineStr">
        <is>
          <t>S0503</t>
        </is>
      </c>
      <c r="I508" t="inlineStr">
        <is>
          <t>Emergency make safe call-out - after hours</t>
        </is>
      </c>
      <c r="J508" t="n">
        <v>1</v>
      </c>
      <c r="K508" s="9" t="n">
        <v>560</v>
      </c>
      <c r="L508" t="inlineStr">
        <is>
          <t>PAID</t>
        </is>
      </c>
      <c r="M508">
        <f>IF(L508="VOIDED",0,1)</f>
        <v>1</v>
      </c>
      <c r="N508" t="n">
        <v>200</v>
      </c>
      <c r="O508" t="inlineStr">
        <is>
          <t>GST on Income</t>
        </is>
      </c>
      <c r="P508" t="inlineStr">
        <is>
          <t>R09</t>
        </is>
      </c>
      <c r="Q508" t="inlineStr">
        <is>
          <t>MS</t>
        </is>
      </c>
      <c r="R508">
        <f>IF(OR(Q508="CONTEXT",Q508="REVIEW"),"",INDEX('Category Rules'!$D$5:$D$17,MATCH(P508,'Category Rules'!$A$5:$A$17,0)))</f>
        <v>4020</v>
      </c>
      <c r="S508" t="str">
        <f>IF(Q508="CONTEXT","Make-safe",IF(Q508="REVIEW","",INDEX('Category Rules'!$E$5:$E$17,MATCH(P508,'Category Rules'!$A$5:$A$17,0))))</f>
        <v>Make-safe</v>
      </c>
      <c r="T508" t="str">
        <f>IF(Q508="DEP","BAS Excluded","GST on Income")</f>
        <v>GST on Income</v>
      </c>
      <c r="U508">
        <f>IF(O508=T508,1,0)</f>
        <v>1</v>
      </c>
      <c r="V508" s="9">
        <f>IF(OR(M508=0,U508=1),0,IF(T508="GST on Income",ROUND(K508*0.1,2),ROUND(-K508*0.1,2)))</f>
        <v>0</v>
      </c>
    </row>
    <row r="509">
      <c r="A509" t="inlineStr">
        <is>
          <t>INV-4442-1</t>
        </is>
      </c>
      <c r="B509" t="inlineStr">
        <is>
          <t>INV-4442</t>
        </is>
      </c>
      <c r="C509" s="11" t="n">
        <v>45923</v>
      </c>
      <c r="D509" t="inlineStr">
        <is>
          <t>2025-09</t>
        </is>
      </c>
      <c r="E509" t="inlineStr">
        <is>
          <t>C0038</t>
        </is>
      </c>
      <c r="F509" t="inlineStr">
        <is>
          <t>C0038</t>
        </is>
      </c>
      <c r="G509" t="inlineStr">
        <is>
          <t>Cobalt Constructions Pty Ltd</t>
        </is>
      </c>
      <c r="H509" t="inlineStr">
        <is>
          <t>S0068</t>
        </is>
      </c>
      <c r="I509" t="inlineStr">
        <is>
          <t>Temporary fence hire 4 wks (26/08/25-22/09/25) - 38 panels</t>
        </is>
      </c>
      <c r="J509" t="n">
        <v>152</v>
      </c>
      <c r="K509" s="9" t="n">
        <v>684</v>
      </c>
      <c r="L509" t="inlineStr">
        <is>
          <t>PAID</t>
        </is>
      </c>
      <c r="M509">
        <f>IF(L509="VOIDED",0,1)</f>
        <v>1</v>
      </c>
      <c r="N509" t="n">
        <v>200</v>
      </c>
      <c r="O509" t="inlineStr">
        <is>
          <t>GST on Income</t>
        </is>
      </c>
      <c r="P509" t="inlineStr">
        <is>
          <t>R03</t>
        </is>
      </c>
      <c r="Q509" t="inlineStr">
        <is>
          <t>HIRE-FP</t>
        </is>
      </c>
      <c r="R509">
        <f>IF(OR(Q509="CONTEXT",Q509="REVIEW"),"",INDEX('Category Rules'!$D$5:$D$17,MATCH(P509,'Category Rules'!$A$5:$A$17,0)))</f>
        <v>4010</v>
      </c>
      <c r="S509" t="str">
        <f>IF(Q509="CONTEXT","Fencing",IF(Q509="REVIEW","",INDEX('Category Rules'!$E$5:$E$17,MATCH(P509,'Category Rules'!$A$5:$A$17,0))))</f>
        <v>Fencing</v>
      </c>
      <c r="T509" t="str">
        <f>IF(Q509="DEP","BAS Excluded","GST on Income")</f>
        <v>GST on Income</v>
      </c>
      <c r="U509">
        <f>IF(O509=T509,1,0)</f>
        <v>1</v>
      </c>
      <c r="V509" s="9">
        <f>IF(OR(M509=0,U509=1),0,IF(T509="GST on Income",ROUND(K509*0.1,2),ROUND(-K509*0.1,2)))</f>
        <v>0</v>
      </c>
    </row>
    <row r="510">
      <c r="A510" t="inlineStr">
        <is>
          <t>INV-4499-1</t>
        </is>
      </c>
      <c r="B510" t="inlineStr">
        <is>
          <t>INV-4499</t>
        </is>
      </c>
      <c r="C510" s="11" t="n">
        <v>45923</v>
      </c>
      <c r="D510" t="inlineStr">
        <is>
          <t>2025-09</t>
        </is>
      </c>
      <c r="E510" t="inlineStr">
        <is>
          <t>C0070</t>
        </is>
      </c>
      <c r="F510" t="inlineStr">
        <is>
          <t>C0070</t>
        </is>
      </c>
      <c r="G510" t="inlineStr">
        <is>
          <t>Banyule City Council</t>
        </is>
      </c>
      <c r="H510" t="inlineStr">
        <is>
          <t>S0082</t>
        </is>
      </c>
      <c r="I510" t="inlineStr">
        <is>
          <t>Delivery and installation - temporary fencing</t>
        </is>
      </c>
      <c r="J510" t="n">
        <v>1</v>
      </c>
      <c r="K510" s="9" t="n">
        <v>165</v>
      </c>
      <c r="L510" t="inlineStr">
        <is>
          <t>PAID</t>
        </is>
      </c>
      <c r="M510">
        <f>IF(L510="VOIDED",0,1)</f>
        <v>1</v>
      </c>
      <c r="N510" t="n">
        <v>200</v>
      </c>
      <c r="O510" t="inlineStr">
        <is>
          <t>GST on Income</t>
        </is>
      </c>
      <c r="P510" t="inlineStr">
        <is>
          <t>R07</t>
        </is>
      </c>
      <c r="Q510" t="inlineStr">
        <is>
          <t>DEL-FP</t>
        </is>
      </c>
      <c r="R510">
        <f>IF(OR(Q510="CONTEXT",Q510="REVIEW"),"",INDEX('Category Rules'!$D$5:$D$17,MATCH(P510,'Category Rules'!$A$5:$A$17,0)))</f>
        <v>4020</v>
      </c>
      <c r="S510" t="str">
        <f>IF(Q510="CONTEXT","Fencing",IF(Q510="REVIEW","",INDEX('Category Rules'!$E$5:$E$17,MATCH(P510,'Category Rules'!$A$5:$A$17,0))))</f>
        <v>Fencing</v>
      </c>
      <c r="T510" t="str">
        <f>IF(Q510="DEP","BAS Excluded","GST on Income")</f>
        <v>GST on Income</v>
      </c>
      <c r="U510">
        <f>IF(O510=T510,1,0)</f>
        <v>1</v>
      </c>
      <c r="V510" s="9">
        <f>IF(OR(M510=0,U510=1),0,IF(T510="GST on Income",ROUND(K510*0.1,2),ROUND(-K510*0.1,2)))</f>
        <v>0</v>
      </c>
    </row>
    <row r="511">
      <c r="A511" t="inlineStr">
        <is>
          <t>INV-4499-2</t>
        </is>
      </c>
      <c r="B511" t="inlineStr">
        <is>
          <t>INV-4499</t>
        </is>
      </c>
      <c r="C511" s="11" t="n">
        <v>45923</v>
      </c>
      <c r="D511" t="inlineStr">
        <is>
          <t>2025-09</t>
        </is>
      </c>
      <c r="E511" t="inlineStr">
        <is>
          <t>C0070</t>
        </is>
      </c>
      <c r="F511" t="inlineStr">
        <is>
          <t>C0070</t>
        </is>
      </c>
      <c r="G511" t="inlineStr">
        <is>
          <t>Banyule City Council</t>
        </is>
      </c>
      <c r="H511" t="inlineStr">
        <is>
          <t>S0082</t>
        </is>
      </c>
      <c r="I511" t="inlineStr">
        <is>
          <t>Installation labour - 158 panels @ 2.20</t>
        </is>
      </c>
      <c r="J511" t="n">
        <v>158</v>
      </c>
      <c r="K511" s="9" t="n">
        <v>347.6</v>
      </c>
      <c r="L511" t="inlineStr">
        <is>
          <t>PAID</t>
        </is>
      </c>
      <c r="M511">
        <f>IF(L511="VOIDED",0,1)</f>
        <v>1</v>
      </c>
      <c r="N511" t="n">
        <v>200</v>
      </c>
      <c r="O511" t="inlineStr">
        <is>
          <t>GST on Income</t>
        </is>
      </c>
      <c r="P511" t="inlineStr">
        <is>
          <t>R07</t>
        </is>
      </c>
      <c r="Q511" t="inlineStr">
        <is>
          <t>DEL-FP</t>
        </is>
      </c>
      <c r="R511">
        <f>IF(OR(Q511="CONTEXT",Q511="REVIEW"),"",INDEX('Category Rules'!$D$5:$D$17,MATCH(P511,'Category Rules'!$A$5:$A$17,0)))</f>
        <v>4020</v>
      </c>
      <c r="S511" t="str">
        <f>IF(Q511="CONTEXT","Fencing",IF(Q511="REVIEW","",INDEX('Category Rules'!$E$5:$E$17,MATCH(P511,'Category Rules'!$A$5:$A$17,0))))</f>
        <v>Fencing</v>
      </c>
      <c r="T511" t="str">
        <f>IF(Q511="DEP","BAS Excluded","GST on Income")</f>
        <v>GST on Income</v>
      </c>
      <c r="U511">
        <f>IF(O511=T511,1,0)</f>
        <v>1</v>
      </c>
      <c r="V511" s="9">
        <f>IF(OR(M511=0,U511=1),0,IF(T511="GST on Income",ROUND(K511*0.1,2),ROUND(-K511*0.1,2)))</f>
        <v>0</v>
      </c>
    </row>
    <row r="512">
      <c r="A512" t="inlineStr">
        <is>
          <t>INV-4917-1</t>
        </is>
      </c>
      <c r="B512" t="inlineStr">
        <is>
          <t>INV-4917</t>
        </is>
      </c>
      <c r="C512" s="11" t="n">
        <v>45923</v>
      </c>
      <c r="D512" t="inlineStr">
        <is>
          <t>2025-09</t>
        </is>
      </c>
      <c r="E512" t="inlineStr">
        <is>
          <t>C0022</t>
        </is>
      </c>
      <c r="F512" t="inlineStr">
        <is>
          <t>C0022</t>
        </is>
      </c>
      <c r="G512" t="inlineStr">
        <is>
          <t>Highpoint Projects</t>
        </is>
      </c>
      <c r="H512" t="inlineStr">
        <is>
          <t>S0172</t>
        </is>
      </c>
      <c r="I512" t="inlineStr">
        <is>
          <t>Temporary fence hire 1 wks (21/09/25-22/09/25) - 23 panels</t>
        </is>
      </c>
      <c r="J512" t="n">
        <v>23</v>
      </c>
      <c r="K512" s="9" t="n">
        <v>103.5</v>
      </c>
      <c r="L512" t="inlineStr">
        <is>
          <t>PAID</t>
        </is>
      </c>
      <c r="M512">
        <f>IF(L512="VOIDED",0,1)</f>
        <v>1</v>
      </c>
      <c r="N512" t="n">
        <v>200</v>
      </c>
      <c r="O512" t="inlineStr">
        <is>
          <t>GST on Income</t>
        </is>
      </c>
      <c r="P512" t="inlineStr">
        <is>
          <t>R03</t>
        </is>
      </c>
      <c r="Q512" t="inlineStr">
        <is>
          <t>HIRE-FP</t>
        </is>
      </c>
      <c r="R512">
        <f>IF(OR(Q512="CONTEXT",Q512="REVIEW"),"",INDEX('Category Rules'!$D$5:$D$17,MATCH(P512,'Category Rules'!$A$5:$A$17,0)))</f>
        <v>4010</v>
      </c>
      <c r="S512" t="str">
        <f>IF(Q512="CONTEXT","Fencing",IF(Q512="REVIEW","",INDEX('Category Rules'!$E$5:$E$17,MATCH(P512,'Category Rules'!$A$5:$A$17,0))))</f>
        <v>Fencing</v>
      </c>
      <c r="T512" t="str">
        <f>IF(Q512="DEP","BAS Excluded","GST on Income")</f>
        <v>GST on Income</v>
      </c>
      <c r="U512">
        <f>IF(O512=T512,1,0)</f>
        <v>1</v>
      </c>
      <c r="V512" s="9">
        <f>IF(OR(M512=0,U512=1),0,IF(T512="GST on Income",ROUND(K512*0.1,2),ROUND(-K512*0.1,2)))</f>
        <v>0</v>
      </c>
    </row>
    <row r="513">
      <c r="A513" t="inlineStr">
        <is>
          <t>INV-4919-1</t>
        </is>
      </c>
      <c r="B513" t="inlineStr">
        <is>
          <t>INV-4919</t>
        </is>
      </c>
      <c r="C513" s="11" t="n">
        <v>45923</v>
      </c>
      <c r="D513" t="inlineStr">
        <is>
          <t>2025-09</t>
        </is>
      </c>
      <c r="E513" t="inlineStr">
        <is>
          <t>C0022</t>
        </is>
      </c>
      <c r="F513" t="inlineStr">
        <is>
          <t>C0022</t>
        </is>
      </c>
      <c r="G513" t="inlineStr">
        <is>
          <t>Highpoint Projects</t>
        </is>
      </c>
      <c r="H513" t="inlineStr">
        <is>
          <t>S0172</t>
        </is>
      </c>
      <c r="I513" t="inlineStr">
        <is>
          <t>Collection and dismantle - temporary fencing</t>
        </is>
      </c>
      <c r="J513" t="n">
        <v>1</v>
      </c>
      <c r="K513" s="9" t="n">
        <v>165</v>
      </c>
      <c r="L513" t="inlineStr">
        <is>
          <t>PAID</t>
        </is>
      </c>
      <c r="M513">
        <f>IF(L513="VOIDED",0,1)</f>
        <v>1</v>
      </c>
      <c r="N513" t="n">
        <v>260</v>
      </c>
      <c r="O513" t="inlineStr">
        <is>
          <t>GST on Income</t>
        </is>
      </c>
      <c r="P513" t="inlineStr">
        <is>
          <t>R07</t>
        </is>
      </c>
      <c r="Q513" t="inlineStr">
        <is>
          <t>DEL-FP</t>
        </is>
      </c>
      <c r="R513">
        <f>IF(OR(Q513="CONTEXT",Q513="REVIEW"),"",INDEX('Category Rules'!$D$5:$D$17,MATCH(P513,'Category Rules'!$A$5:$A$17,0)))</f>
        <v>4020</v>
      </c>
      <c r="S513" t="str">
        <f>IF(Q513="CONTEXT","Fencing",IF(Q513="REVIEW","",INDEX('Category Rules'!$E$5:$E$17,MATCH(P513,'Category Rules'!$A$5:$A$17,0))))</f>
        <v>Fencing</v>
      </c>
      <c r="T513" t="str">
        <f>IF(Q513="DEP","BAS Excluded","GST on Income")</f>
        <v>GST on Income</v>
      </c>
      <c r="U513">
        <f>IF(O513=T513,1,0)</f>
        <v>1</v>
      </c>
      <c r="V513" s="9">
        <f>IF(OR(M513=0,U513=1),0,IF(T513="GST on Income",ROUND(K513*0.1,2),ROUND(-K513*0.1,2)))</f>
        <v>0</v>
      </c>
    </row>
    <row r="514">
      <c r="A514" t="inlineStr">
        <is>
          <t>INV-5852-1</t>
        </is>
      </c>
      <c r="B514" t="inlineStr">
        <is>
          <t>INV-5852</t>
        </is>
      </c>
      <c r="C514" s="11" t="n">
        <v>45923</v>
      </c>
      <c r="D514" t="inlineStr">
        <is>
          <t>2025-09</t>
        </is>
      </c>
      <c r="E514" t="inlineStr">
        <is>
          <t>C0132</t>
        </is>
      </c>
      <c r="F514" t="inlineStr">
        <is>
          <t>C0052</t>
        </is>
      </c>
      <c r="G514" t="inlineStr">
        <is>
          <t>Bluegum Body Corporate Pty Ltd</t>
        </is>
      </c>
      <c r="H514" t="inlineStr">
        <is>
          <t>S0520</t>
        </is>
      </c>
      <c r="I514" t="inlineStr">
        <is>
          <t>Make safe call-out</t>
        </is>
      </c>
      <c r="J514" t="n">
        <v>1</v>
      </c>
      <c r="K514" s="9" t="n">
        <v>385</v>
      </c>
      <c r="L514" t="inlineStr">
        <is>
          <t>PAID</t>
        </is>
      </c>
      <c r="M514">
        <f>IF(L514="VOIDED",0,1)</f>
        <v>1</v>
      </c>
      <c r="N514" t="n">
        <v>260</v>
      </c>
      <c r="O514" t="inlineStr">
        <is>
          <t>GST on Income</t>
        </is>
      </c>
      <c r="P514" t="inlineStr">
        <is>
          <t>R09</t>
        </is>
      </c>
      <c r="Q514" t="inlineStr">
        <is>
          <t>MS</t>
        </is>
      </c>
      <c r="R514">
        <f>IF(OR(Q514="CONTEXT",Q514="REVIEW"),"",INDEX('Category Rules'!$D$5:$D$17,MATCH(P514,'Category Rules'!$A$5:$A$17,0)))</f>
        <v>4020</v>
      </c>
      <c r="S514" t="str">
        <f>IF(Q514="CONTEXT","Make-safe",IF(Q514="REVIEW","",INDEX('Category Rules'!$E$5:$E$17,MATCH(P514,'Category Rules'!$A$5:$A$17,0))))</f>
        <v>Make-safe</v>
      </c>
      <c r="T514" t="str">
        <f>IF(Q514="DEP","BAS Excluded","GST on Income")</f>
        <v>GST on Income</v>
      </c>
      <c r="U514">
        <f>IF(O514=T514,1,0)</f>
        <v>1</v>
      </c>
      <c r="V514" s="9">
        <f>IF(OR(M514=0,U514=1),0,IF(T514="GST on Income",ROUND(K514*0.1,2),ROUND(-K514*0.1,2)))</f>
        <v>0</v>
      </c>
    </row>
    <row r="515">
      <c r="A515" t="inlineStr">
        <is>
          <t>INV-5852-2</t>
        </is>
      </c>
      <c r="B515" t="inlineStr">
        <is>
          <t>INV-5852</t>
        </is>
      </c>
      <c r="C515" s="11" t="n">
        <v>45923</v>
      </c>
      <c r="D515" t="inlineStr">
        <is>
          <t>2025-09</t>
        </is>
      </c>
      <c r="E515" t="inlineStr">
        <is>
          <t>C0132</t>
        </is>
      </c>
      <c r="F515" t="inlineStr">
        <is>
          <t>C0052</t>
        </is>
      </c>
      <c r="G515" t="inlineStr">
        <is>
          <t>Bluegum Body Corporate Pty Ltd</t>
        </is>
      </c>
      <c r="H515" t="inlineStr">
        <is>
          <t>S0520</t>
        </is>
      </c>
      <c r="I515" t="inlineStr">
        <is>
          <t>Tarp supply and install - 2 tarp(s)</t>
        </is>
      </c>
      <c r="J515" t="n">
        <v>2</v>
      </c>
      <c r="K515" s="9" t="n">
        <v>480</v>
      </c>
      <c r="L515" t="inlineStr">
        <is>
          <t>PAID</t>
        </is>
      </c>
      <c r="M515">
        <f>IF(L515="VOIDED",0,1)</f>
        <v>1</v>
      </c>
      <c r="N515" t="n">
        <v>260</v>
      </c>
      <c r="O515" t="inlineStr">
        <is>
          <t>GST on Income</t>
        </is>
      </c>
      <c r="P515" t="inlineStr">
        <is>
          <t>R09</t>
        </is>
      </c>
      <c r="Q515" t="inlineStr">
        <is>
          <t>MS</t>
        </is>
      </c>
      <c r="R515">
        <f>IF(OR(Q515="CONTEXT",Q515="REVIEW"),"",INDEX('Category Rules'!$D$5:$D$17,MATCH(P515,'Category Rules'!$A$5:$A$17,0)))</f>
        <v>4020</v>
      </c>
      <c r="S515" t="str">
        <f>IF(Q515="CONTEXT","Make-safe",IF(Q515="REVIEW","",INDEX('Category Rules'!$E$5:$E$17,MATCH(P515,'Category Rules'!$A$5:$A$17,0))))</f>
        <v>Make-safe</v>
      </c>
      <c r="T515" t="str">
        <f>IF(Q515="DEP","BAS Excluded","GST on Income")</f>
        <v>GST on Income</v>
      </c>
      <c r="U515">
        <f>IF(O515=T515,1,0)</f>
        <v>1</v>
      </c>
      <c r="V515" s="9">
        <f>IF(OR(M515=0,U515=1),0,IF(T515="GST on Income",ROUND(K515*0.1,2),ROUND(-K515*0.1,2)))</f>
        <v>0</v>
      </c>
    </row>
    <row r="516">
      <c r="A516" t="inlineStr">
        <is>
          <t>INV-4108-1</t>
        </is>
      </c>
      <c r="B516" t="inlineStr">
        <is>
          <t>INV-4108</t>
        </is>
      </c>
      <c r="C516" s="11" t="n">
        <v>45924</v>
      </c>
      <c r="D516" t="inlineStr">
        <is>
          <t>2025-09</t>
        </is>
      </c>
      <c r="E516" t="inlineStr">
        <is>
          <t>C0120</t>
        </is>
      </c>
      <c r="F516" t="inlineStr">
        <is>
          <t>C0120</t>
        </is>
      </c>
      <c r="G516" t="inlineStr">
        <is>
          <t>Northgate Building Group</t>
        </is>
      </c>
      <c r="H516" t="inlineStr">
        <is>
          <t>S0001</t>
        </is>
      </c>
      <c r="I516" t="inlineStr">
        <is>
          <t>Delivery and installation - temporary fencing</t>
        </is>
      </c>
      <c r="J516" t="n">
        <v>1</v>
      </c>
      <c r="K516" s="9" t="n">
        <v>165</v>
      </c>
      <c r="L516" t="inlineStr">
        <is>
          <t>PAID</t>
        </is>
      </c>
      <c r="M516">
        <f>IF(L516="VOIDED",0,1)</f>
        <v>1</v>
      </c>
      <c r="N516" t="n">
        <v>200</v>
      </c>
      <c r="O516" t="inlineStr">
        <is>
          <t>GST on Income</t>
        </is>
      </c>
      <c r="P516" t="inlineStr">
        <is>
          <t>R07</t>
        </is>
      </c>
      <c r="Q516" t="inlineStr">
        <is>
          <t>DEL-FP</t>
        </is>
      </c>
      <c r="R516">
        <f>IF(OR(Q516="CONTEXT",Q516="REVIEW"),"",INDEX('Category Rules'!$D$5:$D$17,MATCH(P516,'Category Rules'!$A$5:$A$17,0)))</f>
        <v>4020</v>
      </c>
      <c r="S516" t="str">
        <f>IF(Q516="CONTEXT","Fencing",IF(Q516="REVIEW","",INDEX('Category Rules'!$E$5:$E$17,MATCH(P516,'Category Rules'!$A$5:$A$17,0))))</f>
        <v>Fencing</v>
      </c>
      <c r="T516" t="str">
        <f>IF(Q516="DEP","BAS Excluded","GST on Income")</f>
        <v>GST on Income</v>
      </c>
      <c r="U516">
        <f>IF(O516=T516,1,0)</f>
        <v>1</v>
      </c>
      <c r="V516" s="9">
        <f>IF(OR(M516=0,U516=1),0,IF(T516="GST on Income",ROUND(K516*0.1,2),ROUND(-K516*0.1,2)))</f>
        <v>0</v>
      </c>
    </row>
    <row r="517">
      <c r="A517" t="inlineStr">
        <is>
          <t>INV-4108-2</t>
        </is>
      </c>
      <c r="B517" t="inlineStr">
        <is>
          <t>INV-4108</t>
        </is>
      </c>
      <c r="C517" s="11" t="n">
        <v>45924</v>
      </c>
      <c r="D517" t="inlineStr">
        <is>
          <t>2025-09</t>
        </is>
      </c>
      <c r="E517" t="inlineStr">
        <is>
          <t>C0120</t>
        </is>
      </c>
      <c r="F517" t="inlineStr">
        <is>
          <t>C0120</t>
        </is>
      </c>
      <c r="G517" t="inlineStr">
        <is>
          <t>Northgate Building Group</t>
        </is>
      </c>
      <c r="H517" t="inlineStr">
        <is>
          <t>S0001</t>
        </is>
      </c>
      <c r="I517" t="inlineStr">
        <is>
          <t>Installation labour - 64 panels @ 2.20</t>
        </is>
      </c>
      <c r="J517" t="n">
        <v>64</v>
      </c>
      <c r="K517" s="9" t="n">
        <v>140.8</v>
      </c>
      <c r="L517" t="inlineStr">
        <is>
          <t>PAID</t>
        </is>
      </c>
      <c r="M517">
        <f>IF(L517="VOIDED",0,1)</f>
        <v>1</v>
      </c>
      <c r="N517" t="n">
        <v>200</v>
      </c>
      <c r="O517" t="inlineStr">
        <is>
          <t>GST on Income</t>
        </is>
      </c>
      <c r="P517" t="inlineStr">
        <is>
          <t>R07</t>
        </is>
      </c>
      <c r="Q517" t="inlineStr">
        <is>
          <t>DEL-FP</t>
        </is>
      </c>
      <c r="R517">
        <f>IF(OR(Q517="CONTEXT",Q517="REVIEW"),"",INDEX('Category Rules'!$D$5:$D$17,MATCH(P517,'Category Rules'!$A$5:$A$17,0)))</f>
        <v>4020</v>
      </c>
      <c r="S517" t="str">
        <f>IF(Q517="CONTEXT","Fencing",IF(Q517="REVIEW","",INDEX('Category Rules'!$E$5:$E$17,MATCH(P517,'Category Rules'!$A$5:$A$17,0))))</f>
        <v>Fencing</v>
      </c>
      <c r="T517" t="str">
        <f>IF(Q517="DEP","BAS Excluded","GST on Income")</f>
        <v>GST on Income</v>
      </c>
      <c r="U517">
        <f>IF(O517=T517,1,0)</f>
        <v>1</v>
      </c>
      <c r="V517" s="9">
        <f>IF(OR(M517=0,U517=1),0,IF(T517="GST on Income",ROUND(K517*0.1,2),ROUND(-K517*0.1,2)))</f>
        <v>0</v>
      </c>
    </row>
    <row r="518">
      <c r="A518" t="inlineStr">
        <is>
          <t>INV-4163-1</t>
        </is>
      </c>
      <c r="B518" t="inlineStr">
        <is>
          <t>INV-4163</t>
        </is>
      </c>
      <c r="C518" s="11" t="n">
        <v>45924</v>
      </c>
      <c r="D518" t="inlineStr">
        <is>
          <t>2025-09</t>
        </is>
      </c>
      <c r="E518" t="inlineStr">
        <is>
          <t>C0015</t>
        </is>
      </c>
      <c r="F518" t="inlineStr">
        <is>
          <t>C0015</t>
        </is>
      </c>
      <c r="G518" t="inlineStr">
        <is>
          <t>Bluegum Building Group</t>
        </is>
      </c>
      <c r="H518" t="inlineStr">
        <is>
          <t>S0011</t>
        </is>
      </c>
      <c r="I518" t="inlineStr">
        <is>
          <t>Delivery and installation - temporary fencing</t>
        </is>
      </c>
      <c r="J518" t="n">
        <v>1</v>
      </c>
      <c r="K518" s="9" t="n">
        <v>165</v>
      </c>
      <c r="L518" t="inlineStr">
        <is>
          <t>PAID</t>
        </is>
      </c>
      <c r="M518">
        <f>IF(L518="VOIDED",0,1)</f>
        <v>1</v>
      </c>
      <c r="N518" t="n">
        <v>200</v>
      </c>
      <c r="O518" t="inlineStr">
        <is>
          <t>GST on Income</t>
        </is>
      </c>
      <c r="P518" t="inlineStr">
        <is>
          <t>R07</t>
        </is>
      </c>
      <c r="Q518" t="inlineStr">
        <is>
          <t>DEL-FP</t>
        </is>
      </c>
      <c r="R518">
        <f>IF(OR(Q518="CONTEXT",Q518="REVIEW"),"",INDEX('Category Rules'!$D$5:$D$17,MATCH(P518,'Category Rules'!$A$5:$A$17,0)))</f>
        <v>4020</v>
      </c>
      <c r="S518" t="str">
        <f>IF(Q518="CONTEXT","Fencing",IF(Q518="REVIEW","",INDEX('Category Rules'!$E$5:$E$17,MATCH(P518,'Category Rules'!$A$5:$A$17,0))))</f>
        <v>Fencing</v>
      </c>
      <c r="T518" t="str">
        <f>IF(Q518="DEP","BAS Excluded","GST on Income")</f>
        <v>GST on Income</v>
      </c>
      <c r="U518">
        <f>IF(O518=T518,1,0)</f>
        <v>1</v>
      </c>
      <c r="V518" s="9">
        <f>IF(OR(M518=0,U518=1),0,IF(T518="GST on Income",ROUND(K518*0.1,2),ROUND(-K518*0.1,2)))</f>
        <v>0</v>
      </c>
    </row>
    <row r="519">
      <c r="A519" t="inlineStr">
        <is>
          <t>INV-4163-2</t>
        </is>
      </c>
      <c r="B519" t="inlineStr">
        <is>
          <t>INV-4163</t>
        </is>
      </c>
      <c r="C519" s="11" t="n">
        <v>45924</v>
      </c>
      <c r="D519" t="inlineStr">
        <is>
          <t>2025-09</t>
        </is>
      </c>
      <c r="E519" t="inlineStr">
        <is>
          <t>C0015</t>
        </is>
      </c>
      <c r="F519" t="inlineStr">
        <is>
          <t>C0015</t>
        </is>
      </c>
      <c r="G519" t="inlineStr">
        <is>
          <t>Bluegum Building Group</t>
        </is>
      </c>
      <c r="H519" t="inlineStr">
        <is>
          <t>S0011</t>
        </is>
      </c>
      <c r="I519" t="inlineStr">
        <is>
          <t>Installation labour - 96 panels @ 2.20</t>
        </is>
      </c>
      <c r="J519" t="n">
        <v>96</v>
      </c>
      <c r="K519" s="9" t="n">
        <v>211.2</v>
      </c>
      <c r="L519" t="inlineStr">
        <is>
          <t>PAID</t>
        </is>
      </c>
      <c r="M519">
        <f>IF(L519="VOIDED",0,1)</f>
        <v>1</v>
      </c>
      <c r="N519" t="n">
        <v>260</v>
      </c>
      <c r="O519" t="inlineStr">
        <is>
          <t>GST on Income</t>
        </is>
      </c>
      <c r="P519" t="inlineStr">
        <is>
          <t>R07</t>
        </is>
      </c>
      <c r="Q519" t="inlineStr">
        <is>
          <t>DEL-FP</t>
        </is>
      </c>
      <c r="R519">
        <f>IF(OR(Q519="CONTEXT",Q519="REVIEW"),"",INDEX('Category Rules'!$D$5:$D$17,MATCH(P519,'Category Rules'!$A$5:$A$17,0)))</f>
        <v>4020</v>
      </c>
      <c r="S519" t="str">
        <f>IF(Q519="CONTEXT","Fencing",IF(Q519="REVIEW","",INDEX('Category Rules'!$E$5:$E$17,MATCH(P519,'Category Rules'!$A$5:$A$17,0))))</f>
        <v>Fencing</v>
      </c>
      <c r="T519" t="str">
        <f>IF(Q519="DEP","BAS Excluded","GST on Income")</f>
        <v>GST on Income</v>
      </c>
      <c r="U519">
        <f>IF(O519=T519,1,0)</f>
        <v>1</v>
      </c>
      <c r="V519" s="9">
        <f>IF(OR(M519=0,U519=1),0,IF(T519="GST on Income",ROUND(K519*0.1,2),ROUND(-K519*0.1,2)))</f>
        <v>0</v>
      </c>
    </row>
    <row r="520">
      <c r="A520" t="inlineStr">
        <is>
          <t>INV-4163-3</t>
        </is>
      </c>
      <c r="B520" t="inlineStr">
        <is>
          <t>INV-4163</t>
        </is>
      </c>
      <c r="C520" s="11" t="n">
        <v>45924</v>
      </c>
      <c r="D520" t="inlineStr">
        <is>
          <t>2025-09</t>
        </is>
      </c>
      <c r="E520" t="inlineStr">
        <is>
          <t>C0015</t>
        </is>
      </c>
      <c r="F520" t="inlineStr">
        <is>
          <t>C0015</t>
        </is>
      </c>
      <c r="G520" t="inlineStr">
        <is>
          <t>Bluegum Building Group</t>
        </is>
      </c>
      <c r="H520" t="inlineStr">
        <is>
          <t>S0011</t>
        </is>
      </c>
      <c r="I520" t="inlineStr">
        <is>
          <t>Security deposit - fence panels (refundable)</t>
        </is>
      </c>
      <c r="J520" t="n">
        <v>1</v>
      </c>
      <c r="K520" s="9" t="n">
        <v>770</v>
      </c>
      <c r="L520" t="inlineStr">
        <is>
          <t>PAID</t>
        </is>
      </c>
      <c r="M520">
        <f>IF(L520="VOIDED",0,1)</f>
        <v>1</v>
      </c>
      <c r="N520" t="n">
        <v>260</v>
      </c>
      <c r="O520" t="inlineStr">
        <is>
          <t>BAS Excluded</t>
        </is>
      </c>
      <c r="P520" t="inlineStr">
        <is>
          <t>R01</t>
        </is>
      </c>
      <c r="Q520" t="inlineStr">
        <is>
          <t>DEP</t>
        </is>
      </c>
      <c r="R520">
        <f>IF(OR(Q520="CONTEXT",Q520="REVIEW"),"",INDEX('Category Rules'!$D$5:$D$17,MATCH(P520,'Category Rules'!$A$5:$A$17,0)))</f>
        <v>835</v>
      </c>
      <c r="S520" t="str">
        <f>IF(Q520="CONTEXT","Fencing",IF(Q520="REVIEW","",INDEX('Category Rules'!$E$5:$E$17,MATCH(P520,'Category Rules'!$A$5:$A$17,0))))</f>
        <v>Fencing</v>
      </c>
      <c r="T520" t="str">
        <f>IF(Q520="DEP","BAS Excluded","GST on Income")</f>
        <v>BAS Excluded</v>
      </c>
      <c r="U520">
        <f>IF(O520=T520,1,0)</f>
        <v>1</v>
      </c>
      <c r="V520" s="9">
        <f>IF(OR(M520=0,U520=1),0,IF(T520="GST on Income",ROUND(K520*0.1,2),ROUND(-K520*0.1,2)))</f>
        <v>0</v>
      </c>
    </row>
    <row r="521">
      <c r="A521" t="inlineStr">
        <is>
          <t>INV-5597-1</t>
        </is>
      </c>
      <c r="B521" t="inlineStr">
        <is>
          <t>INV-5597</t>
        </is>
      </c>
      <c r="C521" s="11" t="n">
        <v>45924</v>
      </c>
      <c r="D521" t="inlineStr">
        <is>
          <t>2025-09</t>
        </is>
      </c>
      <c r="E521" t="inlineStr">
        <is>
          <t>C0063</t>
        </is>
      </c>
      <c r="F521" t="inlineStr">
        <is>
          <t>C0063</t>
        </is>
      </c>
      <c r="G521" t="inlineStr">
        <is>
          <t>Highpoint Insurance Repairs Pty Ltd</t>
        </is>
      </c>
      <c r="H521" t="inlineStr">
        <is>
          <t>S0379</t>
        </is>
      </c>
      <c r="I521" t="inlineStr">
        <is>
          <t>Roof repair labour - 3 hrs</t>
        </is>
      </c>
      <c r="J521" t="n">
        <v>3</v>
      </c>
      <c r="K521" s="9" t="n">
        <v>294</v>
      </c>
      <c r="L521" t="inlineStr">
        <is>
          <t>PAID</t>
        </is>
      </c>
      <c r="M521">
        <f>IF(L521="VOIDED",0,1)</f>
        <v>1</v>
      </c>
      <c r="N521" t="n">
        <v>200</v>
      </c>
      <c r="O521" t="inlineStr">
        <is>
          <t>GST on Income</t>
        </is>
      </c>
      <c r="P521" t="inlineStr">
        <is>
          <t>R10</t>
        </is>
      </c>
      <c r="Q521" t="inlineStr">
        <is>
          <t>LAB-RF</t>
        </is>
      </c>
      <c r="R521">
        <f>IF(OR(Q521="CONTEXT",Q521="REVIEW"),"",INDEX('Category Rules'!$D$5:$D$17,MATCH(P521,'Category Rules'!$A$5:$A$17,0)))</f>
        <v>4020</v>
      </c>
      <c r="S521" t="str">
        <f>IF(Q521="CONTEXT","Roofing",IF(Q521="REVIEW","",INDEX('Category Rules'!$E$5:$E$17,MATCH(P521,'Category Rules'!$A$5:$A$17,0))))</f>
        <v>Roofing</v>
      </c>
      <c r="T521" t="str">
        <f>IF(Q521="DEP","BAS Excluded","GST on Income")</f>
        <v>GST on Income</v>
      </c>
      <c r="U521">
        <f>IF(O521=T521,1,0)</f>
        <v>1</v>
      </c>
      <c r="V521" s="9">
        <f>IF(OR(M521=0,U521=1),0,IF(T521="GST on Income",ROUND(K521*0.1,2),ROUND(-K521*0.1,2)))</f>
        <v>0</v>
      </c>
    </row>
    <row r="522">
      <c r="A522" t="inlineStr">
        <is>
          <t>INV-5597-2</t>
        </is>
      </c>
      <c r="B522" t="inlineStr">
        <is>
          <t>INV-5597</t>
        </is>
      </c>
      <c r="C522" s="11" t="n">
        <v>45924</v>
      </c>
      <c r="D522" t="inlineStr">
        <is>
          <t>2025-09</t>
        </is>
      </c>
      <c r="E522" t="inlineStr">
        <is>
          <t>C0063</t>
        </is>
      </c>
      <c r="F522" t="inlineStr">
        <is>
          <t>C0063</t>
        </is>
      </c>
      <c r="G522" t="inlineStr">
        <is>
          <t>Highpoint Insurance Repairs Pty Ltd</t>
        </is>
      </c>
      <c r="H522" t="inlineStr">
        <is>
          <t>S0379</t>
        </is>
      </c>
      <c r="I522" t="inlineStr">
        <is>
          <t>Materials - Colorbond sheet</t>
        </is>
      </c>
      <c r="J522" t="n">
        <v>1</v>
      </c>
      <c r="K522" s="9" t="n">
        <v>213.48</v>
      </c>
      <c r="L522" t="inlineStr">
        <is>
          <t>PAID</t>
        </is>
      </c>
      <c r="M522">
        <f>IF(L522="VOIDED",0,1)</f>
        <v>1</v>
      </c>
      <c r="N522" t="n">
        <v>200</v>
      </c>
      <c r="O522" t="inlineStr">
        <is>
          <t>GST on Income</t>
        </is>
      </c>
      <c r="P522" t="inlineStr">
        <is>
          <t>R11</t>
        </is>
      </c>
      <c r="Q522" t="inlineStr">
        <is>
          <t>MAT-RF</t>
        </is>
      </c>
      <c r="R522">
        <f>IF(OR(Q522="CONTEXT",Q522="REVIEW"),"",INDEX('Category Rules'!$D$5:$D$17,MATCH(P522,'Category Rules'!$A$5:$A$17,0)))</f>
        <v>4030</v>
      </c>
      <c r="S522" t="str">
        <f>IF(Q522="CONTEXT","Roofing",IF(Q522="REVIEW","",INDEX('Category Rules'!$E$5:$E$17,MATCH(P522,'Category Rules'!$A$5:$A$17,0))))</f>
        <v>Roofing</v>
      </c>
      <c r="T522" t="str">
        <f>IF(Q522="DEP","BAS Excluded","GST on Income")</f>
        <v>GST on Income</v>
      </c>
      <c r="U522">
        <f>IF(O522=T522,1,0)</f>
        <v>1</v>
      </c>
      <c r="V522" s="9">
        <f>IF(OR(M522=0,U522=1),0,IF(T522="GST on Income",ROUND(K522*0.1,2),ROUND(-K522*0.1,2)))</f>
        <v>0</v>
      </c>
    </row>
    <row r="523">
      <c r="A523" t="inlineStr">
        <is>
          <t>INV-5597-3</t>
        </is>
      </c>
      <c r="B523" t="inlineStr">
        <is>
          <t>INV-5597</t>
        </is>
      </c>
      <c r="C523" s="11" t="n">
        <v>45924</v>
      </c>
      <c r="D523" t="inlineStr">
        <is>
          <t>2025-09</t>
        </is>
      </c>
      <c r="E523" t="inlineStr">
        <is>
          <t>C0063</t>
        </is>
      </c>
      <c r="F523" t="inlineStr">
        <is>
          <t>C0063</t>
        </is>
      </c>
      <c r="G523" t="inlineStr">
        <is>
          <t>Highpoint Insurance Repairs Pty Ltd</t>
        </is>
      </c>
      <c r="H523" t="inlineStr">
        <is>
          <t>S0379</t>
        </is>
      </c>
      <c r="I523" t="inlineStr">
        <is>
          <t>Materials - flashing</t>
        </is>
      </c>
      <c r="J523" t="n">
        <v>1</v>
      </c>
      <c r="K523" s="9" t="n">
        <v>118.46</v>
      </c>
      <c r="L523" t="inlineStr">
        <is>
          <t>PAID</t>
        </is>
      </c>
      <c r="M523">
        <f>IF(L523="VOIDED",0,1)</f>
        <v>1</v>
      </c>
      <c r="N523" t="n">
        <v>200</v>
      </c>
      <c r="O523" t="inlineStr">
        <is>
          <t>GST on Income</t>
        </is>
      </c>
      <c r="P523" t="inlineStr">
        <is>
          <t>R11</t>
        </is>
      </c>
      <c r="Q523" t="inlineStr">
        <is>
          <t>MAT-RF</t>
        </is>
      </c>
      <c r="R523">
        <f>IF(OR(Q523="CONTEXT",Q523="REVIEW"),"",INDEX('Category Rules'!$D$5:$D$17,MATCH(P523,'Category Rules'!$A$5:$A$17,0)))</f>
        <v>4030</v>
      </c>
      <c r="S523" t="str">
        <f>IF(Q523="CONTEXT","Roofing",IF(Q523="REVIEW","",INDEX('Category Rules'!$E$5:$E$17,MATCH(P523,'Category Rules'!$A$5:$A$17,0))))</f>
        <v>Roofing</v>
      </c>
      <c r="T523" t="str">
        <f>IF(Q523="DEP","BAS Excluded","GST on Income")</f>
        <v>GST on Income</v>
      </c>
      <c r="U523">
        <f>IF(O523=T523,1,0)</f>
        <v>1</v>
      </c>
      <c r="V523" s="9">
        <f>IF(OR(M523=0,U523=1),0,IF(T523="GST on Income",ROUND(K523*0.1,2),ROUND(-K523*0.1,2)))</f>
        <v>0</v>
      </c>
    </row>
    <row r="524">
      <c r="A524" t="inlineStr">
        <is>
          <t>INV-5597-4</t>
        </is>
      </c>
      <c r="B524" t="inlineStr">
        <is>
          <t>INV-5597</t>
        </is>
      </c>
      <c r="C524" s="11" t="n">
        <v>45924</v>
      </c>
      <c r="D524" t="inlineStr">
        <is>
          <t>2025-09</t>
        </is>
      </c>
      <c r="E524" t="inlineStr">
        <is>
          <t>C0063</t>
        </is>
      </c>
      <c r="F524" t="inlineStr">
        <is>
          <t>C0063</t>
        </is>
      </c>
      <c r="G524" t="inlineStr">
        <is>
          <t>Highpoint Insurance Repairs Pty Ltd</t>
        </is>
      </c>
      <c r="H524" t="inlineStr">
        <is>
          <t>S0379</t>
        </is>
      </c>
      <c r="I524" t="inlineStr">
        <is>
          <t>Materials - gutter and downpipe</t>
        </is>
      </c>
      <c r="J524" t="n">
        <v>1</v>
      </c>
      <c r="K524" s="9" t="n">
        <v>1034.92</v>
      </c>
      <c r="L524" t="inlineStr">
        <is>
          <t>PAID</t>
        </is>
      </c>
      <c r="M524">
        <f>IF(L524="VOIDED",0,1)</f>
        <v>1</v>
      </c>
      <c r="N524" t="n">
        <v>200</v>
      </c>
      <c r="O524" t="inlineStr">
        <is>
          <t>GST on Income</t>
        </is>
      </c>
      <c r="P524" t="inlineStr">
        <is>
          <t>R11</t>
        </is>
      </c>
      <c r="Q524" t="inlineStr">
        <is>
          <t>MAT-RF</t>
        </is>
      </c>
      <c r="R524">
        <f>IF(OR(Q524="CONTEXT",Q524="REVIEW"),"",INDEX('Category Rules'!$D$5:$D$17,MATCH(P524,'Category Rules'!$A$5:$A$17,0)))</f>
        <v>4030</v>
      </c>
      <c r="S524" t="str">
        <f>IF(Q524="CONTEXT","Roofing",IF(Q524="REVIEW","",INDEX('Category Rules'!$E$5:$E$17,MATCH(P524,'Category Rules'!$A$5:$A$17,0))))</f>
        <v>Roofing</v>
      </c>
      <c r="T524" t="str">
        <f>IF(Q524="DEP","BAS Excluded","GST on Income")</f>
        <v>GST on Income</v>
      </c>
      <c r="U524">
        <f>IF(O524=T524,1,0)</f>
        <v>1</v>
      </c>
      <c r="V524" s="9">
        <f>IF(OR(M524=0,U524=1),0,IF(T524="GST on Income",ROUND(K524*0.1,2),ROUND(-K524*0.1,2)))</f>
        <v>0</v>
      </c>
    </row>
    <row r="525">
      <c r="A525" t="inlineStr">
        <is>
          <t>INV-5597-5</t>
        </is>
      </c>
      <c r="B525" t="inlineStr">
        <is>
          <t>INV-5597</t>
        </is>
      </c>
      <c r="C525" s="11" t="n">
        <v>45924</v>
      </c>
      <c r="D525" t="inlineStr">
        <is>
          <t>2025-09</t>
        </is>
      </c>
      <c r="E525" t="inlineStr">
        <is>
          <t>C0063</t>
        </is>
      </c>
      <c r="F525" t="inlineStr">
        <is>
          <t>C0063</t>
        </is>
      </c>
      <c r="G525" t="inlineStr">
        <is>
          <t>Highpoint Insurance Repairs Pty Ltd</t>
        </is>
      </c>
      <c r="H525" t="inlineStr">
        <is>
          <t>S0379</t>
        </is>
      </c>
      <c r="I525" t="inlineStr">
        <is>
          <t>Waste removal and tip fees</t>
        </is>
      </c>
      <c r="J525" t="n">
        <v>1</v>
      </c>
      <c r="K525" s="9" t="n">
        <v>120</v>
      </c>
      <c r="L525" t="inlineStr">
        <is>
          <t>PAID</t>
        </is>
      </c>
      <c r="M525">
        <f>IF(L525="VOIDED",0,1)</f>
        <v>1</v>
      </c>
      <c r="N525" t="n">
        <v>200</v>
      </c>
      <c r="O525" t="inlineStr">
        <is>
          <t>GST on Income</t>
        </is>
      </c>
      <c r="P525" t="inlineStr">
        <is>
          <t>R11</t>
        </is>
      </c>
      <c r="Q525" t="inlineStr">
        <is>
          <t>MAT-RF</t>
        </is>
      </c>
      <c r="R525">
        <f>IF(OR(Q525="CONTEXT",Q525="REVIEW"),"",INDEX('Category Rules'!$D$5:$D$17,MATCH(P525,'Category Rules'!$A$5:$A$17,0)))</f>
        <v>4030</v>
      </c>
      <c r="S525" t="str">
        <f>IF(Q525="CONTEXT","Roofing",IF(Q525="REVIEW","",INDEX('Category Rules'!$E$5:$E$17,MATCH(P525,'Category Rules'!$A$5:$A$17,0))))</f>
        <v>Roofing</v>
      </c>
      <c r="T525" t="str">
        <f>IF(Q525="DEP","BAS Excluded","GST on Income")</f>
        <v>GST on Income</v>
      </c>
      <c r="U525">
        <f>IF(O525=T525,1,0)</f>
        <v>1</v>
      </c>
      <c r="V525" s="9">
        <f>IF(OR(M525=0,U525=1),0,IF(T525="GST on Income",ROUND(K525*0.1,2),ROUND(-K525*0.1,2)))</f>
        <v>0</v>
      </c>
    </row>
    <row r="526">
      <c r="A526" t="inlineStr">
        <is>
          <t>INV-4219-1</t>
        </is>
      </c>
      <c r="B526" t="inlineStr">
        <is>
          <t>INV-4219</t>
        </is>
      </c>
      <c r="C526" s="11" t="n">
        <v>45925</v>
      </c>
      <c r="D526" t="inlineStr">
        <is>
          <t>2025-09</t>
        </is>
      </c>
      <c r="E526" t="inlineStr">
        <is>
          <t>C0045</t>
        </is>
      </c>
      <c r="F526" t="inlineStr">
        <is>
          <t>C0045</t>
        </is>
      </c>
      <c r="G526" t="inlineStr">
        <is>
          <t>Westside Owners Corporation Services Pty Ltd</t>
        </is>
      </c>
      <c r="H526" t="inlineStr">
        <is>
          <t>S0022</t>
        </is>
      </c>
      <c r="I526" t="inlineStr">
        <is>
          <t>Temporary fence hire 4 wks (28/08/25-24/09/25) - 135 panels</t>
        </is>
      </c>
      <c r="J526" t="n">
        <v>540</v>
      </c>
      <c r="K526" s="9" t="n">
        <v>2430</v>
      </c>
      <c r="L526" t="inlineStr">
        <is>
          <t>PAID</t>
        </is>
      </c>
      <c r="M526">
        <f>IF(L526="VOIDED",0,1)</f>
        <v>1</v>
      </c>
      <c r="N526" t="n">
        <v>200</v>
      </c>
      <c r="O526" t="inlineStr">
        <is>
          <t>GST on Income</t>
        </is>
      </c>
      <c r="P526" t="inlineStr">
        <is>
          <t>R03</t>
        </is>
      </c>
      <c r="Q526" t="inlineStr">
        <is>
          <t>HIRE-FP</t>
        </is>
      </c>
      <c r="R526">
        <f>IF(OR(Q526="CONTEXT",Q526="REVIEW"),"",INDEX('Category Rules'!$D$5:$D$17,MATCH(P526,'Category Rules'!$A$5:$A$17,0)))</f>
        <v>4010</v>
      </c>
      <c r="S526" t="str">
        <f>IF(Q526="CONTEXT","Fencing",IF(Q526="REVIEW","",INDEX('Category Rules'!$E$5:$E$17,MATCH(P526,'Category Rules'!$A$5:$A$17,0))))</f>
        <v>Fencing</v>
      </c>
      <c r="T526" t="str">
        <f>IF(Q526="DEP","BAS Excluded","GST on Income")</f>
        <v>GST on Income</v>
      </c>
      <c r="U526">
        <f>IF(O526=T526,1,0)</f>
        <v>1</v>
      </c>
      <c r="V526" s="9">
        <f>IF(OR(M526=0,U526=1),0,IF(T526="GST on Income",ROUND(K526*0.1,2),ROUND(-K526*0.1,2)))</f>
        <v>0</v>
      </c>
    </row>
    <row r="527">
      <c r="A527" t="inlineStr">
        <is>
          <t>INV-4221-1</t>
        </is>
      </c>
      <c r="B527" t="inlineStr">
        <is>
          <t>INV-4221</t>
        </is>
      </c>
      <c r="C527" s="11" t="n">
        <v>45925</v>
      </c>
      <c r="D527" t="inlineStr">
        <is>
          <t>2025-09</t>
        </is>
      </c>
      <c r="E527" t="inlineStr">
        <is>
          <t>C0045</t>
        </is>
      </c>
      <c r="F527" t="inlineStr">
        <is>
          <t>C0045</t>
        </is>
      </c>
      <c r="G527" t="inlineStr">
        <is>
          <t>Westside Owners Corporation Services Pty Ltd</t>
        </is>
      </c>
      <c r="H527" t="inlineStr">
        <is>
          <t>S0022</t>
        </is>
      </c>
      <c r="I527" t="inlineStr">
        <is>
          <t>Pedestrian barrier hire 4 wks (28/08/25-24/09/25) - 15 barriers</t>
        </is>
      </c>
      <c r="J527" t="n">
        <v>60</v>
      </c>
      <c r="K527" s="9" t="n">
        <v>192</v>
      </c>
      <c r="L527" t="inlineStr">
        <is>
          <t>PAID</t>
        </is>
      </c>
      <c r="M527">
        <f>IF(L527="VOIDED",0,1)</f>
        <v>1</v>
      </c>
      <c r="N527" t="n">
        <v>200</v>
      </c>
      <c r="O527" t="inlineStr">
        <is>
          <t>GST on Income</t>
        </is>
      </c>
      <c r="P527" t="inlineStr">
        <is>
          <t>R04</t>
        </is>
      </c>
      <c r="Q527" t="inlineStr">
        <is>
          <t>HIRE-BR</t>
        </is>
      </c>
      <c r="R527">
        <f>IF(OR(Q527="CONTEXT",Q527="REVIEW"),"",INDEX('Category Rules'!$D$5:$D$17,MATCH(P527,'Category Rules'!$A$5:$A$17,0)))</f>
        <v>4010</v>
      </c>
      <c r="S527" t="str">
        <f>IF(Q527="CONTEXT","Fencing",IF(Q527="REVIEW","",INDEX('Category Rules'!$E$5:$E$17,MATCH(P527,'Category Rules'!$A$5:$A$17,0))))</f>
        <v>Fencing</v>
      </c>
      <c r="T527" t="str">
        <f>IF(Q527="DEP","BAS Excluded","GST on Income")</f>
        <v>GST on Income</v>
      </c>
      <c r="U527">
        <f>IF(O527=T527,1,0)</f>
        <v>1</v>
      </c>
      <c r="V527" s="9">
        <f>IF(OR(M527=0,U527=1),0,IF(T527="GST on Income",ROUND(K527*0.1,2),ROUND(-K527*0.1,2)))</f>
        <v>0</v>
      </c>
    </row>
    <row r="528">
      <c r="A528" t="inlineStr">
        <is>
          <t>INV-5648-1</t>
        </is>
      </c>
      <c r="B528" t="inlineStr">
        <is>
          <t>INV-5648</t>
        </is>
      </c>
      <c r="C528" s="11" t="n">
        <v>45925</v>
      </c>
      <c r="D528" t="inlineStr">
        <is>
          <t>2025-09</t>
        </is>
      </c>
      <c r="E528" t="inlineStr">
        <is>
          <t>C0129</t>
        </is>
      </c>
      <c r="F528" t="inlineStr">
        <is>
          <t>C0016</t>
        </is>
      </c>
      <c r="G528" t="inlineStr">
        <is>
          <t>Juniper Developments Pty Ltd</t>
        </is>
      </c>
      <c r="H528" t="inlineStr">
        <is>
          <t>S0406</t>
        </is>
      </c>
      <c r="I528" t="inlineStr">
        <is>
          <t>Make safe call-out</t>
        </is>
      </c>
      <c r="J528" t="n">
        <v>1</v>
      </c>
      <c r="K528" s="9" t="n">
        <v>385</v>
      </c>
      <c r="L528" t="inlineStr">
        <is>
          <t>PAID</t>
        </is>
      </c>
      <c r="M528">
        <f>IF(L528="VOIDED",0,1)</f>
        <v>1</v>
      </c>
      <c r="N528" t="n">
        <v>200</v>
      </c>
      <c r="O528" t="inlineStr">
        <is>
          <t>GST on Income</t>
        </is>
      </c>
      <c r="P528" t="inlineStr">
        <is>
          <t>R09</t>
        </is>
      </c>
      <c r="Q528" t="inlineStr">
        <is>
          <t>MS</t>
        </is>
      </c>
      <c r="R528">
        <f>IF(OR(Q528="CONTEXT",Q528="REVIEW"),"",INDEX('Category Rules'!$D$5:$D$17,MATCH(P528,'Category Rules'!$A$5:$A$17,0)))</f>
        <v>4020</v>
      </c>
      <c r="S528" t="str">
        <f>IF(Q528="CONTEXT","Make-safe",IF(Q528="REVIEW","",INDEX('Category Rules'!$E$5:$E$17,MATCH(P528,'Category Rules'!$A$5:$A$17,0))))</f>
        <v>Make-safe</v>
      </c>
      <c r="T528" t="str">
        <f>IF(Q528="DEP","BAS Excluded","GST on Income")</f>
        <v>GST on Income</v>
      </c>
      <c r="U528">
        <f>IF(O528=T528,1,0)</f>
        <v>1</v>
      </c>
      <c r="V528" s="9">
        <f>IF(OR(M528=0,U528=1),0,IF(T528="GST on Income",ROUND(K528*0.1,2),ROUND(-K528*0.1,2)))</f>
        <v>0</v>
      </c>
    </row>
    <row r="529">
      <c r="A529" t="inlineStr">
        <is>
          <t>INV-5648-2</t>
        </is>
      </c>
      <c r="B529" t="inlineStr">
        <is>
          <t>INV-5648</t>
        </is>
      </c>
      <c r="C529" s="11" t="n">
        <v>45925</v>
      </c>
      <c r="D529" t="inlineStr">
        <is>
          <t>2025-09</t>
        </is>
      </c>
      <c r="E529" t="inlineStr">
        <is>
          <t>C0129</t>
        </is>
      </c>
      <c r="F529" t="inlineStr">
        <is>
          <t>C0016</t>
        </is>
      </c>
      <c r="G529" t="inlineStr">
        <is>
          <t>Juniper Developments Pty Ltd</t>
        </is>
      </c>
      <c r="H529" t="inlineStr">
        <is>
          <t>S0406</t>
        </is>
      </c>
      <c r="I529" t="inlineStr">
        <is>
          <t>Tarp supply and install - 2 tarp(s)</t>
        </is>
      </c>
      <c r="J529" t="n">
        <v>2</v>
      </c>
      <c r="K529" s="9" t="n">
        <v>480</v>
      </c>
      <c r="L529" t="inlineStr">
        <is>
          <t>PAID</t>
        </is>
      </c>
      <c r="M529">
        <f>IF(L529="VOIDED",0,1)</f>
        <v>1</v>
      </c>
      <c r="N529" t="n">
        <v>200</v>
      </c>
      <c r="O529" t="inlineStr">
        <is>
          <t>GST on Income</t>
        </is>
      </c>
      <c r="P529" t="inlineStr">
        <is>
          <t>R09</t>
        </is>
      </c>
      <c r="Q529" t="inlineStr">
        <is>
          <t>MS</t>
        </is>
      </c>
      <c r="R529">
        <f>IF(OR(Q529="CONTEXT",Q529="REVIEW"),"",INDEX('Category Rules'!$D$5:$D$17,MATCH(P529,'Category Rules'!$A$5:$A$17,0)))</f>
        <v>4020</v>
      </c>
      <c r="S529" t="str">
        <f>IF(Q529="CONTEXT","Make-safe",IF(Q529="REVIEW","",INDEX('Category Rules'!$E$5:$E$17,MATCH(P529,'Category Rules'!$A$5:$A$17,0))))</f>
        <v>Make-safe</v>
      </c>
      <c r="T529" t="str">
        <f>IF(Q529="DEP","BAS Excluded","GST on Income")</f>
        <v>GST on Income</v>
      </c>
      <c r="U529">
        <f>IF(O529=T529,1,0)</f>
        <v>1</v>
      </c>
      <c r="V529" s="9">
        <f>IF(OR(M529=0,U529=1),0,IF(T529="GST on Income",ROUND(K529*0.1,2),ROUND(-K529*0.1,2)))</f>
        <v>0</v>
      </c>
    </row>
    <row r="530">
      <c r="A530" t="inlineStr">
        <is>
          <t>INV-5712-1</t>
        </is>
      </c>
      <c r="B530" t="inlineStr">
        <is>
          <t>INV-5712</t>
        </is>
      </c>
      <c r="C530" s="11" t="n">
        <v>45925</v>
      </c>
      <c r="D530" t="inlineStr">
        <is>
          <t>2025-09</t>
        </is>
      </c>
      <c r="E530" t="inlineStr">
        <is>
          <t>C0104</t>
        </is>
      </c>
      <c r="F530" t="inlineStr">
        <is>
          <t>C0104</t>
        </is>
      </c>
      <c r="G530" t="inlineStr">
        <is>
          <t>Oscar Jones</t>
        </is>
      </c>
      <c r="H530" t="inlineStr">
        <is>
          <t>S0441</t>
        </is>
      </c>
      <c r="I530" t="inlineStr">
        <is>
          <t>Tarp kit hire 3 wks (10/09/25-24/09/25) - 2 kits</t>
        </is>
      </c>
      <c r="J530" t="n">
        <v>6</v>
      </c>
      <c r="K530" s="9" t="n">
        <v>210</v>
      </c>
      <c r="L530" t="inlineStr">
        <is>
          <t>PAID</t>
        </is>
      </c>
      <c r="M530">
        <f>IF(L530="VOIDED",0,1)</f>
        <v>1</v>
      </c>
      <c r="N530" t="n">
        <v>200</v>
      </c>
      <c r="O530" t="inlineStr">
        <is>
          <t>GST on Income</t>
        </is>
      </c>
      <c r="P530" t="inlineStr">
        <is>
          <t>R06</t>
        </is>
      </c>
      <c r="Q530" t="inlineStr">
        <is>
          <t>HIRE-TK</t>
        </is>
      </c>
      <c r="R530">
        <f>IF(OR(Q530="CONTEXT",Q530="REVIEW"),"",INDEX('Category Rules'!$D$5:$D$17,MATCH(P530,'Category Rules'!$A$5:$A$17,0)))</f>
        <v>4010</v>
      </c>
      <c r="S530" t="str">
        <f>IF(Q530="CONTEXT","Make-safe",IF(Q530="REVIEW","",INDEX('Category Rules'!$E$5:$E$17,MATCH(P530,'Category Rules'!$A$5:$A$17,0))))</f>
        <v>Make-safe</v>
      </c>
      <c r="T530" t="str">
        <f>IF(Q530="DEP","BAS Excluded","GST on Income")</f>
        <v>GST on Income</v>
      </c>
      <c r="U530">
        <f>IF(O530=T530,1,0)</f>
        <v>1</v>
      </c>
      <c r="V530" s="9">
        <f>IF(OR(M530=0,U530=1),0,IF(T530="GST on Income",ROUND(K530*0.1,2),ROUND(-K530*0.1,2)))</f>
        <v>0</v>
      </c>
    </row>
    <row r="531">
      <c r="A531" t="inlineStr">
        <is>
          <t>INV-5764-1</t>
        </is>
      </c>
      <c r="B531" t="inlineStr">
        <is>
          <t>INV-5764</t>
        </is>
      </c>
      <c r="C531" s="11" t="n">
        <v>45925</v>
      </c>
      <c r="D531" t="inlineStr">
        <is>
          <t>2025-09</t>
        </is>
      </c>
      <c r="E531" t="inlineStr">
        <is>
          <t>C0044</t>
        </is>
      </c>
      <c r="F531" t="inlineStr">
        <is>
          <t>C0044</t>
        </is>
      </c>
      <c r="G531" t="inlineStr">
        <is>
          <t>Granite Constructions</t>
        </is>
      </c>
      <c r="H531" t="inlineStr">
        <is>
          <t>S0469</t>
        </is>
      </c>
      <c r="I531" t="inlineStr">
        <is>
          <t>Make safe call-out</t>
        </is>
      </c>
      <c r="J531" t="n">
        <v>1</v>
      </c>
      <c r="K531" s="9" t="n">
        <v>385</v>
      </c>
      <c r="L531" t="inlineStr">
        <is>
          <t>PAID</t>
        </is>
      </c>
      <c r="M531">
        <f>IF(L531="VOIDED",0,1)</f>
        <v>1</v>
      </c>
      <c r="N531" t="n">
        <v>200</v>
      </c>
      <c r="O531" t="inlineStr">
        <is>
          <t>GST on Income</t>
        </is>
      </c>
      <c r="P531" t="inlineStr">
        <is>
          <t>R09</t>
        </is>
      </c>
      <c r="Q531" t="inlineStr">
        <is>
          <t>MS</t>
        </is>
      </c>
      <c r="R531">
        <f>IF(OR(Q531="CONTEXT",Q531="REVIEW"),"",INDEX('Category Rules'!$D$5:$D$17,MATCH(P531,'Category Rules'!$A$5:$A$17,0)))</f>
        <v>4020</v>
      </c>
      <c r="S531" t="str">
        <f>IF(Q531="CONTEXT","Make-safe",IF(Q531="REVIEW","",INDEX('Category Rules'!$E$5:$E$17,MATCH(P531,'Category Rules'!$A$5:$A$17,0))))</f>
        <v>Make-safe</v>
      </c>
      <c r="T531" t="str">
        <f>IF(Q531="DEP","BAS Excluded","GST on Income")</f>
        <v>GST on Income</v>
      </c>
      <c r="U531">
        <f>IF(O531=T531,1,0)</f>
        <v>1</v>
      </c>
      <c r="V531" s="9">
        <f>IF(OR(M531=0,U531=1),0,IF(T531="GST on Income",ROUND(K531*0.1,2),ROUND(-K531*0.1,2)))</f>
        <v>0</v>
      </c>
    </row>
    <row r="532">
      <c r="A532" t="inlineStr">
        <is>
          <t>INV-4512-1</t>
        </is>
      </c>
      <c r="B532" t="inlineStr">
        <is>
          <t>INV-4512</t>
        </is>
      </c>
      <c r="C532" s="11" t="n">
        <v>45926</v>
      </c>
      <c r="D532" t="inlineStr">
        <is>
          <t>2025-09</t>
        </is>
      </c>
      <c r="E532" t="inlineStr">
        <is>
          <t>C0022</t>
        </is>
      </c>
      <c r="F532" t="inlineStr">
        <is>
          <t>C0022</t>
        </is>
      </c>
      <c r="G532" t="inlineStr">
        <is>
          <t>Highpoint Projects</t>
        </is>
      </c>
      <c r="H532" t="inlineStr">
        <is>
          <t>S0085</t>
        </is>
      </c>
      <c r="I532" t="inlineStr">
        <is>
          <t>Temporary fence hire 4 wks (29/08/25-25/09/25) - 141 panels</t>
        </is>
      </c>
      <c r="J532" t="n">
        <v>564</v>
      </c>
      <c r="K532" s="9" t="n">
        <v>2538</v>
      </c>
      <c r="L532" t="inlineStr">
        <is>
          <t>PAID</t>
        </is>
      </c>
      <c r="M532">
        <f>IF(L532="VOIDED",0,1)</f>
        <v>1</v>
      </c>
      <c r="N532" t="n">
        <v>200</v>
      </c>
      <c r="O532" t="inlineStr">
        <is>
          <t>GST on Income</t>
        </is>
      </c>
      <c r="P532" t="inlineStr">
        <is>
          <t>R03</t>
        </is>
      </c>
      <c r="Q532" t="inlineStr">
        <is>
          <t>HIRE-FP</t>
        </is>
      </c>
      <c r="R532">
        <f>IF(OR(Q532="CONTEXT",Q532="REVIEW"),"",INDEX('Category Rules'!$D$5:$D$17,MATCH(P532,'Category Rules'!$A$5:$A$17,0)))</f>
        <v>4010</v>
      </c>
      <c r="S532" t="str">
        <f>IF(Q532="CONTEXT","Fencing",IF(Q532="REVIEW","",INDEX('Category Rules'!$E$5:$E$17,MATCH(P532,'Category Rules'!$A$5:$A$17,0))))</f>
        <v>Fencing</v>
      </c>
      <c r="T532" t="str">
        <f>IF(Q532="DEP","BAS Excluded","GST on Income")</f>
        <v>GST on Income</v>
      </c>
      <c r="U532">
        <f>IF(O532=T532,1,0)</f>
        <v>1</v>
      </c>
      <c r="V532" s="9">
        <f>IF(OR(M532=0,U532=1),0,IF(T532="GST on Income",ROUND(K532*0.1,2),ROUND(-K532*0.1,2)))</f>
        <v>0</v>
      </c>
    </row>
    <row r="533">
      <c r="A533" t="inlineStr">
        <is>
          <t>INV-4521-1</t>
        </is>
      </c>
      <c r="B533" t="inlineStr">
        <is>
          <t>INV-4521</t>
        </is>
      </c>
      <c r="C533" s="11" t="n">
        <v>45926</v>
      </c>
      <c r="D533" t="inlineStr">
        <is>
          <t>2025-09</t>
        </is>
      </c>
      <c r="E533" t="inlineStr">
        <is>
          <t>C0022</t>
        </is>
      </c>
      <c r="F533" t="inlineStr">
        <is>
          <t>C0022</t>
        </is>
      </c>
      <c r="G533" t="inlineStr">
        <is>
          <t>Highpoint Projects</t>
        </is>
      </c>
      <c r="H533" t="inlineStr">
        <is>
          <t>S0085</t>
        </is>
      </c>
      <c r="I533" t="inlineStr">
        <is>
          <t>Pedestrian barrier hire 4 wks (29/08/25-25/09/25) - 9 barriers</t>
        </is>
      </c>
      <c r="J533" t="n">
        <v>36</v>
      </c>
      <c r="K533" s="9" t="n">
        <v>115.2</v>
      </c>
      <c r="L533" t="inlineStr">
        <is>
          <t>PAID</t>
        </is>
      </c>
      <c r="M533">
        <f>IF(L533="VOIDED",0,1)</f>
        <v>1</v>
      </c>
      <c r="N533" t="n">
        <v>200</v>
      </c>
      <c r="O533" t="inlineStr">
        <is>
          <t>GST on Income</t>
        </is>
      </c>
      <c r="P533" t="inlineStr">
        <is>
          <t>R04</t>
        </is>
      </c>
      <c r="Q533" t="inlineStr">
        <is>
          <t>HIRE-BR</t>
        </is>
      </c>
      <c r="R533">
        <f>IF(OR(Q533="CONTEXT",Q533="REVIEW"),"",INDEX('Category Rules'!$D$5:$D$17,MATCH(P533,'Category Rules'!$A$5:$A$17,0)))</f>
        <v>4010</v>
      </c>
      <c r="S533" t="str">
        <f>IF(Q533="CONTEXT","Fencing",IF(Q533="REVIEW","",INDEX('Category Rules'!$E$5:$E$17,MATCH(P533,'Category Rules'!$A$5:$A$17,0))))</f>
        <v>Fencing</v>
      </c>
      <c r="T533" t="str">
        <f>IF(Q533="DEP","BAS Excluded","GST on Income")</f>
        <v>GST on Income</v>
      </c>
      <c r="U533">
        <f>IF(O533=T533,1,0)</f>
        <v>1</v>
      </c>
      <c r="V533" s="9">
        <f>IF(OR(M533=0,U533=1),0,IF(T533="GST on Income",ROUND(K533*0.1,2),ROUND(-K533*0.1,2)))</f>
        <v>0</v>
      </c>
    </row>
    <row r="534">
      <c r="A534" t="inlineStr">
        <is>
          <t>INV-5212-1</t>
        </is>
      </c>
      <c r="B534" t="inlineStr">
        <is>
          <t>INV-5212</t>
        </is>
      </c>
      <c r="C534" s="11" t="n">
        <v>45926</v>
      </c>
      <c r="D534" t="inlineStr">
        <is>
          <t>2025-09</t>
        </is>
      </c>
      <c r="E534" t="inlineStr">
        <is>
          <t>C0035</t>
        </is>
      </c>
      <c r="F534" t="inlineStr">
        <is>
          <t>C0035</t>
        </is>
      </c>
      <c r="G534" t="inlineStr">
        <is>
          <t>Bayside Homes Pty Ltd</t>
        </is>
      </c>
      <c r="H534" t="inlineStr">
        <is>
          <t>S0238</t>
        </is>
      </c>
      <c r="I534" t="inlineStr">
        <is>
          <t>Scaffold tower hire 3 wks (11/09/25-25/09/25) - 1 towers</t>
        </is>
      </c>
      <c r="J534" t="n">
        <v>3</v>
      </c>
      <c r="K534" s="9" t="n">
        <v>285</v>
      </c>
      <c r="L534" t="inlineStr">
        <is>
          <t>PAID</t>
        </is>
      </c>
      <c r="M534">
        <f>IF(L534="VOIDED",0,1)</f>
        <v>1</v>
      </c>
      <c r="N534" t="n">
        <v>200</v>
      </c>
      <c r="O534" t="inlineStr">
        <is>
          <t>GST on Income</t>
        </is>
      </c>
      <c r="P534" t="inlineStr">
        <is>
          <t>R05</t>
        </is>
      </c>
      <c r="Q534" t="inlineStr">
        <is>
          <t>HIRE-ST</t>
        </is>
      </c>
      <c r="R534">
        <f>IF(OR(Q534="CONTEXT",Q534="REVIEW"),"",INDEX('Category Rules'!$D$5:$D$17,MATCH(P534,'Category Rules'!$A$5:$A$17,0)))</f>
        <v>4010</v>
      </c>
      <c r="S534" t="str">
        <f>IF(Q534="CONTEXT","Scaffolding",IF(Q534="REVIEW","",INDEX('Category Rules'!$E$5:$E$17,MATCH(P534,'Category Rules'!$A$5:$A$17,0))))</f>
        <v>Scaffolding</v>
      </c>
      <c r="T534" t="str">
        <f>IF(Q534="DEP","BAS Excluded","GST on Income")</f>
        <v>GST on Income</v>
      </c>
      <c r="U534">
        <f>IF(O534=T534,1,0)</f>
        <v>1</v>
      </c>
      <c r="V534" s="9">
        <f>IF(OR(M534=0,U534=1),0,IF(T534="GST on Income",ROUND(K534*0.1,2),ROUND(-K534*0.1,2)))</f>
        <v>0</v>
      </c>
    </row>
    <row r="535">
      <c r="A535" t="inlineStr">
        <is>
          <t>INV-5214-1</t>
        </is>
      </c>
      <c r="B535" t="inlineStr">
        <is>
          <t>INV-5214</t>
        </is>
      </c>
      <c r="C535" s="11" t="n">
        <v>45926</v>
      </c>
      <c r="D535" t="inlineStr">
        <is>
          <t>2025-09</t>
        </is>
      </c>
      <c r="E535" t="inlineStr">
        <is>
          <t>C0035</t>
        </is>
      </c>
      <c r="F535" t="inlineStr">
        <is>
          <t>C0035</t>
        </is>
      </c>
      <c r="G535" t="inlineStr">
        <is>
          <t>Bayside Homes Pty Ltd</t>
        </is>
      </c>
      <c r="H535" t="inlineStr">
        <is>
          <t>S0238</t>
        </is>
      </c>
      <c r="I535" t="inlineStr">
        <is>
          <t>Scaffold dismantle - 1 tower(s)</t>
        </is>
      </c>
      <c r="J535" t="n">
        <v>1</v>
      </c>
      <c r="K535" s="9" t="n">
        <v>320</v>
      </c>
      <c r="L535" t="inlineStr">
        <is>
          <t>PAID</t>
        </is>
      </c>
      <c r="M535">
        <f>IF(L535="VOIDED",0,1)</f>
        <v>1</v>
      </c>
      <c r="N535" t="n">
        <v>200</v>
      </c>
      <c r="O535" t="inlineStr">
        <is>
          <t>GST on Income</t>
        </is>
      </c>
      <c r="P535" t="inlineStr">
        <is>
          <t>R08</t>
        </is>
      </c>
      <c r="Q535" t="inlineStr">
        <is>
          <t>LAB-ST</t>
        </is>
      </c>
      <c r="R535">
        <f>IF(OR(Q535="CONTEXT",Q535="REVIEW"),"",INDEX('Category Rules'!$D$5:$D$17,MATCH(P535,'Category Rules'!$A$5:$A$17,0)))</f>
        <v>4020</v>
      </c>
      <c r="S535" t="str">
        <f>IF(Q535="CONTEXT","Scaffolding",IF(Q535="REVIEW","",INDEX('Category Rules'!$E$5:$E$17,MATCH(P535,'Category Rules'!$A$5:$A$17,0))))</f>
        <v>Scaffolding</v>
      </c>
      <c r="T535" t="str">
        <f>IF(Q535="DEP","BAS Excluded","GST on Income")</f>
        <v>GST on Income</v>
      </c>
      <c r="U535">
        <f>IF(O535=T535,1,0)</f>
        <v>1</v>
      </c>
      <c r="V535" s="9">
        <f>IF(OR(M535=0,U535=1),0,IF(T535="GST on Income",ROUND(K535*0.1,2),ROUND(-K535*0.1,2)))</f>
        <v>0</v>
      </c>
    </row>
    <row r="536">
      <c r="A536" t="inlineStr">
        <is>
          <t>INV-4115-1</t>
        </is>
      </c>
      <c r="B536" t="inlineStr">
        <is>
          <t>INV-4115</t>
        </is>
      </c>
      <c r="C536" s="11" t="n">
        <v>45927</v>
      </c>
      <c r="D536" t="inlineStr">
        <is>
          <t>2025-09</t>
        </is>
      </c>
      <c r="E536" t="inlineStr">
        <is>
          <t>C0042</t>
        </is>
      </c>
      <c r="F536" t="inlineStr">
        <is>
          <t>C0042</t>
        </is>
      </c>
      <c r="G536" t="inlineStr">
        <is>
          <t>Lakeside Constructions Pty Ltd</t>
        </is>
      </c>
      <c r="H536" t="inlineStr">
        <is>
          <t>S0003</t>
        </is>
      </c>
      <c r="I536" t="inlineStr">
        <is>
          <t>Delivery and installation - temporary fencing</t>
        </is>
      </c>
      <c r="J536" t="n">
        <v>1</v>
      </c>
      <c r="K536" s="9" t="n">
        <v>165</v>
      </c>
      <c r="L536" t="inlineStr">
        <is>
          <t>PAID</t>
        </is>
      </c>
      <c r="M536">
        <f>IF(L536="VOIDED",0,1)</f>
        <v>1</v>
      </c>
      <c r="N536" t="n">
        <v>200</v>
      </c>
      <c r="O536" t="inlineStr">
        <is>
          <t>GST on Income</t>
        </is>
      </c>
      <c r="P536" t="inlineStr">
        <is>
          <t>R07</t>
        </is>
      </c>
      <c r="Q536" t="inlineStr">
        <is>
          <t>DEL-FP</t>
        </is>
      </c>
      <c r="R536">
        <f>IF(OR(Q536="CONTEXT",Q536="REVIEW"),"",INDEX('Category Rules'!$D$5:$D$17,MATCH(P536,'Category Rules'!$A$5:$A$17,0)))</f>
        <v>4020</v>
      </c>
      <c r="S536" t="str">
        <f>IF(Q536="CONTEXT","Fencing",IF(Q536="REVIEW","",INDEX('Category Rules'!$E$5:$E$17,MATCH(P536,'Category Rules'!$A$5:$A$17,0))))</f>
        <v>Fencing</v>
      </c>
      <c r="T536" t="str">
        <f>IF(Q536="DEP","BAS Excluded","GST on Income")</f>
        <v>GST on Income</v>
      </c>
      <c r="U536">
        <f>IF(O536=T536,1,0)</f>
        <v>1</v>
      </c>
      <c r="V536" s="9">
        <f>IF(OR(M536=0,U536=1),0,IF(T536="GST on Income",ROUND(K536*0.1,2),ROUND(-K536*0.1,2)))</f>
        <v>0</v>
      </c>
    </row>
    <row r="537">
      <c r="A537" t="inlineStr">
        <is>
          <t>INV-4115-2</t>
        </is>
      </c>
      <c r="B537" t="inlineStr">
        <is>
          <t>INV-4115</t>
        </is>
      </c>
      <c r="C537" s="11" t="n">
        <v>45927</v>
      </c>
      <c r="D537" t="inlineStr">
        <is>
          <t>2025-09</t>
        </is>
      </c>
      <c r="E537" t="inlineStr">
        <is>
          <t>C0042</t>
        </is>
      </c>
      <c r="F537" t="inlineStr">
        <is>
          <t>C0042</t>
        </is>
      </c>
      <c r="G537" t="inlineStr">
        <is>
          <t>Lakeside Constructions Pty Ltd</t>
        </is>
      </c>
      <c r="H537" t="inlineStr">
        <is>
          <t>S0003</t>
        </is>
      </c>
      <c r="I537" t="inlineStr">
        <is>
          <t>Installation labour - 152 panels @ 2.20</t>
        </is>
      </c>
      <c r="J537" t="n">
        <v>152</v>
      </c>
      <c r="K537" s="9" t="n">
        <v>334.4</v>
      </c>
      <c r="L537" t="inlineStr">
        <is>
          <t>PAID</t>
        </is>
      </c>
      <c r="M537">
        <f>IF(L537="VOIDED",0,1)</f>
        <v>1</v>
      </c>
      <c r="N537" t="n">
        <v>200</v>
      </c>
      <c r="O537" t="inlineStr">
        <is>
          <t>GST on Income</t>
        </is>
      </c>
      <c r="P537" t="inlineStr">
        <is>
          <t>R07</t>
        </is>
      </c>
      <c r="Q537" t="inlineStr">
        <is>
          <t>DEL-FP</t>
        </is>
      </c>
      <c r="R537">
        <f>IF(OR(Q537="CONTEXT",Q537="REVIEW"),"",INDEX('Category Rules'!$D$5:$D$17,MATCH(P537,'Category Rules'!$A$5:$A$17,0)))</f>
        <v>4020</v>
      </c>
      <c r="S537" t="str">
        <f>IF(Q537="CONTEXT","Fencing",IF(Q537="REVIEW","",INDEX('Category Rules'!$E$5:$E$17,MATCH(P537,'Category Rules'!$A$5:$A$17,0))))</f>
        <v>Fencing</v>
      </c>
      <c r="T537" t="str">
        <f>IF(Q537="DEP","BAS Excluded","GST on Income")</f>
        <v>GST on Income</v>
      </c>
      <c r="U537">
        <f>IF(O537=T537,1,0)</f>
        <v>1</v>
      </c>
      <c r="V537" s="9">
        <f>IF(OR(M537=0,U537=1),0,IF(T537="GST on Income",ROUND(K537*0.1,2),ROUND(-K537*0.1,2)))</f>
        <v>0</v>
      </c>
    </row>
    <row r="538">
      <c r="A538" t="inlineStr">
        <is>
          <t>INV-5124-1</t>
        </is>
      </c>
      <c r="B538" t="inlineStr">
        <is>
          <t>INV-5124</t>
        </is>
      </c>
      <c r="C538" s="11" t="n">
        <v>45927</v>
      </c>
      <c r="D538" t="inlineStr">
        <is>
          <t>2025-09</t>
        </is>
      </c>
      <c r="E538" t="inlineStr">
        <is>
          <t>C0025</t>
        </is>
      </c>
      <c r="F538" t="inlineStr">
        <is>
          <t>C0025</t>
        </is>
      </c>
      <c r="G538" t="inlineStr">
        <is>
          <t>Silverleaf Building Group Pty Ltd</t>
        </is>
      </c>
      <c r="H538" t="inlineStr">
        <is>
          <t>S0218</t>
        </is>
      </c>
      <c r="I538" t="inlineStr">
        <is>
          <t>Delivery and installation - temporary fencing</t>
        </is>
      </c>
      <c r="J538" t="n">
        <v>1</v>
      </c>
      <c r="K538" s="9" t="n">
        <v>165</v>
      </c>
      <c r="L538" t="inlineStr">
        <is>
          <t>PAID</t>
        </is>
      </c>
      <c r="M538">
        <f>IF(L538="VOIDED",0,1)</f>
        <v>1</v>
      </c>
      <c r="N538" t="n">
        <v>200</v>
      </c>
      <c r="O538" t="inlineStr">
        <is>
          <t>GST Free Income</t>
        </is>
      </c>
      <c r="P538" t="inlineStr">
        <is>
          <t>R07</t>
        </is>
      </c>
      <c r="Q538" t="inlineStr">
        <is>
          <t>DEL-FP</t>
        </is>
      </c>
      <c r="R538">
        <f>IF(OR(Q538="CONTEXT",Q538="REVIEW"),"",INDEX('Category Rules'!$D$5:$D$17,MATCH(P538,'Category Rules'!$A$5:$A$17,0)))</f>
        <v>4020</v>
      </c>
      <c r="S538" t="str">
        <f>IF(Q538="CONTEXT","Fencing",IF(Q538="REVIEW","",INDEX('Category Rules'!$E$5:$E$17,MATCH(P538,'Category Rules'!$A$5:$A$17,0))))</f>
        <v>Fencing</v>
      </c>
      <c r="T538" t="str">
        <f>IF(Q538="DEP","BAS Excluded","GST on Income")</f>
        <v>GST on Income</v>
      </c>
      <c r="U538">
        <f>IF(O538=T538,1,0)</f>
        <v>0</v>
      </c>
      <c r="V538" s="9">
        <f>IF(OR(M538=0,U538=1),0,IF(T538="GST on Income",ROUND(K538*0.1,2),ROUND(-K538*0.1,2)))</f>
        <v>16.5</v>
      </c>
    </row>
    <row r="539">
      <c r="A539" t="inlineStr">
        <is>
          <t>INV-5124-2</t>
        </is>
      </c>
      <c r="B539" t="inlineStr">
        <is>
          <t>INV-5124</t>
        </is>
      </c>
      <c r="C539" s="11" t="n">
        <v>45927</v>
      </c>
      <c r="D539" t="inlineStr">
        <is>
          <t>2025-09</t>
        </is>
      </c>
      <c r="E539" t="inlineStr">
        <is>
          <t>C0025</t>
        </is>
      </c>
      <c r="F539" t="inlineStr">
        <is>
          <t>C0025</t>
        </is>
      </c>
      <c r="G539" t="inlineStr">
        <is>
          <t>Silverleaf Building Group Pty Ltd</t>
        </is>
      </c>
      <c r="H539" t="inlineStr">
        <is>
          <t>S0218</t>
        </is>
      </c>
      <c r="I539" t="inlineStr">
        <is>
          <t>Installation labour - 119 panels @ 2.20</t>
        </is>
      </c>
      <c r="J539" t="n">
        <v>119</v>
      </c>
      <c r="K539" s="9" t="n">
        <v>261.8</v>
      </c>
      <c r="L539" t="inlineStr">
        <is>
          <t>PAID</t>
        </is>
      </c>
      <c r="M539">
        <f>IF(L539="VOIDED",0,1)</f>
        <v>1</v>
      </c>
      <c r="N539" t="n">
        <v>200</v>
      </c>
      <c r="O539" t="inlineStr">
        <is>
          <t>GST on Income</t>
        </is>
      </c>
      <c r="P539" t="inlineStr">
        <is>
          <t>R07</t>
        </is>
      </c>
      <c r="Q539" t="inlineStr">
        <is>
          <t>DEL-FP</t>
        </is>
      </c>
      <c r="R539">
        <f>IF(OR(Q539="CONTEXT",Q539="REVIEW"),"",INDEX('Category Rules'!$D$5:$D$17,MATCH(P539,'Category Rules'!$A$5:$A$17,0)))</f>
        <v>4020</v>
      </c>
      <c r="S539" t="str">
        <f>IF(Q539="CONTEXT","Fencing",IF(Q539="REVIEW","",INDEX('Category Rules'!$E$5:$E$17,MATCH(P539,'Category Rules'!$A$5:$A$17,0))))</f>
        <v>Fencing</v>
      </c>
      <c r="T539" t="str">
        <f>IF(Q539="DEP","BAS Excluded","GST on Income")</f>
        <v>GST on Income</v>
      </c>
      <c r="U539">
        <f>IF(O539=T539,1,0)</f>
        <v>1</v>
      </c>
      <c r="V539" s="9">
        <f>IF(OR(M539=0,U539=1),0,IF(T539="GST on Income",ROUND(K539*0.1,2),ROUND(-K539*0.1,2)))</f>
        <v>0</v>
      </c>
    </row>
    <row r="540">
      <c r="A540" t="inlineStr">
        <is>
          <t>INV-5258-1</t>
        </is>
      </c>
      <c r="B540" t="inlineStr">
        <is>
          <t>INV-5258</t>
        </is>
      </c>
      <c r="C540" s="11" t="n">
        <v>45927</v>
      </c>
      <c r="D540" t="inlineStr">
        <is>
          <t>2025-09</t>
        </is>
      </c>
      <c r="E540" t="inlineStr">
        <is>
          <t>C0097</t>
        </is>
      </c>
      <c r="F540" t="inlineStr">
        <is>
          <t>C0097</t>
        </is>
      </c>
      <c r="G540" t="inlineStr">
        <is>
          <t>Arjun Rossi</t>
        </is>
      </c>
      <c r="H540" t="inlineStr">
        <is>
          <t>S0249</t>
        </is>
      </c>
      <c r="I540" t="inlineStr">
        <is>
          <t>Scaffold tower hire 4 wks (05/09/25-26/09/25) - 1 towers</t>
        </is>
      </c>
      <c r="J540" t="n">
        <v>4</v>
      </c>
      <c r="K540" s="9" t="n">
        <v>380</v>
      </c>
      <c r="L540" t="inlineStr">
        <is>
          <t>PAID</t>
        </is>
      </c>
      <c r="M540">
        <f>IF(L540="VOIDED",0,1)</f>
        <v>1</v>
      </c>
      <c r="N540" t="n">
        <v>200</v>
      </c>
      <c r="O540" t="inlineStr">
        <is>
          <t>GST on Income</t>
        </is>
      </c>
      <c r="P540" t="inlineStr">
        <is>
          <t>R05</t>
        </is>
      </c>
      <c r="Q540" t="inlineStr">
        <is>
          <t>HIRE-ST</t>
        </is>
      </c>
      <c r="R540">
        <f>IF(OR(Q540="CONTEXT",Q540="REVIEW"),"",INDEX('Category Rules'!$D$5:$D$17,MATCH(P540,'Category Rules'!$A$5:$A$17,0)))</f>
        <v>4010</v>
      </c>
      <c r="S540" t="str">
        <f>IF(Q540="CONTEXT","Scaffolding",IF(Q540="REVIEW","",INDEX('Category Rules'!$E$5:$E$17,MATCH(P540,'Category Rules'!$A$5:$A$17,0))))</f>
        <v>Scaffolding</v>
      </c>
      <c r="T540" t="str">
        <f>IF(Q540="DEP","BAS Excluded","GST on Income")</f>
        <v>GST on Income</v>
      </c>
      <c r="U540">
        <f>IF(O540=T540,1,0)</f>
        <v>1</v>
      </c>
      <c r="V540" s="9">
        <f>IF(OR(M540=0,U540=1),0,IF(T540="GST on Income",ROUND(K540*0.1,2),ROUND(-K540*0.1,2)))</f>
        <v>0</v>
      </c>
    </row>
    <row r="541">
      <c r="A541" t="inlineStr">
        <is>
          <t>INV-5260-1</t>
        </is>
      </c>
      <c r="B541" t="inlineStr">
        <is>
          <t>INV-5260</t>
        </is>
      </c>
      <c r="C541" s="11" t="n">
        <v>45927</v>
      </c>
      <c r="D541" t="inlineStr">
        <is>
          <t>2025-09</t>
        </is>
      </c>
      <c r="E541" t="inlineStr">
        <is>
          <t>C0097</t>
        </is>
      </c>
      <c r="F541" t="inlineStr">
        <is>
          <t>C0097</t>
        </is>
      </c>
      <c r="G541" t="inlineStr">
        <is>
          <t>Arjun Rossi</t>
        </is>
      </c>
      <c r="H541" t="inlineStr">
        <is>
          <t>S0249</t>
        </is>
      </c>
      <c r="I541" t="inlineStr">
        <is>
          <t>Scaffold dismantle - 1 tower(s)</t>
        </is>
      </c>
      <c r="J541" t="n">
        <v>1</v>
      </c>
      <c r="K541" s="9" t="n">
        <v>320</v>
      </c>
      <c r="L541" t="inlineStr">
        <is>
          <t>PAID</t>
        </is>
      </c>
      <c r="M541">
        <f>IF(L541="VOIDED",0,1)</f>
        <v>1</v>
      </c>
      <c r="N541" t="n">
        <v>200</v>
      </c>
      <c r="O541" t="inlineStr">
        <is>
          <t>GST on Income</t>
        </is>
      </c>
      <c r="P541" t="inlineStr">
        <is>
          <t>R08</t>
        </is>
      </c>
      <c r="Q541" t="inlineStr">
        <is>
          <t>LAB-ST</t>
        </is>
      </c>
      <c r="R541">
        <f>IF(OR(Q541="CONTEXT",Q541="REVIEW"),"",INDEX('Category Rules'!$D$5:$D$17,MATCH(P541,'Category Rules'!$A$5:$A$17,0)))</f>
        <v>4020</v>
      </c>
      <c r="S541" t="str">
        <f>IF(Q541="CONTEXT","Scaffolding",IF(Q541="REVIEW","",INDEX('Category Rules'!$E$5:$E$17,MATCH(P541,'Category Rules'!$A$5:$A$17,0))))</f>
        <v>Scaffolding</v>
      </c>
      <c r="T541" t="str">
        <f>IF(Q541="DEP","BAS Excluded","GST on Income")</f>
        <v>GST on Income</v>
      </c>
      <c r="U541">
        <f>IF(O541=T541,1,0)</f>
        <v>1</v>
      </c>
      <c r="V541" s="9">
        <f>IF(OR(M541=0,U541=1),0,IF(T541="GST on Income",ROUND(K541*0.1,2),ROUND(-K541*0.1,2)))</f>
        <v>0</v>
      </c>
    </row>
    <row r="542">
      <c r="A542" t="inlineStr">
        <is>
          <t>INV-5754-1</t>
        </is>
      </c>
      <c r="B542" t="inlineStr">
        <is>
          <t>INV-5754</t>
        </is>
      </c>
      <c r="C542" s="11" t="n">
        <v>45927</v>
      </c>
      <c r="D542" t="inlineStr">
        <is>
          <t>2025-09</t>
        </is>
      </c>
      <c r="E542" t="inlineStr">
        <is>
          <t>C0142</t>
        </is>
      </c>
      <c r="F542" t="inlineStr">
        <is>
          <t>C0039</t>
        </is>
      </c>
      <c r="G542" t="inlineStr">
        <is>
          <t>Coastline Developments Pty Ltd</t>
        </is>
      </c>
      <c r="H542" t="inlineStr">
        <is>
          <t>S0462</t>
        </is>
      </c>
      <c r="I542" t="inlineStr">
        <is>
          <t>Roof repair labour - 12 hrs</t>
        </is>
      </c>
      <c r="J542" t="n">
        <v>12</v>
      </c>
      <c r="K542" s="9" t="n">
        <v>1176</v>
      </c>
      <c r="L542" t="inlineStr">
        <is>
          <t>PAID</t>
        </is>
      </c>
      <c r="M542">
        <f>IF(L542="VOIDED",0,1)</f>
        <v>1</v>
      </c>
      <c r="N542" t="n">
        <v>200</v>
      </c>
      <c r="O542" t="inlineStr">
        <is>
          <t>GST on Income</t>
        </is>
      </c>
      <c r="P542" t="inlineStr">
        <is>
          <t>R10</t>
        </is>
      </c>
      <c r="Q542" t="inlineStr">
        <is>
          <t>LAB-RF</t>
        </is>
      </c>
      <c r="R542">
        <f>IF(OR(Q542="CONTEXT",Q542="REVIEW"),"",INDEX('Category Rules'!$D$5:$D$17,MATCH(P542,'Category Rules'!$A$5:$A$17,0)))</f>
        <v>4020</v>
      </c>
      <c r="S542" t="str">
        <f>IF(Q542="CONTEXT","Roofing",IF(Q542="REVIEW","",INDEX('Category Rules'!$E$5:$E$17,MATCH(P542,'Category Rules'!$A$5:$A$17,0))))</f>
        <v>Roofing</v>
      </c>
      <c r="T542" t="str">
        <f>IF(Q542="DEP","BAS Excluded","GST on Income")</f>
        <v>GST on Income</v>
      </c>
      <c r="U542">
        <f>IF(O542=T542,1,0)</f>
        <v>1</v>
      </c>
      <c r="V542" s="9">
        <f>IF(OR(M542=0,U542=1),0,IF(T542="GST on Income",ROUND(K542*0.1,2),ROUND(-K542*0.1,2)))</f>
        <v>0</v>
      </c>
    </row>
    <row r="543">
      <c r="A543" t="inlineStr">
        <is>
          <t>INV-5754-2</t>
        </is>
      </c>
      <c r="B543" t="inlineStr">
        <is>
          <t>INV-5754</t>
        </is>
      </c>
      <c r="C543" s="11" t="n">
        <v>45927</v>
      </c>
      <c r="D543" t="inlineStr">
        <is>
          <t>2025-09</t>
        </is>
      </c>
      <c r="E543" t="inlineStr">
        <is>
          <t>C0142</t>
        </is>
      </c>
      <c r="F543" t="inlineStr">
        <is>
          <t>C0039</t>
        </is>
      </c>
      <c r="G543" t="inlineStr">
        <is>
          <t>Coastline Developments Pty Ltd</t>
        </is>
      </c>
      <c r="H543" t="inlineStr">
        <is>
          <t>S0462</t>
        </is>
      </c>
      <c r="I543" t="inlineStr">
        <is>
          <t>Materials - flashing</t>
        </is>
      </c>
      <c r="J543" t="n">
        <v>1</v>
      </c>
      <c r="K543" s="9" t="n">
        <v>872.63</v>
      </c>
      <c r="L543" t="inlineStr">
        <is>
          <t>PAID</t>
        </is>
      </c>
      <c r="M543">
        <f>IF(L543="VOIDED",0,1)</f>
        <v>1</v>
      </c>
      <c r="N543" t="n">
        <v>200</v>
      </c>
      <c r="O543" t="inlineStr">
        <is>
          <t>GST on Income</t>
        </is>
      </c>
      <c r="P543" t="inlineStr">
        <is>
          <t>R11</t>
        </is>
      </c>
      <c r="Q543" t="inlineStr">
        <is>
          <t>MAT-RF</t>
        </is>
      </c>
      <c r="R543">
        <f>IF(OR(Q543="CONTEXT",Q543="REVIEW"),"",INDEX('Category Rules'!$D$5:$D$17,MATCH(P543,'Category Rules'!$A$5:$A$17,0)))</f>
        <v>4030</v>
      </c>
      <c r="S543" t="str">
        <f>IF(Q543="CONTEXT","Roofing",IF(Q543="REVIEW","",INDEX('Category Rules'!$E$5:$E$17,MATCH(P543,'Category Rules'!$A$5:$A$17,0))))</f>
        <v>Roofing</v>
      </c>
      <c r="T543" t="str">
        <f>IF(Q543="DEP","BAS Excluded","GST on Income")</f>
        <v>GST on Income</v>
      </c>
      <c r="U543">
        <f>IF(O543=T543,1,0)</f>
        <v>1</v>
      </c>
      <c r="V543" s="9">
        <f>IF(OR(M543=0,U543=1),0,IF(T543="GST on Income",ROUND(K543*0.1,2),ROUND(-K543*0.1,2)))</f>
        <v>0</v>
      </c>
    </row>
    <row r="544">
      <c r="A544" t="inlineStr">
        <is>
          <t>INV-5754-3</t>
        </is>
      </c>
      <c r="B544" t="inlineStr">
        <is>
          <t>INV-5754</t>
        </is>
      </c>
      <c r="C544" s="11" t="n">
        <v>45927</v>
      </c>
      <c r="D544" t="inlineStr">
        <is>
          <t>2025-09</t>
        </is>
      </c>
      <c r="E544" t="inlineStr">
        <is>
          <t>C0142</t>
        </is>
      </c>
      <c r="F544" t="inlineStr">
        <is>
          <t>C0039</t>
        </is>
      </c>
      <c r="G544" t="inlineStr">
        <is>
          <t>Coastline Developments Pty Ltd</t>
        </is>
      </c>
      <c r="H544" t="inlineStr">
        <is>
          <t>S0462</t>
        </is>
      </c>
      <c r="I544" t="inlineStr">
        <is>
          <t>Materials - gutter and downpipe</t>
        </is>
      </c>
      <c r="J544" t="n">
        <v>1</v>
      </c>
      <c r="K544" s="9" t="n">
        <v>1361.22</v>
      </c>
      <c r="L544" t="inlineStr">
        <is>
          <t>PAID</t>
        </is>
      </c>
      <c r="M544">
        <f>IF(L544="VOIDED",0,1)</f>
        <v>1</v>
      </c>
      <c r="N544" t="n">
        <v>200</v>
      </c>
      <c r="O544" t="inlineStr">
        <is>
          <t>GST on Income</t>
        </is>
      </c>
      <c r="P544" t="inlineStr">
        <is>
          <t>R11</t>
        </is>
      </c>
      <c r="Q544" t="inlineStr">
        <is>
          <t>MAT-RF</t>
        </is>
      </c>
      <c r="R544">
        <f>IF(OR(Q544="CONTEXT",Q544="REVIEW"),"",INDEX('Category Rules'!$D$5:$D$17,MATCH(P544,'Category Rules'!$A$5:$A$17,0)))</f>
        <v>4030</v>
      </c>
      <c r="S544" t="str">
        <f>IF(Q544="CONTEXT","Roofing",IF(Q544="REVIEW","",INDEX('Category Rules'!$E$5:$E$17,MATCH(P544,'Category Rules'!$A$5:$A$17,0))))</f>
        <v>Roofing</v>
      </c>
      <c r="T544" t="str">
        <f>IF(Q544="DEP","BAS Excluded","GST on Income")</f>
        <v>GST on Income</v>
      </c>
      <c r="U544">
        <f>IF(O544=T544,1,0)</f>
        <v>1</v>
      </c>
      <c r="V544" s="9">
        <f>IF(OR(M544=0,U544=1),0,IF(T544="GST on Income",ROUND(K544*0.1,2),ROUND(-K544*0.1,2)))</f>
        <v>0</v>
      </c>
    </row>
    <row r="545">
      <c r="A545" t="inlineStr">
        <is>
          <t>INV-5754-4</t>
        </is>
      </c>
      <c r="B545" t="inlineStr">
        <is>
          <t>INV-5754</t>
        </is>
      </c>
      <c r="C545" s="11" t="n">
        <v>45927</v>
      </c>
      <c r="D545" t="inlineStr">
        <is>
          <t>2025-09</t>
        </is>
      </c>
      <c r="E545" t="inlineStr">
        <is>
          <t>C0142</t>
        </is>
      </c>
      <c r="F545" t="inlineStr">
        <is>
          <t>C0039</t>
        </is>
      </c>
      <c r="G545" t="inlineStr">
        <is>
          <t>Coastline Developments Pty Ltd</t>
        </is>
      </c>
      <c r="H545" t="inlineStr">
        <is>
          <t>S0462</t>
        </is>
      </c>
      <c r="I545" t="inlineStr">
        <is>
          <t>Materials - ridge capping</t>
        </is>
      </c>
      <c r="J545" t="n">
        <v>1</v>
      </c>
      <c r="K545" s="9" t="n">
        <v>818.34</v>
      </c>
      <c r="L545" t="inlineStr">
        <is>
          <t>PAID</t>
        </is>
      </c>
      <c r="M545">
        <f>IF(L545="VOIDED",0,1)</f>
        <v>1</v>
      </c>
      <c r="N545" t="n">
        <v>200</v>
      </c>
      <c r="O545" t="inlineStr">
        <is>
          <t>GST on Income</t>
        </is>
      </c>
      <c r="P545" t="inlineStr">
        <is>
          <t>R11</t>
        </is>
      </c>
      <c r="Q545" t="inlineStr">
        <is>
          <t>MAT-RF</t>
        </is>
      </c>
      <c r="R545">
        <f>IF(OR(Q545="CONTEXT",Q545="REVIEW"),"",INDEX('Category Rules'!$D$5:$D$17,MATCH(P545,'Category Rules'!$A$5:$A$17,0)))</f>
        <v>4030</v>
      </c>
      <c r="S545" t="str">
        <f>IF(Q545="CONTEXT","Roofing",IF(Q545="REVIEW","",INDEX('Category Rules'!$E$5:$E$17,MATCH(P545,'Category Rules'!$A$5:$A$17,0))))</f>
        <v>Roofing</v>
      </c>
      <c r="T545" t="str">
        <f>IF(Q545="DEP","BAS Excluded","GST on Income")</f>
        <v>GST on Income</v>
      </c>
      <c r="U545">
        <f>IF(O545=T545,1,0)</f>
        <v>1</v>
      </c>
      <c r="V545" s="9">
        <f>IF(OR(M545=0,U545=1),0,IF(T545="GST on Income",ROUND(K545*0.1,2),ROUND(-K545*0.1,2)))</f>
        <v>0</v>
      </c>
    </row>
    <row r="546">
      <c r="A546" t="inlineStr">
        <is>
          <t>INV-4226-1</t>
        </is>
      </c>
      <c r="B546" t="inlineStr">
        <is>
          <t>INV-4226</t>
        </is>
      </c>
      <c r="C546" s="11" t="n">
        <v>45928</v>
      </c>
      <c r="D546" t="inlineStr">
        <is>
          <t>2025-09</t>
        </is>
      </c>
      <c r="E546" t="inlineStr">
        <is>
          <t>C0018</t>
        </is>
      </c>
      <c r="F546" t="inlineStr">
        <is>
          <t>C0018</t>
        </is>
      </c>
      <c r="G546" t="inlineStr">
        <is>
          <t>Wattle Constructions Pty Ltd</t>
        </is>
      </c>
      <c r="H546" t="inlineStr">
        <is>
          <t>S0024</t>
        </is>
      </c>
      <c r="I546" t="inlineStr">
        <is>
          <t>Temporary fence hire 4 wks (05/09/25-27/09/25) - 25 panels</t>
        </is>
      </c>
      <c r="J546" t="n">
        <v>100</v>
      </c>
      <c r="K546" s="9" t="n">
        <v>450</v>
      </c>
      <c r="L546" t="inlineStr">
        <is>
          <t>PAID</t>
        </is>
      </c>
      <c r="M546">
        <f>IF(L546="VOIDED",0,1)</f>
        <v>1</v>
      </c>
      <c r="N546" t="n">
        <v>200</v>
      </c>
      <c r="O546" t="inlineStr">
        <is>
          <t>GST on Income</t>
        </is>
      </c>
      <c r="P546" t="inlineStr">
        <is>
          <t>R03</t>
        </is>
      </c>
      <c r="Q546" t="inlineStr">
        <is>
          <t>HIRE-FP</t>
        </is>
      </c>
      <c r="R546">
        <f>IF(OR(Q546="CONTEXT",Q546="REVIEW"),"",INDEX('Category Rules'!$D$5:$D$17,MATCH(P546,'Category Rules'!$A$5:$A$17,0)))</f>
        <v>4010</v>
      </c>
      <c r="S546" t="str">
        <f>IF(Q546="CONTEXT","Fencing",IF(Q546="REVIEW","",INDEX('Category Rules'!$E$5:$E$17,MATCH(P546,'Category Rules'!$A$5:$A$17,0))))</f>
        <v>Fencing</v>
      </c>
      <c r="T546" t="str">
        <f>IF(Q546="DEP","BAS Excluded","GST on Income")</f>
        <v>GST on Income</v>
      </c>
      <c r="U546">
        <f>IF(O546=T546,1,0)</f>
        <v>1</v>
      </c>
      <c r="V546" s="9">
        <f>IF(OR(M546=0,U546=1),0,IF(T546="GST on Income",ROUND(K546*0.1,2),ROUND(-K546*0.1,2)))</f>
        <v>0</v>
      </c>
    </row>
    <row r="547">
      <c r="A547" t="inlineStr">
        <is>
          <t>INV-4227-1</t>
        </is>
      </c>
      <c r="B547" t="inlineStr">
        <is>
          <t>INV-4227</t>
        </is>
      </c>
      <c r="C547" s="11" t="n">
        <v>45928</v>
      </c>
      <c r="D547" t="inlineStr">
        <is>
          <t>2025-09</t>
        </is>
      </c>
      <c r="E547" t="inlineStr">
        <is>
          <t>C0018</t>
        </is>
      </c>
      <c r="F547" t="inlineStr">
        <is>
          <t>C0018</t>
        </is>
      </c>
      <c r="G547" t="inlineStr">
        <is>
          <t>Wattle Constructions Pty Ltd</t>
        </is>
      </c>
      <c r="H547" t="inlineStr">
        <is>
          <t>S0024</t>
        </is>
      </c>
      <c r="I547" t="inlineStr">
        <is>
          <t>Pedestrian barrier hire 4 wks (05/09/25-27/09/25) - 17 barriers</t>
        </is>
      </c>
      <c r="J547" t="n">
        <v>68</v>
      </c>
      <c r="K547" s="9" t="n">
        <v>217.6</v>
      </c>
      <c r="L547" t="inlineStr">
        <is>
          <t>PAID</t>
        </is>
      </c>
      <c r="M547">
        <f>IF(L547="VOIDED",0,1)</f>
        <v>1</v>
      </c>
      <c r="N547" t="n">
        <v>200</v>
      </c>
      <c r="O547" t="inlineStr">
        <is>
          <t>GST on Income</t>
        </is>
      </c>
      <c r="P547" t="inlineStr">
        <is>
          <t>R04</t>
        </is>
      </c>
      <c r="Q547" t="inlineStr">
        <is>
          <t>HIRE-BR</t>
        </is>
      </c>
      <c r="R547">
        <f>IF(OR(Q547="CONTEXT",Q547="REVIEW"),"",INDEX('Category Rules'!$D$5:$D$17,MATCH(P547,'Category Rules'!$A$5:$A$17,0)))</f>
        <v>4010</v>
      </c>
      <c r="S547" t="str">
        <f>IF(Q547="CONTEXT","Fencing",IF(Q547="REVIEW","",INDEX('Category Rules'!$E$5:$E$17,MATCH(P547,'Category Rules'!$A$5:$A$17,0))))</f>
        <v>Fencing</v>
      </c>
      <c r="T547" t="str">
        <f>IF(Q547="DEP","BAS Excluded","GST on Income")</f>
        <v>GST on Income</v>
      </c>
      <c r="U547">
        <f>IF(O547=T547,1,0)</f>
        <v>1</v>
      </c>
      <c r="V547" s="9">
        <f>IF(OR(M547=0,U547=1),0,IF(T547="GST on Income",ROUND(K547*0.1,2),ROUND(-K547*0.1,2)))</f>
        <v>0</v>
      </c>
    </row>
    <row r="548">
      <c r="A548" t="inlineStr">
        <is>
          <t>INV-4229-1</t>
        </is>
      </c>
      <c r="B548" t="inlineStr">
        <is>
          <t>INV-4229</t>
        </is>
      </c>
      <c r="C548" s="11" t="n">
        <v>45928</v>
      </c>
      <c r="D548" t="inlineStr">
        <is>
          <t>2025-09</t>
        </is>
      </c>
      <c r="E548" t="inlineStr">
        <is>
          <t>C0018</t>
        </is>
      </c>
      <c r="F548" t="inlineStr">
        <is>
          <t>C0018</t>
        </is>
      </c>
      <c r="G548" t="inlineStr">
        <is>
          <t>Wattle Constructions Pty Ltd</t>
        </is>
      </c>
      <c r="H548" t="inlineStr">
        <is>
          <t>S0024</t>
        </is>
      </c>
      <c r="I548" t="inlineStr">
        <is>
          <t>Collection and dismantle - temporary fencing</t>
        </is>
      </c>
      <c r="J548" t="n">
        <v>1</v>
      </c>
      <c r="K548" s="9" t="n">
        <v>165</v>
      </c>
      <c r="L548" t="inlineStr">
        <is>
          <t>PAID</t>
        </is>
      </c>
      <c r="M548">
        <f>IF(L548="VOIDED",0,1)</f>
        <v>1</v>
      </c>
      <c r="N548" t="n">
        <v>200</v>
      </c>
      <c r="O548" t="inlineStr">
        <is>
          <t>GST on Income</t>
        </is>
      </c>
      <c r="P548" t="inlineStr">
        <is>
          <t>R07</t>
        </is>
      </c>
      <c r="Q548" t="inlineStr">
        <is>
          <t>DEL-FP</t>
        </is>
      </c>
      <c r="R548">
        <f>IF(OR(Q548="CONTEXT",Q548="REVIEW"),"",INDEX('Category Rules'!$D$5:$D$17,MATCH(P548,'Category Rules'!$A$5:$A$17,0)))</f>
        <v>4020</v>
      </c>
      <c r="S548" t="str">
        <f>IF(Q548="CONTEXT","Fencing",IF(Q548="REVIEW","",INDEX('Category Rules'!$E$5:$E$17,MATCH(P548,'Category Rules'!$A$5:$A$17,0))))</f>
        <v>Fencing</v>
      </c>
      <c r="T548" t="str">
        <f>IF(Q548="DEP","BAS Excluded","GST on Income")</f>
        <v>GST on Income</v>
      </c>
      <c r="U548">
        <f>IF(O548=T548,1,0)</f>
        <v>1</v>
      </c>
      <c r="V548" s="9">
        <f>IF(OR(M548=0,U548=1),0,IF(T548="GST on Income",ROUND(K548*0.1,2),ROUND(-K548*0.1,2)))</f>
        <v>0</v>
      </c>
    </row>
    <row r="549">
      <c r="A549" t="inlineStr">
        <is>
          <t>INV-4859-1</t>
        </is>
      </c>
      <c r="B549" t="inlineStr">
        <is>
          <t>INV-4859</t>
        </is>
      </c>
      <c r="C549" s="11" t="n">
        <v>45928</v>
      </c>
      <c r="D549" t="inlineStr">
        <is>
          <t>2025-09</t>
        </is>
      </c>
      <c r="E549" t="inlineStr">
        <is>
          <t>C0122</t>
        </is>
      </c>
      <c r="F549" t="inlineStr">
        <is>
          <t>C0122</t>
        </is>
      </c>
      <c r="G549" t="inlineStr">
        <is>
          <t>Bluegum Construction Pty Ltd</t>
        </is>
      </c>
      <c r="H549" t="inlineStr">
        <is>
          <t>S0160</t>
        </is>
      </c>
      <c r="I549" t="inlineStr">
        <is>
          <t>Delivery and installation - temporary fencing</t>
        </is>
      </c>
      <c r="J549" t="n">
        <v>1</v>
      </c>
      <c r="K549" s="9" t="n">
        <v>165</v>
      </c>
      <c r="L549" t="inlineStr">
        <is>
          <t>PAID</t>
        </is>
      </c>
      <c r="M549">
        <f>IF(L549="VOIDED",0,1)</f>
        <v>1</v>
      </c>
      <c r="N549" t="n">
        <v>200</v>
      </c>
      <c r="O549" t="inlineStr">
        <is>
          <t>GST on Income</t>
        </is>
      </c>
      <c r="P549" t="inlineStr">
        <is>
          <t>R07</t>
        </is>
      </c>
      <c r="Q549" t="inlineStr">
        <is>
          <t>DEL-FP</t>
        </is>
      </c>
      <c r="R549">
        <f>IF(OR(Q549="CONTEXT",Q549="REVIEW"),"",INDEX('Category Rules'!$D$5:$D$17,MATCH(P549,'Category Rules'!$A$5:$A$17,0)))</f>
        <v>4020</v>
      </c>
      <c r="S549" t="str">
        <f>IF(Q549="CONTEXT","Fencing",IF(Q549="REVIEW","",INDEX('Category Rules'!$E$5:$E$17,MATCH(P549,'Category Rules'!$A$5:$A$17,0))))</f>
        <v>Fencing</v>
      </c>
      <c r="T549" t="str">
        <f>IF(Q549="DEP","BAS Excluded","GST on Income")</f>
        <v>GST on Income</v>
      </c>
      <c r="U549">
        <f>IF(O549=T549,1,0)</f>
        <v>1</v>
      </c>
      <c r="V549" s="9">
        <f>IF(OR(M549=0,U549=1),0,IF(T549="GST on Income",ROUND(K549*0.1,2),ROUND(-K549*0.1,2)))</f>
        <v>0</v>
      </c>
    </row>
    <row r="550">
      <c r="A550" t="inlineStr">
        <is>
          <t>INV-4859-2</t>
        </is>
      </c>
      <c r="B550" t="inlineStr">
        <is>
          <t>INV-4859</t>
        </is>
      </c>
      <c r="C550" s="11" t="n">
        <v>45928</v>
      </c>
      <c r="D550" t="inlineStr">
        <is>
          <t>2025-09</t>
        </is>
      </c>
      <c r="E550" t="inlineStr">
        <is>
          <t>C0122</t>
        </is>
      </c>
      <c r="F550" t="inlineStr">
        <is>
          <t>C0122</t>
        </is>
      </c>
      <c r="G550" t="inlineStr">
        <is>
          <t>Bluegum Construction Pty Ltd</t>
        </is>
      </c>
      <c r="H550" t="inlineStr">
        <is>
          <t>S0160</t>
        </is>
      </c>
      <c r="I550" t="inlineStr">
        <is>
          <t>Installation labour - 91 panels @ 2.20</t>
        </is>
      </c>
      <c r="J550" t="n">
        <v>91</v>
      </c>
      <c r="K550" s="9" t="n">
        <v>200.2</v>
      </c>
      <c r="L550" t="inlineStr">
        <is>
          <t>PAID</t>
        </is>
      </c>
      <c r="M550">
        <f>IF(L550="VOIDED",0,1)</f>
        <v>1</v>
      </c>
      <c r="N550" t="n">
        <v>200</v>
      </c>
      <c r="O550" t="inlineStr">
        <is>
          <t>GST on Income</t>
        </is>
      </c>
      <c r="P550" t="inlineStr">
        <is>
          <t>R07</t>
        </is>
      </c>
      <c r="Q550" t="inlineStr">
        <is>
          <t>DEL-FP</t>
        </is>
      </c>
      <c r="R550">
        <f>IF(OR(Q550="CONTEXT",Q550="REVIEW"),"",INDEX('Category Rules'!$D$5:$D$17,MATCH(P550,'Category Rules'!$A$5:$A$17,0)))</f>
        <v>4020</v>
      </c>
      <c r="S550" t="str">
        <f>IF(Q550="CONTEXT","Fencing",IF(Q550="REVIEW","",INDEX('Category Rules'!$E$5:$E$17,MATCH(P550,'Category Rules'!$A$5:$A$17,0))))</f>
        <v>Fencing</v>
      </c>
      <c r="T550" t="str">
        <f>IF(Q550="DEP","BAS Excluded","GST on Income")</f>
        <v>GST on Income</v>
      </c>
      <c r="U550">
        <f>IF(O550=T550,1,0)</f>
        <v>1</v>
      </c>
      <c r="V550" s="9">
        <f>IF(OR(M550=0,U550=1),0,IF(T550="GST on Income",ROUND(K550*0.1,2),ROUND(-K550*0.1,2)))</f>
        <v>0</v>
      </c>
    </row>
    <row r="551">
      <c r="A551" t="inlineStr">
        <is>
          <t>INV-4859-3</t>
        </is>
      </c>
      <c r="B551" t="inlineStr">
        <is>
          <t>INV-4859</t>
        </is>
      </c>
      <c r="C551" s="11" t="n">
        <v>45928</v>
      </c>
      <c r="D551" t="inlineStr">
        <is>
          <t>2025-09</t>
        </is>
      </c>
      <c r="E551" t="inlineStr">
        <is>
          <t>C0122</t>
        </is>
      </c>
      <c r="F551" t="inlineStr">
        <is>
          <t>C0122</t>
        </is>
      </c>
      <c r="G551" t="inlineStr">
        <is>
          <t>Bluegum Construction Pty Ltd</t>
        </is>
      </c>
      <c r="H551" t="inlineStr">
        <is>
          <t>S0160</t>
        </is>
      </c>
      <c r="I551" t="inlineStr">
        <is>
          <t>Security deposit - fence panels (refundable)</t>
        </is>
      </c>
      <c r="J551" t="n">
        <v>1</v>
      </c>
      <c r="K551" s="9" t="n">
        <v>730</v>
      </c>
      <c r="L551" t="inlineStr">
        <is>
          <t>PAID</t>
        </is>
      </c>
      <c r="M551">
        <f>IF(L551="VOIDED",0,1)</f>
        <v>1</v>
      </c>
      <c r="N551" t="n">
        <v>200</v>
      </c>
      <c r="O551" t="inlineStr">
        <is>
          <t>BAS Excluded</t>
        </is>
      </c>
      <c r="P551" t="inlineStr">
        <is>
          <t>R01</t>
        </is>
      </c>
      <c r="Q551" t="inlineStr">
        <is>
          <t>DEP</t>
        </is>
      </c>
      <c r="R551">
        <f>IF(OR(Q551="CONTEXT",Q551="REVIEW"),"",INDEX('Category Rules'!$D$5:$D$17,MATCH(P551,'Category Rules'!$A$5:$A$17,0)))</f>
        <v>835</v>
      </c>
      <c r="S551" t="str">
        <f>IF(Q551="CONTEXT","Fencing",IF(Q551="REVIEW","",INDEX('Category Rules'!$E$5:$E$17,MATCH(P551,'Category Rules'!$A$5:$A$17,0))))</f>
        <v>Fencing</v>
      </c>
      <c r="T551" t="str">
        <f>IF(Q551="DEP","BAS Excluded","GST on Income")</f>
        <v>BAS Excluded</v>
      </c>
      <c r="U551">
        <f>IF(O551=T551,1,0)</f>
        <v>1</v>
      </c>
      <c r="V551" s="9">
        <f>IF(OR(M551=0,U551=1),0,IF(T551="GST on Income",ROUND(K551*0.1,2),ROUND(-K551*0.1,2)))</f>
        <v>0</v>
      </c>
    </row>
    <row r="552">
      <c r="A552" t="inlineStr">
        <is>
          <t>INV-4873-1</t>
        </is>
      </c>
      <c r="B552" t="inlineStr">
        <is>
          <t>INV-4873</t>
        </is>
      </c>
      <c r="C552" s="11" t="n">
        <v>45928</v>
      </c>
      <c r="D552" t="inlineStr">
        <is>
          <t>2025-09</t>
        </is>
      </c>
      <c r="E552" t="inlineStr">
        <is>
          <t>C0038</t>
        </is>
      </c>
      <c r="F552" t="inlineStr">
        <is>
          <t>C0038</t>
        </is>
      </c>
      <c r="G552" t="inlineStr">
        <is>
          <t>Cobalt Constructions Pty Ltd</t>
        </is>
      </c>
      <c r="H552" t="inlineStr">
        <is>
          <t>S0163</t>
        </is>
      </c>
      <c r="I552" t="inlineStr">
        <is>
          <t>Temporary fence hire 4 wks (31/08/25-27/09/25) - 130 panels</t>
        </is>
      </c>
      <c r="J552" t="n">
        <v>520</v>
      </c>
      <c r="K552" s="9" t="n">
        <v>2340</v>
      </c>
      <c r="L552" t="inlineStr">
        <is>
          <t>PAID</t>
        </is>
      </c>
      <c r="M552">
        <f>IF(L552="VOIDED",0,1)</f>
        <v>1</v>
      </c>
      <c r="N552" t="n">
        <v>200</v>
      </c>
      <c r="O552" t="inlineStr">
        <is>
          <t>GST on Income</t>
        </is>
      </c>
      <c r="P552" t="inlineStr">
        <is>
          <t>R03</t>
        </is>
      </c>
      <c r="Q552" t="inlineStr">
        <is>
          <t>HIRE-FP</t>
        </is>
      </c>
      <c r="R552">
        <f>IF(OR(Q552="CONTEXT",Q552="REVIEW"),"",INDEX('Category Rules'!$D$5:$D$17,MATCH(P552,'Category Rules'!$A$5:$A$17,0)))</f>
        <v>4010</v>
      </c>
      <c r="S552" t="str">
        <f>IF(Q552="CONTEXT","Fencing",IF(Q552="REVIEW","",INDEX('Category Rules'!$E$5:$E$17,MATCH(P552,'Category Rules'!$A$5:$A$17,0))))</f>
        <v>Fencing</v>
      </c>
      <c r="T552" t="str">
        <f>IF(Q552="DEP","BAS Excluded","GST on Income")</f>
        <v>GST on Income</v>
      </c>
      <c r="U552">
        <f>IF(O552=T552,1,0)</f>
        <v>1</v>
      </c>
      <c r="V552" s="9">
        <f>IF(OR(M552=0,U552=1),0,IF(T552="GST on Income",ROUND(K552*0.1,2),ROUND(-K552*0.1,2)))</f>
        <v>0</v>
      </c>
    </row>
    <row r="553">
      <c r="A553" t="inlineStr">
        <is>
          <t>INV-5569-1</t>
        </is>
      </c>
      <c r="B553" t="inlineStr">
        <is>
          <t>INV-5569</t>
        </is>
      </c>
      <c r="C553" s="11" t="n">
        <v>45928</v>
      </c>
      <c r="D553" t="inlineStr">
        <is>
          <t>2025-09</t>
        </is>
      </c>
      <c r="E553" t="inlineStr">
        <is>
          <t>C0118</t>
        </is>
      </c>
      <c r="F553" t="inlineStr">
        <is>
          <t>C0118</t>
        </is>
      </c>
      <c r="G553" t="inlineStr">
        <is>
          <t>Sofia Singh</t>
        </is>
      </c>
      <c r="H553" t="inlineStr">
        <is>
          <t>S0363</t>
        </is>
      </c>
      <c r="I553" t="inlineStr">
        <is>
          <t>Tarp kit hire 3 wks (13/09/25-27/09/25) - 3 kits</t>
        </is>
      </c>
      <c r="J553" t="n">
        <v>9</v>
      </c>
      <c r="K553" s="9" t="n">
        <v>315</v>
      </c>
      <c r="L553" t="inlineStr">
        <is>
          <t>PAID</t>
        </is>
      </c>
      <c r="M553">
        <f>IF(L553="VOIDED",0,1)</f>
        <v>1</v>
      </c>
      <c r="N553" t="n">
        <v>200</v>
      </c>
      <c r="O553" t="inlineStr">
        <is>
          <t>GST on Income</t>
        </is>
      </c>
      <c r="P553" t="inlineStr">
        <is>
          <t>R06</t>
        </is>
      </c>
      <c r="Q553" t="inlineStr">
        <is>
          <t>HIRE-TK</t>
        </is>
      </c>
      <c r="R553">
        <f>IF(OR(Q553="CONTEXT",Q553="REVIEW"),"",INDEX('Category Rules'!$D$5:$D$17,MATCH(P553,'Category Rules'!$A$5:$A$17,0)))</f>
        <v>4010</v>
      </c>
      <c r="S553" t="str">
        <f>IF(Q553="CONTEXT","Make-safe",IF(Q553="REVIEW","",INDEX('Category Rules'!$E$5:$E$17,MATCH(P553,'Category Rules'!$A$5:$A$17,0))))</f>
        <v>Make-safe</v>
      </c>
      <c r="T553" t="str">
        <f>IF(Q553="DEP","BAS Excluded","GST on Income")</f>
        <v>GST on Income</v>
      </c>
      <c r="U553">
        <f>IF(O553=T553,1,0)</f>
        <v>1</v>
      </c>
      <c r="V553" s="9">
        <f>IF(OR(M553=0,U553=1),0,IF(T553="GST on Income",ROUND(K553*0.1,2),ROUND(-K553*0.1,2)))</f>
        <v>0</v>
      </c>
    </row>
    <row r="554">
      <c r="A554" t="inlineStr">
        <is>
          <t>INV-4954-1</t>
        </is>
      </c>
      <c r="B554" t="inlineStr">
        <is>
          <t>INV-4954</t>
        </is>
      </c>
      <c r="C554" s="11" t="n">
        <v>45929</v>
      </c>
      <c r="D554" t="inlineStr">
        <is>
          <t>2025-09</t>
        </is>
      </c>
      <c r="E554" t="inlineStr">
        <is>
          <t>C0018</t>
        </is>
      </c>
      <c r="F554" t="inlineStr">
        <is>
          <t>C0018</t>
        </is>
      </c>
      <c r="G554" t="inlineStr">
        <is>
          <t>Wattle Constructions Pty Ltd</t>
        </is>
      </c>
      <c r="H554" t="inlineStr">
        <is>
          <t>S0181</t>
        </is>
      </c>
      <c r="I554" t="inlineStr">
        <is>
          <t>Delivery and installation - temporary fencing</t>
        </is>
      </c>
      <c r="J554" t="n">
        <v>1</v>
      </c>
      <c r="K554" s="9" t="n">
        <v>165</v>
      </c>
      <c r="L554" t="inlineStr">
        <is>
          <t>PAID</t>
        </is>
      </c>
      <c r="M554">
        <f>IF(L554="VOIDED",0,1)</f>
        <v>1</v>
      </c>
      <c r="N554" t="n">
        <v>200</v>
      </c>
      <c r="O554" t="inlineStr">
        <is>
          <t>GST on Income</t>
        </is>
      </c>
      <c r="P554" t="inlineStr">
        <is>
          <t>R07</t>
        </is>
      </c>
      <c r="Q554" t="inlineStr">
        <is>
          <t>DEL-FP</t>
        </is>
      </c>
      <c r="R554">
        <f>IF(OR(Q554="CONTEXT",Q554="REVIEW"),"",INDEX('Category Rules'!$D$5:$D$17,MATCH(P554,'Category Rules'!$A$5:$A$17,0)))</f>
        <v>4020</v>
      </c>
      <c r="S554" t="str">
        <f>IF(Q554="CONTEXT","Fencing",IF(Q554="REVIEW","",INDEX('Category Rules'!$E$5:$E$17,MATCH(P554,'Category Rules'!$A$5:$A$17,0))))</f>
        <v>Fencing</v>
      </c>
      <c r="T554" t="str">
        <f>IF(Q554="DEP","BAS Excluded","GST on Income")</f>
        <v>GST on Income</v>
      </c>
      <c r="U554">
        <f>IF(O554=T554,1,0)</f>
        <v>1</v>
      </c>
      <c r="V554" s="9">
        <f>IF(OR(M554=0,U554=1),0,IF(T554="GST on Income",ROUND(K554*0.1,2),ROUND(-K554*0.1,2)))</f>
        <v>0</v>
      </c>
    </row>
    <row r="555">
      <c r="A555" t="inlineStr">
        <is>
          <t>INV-4954-2</t>
        </is>
      </c>
      <c r="B555" t="inlineStr">
        <is>
          <t>INV-4954</t>
        </is>
      </c>
      <c r="C555" s="11" t="n">
        <v>45929</v>
      </c>
      <c r="D555" t="inlineStr">
        <is>
          <t>2025-09</t>
        </is>
      </c>
      <c r="E555" t="inlineStr">
        <is>
          <t>C0018</t>
        </is>
      </c>
      <c r="F555" t="inlineStr">
        <is>
          <t>C0018</t>
        </is>
      </c>
      <c r="G555" t="inlineStr">
        <is>
          <t>Wattle Constructions Pty Ltd</t>
        </is>
      </c>
      <c r="H555" t="inlineStr">
        <is>
          <t>S0181</t>
        </is>
      </c>
      <c r="I555" t="inlineStr">
        <is>
          <t>Installation labour - 122 panels @ 2.20</t>
        </is>
      </c>
      <c r="J555" t="n">
        <v>122</v>
      </c>
      <c r="K555" s="9" t="n">
        <v>268.4</v>
      </c>
      <c r="L555" t="inlineStr">
        <is>
          <t>PAID</t>
        </is>
      </c>
      <c r="M555">
        <f>IF(L555="VOIDED",0,1)</f>
        <v>1</v>
      </c>
      <c r="N555" t="n">
        <v>200</v>
      </c>
      <c r="O555" t="inlineStr">
        <is>
          <t>GST on Income</t>
        </is>
      </c>
      <c r="P555" t="inlineStr">
        <is>
          <t>R07</t>
        </is>
      </c>
      <c r="Q555" t="inlineStr">
        <is>
          <t>DEL-FP</t>
        </is>
      </c>
      <c r="R555">
        <f>IF(OR(Q555="CONTEXT",Q555="REVIEW"),"",INDEX('Category Rules'!$D$5:$D$17,MATCH(P555,'Category Rules'!$A$5:$A$17,0)))</f>
        <v>4020</v>
      </c>
      <c r="S555" t="str">
        <f>IF(Q555="CONTEXT","Fencing",IF(Q555="REVIEW","",INDEX('Category Rules'!$E$5:$E$17,MATCH(P555,'Category Rules'!$A$5:$A$17,0))))</f>
        <v>Fencing</v>
      </c>
      <c r="T555" t="str">
        <f>IF(Q555="DEP","BAS Excluded","GST on Income")</f>
        <v>GST on Income</v>
      </c>
      <c r="U555">
        <f>IF(O555=T555,1,0)</f>
        <v>1</v>
      </c>
      <c r="V555" s="9">
        <f>IF(OR(M555=0,U555=1),0,IF(T555="GST on Income",ROUND(K555*0.1,2),ROUND(-K555*0.1,2)))</f>
        <v>0</v>
      </c>
    </row>
    <row r="556">
      <c r="A556" t="inlineStr">
        <is>
          <t>INV-5274-1</t>
        </is>
      </c>
      <c r="B556" t="inlineStr">
        <is>
          <t>INV-5274</t>
        </is>
      </c>
      <c r="C556" s="11" t="n">
        <v>45929</v>
      </c>
      <c r="D556" t="inlineStr">
        <is>
          <t>2025-09</t>
        </is>
      </c>
      <c r="E556" t="inlineStr">
        <is>
          <t>C0094</t>
        </is>
      </c>
      <c r="F556" t="inlineStr">
        <is>
          <t>C0094</t>
        </is>
      </c>
      <c r="G556" t="inlineStr">
        <is>
          <t>Grace Kelly</t>
        </is>
      </c>
      <c r="H556" t="inlineStr">
        <is>
          <t>S0253</t>
        </is>
      </c>
      <c r="I556" t="inlineStr">
        <is>
          <t>Scaffold tower hire 3 wks (14/09/25-28/09/25) - 3 towers</t>
        </is>
      </c>
      <c r="J556" t="n">
        <v>9</v>
      </c>
      <c r="K556" s="9" t="n">
        <v>855</v>
      </c>
      <c r="L556" t="inlineStr">
        <is>
          <t>PAID</t>
        </is>
      </c>
      <c r="M556">
        <f>IF(L556="VOIDED",0,1)</f>
        <v>1</v>
      </c>
      <c r="N556" t="n">
        <v>200</v>
      </c>
      <c r="O556" t="inlineStr">
        <is>
          <t>GST on Income</t>
        </is>
      </c>
      <c r="P556" t="inlineStr">
        <is>
          <t>R05</t>
        </is>
      </c>
      <c r="Q556" t="inlineStr">
        <is>
          <t>HIRE-ST</t>
        </is>
      </c>
      <c r="R556">
        <f>IF(OR(Q556="CONTEXT",Q556="REVIEW"),"",INDEX('Category Rules'!$D$5:$D$17,MATCH(P556,'Category Rules'!$A$5:$A$17,0)))</f>
        <v>4010</v>
      </c>
      <c r="S556" t="str">
        <f>IF(Q556="CONTEXT","Scaffolding",IF(Q556="REVIEW","",INDEX('Category Rules'!$E$5:$E$17,MATCH(P556,'Category Rules'!$A$5:$A$17,0))))</f>
        <v>Scaffolding</v>
      </c>
      <c r="T556" t="str">
        <f>IF(Q556="DEP","BAS Excluded","GST on Income")</f>
        <v>GST on Income</v>
      </c>
      <c r="U556">
        <f>IF(O556=T556,1,0)</f>
        <v>1</v>
      </c>
      <c r="V556" s="9">
        <f>IF(OR(M556=0,U556=1),0,IF(T556="GST on Income",ROUND(K556*0.1,2),ROUND(-K556*0.1,2)))</f>
        <v>0</v>
      </c>
    </row>
    <row r="557">
      <c r="A557" t="inlineStr">
        <is>
          <t>INV-5276-1</t>
        </is>
      </c>
      <c r="B557" t="inlineStr">
        <is>
          <t>INV-5276</t>
        </is>
      </c>
      <c r="C557" s="11" t="n">
        <v>45929</v>
      </c>
      <c r="D557" t="inlineStr">
        <is>
          <t>2025-09</t>
        </is>
      </c>
      <c r="E557" t="inlineStr">
        <is>
          <t>C0094</t>
        </is>
      </c>
      <c r="F557" t="inlineStr">
        <is>
          <t>C0094</t>
        </is>
      </c>
      <c r="G557" t="inlineStr">
        <is>
          <t>Grace Kelly</t>
        </is>
      </c>
      <c r="H557" t="inlineStr">
        <is>
          <t>S0253</t>
        </is>
      </c>
      <c r="I557" t="inlineStr">
        <is>
          <t>Scaffold dismantle - 3 tower(s)</t>
        </is>
      </c>
      <c r="J557" t="n">
        <v>3</v>
      </c>
      <c r="K557" s="9" t="n">
        <v>960</v>
      </c>
      <c r="L557" t="inlineStr">
        <is>
          <t>PAID</t>
        </is>
      </c>
      <c r="M557">
        <f>IF(L557="VOIDED",0,1)</f>
        <v>1</v>
      </c>
      <c r="N557" t="n">
        <v>200</v>
      </c>
      <c r="O557" t="inlineStr">
        <is>
          <t>GST on Income</t>
        </is>
      </c>
      <c r="P557" t="inlineStr">
        <is>
          <t>R08</t>
        </is>
      </c>
      <c r="Q557" t="inlineStr">
        <is>
          <t>LAB-ST</t>
        </is>
      </c>
      <c r="R557">
        <f>IF(OR(Q557="CONTEXT",Q557="REVIEW"),"",INDEX('Category Rules'!$D$5:$D$17,MATCH(P557,'Category Rules'!$A$5:$A$17,0)))</f>
        <v>4020</v>
      </c>
      <c r="S557" t="str">
        <f>IF(Q557="CONTEXT","Scaffolding",IF(Q557="REVIEW","",INDEX('Category Rules'!$E$5:$E$17,MATCH(P557,'Category Rules'!$A$5:$A$17,0))))</f>
        <v>Scaffolding</v>
      </c>
      <c r="T557" t="str">
        <f>IF(Q557="DEP","BAS Excluded","GST on Income")</f>
        <v>GST on Income</v>
      </c>
      <c r="U557">
        <f>IF(O557=T557,1,0)</f>
        <v>1</v>
      </c>
      <c r="V557" s="9">
        <f>IF(OR(M557=0,U557=1),0,IF(T557="GST on Income",ROUND(K557*0.1,2),ROUND(-K557*0.1,2)))</f>
        <v>0</v>
      </c>
    </row>
    <row r="558">
      <c r="A558" t="inlineStr">
        <is>
          <t>INV-5303-1</t>
        </is>
      </c>
      <c r="B558" t="inlineStr">
        <is>
          <t>INV-5303</t>
        </is>
      </c>
      <c r="C558" s="11" t="n">
        <v>45929</v>
      </c>
      <c r="D558" t="inlineStr">
        <is>
          <t>2025-09</t>
        </is>
      </c>
      <c r="E558" t="inlineStr">
        <is>
          <t>C0123</t>
        </is>
      </c>
      <c r="F558" t="inlineStr">
        <is>
          <t>C0123</t>
        </is>
      </c>
      <c r="G558" t="inlineStr">
        <is>
          <t>Harbour Strata Management</t>
        </is>
      </c>
      <c r="H558" t="inlineStr">
        <is>
          <t>S0261</t>
        </is>
      </c>
      <c r="I558" t="inlineStr">
        <is>
          <t>Scaffold tower hire 4 wks (01/09/25-28/09/25) - 4 towers</t>
        </is>
      </c>
      <c r="J558" t="n">
        <v>16</v>
      </c>
      <c r="K558" s="9" t="n">
        <v>1520</v>
      </c>
      <c r="L558" t="inlineStr">
        <is>
          <t>PAID</t>
        </is>
      </c>
      <c r="M558">
        <f>IF(L558="VOIDED",0,1)</f>
        <v>1</v>
      </c>
      <c r="N558" t="n">
        <v>200</v>
      </c>
      <c r="O558" t="inlineStr">
        <is>
          <t>GST on Income</t>
        </is>
      </c>
      <c r="P558" t="inlineStr">
        <is>
          <t>R05</t>
        </is>
      </c>
      <c r="Q558" t="inlineStr">
        <is>
          <t>HIRE-ST</t>
        </is>
      </c>
      <c r="R558">
        <f>IF(OR(Q558="CONTEXT",Q558="REVIEW"),"",INDEX('Category Rules'!$D$5:$D$17,MATCH(P558,'Category Rules'!$A$5:$A$17,0)))</f>
        <v>4010</v>
      </c>
      <c r="S558" t="str">
        <f>IF(Q558="CONTEXT","Scaffolding",IF(Q558="REVIEW","",INDEX('Category Rules'!$E$5:$E$17,MATCH(P558,'Category Rules'!$A$5:$A$17,0))))</f>
        <v>Scaffolding</v>
      </c>
      <c r="T558" t="str">
        <f>IF(Q558="DEP","BAS Excluded","GST on Income")</f>
        <v>GST on Income</v>
      </c>
      <c r="U558">
        <f>IF(O558=T558,1,0)</f>
        <v>1</v>
      </c>
      <c r="V558" s="9">
        <f>IF(OR(M558=0,U558=1),0,IF(T558="GST on Income",ROUND(K558*0.1,2),ROUND(-K558*0.1,2)))</f>
        <v>0</v>
      </c>
    </row>
    <row r="559">
      <c r="A559" t="inlineStr">
        <is>
          <t>INV-5846-1</t>
        </is>
      </c>
      <c r="B559" t="inlineStr">
        <is>
          <t>INV-5846</t>
        </is>
      </c>
      <c r="C559" s="11" t="n">
        <v>45929</v>
      </c>
      <c r="D559" t="inlineStr">
        <is>
          <t>2025-09</t>
        </is>
      </c>
      <c r="E559" t="inlineStr">
        <is>
          <t>C0060</t>
        </is>
      </c>
      <c r="F559" t="inlineStr">
        <is>
          <t>C0060</t>
        </is>
      </c>
      <c r="G559" t="inlineStr">
        <is>
          <t>Redline Claims Services</t>
        </is>
      </c>
      <c r="H559" t="inlineStr">
        <is>
          <t>S0518</t>
        </is>
      </c>
      <c r="I559" t="inlineStr">
        <is>
          <t>Tarp kit hire 3 wks (14/09/25-28/09/25) - 2 kits</t>
        </is>
      </c>
      <c r="J559" t="n">
        <v>6</v>
      </c>
      <c r="K559" s="9" t="n">
        <v>210</v>
      </c>
      <c r="L559" t="inlineStr">
        <is>
          <t>PAID</t>
        </is>
      </c>
      <c r="M559">
        <f>IF(L559="VOIDED",0,1)</f>
        <v>1</v>
      </c>
      <c r="N559" t="n">
        <v>200</v>
      </c>
      <c r="O559" t="inlineStr">
        <is>
          <t>GST on Income</t>
        </is>
      </c>
      <c r="P559" t="inlineStr">
        <is>
          <t>R06</t>
        </is>
      </c>
      <c r="Q559" t="inlineStr">
        <is>
          <t>HIRE-TK</t>
        </is>
      </c>
      <c r="R559">
        <f>IF(OR(Q559="CONTEXT",Q559="REVIEW"),"",INDEX('Category Rules'!$D$5:$D$17,MATCH(P559,'Category Rules'!$A$5:$A$17,0)))</f>
        <v>4010</v>
      </c>
      <c r="S559" t="str">
        <f>IF(Q559="CONTEXT","Make-safe",IF(Q559="REVIEW","",INDEX('Category Rules'!$E$5:$E$17,MATCH(P559,'Category Rules'!$A$5:$A$17,0))))</f>
        <v>Make-safe</v>
      </c>
      <c r="T559" t="str">
        <f>IF(Q559="DEP","BAS Excluded","GST on Income")</f>
        <v>GST on Income</v>
      </c>
      <c r="U559">
        <f>IF(O559=T559,1,0)</f>
        <v>1</v>
      </c>
      <c r="V559" s="9">
        <f>IF(OR(M559=0,U559=1),0,IF(T559="GST on Income",ROUND(K559*0.1,2),ROUND(-K559*0.1,2)))</f>
        <v>0</v>
      </c>
    </row>
    <row r="560">
      <c r="A560" t="inlineStr">
        <is>
          <t>INV-4397-1</t>
        </is>
      </c>
      <c r="B560" t="inlineStr">
        <is>
          <t>INV-4397</t>
        </is>
      </c>
      <c r="C560" s="11" t="n">
        <v>45930</v>
      </c>
      <c r="D560" t="inlineStr">
        <is>
          <t>2025-09</t>
        </is>
      </c>
      <c r="E560" t="inlineStr">
        <is>
          <t>C0119</t>
        </is>
      </c>
      <c r="F560" t="inlineStr">
        <is>
          <t>C0119</t>
        </is>
      </c>
      <c r="G560" t="inlineStr">
        <is>
          <t>Northgate Builders Pty Ltd</t>
        </is>
      </c>
      <c r="H560" t="inlineStr">
        <is>
          <t>S0062</t>
        </is>
      </c>
      <c r="I560" t="inlineStr">
        <is>
          <t>Temporary fence hire 4 wks (02/09/25-29/09/25) - 135 panels</t>
        </is>
      </c>
      <c r="J560" t="n">
        <v>540</v>
      </c>
      <c r="K560" s="9" t="n">
        <v>2430</v>
      </c>
      <c r="L560" t="inlineStr">
        <is>
          <t>PAID</t>
        </is>
      </c>
      <c r="M560">
        <f>IF(L560="VOIDED",0,1)</f>
        <v>1</v>
      </c>
      <c r="N560" t="n">
        <v>200</v>
      </c>
      <c r="O560" t="inlineStr">
        <is>
          <t>GST on Income</t>
        </is>
      </c>
      <c r="P560" t="inlineStr">
        <is>
          <t>R03</t>
        </is>
      </c>
      <c r="Q560" t="inlineStr">
        <is>
          <t>HIRE-FP</t>
        </is>
      </c>
      <c r="R560">
        <f>IF(OR(Q560="CONTEXT",Q560="REVIEW"),"",INDEX('Category Rules'!$D$5:$D$17,MATCH(P560,'Category Rules'!$A$5:$A$17,0)))</f>
        <v>4010</v>
      </c>
      <c r="S560" t="str">
        <f>IF(Q560="CONTEXT","Fencing",IF(Q560="REVIEW","",INDEX('Category Rules'!$E$5:$E$17,MATCH(P560,'Category Rules'!$A$5:$A$17,0))))</f>
        <v>Fencing</v>
      </c>
      <c r="T560" t="str">
        <f>IF(Q560="DEP","BAS Excluded","GST on Income")</f>
        <v>GST on Income</v>
      </c>
      <c r="U560">
        <f>IF(O560=T560,1,0)</f>
        <v>1</v>
      </c>
      <c r="V560" s="9">
        <f>IF(OR(M560=0,U560=1),0,IF(T560="GST on Income",ROUND(K560*0.1,2),ROUND(-K560*0.1,2)))</f>
        <v>0</v>
      </c>
    </row>
    <row r="561">
      <c r="A561" t="inlineStr">
        <is>
          <t>INV-4406-1</t>
        </is>
      </c>
      <c r="B561" t="inlineStr">
        <is>
          <t>INV-4406</t>
        </is>
      </c>
      <c r="C561" s="11" t="n">
        <v>45930</v>
      </c>
      <c r="D561" t="inlineStr">
        <is>
          <t>2025-09</t>
        </is>
      </c>
      <c r="E561" t="inlineStr">
        <is>
          <t>C0119</t>
        </is>
      </c>
      <c r="F561" t="inlineStr">
        <is>
          <t>C0119</t>
        </is>
      </c>
      <c r="G561" t="inlineStr">
        <is>
          <t>Northgate Builders Pty Ltd</t>
        </is>
      </c>
      <c r="H561" t="inlineStr">
        <is>
          <t>S0062</t>
        </is>
      </c>
      <c r="I561" t="inlineStr">
        <is>
          <t>Pedestrian barrier hire 4 wks (02/09/25-29/09/25) - 19 barriers</t>
        </is>
      </c>
      <c r="J561" t="n">
        <v>76</v>
      </c>
      <c r="K561" s="9" t="n">
        <v>243.2</v>
      </c>
      <c r="L561" t="inlineStr">
        <is>
          <t>PAID</t>
        </is>
      </c>
      <c r="M561">
        <f>IF(L561="VOIDED",0,1)</f>
        <v>1</v>
      </c>
      <c r="N561" t="n">
        <v>200</v>
      </c>
      <c r="O561" t="inlineStr">
        <is>
          <t>GST on Income</t>
        </is>
      </c>
      <c r="P561" t="inlineStr">
        <is>
          <t>R04</t>
        </is>
      </c>
      <c r="Q561" t="inlineStr">
        <is>
          <t>HIRE-BR</t>
        </is>
      </c>
      <c r="R561">
        <f>IF(OR(Q561="CONTEXT",Q561="REVIEW"),"",INDEX('Category Rules'!$D$5:$D$17,MATCH(P561,'Category Rules'!$A$5:$A$17,0)))</f>
        <v>4010</v>
      </c>
      <c r="S561" t="str">
        <f>IF(Q561="CONTEXT","Fencing",IF(Q561="REVIEW","",INDEX('Category Rules'!$E$5:$E$17,MATCH(P561,'Category Rules'!$A$5:$A$17,0))))</f>
        <v>Fencing</v>
      </c>
      <c r="T561" t="str">
        <f>IF(Q561="DEP","BAS Excluded","GST on Income")</f>
        <v>GST on Income</v>
      </c>
      <c r="U561">
        <f>IF(O561=T561,1,0)</f>
        <v>1</v>
      </c>
      <c r="V561" s="9">
        <f>IF(OR(M561=0,U561=1),0,IF(T561="GST on Income",ROUND(K561*0.1,2),ROUND(-K561*0.1,2)))</f>
        <v>0</v>
      </c>
    </row>
    <row r="562">
      <c r="A562" t="inlineStr">
        <is>
          <t>INV-5062-1</t>
        </is>
      </c>
      <c r="B562" t="inlineStr">
        <is>
          <t>INV-5062</t>
        </is>
      </c>
      <c r="C562" s="11" t="n">
        <v>45930</v>
      </c>
      <c r="D562" t="inlineStr">
        <is>
          <t>2025-09</t>
        </is>
      </c>
      <c r="E562" t="inlineStr">
        <is>
          <t>C0025</t>
        </is>
      </c>
      <c r="F562" t="inlineStr">
        <is>
          <t>C0025</t>
        </is>
      </c>
      <c r="G562" t="inlineStr">
        <is>
          <t>Silverleaf Building Group Pty Ltd</t>
        </is>
      </c>
      <c r="H562" t="inlineStr">
        <is>
          <t>S0205</t>
        </is>
      </c>
      <c r="I562" t="inlineStr">
        <is>
          <t>Delivery and installation - temporary fencing</t>
        </is>
      </c>
      <c r="J562" t="n">
        <v>1</v>
      </c>
      <c r="K562" s="9" t="n">
        <v>165</v>
      </c>
      <c r="L562" t="inlineStr">
        <is>
          <t>PAID</t>
        </is>
      </c>
      <c r="M562">
        <f>IF(L562="VOIDED",0,1)</f>
        <v>1</v>
      </c>
      <c r="N562" t="n">
        <v>200</v>
      </c>
      <c r="O562" t="inlineStr">
        <is>
          <t>GST on Income</t>
        </is>
      </c>
      <c r="P562" t="inlineStr">
        <is>
          <t>R07</t>
        </is>
      </c>
      <c r="Q562" t="inlineStr">
        <is>
          <t>DEL-FP</t>
        </is>
      </c>
      <c r="R562">
        <f>IF(OR(Q562="CONTEXT",Q562="REVIEW"),"",INDEX('Category Rules'!$D$5:$D$17,MATCH(P562,'Category Rules'!$A$5:$A$17,0)))</f>
        <v>4020</v>
      </c>
      <c r="S562" t="str">
        <f>IF(Q562="CONTEXT","Fencing",IF(Q562="REVIEW","",INDEX('Category Rules'!$E$5:$E$17,MATCH(P562,'Category Rules'!$A$5:$A$17,0))))</f>
        <v>Fencing</v>
      </c>
      <c r="T562" t="str">
        <f>IF(Q562="DEP","BAS Excluded","GST on Income")</f>
        <v>GST on Income</v>
      </c>
      <c r="U562">
        <f>IF(O562=T562,1,0)</f>
        <v>1</v>
      </c>
      <c r="V562" s="9">
        <f>IF(OR(M562=0,U562=1),0,IF(T562="GST on Income",ROUND(K562*0.1,2),ROUND(-K562*0.1,2)))</f>
        <v>0</v>
      </c>
    </row>
    <row r="563">
      <c r="A563" t="inlineStr">
        <is>
          <t>INV-5062-2</t>
        </is>
      </c>
      <c r="B563" t="inlineStr">
        <is>
          <t>INV-5062</t>
        </is>
      </c>
      <c r="C563" s="11" t="n">
        <v>45930</v>
      </c>
      <c r="D563" t="inlineStr">
        <is>
          <t>2025-09</t>
        </is>
      </c>
      <c r="E563" t="inlineStr">
        <is>
          <t>C0025</t>
        </is>
      </c>
      <c r="F563" t="inlineStr">
        <is>
          <t>C0025</t>
        </is>
      </c>
      <c r="G563" t="inlineStr">
        <is>
          <t>Silverleaf Building Group Pty Ltd</t>
        </is>
      </c>
      <c r="H563" t="inlineStr">
        <is>
          <t>S0205</t>
        </is>
      </c>
      <c r="I563" t="inlineStr">
        <is>
          <t>Installation labour - 77 panels @ 2.20</t>
        </is>
      </c>
      <c r="J563" t="n">
        <v>77</v>
      </c>
      <c r="K563" s="9" t="n">
        <v>169.4</v>
      </c>
      <c r="L563" t="inlineStr">
        <is>
          <t>PAID</t>
        </is>
      </c>
      <c r="M563">
        <f>IF(L563="VOIDED",0,1)</f>
        <v>1</v>
      </c>
      <c r="N563" t="n">
        <v>200</v>
      </c>
      <c r="O563" t="inlineStr">
        <is>
          <t>GST on Income</t>
        </is>
      </c>
      <c r="P563" t="inlineStr">
        <is>
          <t>R07</t>
        </is>
      </c>
      <c r="Q563" t="inlineStr">
        <is>
          <t>DEL-FP</t>
        </is>
      </c>
      <c r="R563">
        <f>IF(OR(Q563="CONTEXT",Q563="REVIEW"),"",INDEX('Category Rules'!$D$5:$D$17,MATCH(P563,'Category Rules'!$A$5:$A$17,0)))</f>
        <v>4020</v>
      </c>
      <c r="S563" t="str">
        <f>IF(Q563="CONTEXT","Fencing",IF(Q563="REVIEW","",INDEX('Category Rules'!$E$5:$E$17,MATCH(P563,'Category Rules'!$A$5:$A$17,0))))</f>
        <v>Fencing</v>
      </c>
      <c r="T563" t="str">
        <f>IF(Q563="DEP","BAS Excluded","GST on Income")</f>
        <v>GST on Income</v>
      </c>
      <c r="U563">
        <f>IF(O563=T563,1,0)</f>
        <v>1</v>
      </c>
      <c r="V563" s="9">
        <f>IF(OR(M563=0,U563=1),0,IF(T563="GST on Income",ROUND(K563*0.1,2),ROUND(-K563*0.1,2)))</f>
        <v>0</v>
      </c>
    </row>
    <row r="564">
      <c r="A564" t="inlineStr">
        <is>
          <t>INV-5114-1</t>
        </is>
      </c>
      <c r="B564" t="inlineStr">
        <is>
          <t>INV-5114</t>
        </is>
      </c>
      <c r="C564" s="11" t="n">
        <v>45930</v>
      </c>
      <c r="D564" t="inlineStr">
        <is>
          <t>2025-09</t>
        </is>
      </c>
      <c r="E564" t="inlineStr">
        <is>
          <t>C0029</t>
        </is>
      </c>
      <c r="F564" t="inlineStr">
        <is>
          <t>C0029</t>
        </is>
      </c>
      <c r="G564" t="inlineStr">
        <is>
          <t>Ironbark Constructions</t>
        </is>
      </c>
      <c r="H564" t="inlineStr">
        <is>
          <t>S0216</t>
        </is>
      </c>
      <c r="I564" t="inlineStr">
        <is>
          <t>Temporary fence hire 4 wks (02/09/25-29/09/25) - 102 panels</t>
        </is>
      </c>
      <c r="J564" t="n">
        <v>408</v>
      </c>
      <c r="K564" s="9" t="n">
        <v>1836</v>
      </c>
      <c r="L564" t="inlineStr">
        <is>
          <t>PAID</t>
        </is>
      </c>
      <c r="M564">
        <f>IF(L564="VOIDED",0,1)</f>
        <v>1</v>
      </c>
      <c r="N564" t="n">
        <v>200</v>
      </c>
      <c r="O564" t="inlineStr">
        <is>
          <t>GST on Income</t>
        </is>
      </c>
      <c r="P564" t="inlineStr">
        <is>
          <t>R03</t>
        </is>
      </c>
      <c r="Q564" t="inlineStr">
        <is>
          <t>HIRE-FP</t>
        </is>
      </c>
      <c r="R564">
        <f>IF(OR(Q564="CONTEXT",Q564="REVIEW"),"",INDEX('Category Rules'!$D$5:$D$17,MATCH(P564,'Category Rules'!$A$5:$A$17,0)))</f>
        <v>4010</v>
      </c>
      <c r="S564" t="str">
        <f>IF(Q564="CONTEXT","Fencing",IF(Q564="REVIEW","",INDEX('Category Rules'!$E$5:$E$17,MATCH(P564,'Category Rules'!$A$5:$A$17,0))))</f>
        <v>Fencing</v>
      </c>
      <c r="T564" t="str">
        <f>IF(Q564="DEP","BAS Excluded","GST on Income")</f>
        <v>GST on Income</v>
      </c>
      <c r="U564">
        <f>IF(O564=T564,1,0)</f>
        <v>1</v>
      </c>
      <c r="V564" s="9">
        <f>IF(OR(M564=0,U564=1),0,IF(T564="GST on Income",ROUND(K564*0.1,2),ROUND(-K564*0.1,2)))</f>
        <v>0</v>
      </c>
    </row>
    <row r="565">
      <c r="A565" t="inlineStr">
        <is>
          <t>INV-5496-1</t>
        </is>
      </c>
      <c r="B565" t="inlineStr">
        <is>
          <t>INV-5496</t>
        </is>
      </c>
      <c r="C565" s="11" t="n">
        <v>45930</v>
      </c>
      <c r="D565" t="inlineStr">
        <is>
          <t>2025-09</t>
        </is>
      </c>
      <c r="E565" t="inlineStr">
        <is>
          <t>C0048</t>
        </is>
      </c>
      <c r="F565" t="inlineStr">
        <is>
          <t>C0048</t>
        </is>
      </c>
      <c r="G565" t="inlineStr">
        <is>
          <t>Banksia Strata Management</t>
        </is>
      </c>
      <c r="H565" t="inlineStr">
        <is>
          <t>S0324</t>
        </is>
      </c>
      <c r="I565" t="inlineStr">
        <is>
          <t>Roof repair labour - 16 hrs</t>
        </is>
      </c>
      <c r="J565" t="n">
        <v>16</v>
      </c>
      <c r="K565" s="9" t="n">
        <v>1568</v>
      </c>
      <c r="L565" t="inlineStr">
        <is>
          <t>PAID</t>
        </is>
      </c>
      <c r="M565">
        <f>IF(L565="VOIDED",0,1)</f>
        <v>1</v>
      </c>
      <c r="N565" t="n">
        <v>200</v>
      </c>
      <c r="O565" t="inlineStr">
        <is>
          <t>GST on Income</t>
        </is>
      </c>
      <c r="P565" t="inlineStr">
        <is>
          <t>R10</t>
        </is>
      </c>
      <c r="Q565" t="inlineStr">
        <is>
          <t>LAB-RF</t>
        </is>
      </c>
      <c r="R565">
        <f>IF(OR(Q565="CONTEXT",Q565="REVIEW"),"",INDEX('Category Rules'!$D$5:$D$17,MATCH(P565,'Category Rules'!$A$5:$A$17,0)))</f>
        <v>4020</v>
      </c>
      <c r="S565" t="str">
        <f>IF(Q565="CONTEXT","Roofing",IF(Q565="REVIEW","",INDEX('Category Rules'!$E$5:$E$17,MATCH(P565,'Category Rules'!$A$5:$A$17,0))))</f>
        <v>Roofing</v>
      </c>
      <c r="T565" t="str">
        <f>IF(Q565="DEP","BAS Excluded","GST on Income")</f>
        <v>GST on Income</v>
      </c>
      <c r="U565">
        <f>IF(O565=T565,1,0)</f>
        <v>1</v>
      </c>
      <c r="V565" s="9">
        <f>IF(OR(M565=0,U565=1),0,IF(T565="GST on Income",ROUND(K565*0.1,2),ROUND(-K565*0.1,2)))</f>
        <v>0</v>
      </c>
    </row>
    <row r="566">
      <c r="A566" t="inlineStr">
        <is>
          <t>INV-5496-2</t>
        </is>
      </c>
      <c r="B566" t="inlineStr">
        <is>
          <t>INV-5496</t>
        </is>
      </c>
      <c r="C566" s="11" t="n">
        <v>45930</v>
      </c>
      <c r="D566" t="inlineStr">
        <is>
          <t>2025-09</t>
        </is>
      </c>
      <c r="E566" t="inlineStr">
        <is>
          <t>C0048</t>
        </is>
      </c>
      <c r="F566" t="inlineStr">
        <is>
          <t>C0048</t>
        </is>
      </c>
      <c r="G566" t="inlineStr">
        <is>
          <t>Banksia Strata Management</t>
        </is>
      </c>
      <c r="H566" t="inlineStr">
        <is>
          <t>S0324</t>
        </is>
      </c>
      <c r="I566" t="inlineStr">
        <is>
          <t>Materials - ridge capping</t>
        </is>
      </c>
      <c r="J566" t="n">
        <v>1</v>
      </c>
      <c r="K566" s="9" t="n">
        <v>233.68</v>
      </c>
      <c r="L566" t="inlineStr">
        <is>
          <t>PAID</t>
        </is>
      </c>
      <c r="M566">
        <f>IF(L566="VOIDED",0,1)</f>
        <v>1</v>
      </c>
      <c r="N566" t="n">
        <v>200</v>
      </c>
      <c r="O566" t="inlineStr">
        <is>
          <t>GST on Income</t>
        </is>
      </c>
      <c r="P566" t="inlineStr">
        <is>
          <t>R11</t>
        </is>
      </c>
      <c r="Q566" t="inlineStr">
        <is>
          <t>MAT-RF</t>
        </is>
      </c>
      <c r="R566">
        <f>IF(OR(Q566="CONTEXT",Q566="REVIEW"),"",INDEX('Category Rules'!$D$5:$D$17,MATCH(P566,'Category Rules'!$A$5:$A$17,0)))</f>
        <v>4030</v>
      </c>
      <c r="S566" t="str">
        <f>IF(Q566="CONTEXT","Roofing",IF(Q566="REVIEW","",INDEX('Category Rules'!$E$5:$E$17,MATCH(P566,'Category Rules'!$A$5:$A$17,0))))</f>
        <v>Roofing</v>
      </c>
      <c r="T566" t="str">
        <f>IF(Q566="DEP","BAS Excluded","GST on Income")</f>
        <v>GST on Income</v>
      </c>
      <c r="U566">
        <f>IF(O566=T566,1,0)</f>
        <v>1</v>
      </c>
      <c r="V566" s="9">
        <f>IF(OR(M566=0,U566=1),0,IF(T566="GST on Income",ROUND(K566*0.1,2),ROUND(-K566*0.1,2)))</f>
        <v>0</v>
      </c>
    </row>
    <row r="567">
      <c r="A567" t="inlineStr">
        <is>
          <t>INV-5496-3</t>
        </is>
      </c>
      <c r="B567" t="inlineStr">
        <is>
          <t>INV-5496</t>
        </is>
      </c>
      <c r="C567" s="11" t="n">
        <v>45930</v>
      </c>
      <c r="D567" t="inlineStr">
        <is>
          <t>2025-09</t>
        </is>
      </c>
      <c r="E567" t="inlineStr">
        <is>
          <t>C0048</t>
        </is>
      </c>
      <c r="F567" t="inlineStr">
        <is>
          <t>C0048</t>
        </is>
      </c>
      <c r="G567" t="inlineStr">
        <is>
          <t>Banksia Strata Management</t>
        </is>
      </c>
      <c r="H567" t="inlineStr">
        <is>
          <t>S0324</t>
        </is>
      </c>
      <c r="I567" t="inlineStr">
        <is>
          <t>Materials - gutter and downpipe</t>
        </is>
      </c>
      <c r="J567" t="n">
        <v>1</v>
      </c>
      <c r="K567" s="9" t="n">
        <v>186.35</v>
      </c>
      <c r="L567" t="inlineStr">
        <is>
          <t>PAID</t>
        </is>
      </c>
      <c r="M567">
        <f>IF(L567="VOIDED",0,1)</f>
        <v>1</v>
      </c>
      <c r="N567" t="n">
        <v>200</v>
      </c>
      <c r="O567" t="inlineStr">
        <is>
          <t>GST on Income</t>
        </is>
      </c>
      <c r="P567" t="inlineStr">
        <is>
          <t>R11</t>
        </is>
      </c>
      <c r="Q567" t="inlineStr">
        <is>
          <t>MAT-RF</t>
        </is>
      </c>
      <c r="R567">
        <f>IF(OR(Q567="CONTEXT",Q567="REVIEW"),"",INDEX('Category Rules'!$D$5:$D$17,MATCH(P567,'Category Rules'!$A$5:$A$17,0)))</f>
        <v>4030</v>
      </c>
      <c r="S567" t="str">
        <f>IF(Q567="CONTEXT","Roofing",IF(Q567="REVIEW","",INDEX('Category Rules'!$E$5:$E$17,MATCH(P567,'Category Rules'!$A$5:$A$17,0))))</f>
        <v>Roofing</v>
      </c>
      <c r="T567" t="str">
        <f>IF(Q567="DEP","BAS Excluded","GST on Income")</f>
        <v>GST on Income</v>
      </c>
      <c r="U567">
        <f>IF(O567=T567,1,0)</f>
        <v>1</v>
      </c>
      <c r="V567" s="9">
        <f>IF(OR(M567=0,U567=1),0,IF(T567="GST on Income",ROUND(K567*0.1,2),ROUND(-K567*0.1,2)))</f>
        <v>0</v>
      </c>
    </row>
    <row r="568">
      <c r="A568" t="inlineStr">
        <is>
          <t>INV-5496-4</t>
        </is>
      </c>
      <c r="B568" t="inlineStr">
        <is>
          <t>INV-5496</t>
        </is>
      </c>
      <c r="C568" s="11" t="n">
        <v>45930</v>
      </c>
      <c r="D568" t="inlineStr">
        <is>
          <t>2025-09</t>
        </is>
      </c>
      <c r="E568" t="inlineStr">
        <is>
          <t>C0048</t>
        </is>
      </c>
      <c r="F568" t="inlineStr">
        <is>
          <t>C0048</t>
        </is>
      </c>
      <c r="G568" t="inlineStr">
        <is>
          <t>Banksia Strata Management</t>
        </is>
      </c>
      <c r="H568" t="inlineStr">
        <is>
          <t>S0324</t>
        </is>
      </c>
      <c r="I568" t="inlineStr">
        <is>
          <t>Waste removal and tip fees</t>
        </is>
      </c>
      <c r="J568" t="n">
        <v>1</v>
      </c>
      <c r="K568" s="9" t="n">
        <v>120</v>
      </c>
      <c r="L568" t="inlineStr">
        <is>
          <t>PAID</t>
        </is>
      </c>
      <c r="M568">
        <f>IF(L568="VOIDED",0,1)</f>
        <v>1</v>
      </c>
      <c r="N568" t="n">
        <v>200</v>
      </c>
      <c r="O568" t="inlineStr">
        <is>
          <t>GST on Income</t>
        </is>
      </c>
      <c r="P568" t="inlineStr">
        <is>
          <t>R11</t>
        </is>
      </c>
      <c r="Q568" t="inlineStr">
        <is>
          <t>MAT-RF</t>
        </is>
      </c>
      <c r="R568">
        <f>IF(OR(Q568="CONTEXT",Q568="REVIEW"),"",INDEX('Category Rules'!$D$5:$D$17,MATCH(P568,'Category Rules'!$A$5:$A$17,0)))</f>
        <v>4030</v>
      </c>
      <c r="S568" t="str">
        <f>IF(Q568="CONTEXT","Roofing",IF(Q568="REVIEW","",INDEX('Category Rules'!$E$5:$E$17,MATCH(P568,'Category Rules'!$A$5:$A$17,0))))</f>
        <v>Roofing</v>
      </c>
      <c r="T568" t="str">
        <f>IF(Q568="DEP","BAS Excluded","GST on Income")</f>
        <v>GST on Income</v>
      </c>
      <c r="U568">
        <f>IF(O568=T568,1,0)</f>
        <v>1</v>
      </c>
      <c r="V568" s="9">
        <f>IF(OR(M568=0,U568=1),0,IF(T568="GST on Income",ROUND(K568*0.1,2),ROUND(-K568*0.1,2)))</f>
        <v>0</v>
      </c>
    </row>
    <row r="569">
      <c r="A569" t="inlineStr">
        <is>
          <t>INV-4361-1</t>
        </is>
      </c>
      <c r="B569" t="inlineStr">
        <is>
          <t>INV-4361</t>
        </is>
      </c>
      <c r="C569" s="11" t="n">
        <v>45931</v>
      </c>
      <c r="D569" t="inlineStr">
        <is>
          <t>2025-10</t>
        </is>
      </c>
      <c r="E569" t="inlineStr">
        <is>
          <t>C0022</t>
        </is>
      </c>
      <c r="F569" t="inlineStr">
        <is>
          <t>C0022</t>
        </is>
      </c>
      <c r="G569" t="inlineStr">
        <is>
          <t>Highpoint Projects</t>
        </is>
      </c>
      <c r="H569" t="inlineStr">
        <is>
          <t>S0054</t>
        </is>
      </c>
      <c r="I569" t="inlineStr">
        <is>
          <t>Temporary fence hire 4 wks (03/09/25-30/09/25) - 28 panels</t>
        </is>
      </c>
      <c r="J569" t="n">
        <v>112</v>
      </c>
      <c r="K569" s="9" t="n">
        <v>504</v>
      </c>
      <c r="L569" t="inlineStr">
        <is>
          <t>PAID</t>
        </is>
      </c>
      <c r="M569">
        <f>IF(L569="VOIDED",0,1)</f>
        <v>1</v>
      </c>
      <c r="N569" t="n">
        <v>200</v>
      </c>
      <c r="O569" t="inlineStr">
        <is>
          <t>GST on Income</t>
        </is>
      </c>
      <c r="P569" t="inlineStr">
        <is>
          <t>R03</t>
        </is>
      </c>
      <c r="Q569" t="inlineStr">
        <is>
          <t>HIRE-FP</t>
        </is>
      </c>
      <c r="R569">
        <f>IF(OR(Q569="CONTEXT",Q569="REVIEW"),"",INDEX('Category Rules'!$D$5:$D$17,MATCH(P569,'Category Rules'!$A$5:$A$17,0)))</f>
        <v>4010</v>
      </c>
      <c r="S569" t="str">
        <f>IF(Q569="CONTEXT","Fencing",IF(Q569="REVIEW","",INDEX('Category Rules'!$E$5:$E$17,MATCH(P569,'Category Rules'!$A$5:$A$17,0))))</f>
        <v>Fencing</v>
      </c>
      <c r="T569" t="str">
        <f>IF(Q569="DEP","BAS Excluded","GST on Income")</f>
        <v>GST on Income</v>
      </c>
      <c r="U569">
        <f>IF(O569=T569,1,0)</f>
        <v>1</v>
      </c>
      <c r="V569" s="9">
        <f>IF(OR(M569=0,U569=1),0,IF(T569="GST on Income",ROUND(K569*0.1,2),ROUND(-K569*0.1,2)))</f>
        <v>0</v>
      </c>
    </row>
    <row r="570">
      <c r="A570" t="inlineStr">
        <is>
          <t>INV-4364-1</t>
        </is>
      </c>
      <c r="B570" t="inlineStr">
        <is>
          <t>INV-4364</t>
        </is>
      </c>
      <c r="C570" s="11" t="n">
        <v>45931</v>
      </c>
      <c r="D570" t="inlineStr">
        <is>
          <t>2025-10</t>
        </is>
      </c>
      <c r="E570" t="inlineStr">
        <is>
          <t>C0022</t>
        </is>
      </c>
      <c r="F570" t="inlineStr">
        <is>
          <t>C0022</t>
        </is>
      </c>
      <c r="G570" t="inlineStr">
        <is>
          <t>Highpoint Projects</t>
        </is>
      </c>
      <c r="H570" t="inlineStr">
        <is>
          <t>S0054</t>
        </is>
      </c>
      <c r="I570" t="inlineStr">
        <is>
          <t>Pedestrian barrier hire 4 wks (03/09/25-30/09/25) - 23 barriers</t>
        </is>
      </c>
      <c r="J570" t="n">
        <v>92</v>
      </c>
      <c r="K570" s="9" t="n">
        <v>294.4</v>
      </c>
      <c r="L570" t="inlineStr">
        <is>
          <t>PAID</t>
        </is>
      </c>
      <c r="M570">
        <f>IF(L570="VOIDED",0,1)</f>
        <v>1</v>
      </c>
      <c r="N570" t="n">
        <v>200</v>
      </c>
      <c r="O570" t="inlineStr">
        <is>
          <t>GST on Income</t>
        </is>
      </c>
      <c r="P570" t="inlineStr">
        <is>
          <t>R04</t>
        </is>
      </c>
      <c r="Q570" t="inlineStr">
        <is>
          <t>HIRE-BR</t>
        </is>
      </c>
      <c r="R570">
        <f>IF(OR(Q570="CONTEXT",Q570="REVIEW"),"",INDEX('Category Rules'!$D$5:$D$17,MATCH(P570,'Category Rules'!$A$5:$A$17,0)))</f>
        <v>4010</v>
      </c>
      <c r="S570" t="str">
        <f>IF(Q570="CONTEXT","Fencing",IF(Q570="REVIEW","",INDEX('Category Rules'!$E$5:$E$17,MATCH(P570,'Category Rules'!$A$5:$A$17,0))))</f>
        <v>Fencing</v>
      </c>
      <c r="T570" t="str">
        <f>IF(Q570="DEP","BAS Excluded","GST on Income")</f>
        <v>GST on Income</v>
      </c>
      <c r="U570">
        <f>IF(O570=T570,1,0)</f>
        <v>1</v>
      </c>
      <c r="V570" s="9">
        <f>IF(OR(M570=0,U570=1),0,IF(T570="GST on Income",ROUND(K570*0.1,2),ROUND(-K570*0.1,2)))</f>
        <v>0</v>
      </c>
    </row>
    <row r="571">
      <c r="A571" t="inlineStr">
        <is>
          <t>INV-4470-1</t>
        </is>
      </c>
      <c r="B571" t="inlineStr">
        <is>
          <t>INV-4470</t>
        </is>
      </c>
      <c r="C571" s="11" t="n">
        <v>45931</v>
      </c>
      <c r="D571" t="inlineStr">
        <is>
          <t>2025-10</t>
        </is>
      </c>
      <c r="E571" t="inlineStr">
        <is>
          <t>C0151</t>
        </is>
      </c>
      <c r="F571" t="inlineStr">
        <is>
          <t>C0040</t>
        </is>
      </c>
      <c r="G571" t="inlineStr">
        <is>
          <t>Coastline Projects Pty Ltd</t>
        </is>
      </c>
      <c r="H571" t="inlineStr">
        <is>
          <t>S0076</t>
        </is>
      </c>
      <c r="I571" t="inlineStr">
        <is>
          <t>Temporary fence hire 4 wks (09/09/25-30/09/25) - 19 panels</t>
        </is>
      </c>
      <c r="J571" t="n">
        <v>76</v>
      </c>
      <c r="K571" s="9" t="n">
        <v>342</v>
      </c>
      <c r="L571" t="inlineStr">
        <is>
          <t>PAID</t>
        </is>
      </c>
      <c r="M571">
        <f>IF(L571="VOIDED",0,1)</f>
        <v>1</v>
      </c>
      <c r="N571" t="n">
        <v>200</v>
      </c>
      <c r="O571" t="inlineStr">
        <is>
          <t>GST on Income</t>
        </is>
      </c>
      <c r="P571" t="inlineStr">
        <is>
          <t>R03</t>
        </is>
      </c>
      <c r="Q571" t="inlineStr">
        <is>
          <t>HIRE-FP</t>
        </is>
      </c>
      <c r="R571">
        <f>IF(OR(Q571="CONTEXT",Q571="REVIEW"),"",INDEX('Category Rules'!$D$5:$D$17,MATCH(P571,'Category Rules'!$A$5:$A$17,0)))</f>
        <v>4010</v>
      </c>
      <c r="S571" t="str">
        <f>IF(Q571="CONTEXT","Fencing",IF(Q571="REVIEW","",INDEX('Category Rules'!$E$5:$E$17,MATCH(P571,'Category Rules'!$A$5:$A$17,0))))</f>
        <v>Fencing</v>
      </c>
      <c r="T571" t="str">
        <f>IF(Q571="DEP","BAS Excluded","GST on Income")</f>
        <v>GST on Income</v>
      </c>
      <c r="U571">
        <f>IF(O571=T571,1,0)</f>
        <v>1</v>
      </c>
      <c r="V571" s="9">
        <f>IF(OR(M571=0,U571=1),0,IF(T571="GST on Income",ROUND(K571*0.1,2),ROUND(-K571*0.1,2)))</f>
        <v>0</v>
      </c>
    </row>
    <row r="572">
      <c r="A572" t="inlineStr">
        <is>
          <t>INV-4472-1</t>
        </is>
      </c>
      <c r="B572" t="inlineStr">
        <is>
          <t>INV-4472</t>
        </is>
      </c>
      <c r="C572" s="11" t="n">
        <v>45931</v>
      </c>
      <c r="D572" t="inlineStr">
        <is>
          <t>2025-10</t>
        </is>
      </c>
      <c r="E572" t="inlineStr">
        <is>
          <t>C0040</t>
        </is>
      </c>
      <c r="F572" t="inlineStr">
        <is>
          <t>C0040</t>
        </is>
      </c>
      <c r="G572" t="inlineStr">
        <is>
          <t>Coastline Projects Pty Ltd</t>
        </is>
      </c>
      <c r="H572" t="inlineStr">
        <is>
          <t>S0076</t>
        </is>
      </c>
      <c r="I572" t="inlineStr">
        <is>
          <t>Collection and dismantle - temporary fencing</t>
        </is>
      </c>
      <c r="J572" t="n">
        <v>1</v>
      </c>
      <c r="K572" s="9" t="n">
        <v>165</v>
      </c>
      <c r="L572" t="inlineStr">
        <is>
          <t>PAID</t>
        </is>
      </c>
      <c r="M572">
        <f>IF(L572="VOIDED",0,1)</f>
        <v>1</v>
      </c>
      <c r="N572" t="n">
        <v>200</v>
      </c>
      <c r="O572" t="inlineStr">
        <is>
          <t>GST on Income</t>
        </is>
      </c>
      <c r="P572" t="inlineStr">
        <is>
          <t>R07</t>
        </is>
      </c>
      <c r="Q572" t="inlineStr">
        <is>
          <t>DEL-FP</t>
        </is>
      </c>
      <c r="R572">
        <f>IF(OR(Q572="CONTEXT",Q572="REVIEW"),"",INDEX('Category Rules'!$D$5:$D$17,MATCH(P572,'Category Rules'!$A$5:$A$17,0)))</f>
        <v>4020</v>
      </c>
      <c r="S572" t="str">
        <f>IF(Q572="CONTEXT","Fencing",IF(Q572="REVIEW","",INDEX('Category Rules'!$E$5:$E$17,MATCH(P572,'Category Rules'!$A$5:$A$17,0))))</f>
        <v>Fencing</v>
      </c>
      <c r="T572" t="str">
        <f>IF(Q572="DEP","BAS Excluded","GST on Income")</f>
        <v>GST on Income</v>
      </c>
      <c r="U572">
        <f>IF(O572=T572,1,0)</f>
        <v>1</v>
      </c>
      <c r="V572" s="9">
        <f>IF(OR(M572=0,U572=1),0,IF(T572="GST on Income",ROUND(K572*0.1,2),ROUND(-K572*0.1,2)))</f>
        <v>0</v>
      </c>
    </row>
    <row r="573">
      <c r="A573" t="inlineStr">
        <is>
          <t>INV-5626-1</t>
        </is>
      </c>
      <c r="B573" t="inlineStr">
        <is>
          <t>INV-5626</t>
        </is>
      </c>
      <c r="C573" s="11" t="n">
        <v>45931</v>
      </c>
      <c r="D573" t="inlineStr">
        <is>
          <t>2025-10</t>
        </is>
      </c>
      <c r="E573" t="inlineStr">
        <is>
          <t>C0024</t>
        </is>
      </c>
      <c r="F573" t="inlineStr">
        <is>
          <t>C0024</t>
        </is>
      </c>
      <c r="G573" t="inlineStr">
        <is>
          <t>Parkview Homes Pty Ltd</t>
        </is>
      </c>
      <c r="H573" t="inlineStr">
        <is>
          <t>S0393</t>
        </is>
      </c>
      <c r="I573" t="inlineStr">
        <is>
          <t>Make safe call-out</t>
        </is>
      </c>
      <c r="J573" t="n">
        <v>1</v>
      </c>
      <c r="K573" s="9" t="n">
        <v>385</v>
      </c>
      <c r="L573" t="inlineStr">
        <is>
          <t>PAID</t>
        </is>
      </c>
      <c r="M573">
        <f>IF(L573="VOIDED",0,1)</f>
        <v>1</v>
      </c>
      <c r="N573" t="n">
        <v>200</v>
      </c>
      <c r="O573" t="inlineStr">
        <is>
          <t>GST on Income</t>
        </is>
      </c>
      <c r="P573" t="inlineStr">
        <is>
          <t>R09</t>
        </is>
      </c>
      <c r="Q573" t="inlineStr">
        <is>
          <t>MS</t>
        </is>
      </c>
      <c r="R573">
        <f>IF(OR(Q573="CONTEXT",Q573="REVIEW"),"",INDEX('Category Rules'!$D$5:$D$17,MATCH(P573,'Category Rules'!$A$5:$A$17,0)))</f>
        <v>4020</v>
      </c>
      <c r="S573" t="str">
        <f>IF(Q573="CONTEXT","Make-safe",IF(Q573="REVIEW","",INDEX('Category Rules'!$E$5:$E$17,MATCH(P573,'Category Rules'!$A$5:$A$17,0))))</f>
        <v>Make-safe</v>
      </c>
      <c r="T573" t="str">
        <f>IF(Q573="DEP","BAS Excluded","GST on Income")</f>
        <v>GST on Income</v>
      </c>
      <c r="U573">
        <f>IF(O573=T573,1,0)</f>
        <v>1</v>
      </c>
      <c r="V573" s="9">
        <f>IF(OR(M573=0,U573=1),0,IF(T573="GST on Income",ROUND(K573*0.1,2),ROUND(-K573*0.1,2)))</f>
        <v>0</v>
      </c>
    </row>
    <row r="574">
      <c r="A574" t="inlineStr">
        <is>
          <t>INV-5626-2</t>
        </is>
      </c>
      <c r="B574" t="inlineStr">
        <is>
          <t>INV-5626</t>
        </is>
      </c>
      <c r="C574" s="11" t="n">
        <v>45931</v>
      </c>
      <c r="D574" t="inlineStr">
        <is>
          <t>2025-10</t>
        </is>
      </c>
      <c r="E574" t="inlineStr">
        <is>
          <t>C0024</t>
        </is>
      </c>
      <c r="F574" t="inlineStr">
        <is>
          <t>C0024</t>
        </is>
      </c>
      <c r="G574" t="inlineStr">
        <is>
          <t>Parkview Homes Pty Ltd</t>
        </is>
      </c>
      <c r="H574" t="inlineStr">
        <is>
          <t>S0393</t>
        </is>
      </c>
      <c r="I574" t="inlineStr">
        <is>
          <t>Tarp supply and install - 1 tarp(s)</t>
        </is>
      </c>
      <c r="J574" t="n">
        <v>1</v>
      </c>
      <c r="K574" s="9" t="n">
        <v>240</v>
      </c>
      <c r="L574" t="inlineStr">
        <is>
          <t>PAID</t>
        </is>
      </c>
      <c r="M574">
        <f>IF(L574="VOIDED",0,1)</f>
        <v>1</v>
      </c>
      <c r="N574" t="n">
        <v>260</v>
      </c>
      <c r="O574" t="inlineStr">
        <is>
          <t>GST on Income</t>
        </is>
      </c>
      <c r="P574" t="inlineStr">
        <is>
          <t>R09</t>
        </is>
      </c>
      <c r="Q574" t="inlineStr">
        <is>
          <t>MS</t>
        </is>
      </c>
      <c r="R574">
        <f>IF(OR(Q574="CONTEXT",Q574="REVIEW"),"",INDEX('Category Rules'!$D$5:$D$17,MATCH(P574,'Category Rules'!$A$5:$A$17,0)))</f>
        <v>4020</v>
      </c>
      <c r="S574" t="str">
        <f>IF(Q574="CONTEXT","Make-safe",IF(Q574="REVIEW","",INDEX('Category Rules'!$E$5:$E$17,MATCH(P574,'Category Rules'!$A$5:$A$17,0))))</f>
        <v>Make-safe</v>
      </c>
      <c r="T574" t="str">
        <f>IF(Q574="DEP","BAS Excluded","GST on Income")</f>
        <v>GST on Income</v>
      </c>
      <c r="U574">
        <f>IF(O574=T574,1,0)</f>
        <v>1</v>
      </c>
      <c r="V574" s="9">
        <f>IF(OR(M574=0,U574=1),0,IF(T574="GST on Income",ROUND(K574*0.1,2),ROUND(-K574*0.1,2)))</f>
        <v>0</v>
      </c>
    </row>
    <row r="575">
      <c r="A575" t="inlineStr">
        <is>
          <t>INV-5706-1</t>
        </is>
      </c>
      <c r="B575" t="inlineStr">
        <is>
          <t>INV-5706</t>
        </is>
      </c>
      <c r="C575" s="11" t="n">
        <v>45931</v>
      </c>
      <c r="D575" t="inlineStr">
        <is>
          <t>2025-10</t>
        </is>
      </c>
      <c r="E575" t="inlineStr">
        <is>
          <t>C0067</t>
        </is>
      </c>
      <c r="F575" t="inlineStr">
        <is>
          <t>C0067</t>
        </is>
      </c>
      <c r="G575" t="inlineStr">
        <is>
          <t>Banksia Claims Services Pty Ltd</t>
        </is>
      </c>
      <c r="H575" t="inlineStr">
        <is>
          <t>S0438</t>
        </is>
      </c>
      <c r="I575" t="inlineStr">
        <is>
          <t>Tarp kit hire 3 wks (16/09/25-30/09/25) - 3 kits</t>
        </is>
      </c>
      <c r="J575" t="n">
        <v>9</v>
      </c>
      <c r="K575" s="9" t="n">
        <v>315</v>
      </c>
      <c r="L575" t="inlineStr">
        <is>
          <t>PAID</t>
        </is>
      </c>
      <c r="M575">
        <f>IF(L575="VOIDED",0,1)</f>
        <v>1</v>
      </c>
      <c r="N575" t="n">
        <v>200</v>
      </c>
      <c r="O575" t="inlineStr">
        <is>
          <t>GST on Income</t>
        </is>
      </c>
      <c r="P575" t="inlineStr">
        <is>
          <t>R06</t>
        </is>
      </c>
      <c r="Q575" t="inlineStr">
        <is>
          <t>HIRE-TK</t>
        </is>
      </c>
      <c r="R575">
        <f>IF(OR(Q575="CONTEXT",Q575="REVIEW"),"",INDEX('Category Rules'!$D$5:$D$17,MATCH(P575,'Category Rules'!$A$5:$A$17,0)))</f>
        <v>4010</v>
      </c>
      <c r="S575" t="str">
        <f>IF(Q575="CONTEXT","Make-safe",IF(Q575="REVIEW","",INDEX('Category Rules'!$E$5:$E$17,MATCH(P575,'Category Rules'!$A$5:$A$17,0))))</f>
        <v>Make-safe</v>
      </c>
      <c r="T575" t="str">
        <f>IF(Q575="DEP","BAS Excluded","GST on Income")</f>
        <v>GST on Income</v>
      </c>
      <c r="U575">
        <f>IF(O575=T575,1,0)</f>
        <v>1</v>
      </c>
      <c r="V575" s="9">
        <f>IF(OR(M575=0,U575=1),0,IF(T575="GST on Income",ROUND(K575*0.1,2),ROUND(-K575*0.1,2)))</f>
        <v>0</v>
      </c>
    </row>
    <row r="576">
      <c r="A576" t="inlineStr">
        <is>
          <t>INV-4133-1</t>
        </is>
      </c>
      <c r="B576" t="inlineStr">
        <is>
          <t>INV-4133</t>
        </is>
      </c>
      <c r="C576" s="11" t="n">
        <v>45932</v>
      </c>
      <c r="D576" t="inlineStr">
        <is>
          <t>2025-10</t>
        </is>
      </c>
      <c r="E576" t="inlineStr">
        <is>
          <t>C0030</t>
        </is>
      </c>
      <c r="F576" t="inlineStr">
        <is>
          <t>C0030</t>
        </is>
      </c>
      <c r="G576" t="inlineStr">
        <is>
          <t>Bluegum Developments</t>
        </is>
      </c>
      <c r="H576" t="inlineStr">
        <is>
          <t>S0007</t>
        </is>
      </c>
      <c r="I576" t="inlineStr">
        <is>
          <t>Delivery and installation - temporary fencing</t>
        </is>
      </c>
      <c r="J576" t="n">
        <v>1</v>
      </c>
      <c r="K576" s="9" t="n">
        <v>165</v>
      </c>
      <c r="L576" t="inlineStr">
        <is>
          <t>PAID</t>
        </is>
      </c>
      <c r="M576">
        <f>IF(L576="VOIDED",0,1)</f>
        <v>1</v>
      </c>
      <c r="N576" t="n">
        <v>200</v>
      </c>
      <c r="O576" t="inlineStr">
        <is>
          <t>GST on Income</t>
        </is>
      </c>
      <c r="P576" t="inlineStr">
        <is>
          <t>R07</t>
        </is>
      </c>
      <c r="Q576" t="inlineStr">
        <is>
          <t>DEL-FP</t>
        </is>
      </c>
      <c r="R576">
        <f>IF(OR(Q576="CONTEXT",Q576="REVIEW"),"",INDEX('Category Rules'!$D$5:$D$17,MATCH(P576,'Category Rules'!$A$5:$A$17,0)))</f>
        <v>4020</v>
      </c>
      <c r="S576" t="str">
        <f>IF(Q576="CONTEXT","Fencing",IF(Q576="REVIEW","",INDEX('Category Rules'!$E$5:$E$17,MATCH(P576,'Category Rules'!$A$5:$A$17,0))))</f>
        <v>Fencing</v>
      </c>
      <c r="T576" t="str">
        <f>IF(Q576="DEP","BAS Excluded","GST on Income")</f>
        <v>GST on Income</v>
      </c>
      <c r="U576">
        <f>IF(O576=T576,1,0)</f>
        <v>1</v>
      </c>
      <c r="V576" s="9">
        <f>IF(OR(M576=0,U576=1),0,IF(T576="GST on Income",ROUND(K576*0.1,2),ROUND(-K576*0.1,2)))</f>
        <v>0</v>
      </c>
    </row>
    <row r="577">
      <c r="A577" t="inlineStr">
        <is>
          <t>INV-4133-2</t>
        </is>
      </c>
      <c r="B577" t="inlineStr">
        <is>
          <t>INV-4133</t>
        </is>
      </c>
      <c r="C577" s="11" t="n">
        <v>45932</v>
      </c>
      <c r="D577" t="inlineStr">
        <is>
          <t>2025-10</t>
        </is>
      </c>
      <c r="E577" t="inlineStr">
        <is>
          <t>C0030</t>
        </is>
      </c>
      <c r="F577" t="inlineStr">
        <is>
          <t>C0030</t>
        </is>
      </c>
      <c r="G577" t="inlineStr">
        <is>
          <t>Bluegum Developments</t>
        </is>
      </c>
      <c r="H577" t="inlineStr">
        <is>
          <t>S0007</t>
        </is>
      </c>
      <c r="I577" t="inlineStr">
        <is>
          <t>Installation labour - 71 panels @ 2.20</t>
        </is>
      </c>
      <c r="J577" t="n">
        <v>71</v>
      </c>
      <c r="K577" s="9" t="n">
        <v>156.2</v>
      </c>
      <c r="L577" t="inlineStr">
        <is>
          <t>PAID</t>
        </is>
      </c>
      <c r="M577">
        <f>IF(L577="VOIDED",0,1)</f>
        <v>1</v>
      </c>
      <c r="N577" t="n">
        <v>200</v>
      </c>
      <c r="O577" t="inlineStr">
        <is>
          <t>GST on Income</t>
        </is>
      </c>
      <c r="P577" t="inlineStr">
        <is>
          <t>R07</t>
        </is>
      </c>
      <c r="Q577" t="inlineStr">
        <is>
          <t>DEL-FP</t>
        </is>
      </c>
      <c r="R577">
        <f>IF(OR(Q577="CONTEXT",Q577="REVIEW"),"",INDEX('Category Rules'!$D$5:$D$17,MATCH(P577,'Category Rules'!$A$5:$A$17,0)))</f>
        <v>4020</v>
      </c>
      <c r="S577" t="str">
        <f>IF(Q577="CONTEXT","Fencing",IF(Q577="REVIEW","",INDEX('Category Rules'!$E$5:$E$17,MATCH(P577,'Category Rules'!$A$5:$A$17,0))))</f>
        <v>Fencing</v>
      </c>
      <c r="T577" t="str">
        <f>IF(Q577="DEP","BAS Excluded","GST on Income")</f>
        <v>GST on Income</v>
      </c>
      <c r="U577">
        <f>IF(O577=T577,1,0)</f>
        <v>1</v>
      </c>
      <c r="V577" s="9">
        <f>IF(OR(M577=0,U577=1),0,IF(T577="GST on Income",ROUND(K577*0.1,2),ROUND(-K577*0.1,2)))</f>
        <v>0</v>
      </c>
    </row>
    <row r="578">
      <c r="A578" t="inlineStr">
        <is>
          <t>INV-5494-1</t>
        </is>
      </c>
      <c r="B578" t="inlineStr">
        <is>
          <t>INV-5494</t>
        </is>
      </c>
      <c r="C578" s="11" t="n">
        <v>45932</v>
      </c>
      <c r="D578" t="inlineStr">
        <is>
          <t>2025-10</t>
        </is>
      </c>
      <c r="E578" t="inlineStr">
        <is>
          <t>C0048</t>
        </is>
      </c>
      <c r="F578" t="inlineStr">
        <is>
          <t>C0048</t>
        </is>
      </c>
      <c r="G578" t="inlineStr">
        <is>
          <t>Banksia Strata Management</t>
        </is>
      </c>
      <c r="H578" t="inlineStr">
        <is>
          <t>S0324</t>
        </is>
      </c>
      <c r="I578" t="inlineStr">
        <is>
          <t>Tarp kit hire 4 wks (10/09/25-01/10/25) - 2 kits</t>
        </is>
      </c>
      <c r="J578" t="n">
        <v>8</v>
      </c>
      <c r="K578" s="9" t="n">
        <v>280</v>
      </c>
      <c r="L578" t="inlineStr">
        <is>
          <t>PAID</t>
        </is>
      </c>
      <c r="M578">
        <f>IF(L578="VOIDED",0,1)</f>
        <v>1</v>
      </c>
      <c r="N578" t="n">
        <v>200</v>
      </c>
      <c r="O578" t="inlineStr">
        <is>
          <t>GST on Income</t>
        </is>
      </c>
      <c r="P578" t="inlineStr">
        <is>
          <t>R06</t>
        </is>
      </c>
      <c r="Q578" t="inlineStr">
        <is>
          <t>HIRE-TK</t>
        </is>
      </c>
      <c r="R578">
        <f>IF(OR(Q578="CONTEXT",Q578="REVIEW"),"",INDEX('Category Rules'!$D$5:$D$17,MATCH(P578,'Category Rules'!$A$5:$A$17,0)))</f>
        <v>4010</v>
      </c>
      <c r="S578" t="str">
        <f>IF(Q578="CONTEXT","Make-safe",IF(Q578="REVIEW","",INDEX('Category Rules'!$E$5:$E$17,MATCH(P578,'Category Rules'!$A$5:$A$17,0))))</f>
        <v>Make-safe</v>
      </c>
      <c r="T578" t="str">
        <f>IF(Q578="DEP","BAS Excluded","GST on Income")</f>
        <v>GST on Income</v>
      </c>
      <c r="U578">
        <f>IF(O578=T578,1,0)</f>
        <v>1</v>
      </c>
      <c r="V578" s="9">
        <f>IF(OR(M578=0,U578=1),0,IF(T578="GST on Income",ROUND(K578*0.1,2),ROUND(-K578*0.1,2)))</f>
        <v>0</v>
      </c>
    </row>
    <row r="579">
      <c r="A579" t="inlineStr">
        <is>
          <t>INV-5514-1</t>
        </is>
      </c>
      <c r="B579" t="inlineStr">
        <is>
          <t>INV-5514</t>
        </is>
      </c>
      <c r="C579" s="11" t="n">
        <v>45932</v>
      </c>
      <c r="D579" t="inlineStr">
        <is>
          <t>2025-10</t>
        </is>
      </c>
      <c r="E579" t="inlineStr">
        <is>
          <t>C0048</t>
        </is>
      </c>
      <c r="F579" t="inlineStr">
        <is>
          <t>C0048</t>
        </is>
      </c>
      <c r="G579" t="inlineStr">
        <is>
          <t>Banksia Strata Management</t>
        </is>
      </c>
      <c r="H579" t="inlineStr">
        <is>
          <t>S0333</t>
        </is>
      </c>
      <c r="I579" t="inlineStr">
        <is>
          <t>Roof repair labour - 8 hrs</t>
        </is>
      </c>
      <c r="J579" t="n">
        <v>8</v>
      </c>
      <c r="K579" s="9" t="n">
        <v>784</v>
      </c>
      <c r="L579" t="inlineStr">
        <is>
          <t>PAID</t>
        </is>
      </c>
      <c r="M579">
        <f>IF(L579="VOIDED",0,1)</f>
        <v>1</v>
      </c>
      <c r="N579" t="n">
        <v>200</v>
      </c>
      <c r="O579" t="inlineStr">
        <is>
          <t>GST on Income</t>
        </is>
      </c>
      <c r="P579" t="inlineStr">
        <is>
          <t>R10</t>
        </is>
      </c>
      <c r="Q579" t="inlineStr">
        <is>
          <t>LAB-RF</t>
        </is>
      </c>
      <c r="R579">
        <f>IF(OR(Q579="CONTEXT",Q579="REVIEW"),"",INDEX('Category Rules'!$D$5:$D$17,MATCH(P579,'Category Rules'!$A$5:$A$17,0)))</f>
        <v>4020</v>
      </c>
      <c r="S579" t="str">
        <f>IF(Q579="CONTEXT","Roofing",IF(Q579="REVIEW","",INDEX('Category Rules'!$E$5:$E$17,MATCH(P579,'Category Rules'!$A$5:$A$17,0))))</f>
        <v>Roofing</v>
      </c>
      <c r="T579" t="str">
        <f>IF(Q579="DEP","BAS Excluded","GST on Income")</f>
        <v>GST on Income</v>
      </c>
      <c r="U579">
        <f>IF(O579=T579,1,0)</f>
        <v>1</v>
      </c>
      <c r="V579" s="9">
        <f>IF(OR(M579=0,U579=1),0,IF(T579="GST on Income",ROUND(K579*0.1,2),ROUND(-K579*0.1,2)))</f>
        <v>0</v>
      </c>
    </row>
    <row r="580">
      <c r="A580" t="inlineStr">
        <is>
          <t>INV-5514-2</t>
        </is>
      </c>
      <c r="B580" t="inlineStr">
        <is>
          <t>INV-5514</t>
        </is>
      </c>
      <c r="C580" s="11" t="n">
        <v>45932</v>
      </c>
      <c r="D580" t="inlineStr">
        <is>
          <t>2025-10</t>
        </is>
      </c>
      <c r="E580" t="inlineStr">
        <is>
          <t>C0048</t>
        </is>
      </c>
      <c r="F580" t="inlineStr">
        <is>
          <t>C0048</t>
        </is>
      </c>
      <c r="G580" t="inlineStr">
        <is>
          <t>Banksia Strata Management</t>
        </is>
      </c>
      <c r="H580" t="inlineStr">
        <is>
          <t>S0333</t>
        </is>
      </c>
      <c r="I580" t="inlineStr">
        <is>
          <t>Materials - flashing</t>
        </is>
      </c>
      <c r="J580" t="n">
        <v>1</v>
      </c>
      <c r="K580" s="9" t="n">
        <v>161.1</v>
      </c>
      <c r="L580" t="inlineStr">
        <is>
          <t>PAID</t>
        </is>
      </c>
      <c r="M580">
        <f>IF(L580="VOIDED",0,1)</f>
        <v>1</v>
      </c>
      <c r="N580" t="n">
        <v>200</v>
      </c>
      <c r="O580" t="inlineStr">
        <is>
          <t>GST on Income</t>
        </is>
      </c>
      <c r="P580" t="inlineStr">
        <is>
          <t>R11</t>
        </is>
      </c>
      <c r="Q580" t="inlineStr">
        <is>
          <t>MAT-RF</t>
        </is>
      </c>
      <c r="R580">
        <f>IF(OR(Q580="CONTEXT",Q580="REVIEW"),"",INDEX('Category Rules'!$D$5:$D$17,MATCH(P580,'Category Rules'!$A$5:$A$17,0)))</f>
        <v>4030</v>
      </c>
      <c r="S580" t="str">
        <f>IF(Q580="CONTEXT","Roofing",IF(Q580="REVIEW","",INDEX('Category Rules'!$E$5:$E$17,MATCH(P580,'Category Rules'!$A$5:$A$17,0))))</f>
        <v>Roofing</v>
      </c>
      <c r="T580" t="str">
        <f>IF(Q580="DEP","BAS Excluded","GST on Income")</f>
        <v>GST on Income</v>
      </c>
      <c r="U580">
        <f>IF(O580=T580,1,0)</f>
        <v>1</v>
      </c>
      <c r="V580" s="9">
        <f>IF(OR(M580=0,U580=1),0,IF(T580="GST on Income",ROUND(K580*0.1,2),ROUND(-K580*0.1,2)))</f>
        <v>0</v>
      </c>
    </row>
    <row r="581">
      <c r="A581" t="inlineStr">
        <is>
          <t>INV-5514-3</t>
        </is>
      </c>
      <c r="B581" t="inlineStr">
        <is>
          <t>INV-5514</t>
        </is>
      </c>
      <c r="C581" s="11" t="n">
        <v>45932</v>
      </c>
      <c r="D581" t="inlineStr">
        <is>
          <t>2025-10</t>
        </is>
      </c>
      <c r="E581" t="inlineStr">
        <is>
          <t>C0048</t>
        </is>
      </c>
      <c r="F581" t="inlineStr">
        <is>
          <t>C0048</t>
        </is>
      </c>
      <c r="G581" t="inlineStr">
        <is>
          <t>Banksia Strata Management</t>
        </is>
      </c>
      <c r="H581" t="inlineStr">
        <is>
          <t>S0333</t>
        </is>
      </c>
      <c r="I581" t="inlineStr">
        <is>
          <t>Materials - ridge capping</t>
        </is>
      </c>
      <c r="J581" t="n">
        <v>1</v>
      </c>
      <c r="K581" s="9" t="n">
        <v>1010.89</v>
      </c>
      <c r="L581" t="inlineStr">
        <is>
          <t>PAID</t>
        </is>
      </c>
      <c r="M581">
        <f>IF(L581="VOIDED",0,1)</f>
        <v>1</v>
      </c>
      <c r="N581" t="n">
        <v>200</v>
      </c>
      <c r="O581" t="inlineStr">
        <is>
          <t>GST on Income</t>
        </is>
      </c>
      <c r="P581" t="inlineStr">
        <is>
          <t>R11</t>
        </is>
      </c>
      <c r="Q581" t="inlineStr">
        <is>
          <t>MAT-RF</t>
        </is>
      </c>
      <c r="R581">
        <f>IF(OR(Q581="CONTEXT",Q581="REVIEW"),"",INDEX('Category Rules'!$D$5:$D$17,MATCH(P581,'Category Rules'!$A$5:$A$17,0)))</f>
        <v>4030</v>
      </c>
      <c r="S581" t="str">
        <f>IF(Q581="CONTEXT","Roofing",IF(Q581="REVIEW","",INDEX('Category Rules'!$E$5:$E$17,MATCH(P581,'Category Rules'!$A$5:$A$17,0))))</f>
        <v>Roofing</v>
      </c>
      <c r="T581" t="str">
        <f>IF(Q581="DEP","BAS Excluded","GST on Income")</f>
        <v>GST on Income</v>
      </c>
      <c r="U581">
        <f>IF(O581=T581,1,0)</f>
        <v>1</v>
      </c>
      <c r="V581" s="9">
        <f>IF(OR(M581=0,U581=1),0,IF(T581="GST on Income",ROUND(K581*0.1,2),ROUND(-K581*0.1,2)))</f>
        <v>0</v>
      </c>
    </row>
    <row r="582">
      <c r="A582" t="inlineStr">
        <is>
          <t>INV-5514-4</t>
        </is>
      </c>
      <c r="B582" t="inlineStr">
        <is>
          <t>INV-5514</t>
        </is>
      </c>
      <c r="C582" s="11" t="n">
        <v>45932</v>
      </c>
      <c r="D582" t="inlineStr">
        <is>
          <t>2025-10</t>
        </is>
      </c>
      <c r="E582" t="inlineStr">
        <is>
          <t>C0048</t>
        </is>
      </c>
      <c r="F582" t="inlineStr">
        <is>
          <t>C0048</t>
        </is>
      </c>
      <c r="G582" t="inlineStr">
        <is>
          <t>Banksia Strata Management</t>
        </is>
      </c>
      <c r="H582" t="inlineStr">
        <is>
          <t>S0333</t>
        </is>
      </c>
      <c r="I582" t="inlineStr">
        <is>
          <t>Materials - gutter and downpipe</t>
        </is>
      </c>
      <c r="J582" t="n">
        <v>1</v>
      </c>
      <c r="K582" s="9" t="n">
        <v>345.76</v>
      </c>
      <c r="L582" t="inlineStr">
        <is>
          <t>PAID</t>
        </is>
      </c>
      <c r="M582">
        <f>IF(L582="VOIDED",0,1)</f>
        <v>1</v>
      </c>
      <c r="N582" t="n">
        <v>200</v>
      </c>
      <c r="O582" t="inlineStr">
        <is>
          <t>GST on Income</t>
        </is>
      </c>
      <c r="P582" t="inlineStr">
        <is>
          <t>R11</t>
        </is>
      </c>
      <c r="Q582" t="inlineStr">
        <is>
          <t>MAT-RF</t>
        </is>
      </c>
      <c r="R582">
        <f>IF(OR(Q582="CONTEXT",Q582="REVIEW"),"",INDEX('Category Rules'!$D$5:$D$17,MATCH(P582,'Category Rules'!$A$5:$A$17,0)))</f>
        <v>4030</v>
      </c>
      <c r="S582" t="str">
        <f>IF(Q582="CONTEXT","Roofing",IF(Q582="REVIEW","",INDEX('Category Rules'!$E$5:$E$17,MATCH(P582,'Category Rules'!$A$5:$A$17,0))))</f>
        <v>Roofing</v>
      </c>
      <c r="T582" t="str">
        <f>IF(Q582="DEP","BAS Excluded","GST on Income")</f>
        <v>GST on Income</v>
      </c>
      <c r="U582">
        <f>IF(O582=T582,1,0)</f>
        <v>1</v>
      </c>
      <c r="V582" s="9">
        <f>IF(OR(M582=0,U582=1),0,IF(T582="GST on Income",ROUND(K582*0.1,2),ROUND(-K582*0.1,2)))</f>
        <v>0</v>
      </c>
    </row>
    <row r="583">
      <c r="A583" t="inlineStr">
        <is>
          <t>INV-4694-1</t>
        </is>
      </c>
      <c r="B583" t="inlineStr">
        <is>
          <t>INV-4694</t>
        </is>
      </c>
      <c r="C583" s="11" t="n">
        <v>45933</v>
      </c>
      <c r="D583" t="inlineStr">
        <is>
          <t>2025-10</t>
        </is>
      </c>
      <c r="E583" t="inlineStr">
        <is>
          <t>C0024</t>
        </is>
      </c>
      <c r="F583" t="inlineStr">
        <is>
          <t>C0024</t>
        </is>
      </c>
      <c r="G583" t="inlineStr">
        <is>
          <t>Parkview Homes Pty Ltd</t>
        </is>
      </c>
      <c r="H583" t="inlineStr">
        <is>
          <t>S0124</t>
        </is>
      </c>
      <c r="I583" t="inlineStr">
        <is>
          <t>Temporary fence hire 4 wks (05/09/25-02/10/25) - 138 panels</t>
        </is>
      </c>
      <c r="J583" t="n">
        <v>552</v>
      </c>
      <c r="K583" s="9" t="n">
        <v>2484</v>
      </c>
      <c r="L583" t="inlineStr">
        <is>
          <t>PAID</t>
        </is>
      </c>
      <c r="M583">
        <f>IF(L583="VOIDED",0,1)</f>
        <v>1</v>
      </c>
      <c r="N583" t="n">
        <v>200</v>
      </c>
      <c r="O583" t="inlineStr">
        <is>
          <t>GST on Income</t>
        </is>
      </c>
      <c r="P583" t="inlineStr">
        <is>
          <t>R03</t>
        </is>
      </c>
      <c r="Q583" t="inlineStr">
        <is>
          <t>HIRE-FP</t>
        </is>
      </c>
      <c r="R583">
        <f>IF(OR(Q583="CONTEXT",Q583="REVIEW"),"",INDEX('Category Rules'!$D$5:$D$17,MATCH(P583,'Category Rules'!$A$5:$A$17,0)))</f>
        <v>4010</v>
      </c>
      <c r="S583" t="str">
        <f>IF(Q583="CONTEXT","Fencing",IF(Q583="REVIEW","",INDEX('Category Rules'!$E$5:$E$17,MATCH(P583,'Category Rules'!$A$5:$A$17,0))))</f>
        <v>Fencing</v>
      </c>
      <c r="T583" t="str">
        <f>IF(Q583="DEP","BAS Excluded","GST on Income")</f>
        <v>GST on Income</v>
      </c>
      <c r="U583">
        <f>IF(O583=T583,1,0)</f>
        <v>1</v>
      </c>
      <c r="V583" s="9">
        <f>IF(OR(M583=0,U583=1),0,IF(T583="GST on Income",ROUND(K583*0.1,2),ROUND(-K583*0.1,2)))</f>
        <v>0</v>
      </c>
    </row>
    <row r="584">
      <c r="A584" t="inlineStr">
        <is>
          <t>INV-4699-1</t>
        </is>
      </c>
      <c r="B584" t="inlineStr">
        <is>
          <t>INV-4699</t>
        </is>
      </c>
      <c r="C584" s="11" t="n">
        <v>45933</v>
      </c>
      <c r="D584" t="inlineStr">
        <is>
          <t>2025-10</t>
        </is>
      </c>
      <c r="E584" t="inlineStr">
        <is>
          <t>C0024</t>
        </is>
      </c>
      <c r="F584" t="inlineStr">
        <is>
          <t>C0024</t>
        </is>
      </c>
      <c r="G584" t="inlineStr">
        <is>
          <t>Parkview Homes Pty Ltd</t>
        </is>
      </c>
      <c r="H584" t="inlineStr">
        <is>
          <t>S0124</t>
        </is>
      </c>
      <c r="I584" t="inlineStr">
        <is>
          <t>Pedestrian barrier hire 4 wks (05/09/25-02/10/25) - 4 barriers</t>
        </is>
      </c>
      <c r="J584" t="n">
        <v>16</v>
      </c>
      <c r="K584" s="9" t="n">
        <v>51.2</v>
      </c>
      <c r="L584" t="inlineStr">
        <is>
          <t>PAID</t>
        </is>
      </c>
      <c r="M584">
        <f>IF(L584="VOIDED",0,1)</f>
        <v>1</v>
      </c>
      <c r="N584" t="n">
        <v>200</v>
      </c>
      <c r="O584" t="inlineStr">
        <is>
          <t>GST on Income</t>
        </is>
      </c>
      <c r="P584" t="inlineStr">
        <is>
          <t>R04</t>
        </is>
      </c>
      <c r="Q584" t="inlineStr">
        <is>
          <t>HIRE-BR</t>
        </is>
      </c>
      <c r="R584">
        <f>IF(OR(Q584="CONTEXT",Q584="REVIEW"),"",INDEX('Category Rules'!$D$5:$D$17,MATCH(P584,'Category Rules'!$A$5:$A$17,0)))</f>
        <v>4010</v>
      </c>
      <c r="S584" t="str">
        <f>IF(Q584="CONTEXT","Fencing",IF(Q584="REVIEW","",INDEX('Category Rules'!$E$5:$E$17,MATCH(P584,'Category Rules'!$A$5:$A$17,0))))</f>
        <v>Fencing</v>
      </c>
      <c r="T584" t="str">
        <f>IF(Q584="DEP","BAS Excluded","GST on Income")</f>
        <v>GST on Income</v>
      </c>
      <c r="U584">
        <f>IF(O584=T584,1,0)</f>
        <v>1</v>
      </c>
      <c r="V584" s="9">
        <f>IF(OR(M584=0,U584=1),0,IF(T584="GST on Income",ROUND(K584*0.1,2),ROUND(-K584*0.1,2)))</f>
        <v>0</v>
      </c>
    </row>
    <row r="585">
      <c r="A585" t="inlineStr">
        <is>
          <t>INV-5350-1</t>
        </is>
      </c>
      <c r="B585" t="inlineStr">
        <is>
          <t>INV-5350</t>
        </is>
      </c>
      <c r="C585" s="11" t="n">
        <v>45933</v>
      </c>
      <c r="D585" t="inlineStr">
        <is>
          <t>2025-10</t>
        </is>
      </c>
      <c r="E585" t="inlineStr">
        <is>
          <t>C0119</t>
        </is>
      </c>
      <c r="F585" t="inlineStr">
        <is>
          <t>C0119</t>
        </is>
      </c>
      <c r="G585" t="inlineStr">
        <is>
          <t>Northgate Builders Pty Ltd</t>
        </is>
      </c>
      <c r="H585" t="inlineStr">
        <is>
          <t>S0271</t>
        </is>
      </c>
      <c r="I585" t="inlineStr">
        <is>
          <t>Scaffold tower hire 4 wks (05/09/25-02/10/25) - 4 towers</t>
        </is>
      </c>
      <c r="J585" t="n">
        <v>16</v>
      </c>
      <c r="K585" s="9" t="n">
        <v>1520</v>
      </c>
      <c r="L585" t="inlineStr">
        <is>
          <t>PAID</t>
        </is>
      </c>
      <c r="M585">
        <f>IF(L585="VOIDED",0,1)</f>
        <v>1</v>
      </c>
      <c r="N585" t="n">
        <v>200</v>
      </c>
      <c r="O585" t="inlineStr">
        <is>
          <t>GST on Income</t>
        </is>
      </c>
      <c r="P585" t="inlineStr">
        <is>
          <t>R05</t>
        </is>
      </c>
      <c r="Q585" t="inlineStr">
        <is>
          <t>HIRE-ST</t>
        </is>
      </c>
      <c r="R585">
        <f>IF(OR(Q585="CONTEXT",Q585="REVIEW"),"",INDEX('Category Rules'!$D$5:$D$17,MATCH(P585,'Category Rules'!$A$5:$A$17,0)))</f>
        <v>4010</v>
      </c>
      <c r="S585" t="str">
        <f>IF(Q585="CONTEXT","Scaffolding",IF(Q585="REVIEW","",INDEX('Category Rules'!$E$5:$E$17,MATCH(P585,'Category Rules'!$A$5:$A$17,0))))</f>
        <v>Scaffolding</v>
      </c>
      <c r="T585" t="str">
        <f>IF(Q585="DEP","BAS Excluded","GST on Income")</f>
        <v>GST on Income</v>
      </c>
      <c r="U585">
        <f>IF(O585=T585,1,0)</f>
        <v>1</v>
      </c>
      <c r="V585" s="9">
        <f>IF(OR(M585=0,U585=1),0,IF(T585="GST on Income",ROUND(K585*0.1,2),ROUND(-K585*0.1,2)))</f>
        <v>0</v>
      </c>
    </row>
    <row r="586">
      <c r="A586" t="inlineStr">
        <is>
          <t>INV-4195-1</t>
        </is>
      </c>
      <c r="B586" t="inlineStr">
        <is>
          <t>INV-4195</t>
        </is>
      </c>
      <c r="C586" s="11" t="n">
        <v>45934</v>
      </c>
      <c r="D586" t="inlineStr">
        <is>
          <t>2025-10</t>
        </is>
      </c>
      <c r="E586" t="inlineStr">
        <is>
          <t>C0034</t>
        </is>
      </c>
      <c r="F586" t="inlineStr">
        <is>
          <t>C0034</t>
        </is>
      </c>
      <c r="G586" t="inlineStr">
        <is>
          <t>Norfolk Constructions Pty Ltd</t>
        </is>
      </c>
      <c r="H586" t="inlineStr">
        <is>
          <t>S0018</t>
        </is>
      </c>
      <c r="I586" t="inlineStr">
        <is>
          <t>Temporary fence hire 4 wks (06/09/25-03/10/25) - 80 panels</t>
        </is>
      </c>
      <c r="J586" t="n">
        <v>320</v>
      </c>
      <c r="K586" s="9" t="n">
        <v>1440</v>
      </c>
      <c r="L586" t="inlineStr">
        <is>
          <t>PAID</t>
        </is>
      </c>
      <c r="M586">
        <f>IF(L586="VOIDED",0,1)</f>
        <v>1</v>
      </c>
      <c r="N586" t="n">
        <v>200</v>
      </c>
      <c r="O586" t="inlineStr">
        <is>
          <t>GST on Income</t>
        </is>
      </c>
      <c r="P586" t="inlineStr">
        <is>
          <t>R03</t>
        </is>
      </c>
      <c r="Q586" t="inlineStr">
        <is>
          <t>HIRE-FP</t>
        </is>
      </c>
      <c r="R586">
        <f>IF(OR(Q586="CONTEXT",Q586="REVIEW"),"",INDEX('Category Rules'!$D$5:$D$17,MATCH(P586,'Category Rules'!$A$5:$A$17,0)))</f>
        <v>4010</v>
      </c>
      <c r="S586" t="str">
        <f>IF(Q586="CONTEXT","Fencing",IF(Q586="REVIEW","",INDEX('Category Rules'!$E$5:$E$17,MATCH(P586,'Category Rules'!$A$5:$A$17,0))))</f>
        <v>Fencing</v>
      </c>
      <c r="T586" t="str">
        <f>IF(Q586="DEP","BAS Excluded","GST on Income")</f>
        <v>GST on Income</v>
      </c>
      <c r="U586">
        <f>IF(O586=T586,1,0)</f>
        <v>1</v>
      </c>
      <c r="V586" s="9">
        <f>IF(OR(M586=0,U586=1),0,IF(T586="GST on Income",ROUND(K586*0.1,2),ROUND(-K586*0.1,2)))</f>
        <v>0</v>
      </c>
    </row>
    <row r="587">
      <c r="A587" t="inlineStr">
        <is>
          <t>INV-4669-1</t>
        </is>
      </c>
      <c r="B587" t="inlineStr">
        <is>
          <t>INV-4669</t>
        </is>
      </c>
      <c r="C587" s="11" t="n">
        <v>45934</v>
      </c>
      <c r="D587" t="inlineStr">
        <is>
          <t>2025-10</t>
        </is>
      </c>
      <c r="E587" t="inlineStr">
        <is>
          <t>C0007</t>
        </is>
      </c>
      <c r="F587" t="inlineStr">
        <is>
          <t>C0007</t>
        </is>
      </c>
      <c r="G587" t="inlineStr">
        <is>
          <t>Eastlink Projects</t>
        </is>
      </c>
      <c r="H587" t="inlineStr">
        <is>
          <t>S0116</t>
        </is>
      </c>
      <c r="I587" t="inlineStr">
        <is>
          <t>Temporary fence hire 4 wks (06/09/25-03/10/25) - 104 panels</t>
        </is>
      </c>
      <c r="J587" t="n">
        <v>416</v>
      </c>
      <c r="K587" s="9" t="n">
        <v>1872</v>
      </c>
      <c r="L587" t="inlineStr">
        <is>
          <t>PAID</t>
        </is>
      </c>
      <c r="M587">
        <f>IF(L587="VOIDED",0,1)</f>
        <v>1</v>
      </c>
      <c r="N587" t="n">
        <v>200</v>
      </c>
      <c r="O587" t="inlineStr">
        <is>
          <t>GST on Income</t>
        </is>
      </c>
      <c r="P587" t="inlineStr">
        <is>
          <t>R03</t>
        </is>
      </c>
      <c r="Q587" t="inlineStr">
        <is>
          <t>HIRE-FP</t>
        </is>
      </c>
      <c r="R587">
        <f>IF(OR(Q587="CONTEXT",Q587="REVIEW"),"",INDEX('Category Rules'!$D$5:$D$17,MATCH(P587,'Category Rules'!$A$5:$A$17,0)))</f>
        <v>4010</v>
      </c>
      <c r="S587" t="str">
        <f>IF(Q587="CONTEXT","Fencing",IF(Q587="REVIEW","",INDEX('Category Rules'!$E$5:$E$17,MATCH(P587,'Category Rules'!$A$5:$A$17,0))))</f>
        <v>Fencing</v>
      </c>
      <c r="T587" t="str">
        <f>IF(Q587="DEP","BAS Excluded","GST on Income")</f>
        <v>GST on Income</v>
      </c>
      <c r="U587">
        <f>IF(O587=T587,1,0)</f>
        <v>1</v>
      </c>
      <c r="V587" s="9">
        <f>IF(OR(M587=0,U587=1),0,IF(T587="GST on Income",ROUND(K587*0.1,2),ROUND(-K587*0.1,2)))</f>
        <v>0</v>
      </c>
    </row>
    <row r="588">
      <c r="A588" t="inlineStr">
        <is>
          <t>INV-5351-1</t>
        </is>
      </c>
      <c r="B588" t="inlineStr">
        <is>
          <t>INV-5351</t>
        </is>
      </c>
      <c r="C588" s="11" t="n">
        <v>45934</v>
      </c>
      <c r="D588" t="inlineStr">
        <is>
          <t>2025-10</t>
        </is>
      </c>
      <c r="E588" t="inlineStr">
        <is>
          <t>C0119</t>
        </is>
      </c>
      <c r="F588" t="inlineStr">
        <is>
          <t>C0119</t>
        </is>
      </c>
      <c r="G588" t="inlineStr">
        <is>
          <t>Northgate Builders Pty Ltd</t>
        </is>
      </c>
      <c r="H588" t="inlineStr">
        <is>
          <t>S0271</t>
        </is>
      </c>
      <c r="I588" t="inlineStr">
        <is>
          <t>Scaffold tower hire 1 wks (03/10/25-03/10/25) - 4 towers</t>
        </is>
      </c>
      <c r="J588" t="n">
        <v>4</v>
      </c>
      <c r="K588" s="9" t="n">
        <v>380</v>
      </c>
      <c r="L588" t="inlineStr">
        <is>
          <t>PAID</t>
        </is>
      </c>
      <c r="M588">
        <f>IF(L588="VOIDED",0,1)</f>
        <v>1</v>
      </c>
      <c r="N588" t="n">
        <v>200</v>
      </c>
      <c r="O588" t="inlineStr">
        <is>
          <t>GST on Income</t>
        </is>
      </c>
      <c r="P588" t="inlineStr">
        <is>
          <t>R05</t>
        </is>
      </c>
      <c r="Q588" t="inlineStr">
        <is>
          <t>HIRE-ST</t>
        </is>
      </c>
      <c r="R588">
        <f>IF(OR(Q588="CONTEXT",Q588="REVIEW"),"",INDEX('Category Rules'!$D$5:$D$17,MATCH(P588,'Category Rules'!$A$5:$A$17,0)))</f>
        <v>4010</v>
      </c>
      <c r="S588" t="str">
        <f>IF(Q588="CONTEXT","Scaffolding",IF(Q588="REVIEW","",INDEX('Category Rules'!$E$5:$E$17,MATCH(P588,'Category Rules'!$A$5:$A$17,0))))</f>
        <v>Scaffolding</v>
      </c>
      <c r="T588" t="str">
        <f>IF(Q588="DEP","BAS Excluded","GST on Income")</f>
        <v>GST on Income</v>
      </c>
      <c r="U588">
        <f>IF(O588=T588,1,0)</f>
        <v>1</v>
      </c>
      <c r="V588" s="9">
        <f>IF(OR(M588=0,U588=1),0,IF(T588="GST on Income",ROUND(K588*0.1,2),ROUND(-K588*0.1,2)))</f>
        <v>0</v>
      </c>
    </row>
    <row r="589">
      <c r="A589" t="inlineStr">
        <is>
          <t>INV-5353-1</t>
        </is>
      </c>
      <c r="B589" t="inlineStr">
        <is>
          <t>INV-5353</t>
        </is>
      </c>
      <c r="C589" s="11" t="n">
        <v>45934</v>
      </c>
      <c r="D589" t="inlineStr">
        <is>
          <t>2025-10</t>
        </is>
      </c>
      <c r="E589" t="inlineStr">
        <is>
          <t>C0119</t>
        </is>
      </c>
      <c r="F589" t="inlineStr">
        <is>
          <t>C0119</t>
        </is>
      </c>
      <c r="G589" t="inlineStr">
        <is>
          <t>Northgate Builders Pty Ltd</t>
        </is>
      </c>
      <c r="H589" t="inlineStr">
        <is>
          <t>S0271</t>
        </is>
      </c>
      <c r="I589" t="inlineStr">
        <is>
          <t>Scaffold dismantle - 4 tower(s)</t>
        </is>
      </c>
      <c r="J589" t="n">
        <v>4</v>
      </c>
      <c r="K589" s="9" t="n">
        <v>1280</v>
      </c>
      <c r="L589" t="inlineStr">
        <is>
          <t>PAID</t>
        </is>
      </c>
      <c r="M589">
        <f>IF(L589="VOIDED",0,1)</f>
        <v>1</v>
      </c>
      <c r="N589" t="n">
        <v>200</v>
      </c>
      <c r="O589" t="inlineStr">
        <is>
          <t>GST on Income</t>
        </is>
      </c>
      <c r="P589" t="inlineStr">
        <is>
          <t>R08</t>
        </is>
      </c>
      <c r="Q589" t="inlineStr">
        <is>
          <t>LAB-ST</t>
        </is>
      </c>
      <c r="R589">
        <f>IF(OR(Q589="CONTEXT",Q589="REVIEW"),"",INDEX('Category Rules'!$D$5:$D$17,MATCH(P589,'Category Rules'!$A$5:$A$17,0)))</f>
        <v>4020</v>
      </c>
      <c r="S589" t="str">
        <f>IF(Q589="CONTEXT","Scaffolding",IF(Q589="REVIEW","",INDEX('Category Rules'!$E$5:$E$17,MATCH(P589,'Category Rules'!$A$5:$A$17,0))))</f>
        <v>Scaffolding</v>
      </c>
      <c r="T589" t="str">
        <f>IF(Q589="DEP","BAS Excluded","GST on Income")</f>
        <v>GST on Income</v>
      </c>
      <c r="U589">
        <f>IF(O589=T589,1,0)</f>
        <v>1</v>
      </c>
      <c r="V589" s="9">
        <f>IF(OR(M589=0,U589=1),0,IF(T589="GST on Income",ROUND(K589*0.1,2),ROUND(-K589*0.1,2)))</f>
        <v>0</v>
      </c>
    </row>
    <row r="590">
      <c r="A590" t="inlineStr">
        <is>
          <t>INV-5545-1</t>
        </is>
      </c>
      <c r="B590" t="inlineStr">
        <is>
          <t>INV-5545</t>
        </is>
      </c>
      <c r="C590" s="11" t="n">
        <v>45934</v>
      </c>
      <c r="D590" t="inlineStr">
        <is>
          <t>2025-10</t>
        </is>
      </c>
      <c r="E590" t="inlineStr">
        <is>
          <t>C0084</t>
        </is>
      </c>
      <c r="F590" t="inlineStr">
        <is>
          <t>C0084</t>
        </is>
      </c>
      <c r="G590" t="inlineStr">
        <is>
          <t>Mia Walker</t>
        </is>
      </c>
      <c r="H590" t="inlineStr">
        <is>
          <t>S0346</t>
        </is>
      </c>
      <c r="I590" t="inlineStr">
        <is>
          <t>Emergency make safe call-out - after hours</t>
        </is>
      </c>
      <c r="J590" t="n">
        <v>1</v>
      </c>
      <c r="K590" s="9" t="n">
        <v>560</v>
      </c>
      <c r="L590" t="inlineStr">
        <is>
          <t>PAID</t>
        </is>
      </c>
      <c r="M590">
        <f>IF(L590="VOIDED",0,1)</f>
        <v>1</v>
      </c>
      <c r="N590" t="n">
        <v>200</v>
      </c>
      <c r="O590" t="inlineStr">
        <is>
          <t>GST on Income</t>
        </is>
      </c>
      <c r="P590" t="inlineStr">
        <is>
          <t>R09</t>
        </is>
      </c>
      <c r="Q590" t="inlineStr">
        <is>
          <t>MS</t>
        </is>
      </c>
      <c r="R590">
        <f>IF(OR(Q590="CONTEXT",Q590="REVIEW"),"",INDEX('Category Rules'!$D$5:$D$17,MATCH(P590,'Category Rules'!$A$5:$A$17,0)))</f>
        <v>4020</v>
      </c>
      <c r="S590" t="str">
        <f>IF(Q590="CONTEXT","Make-safe",IF(Q590="REVIEW","",INDEX('Category Rules'!$E$5:$E$17,MATCH(P590,'Category Rules'!$A$5:$A$17,0))))</f>
        <v>Make-safe</v>
      </c>
      <c r="T590" t="str">
        <f>IF(Q590="DEP","BAS Excluded","GST on Income")</f>
        <v>GST on Income</v>
      </c>
      <c r="U590">
        <f>IF(O590=T590,1,0)</f>
        <v>1</v>
      </c>
      <c r="V590" s="9">
        <f>IF(OR(M590=0,U590=1),0,IF(T590="GST on Income",ROUND(K590*0.1,2),ROUND(-K590*0.1,2)))</f>
        <v>0</v>
      </c>
    </row>
    <row r="591">
      <c r="A591" t="inlineStr">
        <is>
          <t>INV-5545-2</t>
        </is>
      </c>
      <c r="B591" t="inlineStr">
        <is>
          <t>INV-5545</t>
        </is>
      </c>
      <c r="C591" s="11" t="n">
        <v>45934</v>
      </c>
      <c r="D591" t="inlineStr">
        <is>
          <t>2025-10</t>
        </is>
      </c>
      <c r="E591" t="inlineStr">
        <is>
          <t>C0084</t>
        </is>
      </c>
      <c r="F591" t="inlineStr">
        <is>
          <t>C0084</t>
        </is>
      </c>
      <c r="G591" t="inlineStr">
        <is>
          <t>Mia Walker</t>
        </is>
      </c>
      <c r="H591" t="inlineStr">
        <is>
          <t>S0346</t>
        </is>
      </c>
      <c r="I591" t="inlineStr">
        <is>
          <t>Tarp supply and install - 1 tarp(s)</t>
        </is>
      </c>
      <c r="J591" t="n">
        <v>1</v>
      </c>
      <c r="K591" s="9" t="n">
        <v>240</v>
      </c>
      <c r="L591" t="inlineStr">
        <is>
          <t>PAID</t>
        </is>
      </c>
      <c r="M591">
        <f>IF(L591="VOIDED",0,1)</f>
        <v>1</v>
      </c>
      <c r="N591" t="n">
        <v>200</v>
      </c>
      <c r="O591" t="inlineStr">
        <is>
          <t>GST on Income</t>
        </is>
      </c>
      <c r="P591" t="inlineStr">
        <is>
          <t>R09</t>
        </is>
      </c>
      <c r="Q591" t="inlineStr">
        <is>
          <t>MS</t>
        </is>
      </c>
      <c r="R591">
        <f>IF(OR(Q591="CONTEXT",Q591="REVIEW"),"",INDEX('Category Rules'!$D$5:$D$17,MATCH(P591,'Category Rules'!$A$5:$A$17,0)))</f>
        <v>4020</v>
      </c>
      <c r="S591" t="str">
        <f>IF(Q591="CONTEXT","Make-safe",IF(Q591="REVIEW","",INDEX('Category Rules'!$E$5:$E$17,MATCH(P591,'Category Rules'!$A$5:$A$17,0))))</f>
        <v>Make-safe</v>
      </c>
      <c r="T591" t="str">
        <f>IF(Q591="DEP","BAS Excluded","GST on Income")</f>
        <v>GST on Income</v>
      </c>
      <c r="U591">
        <f>IF(O591=T591,1,0)</f>
        <v>1</v>
      </c>
      <c r="V591" s="9">
        <f>IF(OR(M591=0,U591=1),0,IF(T591="GST on Income",ROUND(K591*0.1,2),ROUND(-K591*0.1,2)))</f>
        <v>0</v>
      </c>
    </row>
    <row r="592">
      <c r="A592" t="inlineStr">
        <is>
          <t>INV-5841-1</t>
        </is>
      </c>
      <c r="B592" t="inlineStr">
        <is>
          <t>INV-5841</t>
        </is>
      </c>
      <c r="C592" s="11" t="n">
        <v>45934</v>
      </c>
      <c r="D592" t="inlineStr">
        <is>
          <t>2025-10</t>
        </is>
      </c>
      <c r="E592" t="inlineStr">
        <is>
          <t>C0082</t>
        </is>
      </c>
      <c r="F592" t="inlineStr">
        <is>
          <t>C0082</t>
        </is>
      </c>
      <c r="G592" t="inlineStr">
        <is>
          <t>Olivia Hughes</t>
        </is>
      </c>
      <c r="H592" t="inlineStr">
        <is>
          <t>S0515</t>
        </is>
      </c>
      <c r="I592" t="inlineStr">
        <is>
          <t>Tarp kit hire 4 wks (06/09/25-03/10/25) - 2 kits</t>
        </is>
      </c>
      <c r="J592" t="n">
        <v>8</v>
      </c>
      <c r="K592" s="9" t="n">
        <v>280</v>
      </c>
      <c r="L592" t="inlineStr">
        <is>
          <t>PAID</t>
        </is>
      </c>
      <c r="M592">
        <f>IF(L592="VOIDED",0,1)</f>
        <v>1</v>
      </c>
      <c r="N592" t="n">
        <v>200</v>
      </c>
      <c r="O592" t="inlineStr">
        <is>
          <t>GST on Income</t>
        </is>
      </c>
      <c r="P592" t="inlineStr">
        <is>
          <t>R06</t>
        </is>
      </c>
      <c r="Q592" t="inlineStr">
        <is>
          <t>HIRE-TK</t>
        </is>
      </c>
      <c r="R592">
        <f>IF(OR(Q592="CONTEXT",Q592="REVIEW"),"",INDEX('Category Rules'!$D$5:$D$17,MATCH(P592,'Category Rules'!$A$5:$A$17,0)))</f>
        <v>4010</v>
      </c>
      <c r="S592" t="str">
        <f>IF(Q592="CONTEXT","Make-safe",IF(Q592="REVIEW","",INDEX('Category Rules'!$E$5:$E$17,MATCH(P592,'Category Rules'!$A$5:$A$17,0))))</f>
        <v>Make-safe</v>
      </c>
      <c r="T592" t="str">
        <f>IF(Q592="DEP","BAS Excluded","GST on Income")</f>
        <v>GST on Income</v>
      </c>
      <c r="U592">
        <f>IF(O592=T592,1,0)</f>
        <v>1</v>
      </c>
      <c r="V592" s="9">
        <f>IF(OR(M592=0,U592=1),0,IF(T592="GST on Income",ROUND(K592*0.1,2),ROUND(-K592*0.1,2)))</f>
        <v>0</v>
      </c>
    </row>
    <row r="593">
      <c r="A593" t="inlineStr">
        <is>
          <t>INV-4456-1</t>
        </is>
      </c>
      <c r="B593" t="inlineStr">
        <is>
          <t>INV-4456</t>
        </is>
      </c>
      <c r="C593" s="11" t="n">
        <v>45935</v>
      </c>
      <c r="D593" t="inlineStr">
        <is>
          <t>2025-10</t>
        </is>
      </c>
      <c r="E593" t="inlineStr">
        <is>
          <t>C0024</t>
        </is>
      </c>
      <c r="F593" t="inlineStr">
        <is>
          <t>C0024</t>
        </is>
      </c>
      <c r="G593" t="inlineStr">
        <is>
          <t>Parkview Homes Pty Ltd</t>
        </is>
      </c>
      <c r="H593" t="inlineStr">
        <is>
          <t>S0072</t>
        </is>
      </c>
      <c r="I593" t="inlineStr">
        <is>
          <t>Delivery and installation - temporary fencing</t>
        </is>
      </c>
      <c r="J593" t="n">
        <v>1</v>
      </c>
      <c r="K593" s="9" t="n">
        <v>165</v>
      </c>
      <c r="L593" t="inlineStr">
        <is>
          <t>PAID</t>
        </is>
      </c>
      <c r="M593">
        <f>IF(L593="VOIDED",0,1)</f>
        <v>1</v>
      </c>
      <c r="N593" t="n">
        <v>200</v>
      </c>
      <c r="O593" t="inlineStr">
        <is>
          <t>GST on Income</t>
        </is>
      </c>
      <c r="P593" t="inlineStr">
        <is>
          <t>R07</t>
        </is>
      </c>
      <c r="Q593" t="inlineStr">
        <is>
          <t>DEL-FP</t>
        </is>
      </c>
      <c r="R593">
        <f>IF(OR(Q593="CONTEXT",Q593="REVIEW"),"",INDEX('Category Rules'!$D$5:$D$17,MATCH(P593,'Category Rules'!$A$5:$A$17,0)))</f>
        <v>4020</v>
      </c>
      <c r="S593" t="str">
        <f>IF(Q593="CONTEXT","Fencing",IF(Q593="REVIEW","",INDEX('Category Rules'!$E$5:$E$17,MATCH(P593,'Category Rules'!$A$5:$A$17,0))))</f>
        <v>Fencing</v>
      </c>
      <c r="T593" t="str">
        <f>IF(Q593="DEP","BAS Excluded","GST on Income")</f>
        <v>GST on Income</v>
      </c>
      <c r="U593">
        <f>IF(O593=T593,1,0)</f>
        <v>1</v>
      </c>
      <c r="V593" s="9">
        <f>IF(OR(M593=0,U593=1),0,IF(T593="GST on Income",ROUND(K593*0.1,2),ROUND(-K593*0.1,2)))</f>
        <v>0</v>
      </c>
    </row>
    <row r="594">
      <c r="A594" t="inlineStr">
        <is>
          <t>INV-4456-2</t>
        </is>
      </c>
      <c r="B594" t="inlineStr">
        <is>
          <t>INV-4456</t>
        </is>
      </c>
      <c r="C594" s="11" t="n">
        <v>45935</v>
      </c>
      <c r="D594" t="inlineStr">
        <is>
          <t>2025-10</t>
        </is>
      </c>
      <c r="E594" t="inlineStr">
        <is>
          <t>C0024</t>
        </is>
      </c>
      <c r="F594" t="inlineStr">
        <is>
          <t>C0024</t>
        </is>
      </c>
      <c r="G594" t="inlineStr">
        <is>
          <t>Parkview Homes Pty Ltd</t>
        </is>
      </c>
      <c r="H594" t="inlineStr">
        <is>
          <t>S0072</t>
        </is>
      </c>
      <c r="I594" t="inlineStr">
        <is>
          <t>Installation labour - 63 panels @ 2.20</t>
        </is>
      </c>
      <c r="J594" t="n">
        <v>63</v>
      </c>
      <c r="K594" s="9" t="n">
        <v>138.6</v>
      </c>
      <c r="L594" t="inlineStr">
        <is>
          <t>PAID</t>
        </is>
      </c>
      <c r="M594">
        <f>IF(L594="VOIDED",0,1)</f>
        <v>1</v>
      </c>
      <c r="N594" t="n">
        <v>260</v>
      </c>
      <c r="O594" t="inlineStr">
        <is>
          <t>GST on Income</t>
        </is>
      </c>
      <c r="P594" t="inlineStr">
        <is>
          <t>R07</t>
        </is>
      </c>
      <c r="Q594" t="inlineStr">
        <is>
          <t>DEL-FP</t>
        </is>
      </c>
      <c r="R594">
        <f>IF(OR(Q594="CONTEXT",Q594="REVIEW"),"",INDEX('Category Rules'!$D$5:$D$17,MATCH(P594,'Category Rules'!$A$5:$A$17,0)))</f>
        <v>4020</v>
      </c>
      <c r="S594" t="str">
        <f>IF(Q594="CONTEXT","Fencing",IF(Q594="REVIEW","",INDEX('Category Rules'!$E$5:$E$17,MATCH(P594,'Category Rules'!$A$5:$A$17,0))))</f>
        <v>Fencing</v>
      </c>
      <c r="T594" t="str">
        <f>IF(Q594="DEP","BAS Excluded","GST on Income")</f>
        <v>GST on Income</v>
      </c>
      <c r="U594">
        <f>IF(O594=T594,1,0)</f>
        <v>1</v>
      </c>
      <c r="V594" s="9">
        <f>IF(OR(M594=0,U594=1),0,IF(T594="GST on Income",ROUND(K594*0.1,2),ROUND(-K594*0.1,2)))</f>
        <v>0</v>
      </c>
    </row>
    <row r="595">
      <c r="A595" t="inlineStr">
        <is>
          <t>INV-4781-1</t>
        </is>
      </c>
      <c r="B595" t="inlineStr">
        <is>
          <t>INV-4781</t>
        </is>
      </c>
      <c r="C595" s="11" t="n">
        <v>45935</v>
      </c>
      <c r="D595" t="inlineStr">
        <is>
          <t>2025-10</t>
        </is>
      </c>
      <c r="E595" t="inlineStr">
        <is>
          <t>C0080</t>
        </is>
      </c>
      <c r="F595" t="inlineStr">
        <is>
          <t>C0080</t>
        </is>
      </c>
      <c r="G595" t="inlineStr">
        <is>
          <t>Ember Productions Pty Ltd</t>
        </is>
      </c>
      <c r="H595" t="inlineStr">
        <is>
          <t>S0145</t>
        </is>
      </c>
      <c r="I595" t="inlineStr">
        <is>
          <t>Delivery and installation - temporary fencing</t>
        </is>
      </c>
      <c r="J595" t="n">
        <v>1</v>
      </c>
      <c r="K595" s="9" t="n">
        <v>165</v>
      </c>
      <c r="L595" t="inlineStr">
        <is>
          <t>PAID</t>
        </is>
      </c>
      <c r="M595">
        <f>IF(L595="VOIDED",0,1)</f>
        <v>1</v>
      </c>
      <c r="N595" t="n">
        <v>200</v>
      </c>
      <c r="O595" t="inlineStr">
        <is>
          <t>GST on Income</t>
        </is>
      </c>
      <c r="P595" t="inlineStr">
        <is>
          <t>R07</t>
        </is>
      </c>
      <c r="Q595" t="inlineStr">
        <is>
          <t>DEL-FP</t>
        </is>
      </c>
      <c r="R595">
        <f>IF(OR(Q595="CONTEXT",Q595="REVIEW"),"",INDEX('Category Rules'!$D$5:$D$17,MATCH(P595,'Category Rules'!$A$5:$A$17,0)))</f>
        <v>4020</v>
      </c>
      <c r="S595" t="str">
        <f>IF(Q595="CONTEXT","Fencing",IF(Q595="REVIEW","",INDEX('Category Rules'!$E$5:$E$17,MATCH(P595,'Category Rules'!$A$5:$A$17,0))))</f>
        <v>Fencing</v>
      </c>
      <c r="T595" t="str">
        <f>IF(Q595="DEP","BAS Excluded","GST on Income")</f>
        <v>GST on Income</v>
      </c>
      <c r="U595">
        <f>IF(O595=T595,1,0)</f>
        <v>1</v>
      </c>
      <c r="V595" s="9">
        <f>IF(OR(M595=0,U595=1),0,IF(T595="GST on Income",ROUND(K595*0.1,2),ROUND(-K595*0.1,2)))</f>
        <v>0</v>
      </c>
    </row>
    <row r="596">
      <c r="A596" t="inlineStr">
        <is>
          <t>INV-4781-2</t>
        </is>
      </c>
      <c r="B596" t="inlineStr">
        <is>
          <t>INV-4781</t>
        </is>
      </c>
      <c r="C596" s="11" t="n">
        <v>45935</v>
      </c>
      <c r="D596" t="inlineStr">
        <is>
          <t>2025-10</t>
        </is>
      </c>
      <c r="E596" t="inlineStr">
        <is>
          <t>C0080</t>
        </is>
      </c>
      <c r="F596" t="inlineStr">
        <is>
          <t>C0080</t>
        </is>
      </c>
      <c r="G596" t="inlineStr">
        <is>
          <t>Ember Productions Pty Ltd</t>
        </is>
      </c>
      <c r="H596" t="inlineStr">
        <is>
          <t>S0145</t>
        </is>
      </c>
      <c r="I596" t="inlineStr">
        <is>
          <t>Installation labour - 88 panels @ 2.20</t>
        </is>
      </c>
      <c r="J596" t="n">
        <v>88</v>
      </c>
      <c r="K596" s="9" t="n">
        <v>193.6</v>
      </c>
      <c r="L596" t="inlineStr">
        <is>
          <t>PAID</t>
        </is>
      </c>
      <c r="M596">
        <f>IF(L596="VOIDED",0,1)</f>
        <v>1</v>
      </c>
      <c r="N596" t="n">
        <v>200</v>
      </c>
      <c r="O596" t="inlineStr">
        <is>
          <t>GST on Income</t>
        </is>
      </c>
      <c r="P596" t="inlineStr">
        <is>
          <t>R07</t>
        </is>
      </c>
      <c r="Q596" t="inlineStr">
        <is>
          <t>DEL-FP</t>
        </is>
      </c>
      <c r="R596">
        <f>IF(OR(Q596="CONTEXT",Q596="REVIEW"),"",INDEX('Category Rules'!$D$5:$D$17,MATCH(P596,'Category Rules'!$A$5:$A$17,0)))</f>
        <v>4020</v>
      </c>
      <c r="S596" t="str">
        <f>IF(Q596="CONTEXT","Fencing",IF(Q596="REVIEW","",INDEX('Category Rules'!$E$5:$E$17,MATCH(P596,'Category Rules'!$A$5:$A$17,0))))</f>
        <v>Fencing</v>
      </c>
      <c r="T596" t="str">
        <f>IF(Q596="DEP","BAS Excluded","GST on Income")</f>
        <v>GST on Income</v>
      </c>
      <c r="U596">
        <f>IF(O596=T596,1,0)</f>
        <v>1</v>
      </c>
      <c r="V596" s="9">
        <f>IF(OR(M596=0,U596=1),0,IF(T596="GST on Income",ROUND(K596*0.1,2),ROUND(-K596*0.1,2)))</f>
        <v>0</v>
      </c>
    </row>
    <row r="597">
      <c r="A597" t="inlineStr">
        <is>
          <t>INV-4963-1</t>
        </is>
      </c>
      <c r="B597" t="inlineStr">
        <is>
          <t>INV-4963</t>
        </is>
      </c>
      <c r="C597" s="11" t="n">
        <v>45935</v>
      </c>
      <c r="D597" t="inlineStr">
        <is>
          <t>2025-10</t>
        </is>
      </c>
      <c r="E597" t="inlineStr">
        <is>
          <t>C0112</t>
        </is>
      </c>
      <c r="F597" t="inlineStr">
        <is>
          <t>C0112</t>
        </is>
      </c>
      <c r="G597" t="inlineStr">
        <is>
          <t>Sam Murphy</t>
        </is>
      </c>
      <c r="H597" t="inlineStr">
        <is>
          <t>S0183</t>
        </is>
      </c>
      <c r="I597" t="inlineStr">
        <is>
          <t>Temporary fence hire 4 wks (07/09/25-04/10/25) - 78 panels</t>
        </is>
      </c>
      <c r="J597" t="n">
        <v>312</v>
      </c>
      <c r="K597" s="9" t="n">
        <v>1404</v>
      </c>
      <c r="L597" t="inlineStr">
        <is>
          <t>PAID</t>
        </is>
      </c>
      <c r="M597">
        <f>IF(L597="VOIDED",0,1)</f>
        <v>1</v>
      </c>
      <c r="N597" t="n">
        <v>200</v>
      </c>
      <c r="O597" t="inlineStr">
        <is>
          <t>GST on Income</t>
        </is>
      </c>
      <c r="P597" t="inlineStr">
        <is>
          <t>R03</t>
        </is>
      </c>
      <c r="Q597" t="inlineStr">
        <is>
          <t>HIRE-FP</t>
        </is>
      </c>
      <c r="R597">
        <f>IF(OR(Q597="CONTEXT",Q597="REVIEW"),"",INDEX('Category Rules'!$D$5:$D$17,MATCH(P597,'Category Rules'!$A$5:$A$17,0)))</f>
        <v>4010</v>
      </c>
      <c r="S597" t="str">
        <f>IF(Q597="CONTEXT","Fencing",IF(Q597="REVIEW","",INDEX('Category Rules'!$E$5:$E$17,MATCH(P597,'Category Rules'!$A$5:$A$17,0))))</f>
        <v>Fencing</v>
      </c>
      <c r="T597" t="str">
        <f>IF(Q597="DEP","BAS Excluded","GST on Income")</f>
        <v>GST on Income</v>
      </c>
      <c r="U597">
        <f>IF(O597=T597,1,0)</f>
        <v>1</v>
      </c>
      <c r="V597" s="9">
        <f>IF(OR(M597=0,U597=1),0,IF(T597="GST on Income",ROUND(K597*0.1,2),ROUND(-K597*0.1,2)))</f>
        <v>0</v>
      </c>
    </row>
    <row r="598">
      <c r="A598" t="inlineStr">
        <is>
          <t>INV-5105-1</t>
        </is>
      </c>
      <c r="B598" t="inlineStr">
        <is>
          <t>INV-5105</t>
        </is>
      </c>
      <c r="C598" s="11" t="n">
        <v>45935</v>
      </c>
      <c r="D598" t="inlineStr">
        <is>
          <t>2025-10</t>
        </is>
      </c>
      <c r="E598" t="inlineStr">
        <is>
          <t>C0002</t>
        </is>
      </c>
      <c r="F598" t="inlineStr">
        <is>
          <t>C0002</t>
        </is>
      </c>
      <c r="G598" t="inlineStr">
        <is>
          <t>Summit Building Group</t>
        </is>
      </c>
      <c r="H598" t="inlineStr">
        <is>
          <t>S0215</t>
        </is>
      </c>
      <c r="I598" t="inlineStr">
        <is>
          <t>Pedestrian barrier hire 4 wks (07/09/25-04/10/25) - 18 barriers</t>
        </is>
      </c>
      <c r="J598" t="n">
        <v>72</v>
      </c>
      <c r="K598" s="9" t="n">
        <v>230.4</v>
      </c>
      <c r="L598" t="inlineStr">
        <is>
          <t>PAID</t>
        </is>
      </c>
      <c r="M598">
        <f>IF(L598="VOIDED",0,1)</f>
        <v>1</v>
      </c>
      <c r="N598" t="n">
        <v>200</v>
      </c>
      <c r="O598" t="inlineStr">
        <is>
          <t>GST on Income</t>
        </is>
      </c>
      <c r="P598" t="inlineStr">
        <is>
          <t>R04</t>
        </is>
      </c>
      <c r="Q598" t="inlineStr">
        <is>
          <t>HIRE-BR</t>
        </is>
      </c>
      <c r="R598">
        <f>IF(OR(Q598="CONTEXT",Q598="REVIEW"),"",INDEX('Category Rules'!$D$5:$D$17,MATCH(P598,'Category Rules'!$A$5:$A$17,0)))</f>
        <v>4010</v>
      </c>
      <c r="S598" t="str">
        <f>IF(Q598="CONTEXT","Fencing",IF(Q598="REVIEW","",INDEX('Category Rules'!$E$5:$E$17,MATCH(P598,'Category Rules'!$A$5:$A$17,0))))</f>
        <v>Fencing</v>
      </c>
      <c r="T598" t="str">
        <f>IF(Q598="DEP","BAS Excluded","GST on Income")</f>
        <v>GST on Income</v>
      </c>
      <c r="U598">
        <f>IF(O598=T598,1,0)</f>
        <v>1</v>
      </c>
      <c r="V598" s="9">
        <f>IF(OR(M598=0,U598=1),0,IF(T598="GST on Income",ROUND(K598*0.1,2),ROUND(-K598*0.1,2)))</f>
        <v>0</v>
      </c>
    </row>
    <row r="599">
      <c r="A599" t="inlineStr">
        <is>
          <t>INV-5171-1</t>
        </is>
      </c>
      <c r="B599" t="inlineStr">
        <is>
          <t>INV-5171</t>
        </is>
      </c>
      <c r="C599" s="11" t="n">
        <v>45935</v>
      </c>
      <c r="D599" t="inlineStr">
        <is>
          <t>2025-10</t>
        </is>
      </c>
      <c r="E599" t="inlineStr">
        <is>
          <t>C0148</t>
        </is>
      </c>
      <c r="F599" t="inlineStr">
        <is>
          <t>C0042</t>
        </is>
      </c>
      <c r="G599" t="inlineStr">
        <is>
          <t>Lakeside Constructions Pty Ltd</t>
        </is>
      </c>
      <c r="H599" t="inlineStr">
        <is>
          <t>S0231</t>
        </is>
      </c>
      <c r="I599" t="inlineStr">
        <is>
          <t>Temporary fence hire 4 wks (07/09/25-04/10/25) - 125 panels</t>
        </is>
      </c>
      <c r="J599" t="n">
        <v>500</v>
      </c>
      <c r="K599" s="9" t="n">
        <v>2250</v>
      </c>
      <c r="L599" t="inlineStr">
        <is>
          <t>VOIDED</t>
        </is>
      </c>
      <c r="M599">
        <f>IF(L599="VOIDED",0,1)</f>
        <v>0</v>
      </c>
      <c r="N599" t="n">
        <v>200</v>
      </c>
      <c r="O599" t="inlineStr">
        <is>
          <t>GST on Income</t>
        </is>
      </c>
      <c r="P599" t="inlineStr">
        <is>
          <t>R03</t>
        </is>
      </c>
      <c r="Q599" t="inlineStr">
        <is>
          <t>HIRE-FP</t>
        </is>
      </c>
      <c r="R599">
        <f>IF(OR(Q599="CONTEXT",Q599="REVIEW"),"",INDEX('Category Rules'!$D$5:$D$17,MATCH(P599,'Category Rules'!$A$5:$A$17,0)))</f>
        <v>4010</v>
      </c>
      <c r="S599" t="str">
        <f>IF(Q599="CONTEXT","Fencing",IF(Q599="REVIEW","",INDEX('Category Rules'!$E$5:$E$17,MATCH(P599,'Category Rules'!$A$5:$A$17,0))))</f>
        <v>Fencing</v>
      </c>
      <c r="T599" t="str">
        <f>IF(Q599="DEP","BAS Excluded","GST on Income")</f>
        <v>GST on Income</v>
      </c>
      <c r="U599">
        <f>IF(O599=T599,1,0)</f>
        <v>1</v>
      </c>
      <c r="V599" s="9">
        <f>IF(OR(M599=0,U599=1),0,IF(T599="GST on Income",ROUND(K599*0.1,2),ROUND(-K599*0.1,2)))</f>
        <v>0</v>
      </c>
    </row>
    <row r="600">
      <c r="A600" t="inlineStr">
        <is>
          <t>INV-5524-1</t>
        </is>
      </c>
      <c r="B600" t="inlineStr">
        <is>
          <t>INV-5524</t>
        </is>
      </c>
      <c r="C600" s="11" t="n">
        <v>45935</v>
      </c>
      <c r="D600" t="inlineStr">
        <is>
          <t>2025-10</t>
        </is>
      </c>
      <c r="E600" t="inlineStr">
        <is>
          <t>C0039</t>
        </is>
      </c>
      <c r="F600" t="inlineStr">
        <is>
          <t>C0039</t>
        </is>
      </c>
      <c r="G600" t="inlineStr">
        <is>
          <t>Coastline Developments Pty Ltd</t>
        </is>
      </c>
      <c r="H600" t="inlineStr">
        <is>
          <t>S0337</t>
        </is>
      </c>
      <c r="I600" t="inlineStr">
        <is>
          <t>Make safe call-out</t>
        </is>
      </c>
      <c r="J600" t="n">
        <v>1</v>
      </c>
      <c r="K600" s="9" t="n">
        <v>385</v>
      </c>
      <c r="L600" t="inlineStr">
        <is>
          <t>PAID</t>
        </is>
      </c>
      <c r="M600">
        <f>IF(L600="VOIDED",0,1)</f>
        <v>1</v>
      </c>
      <c r="N600" t="n">
        <v>200</v>
      </c>
      <c r="O600" t="inlineStr">
        <is>
          <t>GST on Income</t>
        </is>
      </c>
      <c r="P600" t="inlineStr">
        <is>
          <t>R09</t>
        </is>
      </c>
      <c r="Q600" t="inlineStr">
        <is>
          <t>MS</t>
        </is>
      </c>
      <c r="R600">
        <f>IF(OR(Q600="CONTEXT",Q600="REVIEW"),"",INDEX('Category Rules'!$D$5:$D$17,MATCH(P600,'Category Rules'!$A$5:$A$17,0)))</f>
        <v>4020</v>
      </c>
      <c r="S600" t="str">
        <f>IF(Q600="CONTEXT","Make-safe",IF(Q600="REVIEW","",INDEX('Category Rules'!$E$5:$E$17,MATCH(P600,'Category Rules'!$A$5:$A$17,0))))</f>
        <v>Make-safe</v>
      </c>
      <c r="T600" t="str">
        <f>IF(Q600="DEP","BAS Excluded","GST on Income")</f>
        <v>GST on Income</v>
      </c>
      <c r="U600">
        <f>IF(O600=T600,1,0)</f>
        <v>1</v>
      </c>
      <c r="V600" s="9">
        <f>IF(OR(M600=0,U600=1),0,IF(T600="GST on Income",ROUND(K600*0.1,2),ROUND(-K600*0.1,2)))</f>
        <v>0</v>
      </c>
    </row>
    <row r="601">
      <c r="A601" t="inlineStr">
        <is>
          <t>INV-5524-2</t>
        </is>
      </c>
      <c r="B601" t="inlineStr">
        <is>
          <t>INV-5524</t>
        </is>
      </c>
      <c r="C601" s="11" t="n">
        <v>45935</v>
      </c>
      <c r="D601" t="inlineStr">
        <is>
          <t>2025-10</t>
        </is>
      </c>
      <c r="E601" t="inlineStr">
        <is>
          <t>C0039</t>
        </is>
      </c>
      <c r="F601" t="inlineStr">
        <is>
          <t>C0039</t>
        </is>
      </c>
      <c r="G601" t="inlineStr">
        <is>
          <t>Coastline Developments Pty Ltd</t>
        </is>
      </c>
      <c r="H601" t="inlineStr">
        <is>
          <t>S0337</t>
        </is>
      </c>
      <c r="I601" t="inlineStr">
        <is>
          <t>Tarp supply and install - 2 tarp(s)</t>
        </is>
      </c>
      <c r="J601" t="n">
        <v>2</v>
      </c>
      <c r="K601" s="9" t="n">
        <v>480</v>
      </c>
      <c r="L601" t="inlineStr">
        <is>
          <t>PAID</t>
        </is>
      </c>
      <c r="M601">
        <f>IF(L601="VOIDED",0,1)</f>
        <v>1</v>
      </c>
      <c r="N601" t="n">
        <v>200</v>
      </c>
      <c r="O601" t="inlineStr">
        <is>
          <t>GST on Income</t>
        </is>
      </c>
      <c r="P601" t="inlineStr">
        <is>
          <t>R09</t>
        </is>
      </c>
      <c r="Q601" t="inlineStr">
        <is>
          <t>MS</t>
        </is>
      </c>
      <c r="R601">
        <f>IF(OR(Q601="CONTEXT",Q601="REVIEW"),"",INDEX('Category Rules'!$D$5:$D$17,MATCH(P601,'Category Rules'!$A$5:$A$17,0)))</f>
        <v>4020</v>
      </c>
      <c r="S601" t="str">
        <f>IF(Q601="CONTEXT","Make-safe",IF(Q601="REVIEW","",INDEX('Category Rules'!$E$5:$E$17,MATCH(P601,'Category Rules'!$A$5:$A$17,0))))</f>
        <v>Make-safe</v>
      </c>
      <c r="T601" t="str">
        <f>IF(Q601="DEP","BAS Excluded","GST on Income")</f>
        <v>GST on Income</v>
      </c>
      <c r="U601">
        <f>IF(O601=T601,1,0)</f>
        <v>1</v>
      </c>
      <c r="V601" s="9">
        <f>IF(OR(M601=0,U601=1),0,IF(T601="GST on Income",ROUND(K601*0.1,2),ROUND(-K601*0.1,2)))</f>
        <v>0</v>
      </c>
    </row>
    <row r="602">
      <c r="A602" t="inlineStr">
        <is>
          <t>INV-4417-1</t>
        </is>
      </c>
      <c r="B602" t="inlineStr">
        <is>
          <t>INV-4417</t>
        </is>
      </c>
      <c r="C602" s="11" t="n">
        <v>45936</v>
      </c>
      <c r="D602" t="inlineStr">
        <is>
          <t>2025-10</t>
        </is>
      </c>
      <c r="E602" t="inlineStr">
        <is>
          <t>C0070</t>
        </is>
      </c>
      <c r="F602" t="inlineStr">
        <is>
          <t>C0070</t>
        </is>
      </c>
      <c r="G602" t="inlineStr">
        <is>
          <t>Banyule City Council</t>
        </is>
      </c>
      <c r="H602" t="inlineStr">
        <is>
          <t>S0063</t>
        </is>
      </c>
      <c r="I602" t="inlineStr">
        <is>
          <t>Temporary fence hire 4 wks (09/09/25-05/10/25) - 32 panels</t>
        </is>
      </c>
      <c r="J602" t="n">
        <v>128</v>
      </c>
      <c r="K602" s="9" t="n">
        <v>576</v>
      </c>
      <c r="L602" t="inlineStr">
        <is>
          <t>PAID</t>
        </is>
      </c>
      <c r="M602">
        <f>IF(L602="VOIDED",0,1)</f>
        <v>1</v>
      </c>
      <c r="N602" t="n">
        <v>200</v>
      </c>
      <c r="O602" t="inlineStr">
        <is>
          <t>GST on Income</t>
        </is>
      </c>
      <c r="P602" t="inlineStr">
        <is>
          <t>R03</t>
        </is>
      </c>
      <c r="Q602" t="inlineStr">
        <is>
          <t>HIRE-FP</t>
        </is>
      </c>
      <c r="R602">
        <f>IF(OR(Q602="CONTEXT",Q602="REVIEW"),"",INDEX('Category Rules'!$D$5:$D$17,MATCH(P602,'Category Rules'!$A$5:$A$17,0)))</f>
        <v>4010</v>
      </c>
      <c r="S602" t="str">
        <f>IF(Q602="CONTEXT","Fencing",IF(Q602="REVIEW","",INDEX('Category Rules'!$E$5:$E$17,MATCH(P602,'Category Rules'!$A$5:$A$17,0))))</f>
        <v>Fencing</v>
      </c>
      <c r="T602" t="str">
        <f>IF(Q602="DEP","BAS Excluded","GST on Income")</f>
        <v>GST on Income</v>
      </c>
      <c r="U602">
        <f>IF(O602=T602,1,0)</f>
        <v>1</v>
      </c>
      <c r="V602" s="9">
        <f>IF(OR(M602=0,U602=1),0,IF(T602="GST on Income",ROUND(K602*0.1,2),ROUND(-K602*0.1,2)))</f>
        <v>0</v>
      </c>
    </row>
    <row r="603">
      <c r="A603" t="inlineStr">
        <is>
          <t>INV-4419-1</t>
        </is>
      </c>
      <c r="B603" t="inlineStr">
        <is>
          <t>INV-4419</t>
        </is>
      </c>
      <c r="C603" s="11" t="n">
        <v>45936</v>
      </c>
      <c r="D603" t="inlineStr">
        <is>
          <t>2025-10</t>
        </is>
      </c>
      <c r="E603" t="inlineStr">
        <is>
          <t>C0070</t>
        </is>
      </c>
      <c r="F603" t="inlineStr">
        <is>
          <t>C0070</t>
        </is>
      </c>
      <c r="G603" t="inlineStr">
        <is>
          <t>Banyule City Council</t>
        </is>
      </c>
      <c r="H603" t="inlineStr">
        <is>
          <t>S0063</t>
        </is>
      </c>
      <c r="I603" t="inlineStr">
        <is>
          <t>Collection and dismantle - temporary fencing</t>
        </is>
      </c>
      <c r="J603" t="n">
        <v>1</v>
      </c>
      <c r="K603" s="9" t="n">
        <v>165</v>
      </c>
      <c r="L603" t="inlineStr">
        <is>
          <t>PAID</t>
        </is>
      </c>
      <c r="M603">
        <f>IF(L603="VOIDED",0,1)</f>
        <v>1</v>
      </c>
      <c r="N603" t="n">
        <v>200</v>
      </c>
      <c r="O603" t="inlineStr">
        <is>
          <t>GST on Income</t>
        </is>
      </c>
      <c r="P603" t="inlineStr">
        <is>
          <t>R07</t>
        </is>
      </c>
      <c r="Q603" t="inlineStr">
        <is>
          <t>DEL-FP</t>
        </is>
      </c>
      <c r="R603">
        <f>IF(OR(Q603="CONTEXT",Q603="REVIEW"),"",INDEX('Category Rules'!$D$5:$D$17,MATCH(P603,'Category Rules'!$A$5:$A$17,0)))</f>
        <v>4020</v>
      </c>
      <c r="S603" t="str">
        <f>IF(Q603="CONTEXT","Fencing",IF(Q603="REVIEW","",INDEX('Category Rules'!$E$5:$E$17,MATCH(P603,'Category Rules'!$A$5:$A$17,0))))</f>
        <v>Fencing</v>
      </c>
      <c r="T603" t="str">
        <f>IF(Q603="DEP","BAS Excluded","GST on Income")</f>
        <v>GST on Income</v>
      </c>
      <c r="U603">
        <f>IF(O603=T603,1,0)</f>
        <v>1</v>
      </c>
      <c r="V603" s="9">
        <f>IF(OR(M603=0,U603=1),0,IF(T603="GST on Income",ROUND(K603*0.1,2),ROUND(-K603*0.1,2)))</f>
        <v>0</v>
      </c>
    </row>
    <row r="604">
      <c r="A604" t="inlineStr">
        <is>
          <t>INV-4662-1</t>
        </is>
      </c>
      <c r="B604" t="inlineStr">
        <is>
          <t>INV-4662</t>
        </is>
      </c>
      <c r="C604" s="11" t="n">
        <v>45936</v>
      </c>
      <c r="D604" t="inlineStr">
        <is>
          <t>2025-10</t>
        </is>
      </c>
      <c r="E604" t="inlineStr">
        <is>
          <t>C0038</t>
        </is>
      </c>
      <c r="F604" t="inlineStr">
        <is>
          <t>C0038</t>
        </is>
      </c>
      <c r="G604" t="inlineStr">
        <is>
          <t>Cobalt Constructions Pty Ltd</t>
        </is>
      </c>
      <c r="H604" t="inlineStr">
        <is>
          <t>S0115</t>
        </is>
      </c>
      <c r="I604" t="inlineStr">
        <is>
          <t>Temporary fence hire 4 wks (08/09/25-05/10/25) - 81 panels</t>
        </is>
      </c>
      <c r="J604" t="n">
        <v>324</v>
      </c>
      <c r="K604" s="9" t="n">
        <v>1458</v>
      </c>
      <c r="L604" t="inlineStr">
        <is>
          <t>PAID</t>
        </is>
      </c>
      <c r="M604">
        <f>IF(L604="VOIDED",0,1)</f>
        <v>1</v>
      </c>
      <c r="N604" t="n">
        <v>200</v>
      </c>
      <c r="O604" t="inlineStr">
        <is>
          <t>GST on Income</t>
        </is>
      </c>
      <c r="P604" t="inlineStr">
        <is>
          <t>R03</t>
        </is>
      </c>
      <c r="Q604" t="inlineStr">
        <is>
          <t>HIRE-FP</t>
        </is>
      </c>
      <c r="R604">
        <f>IF(OR(Q604="CONTEXT",Q604="REVIEW"),"",INDEX('Category Rules'!$D$5:$D$17,MATCH(P604,'Category Rules'!$A$5:$A$17,0)))</f>
        <v>4010</v>
      </c>
      <c r="S604" t="str">
        <f>IF(Q604="CONTEXT","Fencing",IF(Q604="REVIEW","",INDEX('Category Rules'!$E$5:$E$17,MATCH(P604,'Category Rules'!$A$5:$A$17,0))))</f>
        <v>Fencing</v>
      </c>
      <c r="T604" t="str">
        <f>IF(Q604="DEP","BAS Excluded","GST on Income")</f>
        <v>GST on Income</v>
      </c>
      <c r="U604">
        <f>IF(O604=T604,1,0)</f>
        <v>1</v>
      </c>
      <c r="V604" s="9">
        <f>IF(OR(M604=0,U604=1),0,IF(T604="GST on Income",ROUND(K604*0.1,2),ROUND(-K604*0.1,2)))</f>
        <v>0</v>
      </c>
    </row>
    <row r="605">
      <c r="A605" t="inlineStr">
        <is>
          <t>INV-5093-1</t>
        </is>
      </c>
      <c r="B605" t="inlineStr">
        <is>
          <t>INV-5093</t>
        </is>
      </c>
      <c r="C605" s="11" t="n">
        <v>45936</v>
      </c>
      <c r="D605" t="inlineStr">
        <is>
          <t>2025-10</t>
        </is>
      </c>
      <c r="E605" t="inlineStr">
        <is>
          <t>C0122</t>
        </is>
      </c>
      <c r="F605" t="inlineStr">
        <is>
          <t>C0122</t>
        </is>
      </c>
      <c r="G605" t="inlineStr">
        <is>
          <t>Bluegum Construction Pty Ltd</t>
        </is>
      </c>
      <c r="H605" t="inlineStr">
        <is>
          <t>S0214</t>
        </is>
      </c>
      <c r="I605" t="inlineStr">
        <is>
          <t>Temporary fence hire 4 wks (08/09/25-05/10/25) - 147 panels</t>
        </is>
      </c>
      <c r="J605" t="n">
        <v>588</v>
      </c>
      <c r="K605" s="9" t="n">
        <v>2646</v>
      </c>
      <c r="L605" t="inlineStr">
        <is>
          <t>PAID</t>
        </is>
      </c>
      <c r="M605">
        <f>IF(L605="VOIDED",0,1)</f>
        <v>1</v>
      </c>
      <c r="N605" t="n">
        <v>200</v>
      </c>
      <c r="O605" t="inlineStr">
        <is>
          <t>GST Free Income</t>
        </is>
      </c>
      <c r="P605" t="inlineStr">
        <is>
          <t>R03</t>
        </is>
      </c>
      <c r="Q605" t="inlineStr">
        <is>
          <t>HIRE-FP</t>
        </is>
      </c>
      <c r="R605">
        <f>IF(OR(Q605="CONTEXT",Q605="REVIEW"),"",INDEX('Category Rules'!$D$5:$D$17,MATCH(P605,'Category Rules'!$A$5:$A$17,0)))</f>
        <v>4010</v>
      </c>
      <c r="S605" t="str">
        <f>IF(Q605="CONTEXT","Fencing",IF(Q605="REVIEW","",INDEX('Category Rules'!$E$5:$E$17,MATCH(P605,'Category Rules'!$A$5:$A$17,0))))</f>
        <v>Fencing</v>
      </c>
      <c r="T605" t="str">
        <f>IF(Q605="DEP","BAS Excluded","GST on Income")</f>
        <v>GST on Income</v>
      </c>
      <c r="U605">
        <f>IF(O605=T605,1,0)</f>
        <v>0</v>
      </c>
      <c r="V605" s="9">
        <f>IF(OR(M605=0,U605=1),0,IF(T605="GST on Income",ROUND(K605*0.1,2),ROUND(-K605*0.1,2)))</f>
        <v>264.6</v>
      </c>
    </row>
    <row r="606">
      <c r="A606" t="inlineStr">
        <is>
          <t>INV-5223-1</t>
        </is>
      </c>
      <c r="B606" t="inlineStr">
        <is>
          <t>INV-5223</t>
        </is>
      </c>
      <c r="C606" s="11" t="n">
        <v>45936</v>
      </c>
      <c r="D606" t="inlineStr">
        <is>
          <t>2025-10</t>
        </is>
      </c>
      <c r="E606" t="inlineStr">
        <is>
          <t>C0103</t>
        </is>
      </c>
      <c r="F606" t="inlineStr">
        <is>
          <t>C0103</t>
        </is>
      </c>
      <c r="G606" t="inlineStr">
        <is>
          <t>Grace Martin</t>
        </is>
      </c>
      <c r="H606" t="inlineStr">
        <is>
          <t>S0240</t>
        </is>
      </c>
      <c r="I606" t="inlineStr">
        <is>
          <t>Scaffold erect - 1 tower(s)</t>
        </is>
      </c>
      <c r="J606" t="n">
        <v>1</v>
      </c>
      <c r="K606" s="9" t="n">
        <v>420</v>
      </c>
      <c r="L606" t="inlineStr">
        <is>
          <t>PAID</t>
        </is>
      </c>
      <c r="M606">
        <f>IF(L606="VOIDED",0,1)</f>
        <v>1</v>
      </c>
      <c r="N606" t="n">
        <v>200</v>
      </c>
      <c r="O606" t="inlineStr">
        <is>
          <t>GST on Income</t>
        </is>
      </c>
      <c r="P606" t="inlineStr">
        <is>
          <t>R08</t>
        </is>
      </c>
      <c r="Q606" t="inlineStr">
        <is>
          <t>LAB-ST</t>
        </is>
      </c>
      <c r="R606">
        <f>IF(OR(Q606="CONTEXT",Q606="REVIEW"),"",INDEX('Category Rules'!$D$5:$D$17,MATCH(P606,'Category Rules'!$A$5:$A$17,0)))</f>
        <v>4020</v>
      </c>
      <c r="S606" t="str">
        <f>IF(Q606="CONTEXT","Scaffolding",IF(Q606="REVIEW","",INDEX('Category Rules'!$E$5:$E$17,MATCH(P606,'Category Rules'!$A$5:$A$17,0))))</f>
        <v>Scaffolding</v>
      </c>
      <c r="T606" t="str">
        <f>IF(Q606="DEP","BAS Excluded","GST on Income")</f>
        <v>GST on Income</v>
      </c>
      <c r="U606">
        <f>IF(O606=T606,1,0)</f>
        <v>1</v>
      </c>
      <c r="V606" s="9">
        <f>IF(OR(M606=0,U606=1),0,IF(T606="GST on Income",ROUND(K606*0.1,2),ROUND(-K606*0.1,2)))</f>
        <v>0</v>
      </c>
    </row>
    <row r="607">
      <c r="A607" t="inlineStr">
        <is>
          <t>INV-5336-1</t>
        </is>
      </c>
      <c r="B607" t="inlineStr">
        <is>
          <t>INV-5336</t>
        </is>
      </c>
      <c r="C607" s="11" t="n">
        <v>45936</v>
      </c>
      <c r="D607" t="inlineStr">
        <is>
          <t>2025-10</t>
        </is>
      </c>
      <c r="E607" t="inlineStr">
        <is>
          <t>C0006</t>
        </is>
      </c>
      <c r="F607" t="inlineStr">
        <is>
          <t>C0006</t>
        </is>
      </c>
      <c r="G607" t="inlineStr">
        <is>
          <t>Harbour Homes</t>
        </is>
      </c>
      <c r="H607" t="inlineStr">
        <is>
          <t>S0268</t>
        </is>
      </c>
      <c r="I607" t="inlineStr">
        <is>
          <t>Scaffold tower hire 4 wks (08/09/25-05/10/25) - 6 towers</t>
        </is>
      </c>
      <c r="J607" t="n">
        <v>24</v>
      </c>
      <c r="K607" s="9" t="n">
        <v>2280</v>
      </c>
      <c r="L607" t="inlineStr">
        <is>
          <t>PAID</t>
        </is>
      </c>
      <c r="M607">
        <f>IF(L607="VOIDED",0,1)</f>
        <v>1</v>
      </c>
      <c r="N607" t="n">
        <v>200</v>
      </c>
      <c r="O607" t="inlineStr">
        <is>
          <t>GST on Income</t>
        </is>
      </c>
      <c r="P607" t="inlineStr">
        <is>
          <t>R05</t>
        </is>
      </c>
      <c r="Q607" t="inlineStr">
        <is>
          <t>HIRE-ST</t>
        </is>
      </c>
      <c r="R607">
        <f>IF(OR(Q607="CONTEXT",Q607="REVIEW"),"",INDEX('Category Rules'!$D$5:$D$17,MATCH(P607,'Category Rules'!$A$5:$A$17,0)))</f>
        <v>4010</v>
      </c>
      <c r="S607" t="str">
        <f>IF(Q607="CONTEXT","Scaffolding",IF(Q607="REVIEW","",INDEX('Category Rules'!$E$5:$E$17,MATCH(P607,'Category Rules'!$A$5:$A$17,0))))</f>
        <v>Scaffolding</v>
      </c>
      <c r="T607" t="str">
        <f>IF(Q607="DEP","BAS Excluded","GST on Income")</f>
        <v>GST on Income</v>
      </c>
      <c r="U607">
        <f>IF(O607=T607,1,0)</f>
        <v>1</v>
      </c>
      <c r="V607" s="9">
        <f>IF(OR(M607=0,U607=1),0,IF(T607="GST on Income",ROUND(K607*0.1,2),ROUND(-K607*0.1,2)))</f>
        <v>0</v>
      </c>
    </row>
    <row r="608">
      <c r="A608" t="inlineStr">
        <is>
          <t>INV-5646-1</t>
        </is>
      </c>
      <c r="B608" t="inlineStr">
        <is>
          <t>INV-5646</t>
        </is>
      </c>
      <c r="C608" s="11" t="n">
        <v>45936</v>
      </c>
      <c r="D608" t="inlineStr">
        <is>
          <t>2025-10</t>
        </is>
      </c>
      <c r="E608" t="inlineStr">
        <is>
          <t>C0034</t>
        </is>
      </c>
      <c r="F608" t="inlineStr">
        <is>
          <t>C0034</t>
        </is>
      </c>
      <c r="G608" t="inlineStr">
        <is>
          <t>Norfolk Constructions Pty Ltd</t>
        </is>
      </c>
      <c r="H608" t="inlineStr">
        <is>
          <t>S0405</t>
        </is>
      </c>
      <c r="I608" t="inlineStr">
        <is>
          <t>Roof repair labour - 4 hrs</t>
        </is>
      </c>
      <c r="J608" t="n">
        <v>4</v>
      </c>
      <c r="K608" s="9" t="n">
        <v>392</v>
      </c>
      <c r="L608" t="inlineStr">
        <is>
          <t>PAID</t>
        </is>
      </c>
      <c r="M608">
        <f>IF(L608="VOIDED",0,1)</f>
        <v>1</v>
      </c>
      <c r="N608" t="n">
        <v>260</v>
      </c>
      <c r="O608" t="inlineStr">
        <is>
          <t>GST on Income</t>
        </is>
      </c>
      <c r="P608" t="inlineStr">
        <is>
          <t>R10</t>
        </is>
      </c>
      <c r="Q608" t="inlineStr">
        <is>
          <t>LAB-RF</t>
        </is>
      </c>
      <c r="R608">
        <f>IF(OR(Q608="CONTEXT",Q608="REVIEW"),"",INDEX('Category Rules'!$D$5:$D$17,MATCH(P608,'Category Rules'!$A$5:$A$17,0)))</f>
        <v>4020</v>
      </c>
      <c r="S608" t="str">
        <f>IF(Q608="CONTEXT","Roofing",IF(Q608="REVIEW","",INDEX('Category Rules'!$E$5:$E$17,MATCH(P608,'Category Rules'!$A$5:$A$17,0))))</f>
        <v>Roofing</v>
      </c>
      <c r="T608" t="str">
        <f>IF(Q608="DEP","BAS Excluded","GST on Income")</f>
        <v>GST on Income</v>
      </c>
      <c r="U608">
        <f>IF(O608=T608,1,0)</f>
        <v>1</v>
      </c>
      <c r="V608" s="9">
        <f>IF(OR(M608=0,U608=1),0,IF(T608="GST on Income",ROUND(K608*0.1,2),ROUND(-K608*0.1,2)))</f>
        <v>0</v>
      </c>
    </row>
    <row r="609">
      <c r="A609" t="inlineStr">
        <is>
          <t>INV-5646-2</t>
        </is>
      </c>
      <c r="B609" t="inlineStr">
        <is>
          <t>INV-5646</t>
        </is>
      </c>
      <c r="C609" s="11" t="n">
        <v>45936</v>
      </c>
      <c r="D609" t="inlineStr">
        <is>
          <t>2025-10</t>
        </is>
      </c>
      <c r="E609" t="inlineStr">
        <is>
          <t>C0034</t>
        </is>
      </c>
      <c r="F609" t="inlineStr">
        <is>
          <t>C0034</t>
        </is>
      </c>
      <c r="G609" t="inlineStr">
        <is>
          <t>Norfolk Constructions Pty Ltd</t>
        </is>
      </c>
      <c r="H609" t="inlineStr">
        <is>
          <t>S0405</t>
        </is>
      </c>
      <c r="I609" t="inlineStr">
        <is>
          <t>Materials - Colorbond sheet</t>
        </is>
      </c>
      <c r="J609" t="n">
        <v>1</v>
      </c>
      <c r="K609" s="9" t="n">
        <v>585.4400000000001</v>
      </c>
      <c r="L609" t="inlineStr">
        <is>
          <t>PAID</t>
        </is>
      </c>
      <c r="M609">
        <f>IF(L609="VOIDED",0,1)</f>
        <v>1</v>
      </c>
      <c r="N609" t="n">
        <v>200</v>
      </c>
      <c r="O609" t="inlineStr">
        <is>
          <t>GST on Income</t>
        </is>
      </c>
      <c r="P609" t="inlineStr">
        <is>
          <t>R11</t>
        </is>
      </c>
      <c r="Q609" t="inlineStr">
        <is>
          <t>MAT-RF</t>
        </is>
      </c>
      <c r="R609">
        <f>IF(OR(Q609="CONTEXT",Q609="REVIEW"),"",INDEX('Category Rules'!$D$5:$D$17,MATCH(P609,'Category Rules'!$A$5:$A$17,0)))</f>
        <v>4030</v>
      </c>
      <c r="S609" t="str">
        <f>IF(Q609="CONTEXT","Roofing",IF(Q609="REVIEW","",INDEX('Category Rules'!$E$5:$E$17,MATCH(P609,'Category Rules'!$A$5:$A$17,0))))</f>
        <v>Roofing</v>
      </c>
      <c r="T609" t="str">
        <f>IF(Q609="DEP","BAS Excluded","GST on Income")</f>
        <v>GST on Income</v>
      </c>
      <c r="U609">
        <f>IF(O609=T609,1,0)</f>
        <v>1</v>
      </c>
      <c r="V609" s="9">
        <f>IF(OR(M609=0,U609=1),0,IF(T609="GST on Income",ROUND(K609*0.1,2),ROUND(-K609*0.1,2)))</f>
        <v>0</v>
      </c>
    </row>
    <row r="610">
      <c r="A610" t="inlineStr">
        <is>
          <t>INV-5646-3</t>
        </is>
      </c>
      <c r="B610" t="inlineStr">
        <is>
          <t>INV-5646</t>
        </is>
      </c>
      <c r="C610" s="11" t="n">
        <v>45936</v>
      </c>
      <c r="D610" t="inlineStr">
        <is>
          <t>2025-10</t>
        </is>
      </c>
      <c r="E610" t="inlineStr">
        <is>
          <t>C0034</t>
        </is>
      </c>
      <c r="F610" t="inlineStr">
        <is>
          <t>C0034</t>
        </is>
      </c>
      <c r="G610" t="inlineStr">
        <is>
          <t>Norfolk Constructions Pty Ltd</t>
        </is>
      </c>
      <c r="H610" t="inlineStr">
        <is>
          <t>S0405</t>
        </is>
      </c>
      <c r="I610" t="inlineStr">
        <is>
          <t>Materials - ridge capping</t>
        </is>
      </c>
      <c r="J610" t="n">
        <v>1</v>
      </c>
      <c r="K610" s="9" t="n">
        <v>533.6900000000001</v>
      </c>
      <c r="L610" t="inlineStr">
        <is>
          <t>PAID</t>
        </is>
      </c>
      <c r="M610">
        <f>IF(L610="VOIDED",0,1)</f>
        <v>1</v>
      </c>
      <c r="N610" t="n">
        <v>200</v>
      </c>
      <c r="O610" t="inlineStr">
        <is>
          <t>GST on Income</t>
        </is>
      </c>
      <c r="P610" t="inlineStr">
        <is>
          <t>R11</t>
        </is>
      </c>
      <c r="Q610" t="inlineStr">
        <is>
          <t>MAT-RF</t>
        </is>
      </c>
      <c r="R610">
        <f>IF(OR(Q610="CONTEXT",Q610="REVIEW"),"",INDEX('Category Rules'!$D$5:$D$17,MATCH(P610,'Category Rules'!$A$5:$A$17,0)))</f>
        <v>4030</v>
      </c>
      <c r="S610" t="str">
        <f>IF(Q610="CONTEXT","Roofing",IF(Q610="REVIEW","",INDEX('Category Rules'!$E$5:$E$17,MATCH(P610,'Category Rules'!$A$5:$A$17,0))))</f>
        <v>Roofing</v>
      </c>
      <c r="T610" t="str">
        <f>IF(Q610="DEP","BAS Excluded","GST on Income")</f>
        <v>GST on Income</v>
      </c>
      <c r="U610">
        <f>IF(O610=T610,1,0)</f>
        <v>1</v>
      </c>
      <c r="V610" s="9">
        <f>IF(OR(M610=0,U610=1),0,IF(T610="GST on Income",ROUND(K610*0.1,2),ROUND(-K610*0.1,2)))</f>
        <v>0</v>
      </c>
    </row>
    <row r="611">
      <c r="A611" t="inlineStr">
        <is>
          <t>INV-5646-4</t>
        </is>
      </c>
      <c r="B611" t="inlineStr">
        <is>
          <t>INV-5646</t>
        </is>
      </c>
      <c r="C611" s="11" t="n">
        <v>45936</v>
      </c>
      <c r="D611" t="inlineStr">
        <is>
          <t>2025-10</t>
        </is>
      </c>
      <c r="E611" t="inlineStr">
        <is>
          <t>C0034</t>
        </is>
      </c>
      <c r="F611" t="inlineStr">
        <is>
          <t>C0034</t>
        </is>
      </c>
      <c r="G611" t="inlineStr">
        <is>
          <t>Norfolk Constructions Pty Ltd</t>
        </is>
      </c>
      <c r="H611" t="inlineStr">
        <is>
          <t>S0405</t>
        </is>
      </c>
      <c r="I611" t="inlineStr">
        <is>
          <t>Materials - sealant and fixings</t>
        </is>
      </c>
      <c r="J611" t="n">
        <v>1</v>
      </c>
      <c r="K611" s="9" t="n">
        <v>601.95</v>
      </c>
      <c r="L611" t="inlineStr">
        <is>
          <t>PAID</t>
        </is>
      </c>
      <c r="M611">
        <f>IF(L611="VOIDED",0,1)</f>
        <v>1</v>
      </c>
      <c r="N611" t="n">
        <v>200</v>
      </c>
      <c r="O611" t="inlineStr">
        <is>
          <t>GST on Income</t>
        </is>
      </c>
      <c r="P611" t="inlineStr">
        <is>
          <t>R11</t>
        </is>
      </c>
      <c r="Q611" t="inlineStr">
        <is>
          <t>MAT-RF</t>
        </is>
      </c>
      <c r="R611">
        <f>IF(OR(Q611="CONTEXT",Q611="REVIEW"),"",INDEX('Category Rules'!$D$5:$D$17,MATCH(P611,'Category Rules'!$A$5:$A$17,0)))</f>
        <v>4030</v>
      </c>
      <c r="S611" t="str">
        <f>IF(Q611="CONTEXT","Roofing",IF(Q611="REVIEW","",INDEX('Category Rules'!$E$5:$E$17,MATCH(P611,'Category Rules'!$A$5:$A$17,0))))</f>
        <v>Roofing</v>
      </c>
      <c r="T611" t="str">
        <f>IF(Q611="DEP","BAS Excluded","GST on Income")</f>
        <v>GST on Income</v>
      </c>
      <c r="U611">
        <f>IF(O611=T611,1,0)</f>
        <v>1</v>
      </c>
      <c r="V611" s="9">
        <f>IF(OR(M611=0,U611=1),0,IF(T611="GST on Income",ROUND(K611*0.1,2),ROUND(-K611*0.1,2)))</f>
        <v>0</v>
      </c>
    </row>
    <row r="612">
      <c r="A612" t="inlineStr">
        <is>
          <t>INV-4608-1</t>
        </is>
      </c>
      <c r="B612" t="inlineStr">
        <is>
          <t>INV-4608</t>
        </is>
      </c>
      <c r="C612" s="11" t="n">
        <v>45937</v>
      </c>
      <c r="D612" t="inlineStr">
        <is>
          <t>2025-10</t>
        </is>
      </c>
      <c r="E612" t="inlineStr">
        <is>
          <t>C0024</t>
        </is>
      </c>
      <c r="F612" t="inlineStr">
        <is>
          <t>C0024</t>
        </is>
      </c>
      <c r="G612" t="inlineStr">
        <is>
          <t>Parkview Homes Pty Ltd</t>
        </is>
      </c>
      <c r="H612" t="inlineStr">
        <is>
          <t>S0101</t>
        </is>
      </c>
      <c r="I612" t="inlineStr">
        <is>
          <t>Temporary fence hire 4 wks (09/09/25-06/10/25) - 51 panels</t>
        </is>
      </c>
      <c r="J612" t="n">
        <v>204</v>
      </c>
      <c r="K612" s="9" t="n">
        <v>918</v>
      </c>
      <c r="L612" t="inlineStr">
        <is>
          <t>PAID</t>
        </is>
      </c>
      <c r="M612">
        <f>IF(L612="VOIDED",0,1)</f>
        <v>1</v>
      </c>
      <c r="N612" t="n">
        <v>200</v>
      </c>
      <c r="O612" t="inlineStr">
        <is>
          <t>GST on Income</t>
        </is>
      </c>
      <c r="P612" t="inlineStr">
        <is>
          <t>R03</t>
        </is>
      </c>
      <c r="Q612" t="inlineStr">
        <is>
          <t>HIRE-FP</t>
        </is>
      </c>
      <c r="R612">
        <f>IF(OR(Q612="CONTEXT",Q612="REVIEW"),"",INDEX('Category Rules'!$D$5:$D$17,MATCH(P612,'Category Rules'!$A$5:$A$17,0)))</f>
        <v>4010</v>
      </c>
      <c r="S612" t="str">
        <f>IF(Q612="CONTEXT","Fencing",IF(Q612="REVIEW","",INDEX('Category Rules'!$E$5:$E$17,MATCH(P612,'Category Rules'!$A$5:$A$17,0))))</f>
        <v>Fencing</v>
      </c>
      <c r="T612" t="str">
        <f>IF(Q612="DEP","BAS Excluded","GST on Income")</f>
        <v>GST on Income</v>
      </c>
      <c r="U612">
        <f>IF(O612=T612,1,0)</f>
        <v>1</v>
      </c>
      <c r="V612" s="9">
        <f>IF(OR(M612=0,U612=1),0,IF(T612="GST on Income",ROUND(K612*0.1,2),ROUND(-K612*0.1,2)))</f>
        <v>0</v>
      </c>
    </row>
    <row r="613">
      <c r="A613" t="inlineStr">
        <is>
          <t>INV-4670-1</t>
        </is>
      </c>
      <c r="B613" t="inlineStr">
        <is>
          <t>INV-4670</t>
        </is>
      </c>
      <c r="C613" s="11" t="n">
        <v>45937</v>
      </c>
      <c r="D613" t="inlineStr">
        <is>
          <t>2025-10</t>
        </is>
      </c>
      <c r="E613" t="inlineStr">
        <is>
          <t>C0007</t>
        </is>
      </c>
      <c r="F613" t="inlineStr">
        <is>
          <t>C0007</t>
        </is>
      </c>
      <c r="G613" t="inlineStr">
        <is>
          <t>Eastlink Projects</t>
        </is>
      </c>
      <c r="H613" t="inlineStr">
        <is>
          <t>S0116</t>
        </is>
      </c>
      <c r="I613" t="inlineStr">
        <is>
          <t>Temporary fence hire 1 wks (04/10/25-06/10/25) - 104 panels</t>
        </is>
      </c>
      <c r="J613" t="n">
        <v>104</v>
      </c>
      <c r="K613" s="9" t="n">
        <v>468</v>
      </c>
      <c r="L613" t="inlineStr">
        <is>
          <t>PAID</t>
        </is>
      </c>
      <c r="M613">
        <f>IF(L613="VOIDED",0,1)</f>
        <v>1</v>
      </c>
      <c r="N613" t="n">
        <v>200</v>
      </c>
      <c r="O613" t="inlineStr">
        <is>
          <t>GST on Income</t>
        </is>
      </c>
      <c r="P613" t="inlineStr">
        <is>
          <t>R03</t>
        </is>
      </c>
      <c r="Q613" t="inlineStr">
        <is>
          <t>HIRE-FP</t>
        </is>
      </c>
      <c r="R613">
        <f>IF(OR(Q613="CONTEXT",Q613="REVIEW"),"",INDEX('Category Rules'!$D$5:$D$17,MATCH(P613,'Category Rules'!$A$5:$A$17,0)))</f>
        <v>4010</v>
      </c>
      <c r="S613" t="str">
        <f>IF(Q613="CONTEXT","Fencing",IF(Q613="REVIEW","",INDEX('Category Rules'!$E$5:$E$17,MATCH(P613,'Category Rules'!$A$5:$A$17,0))))</f>
        <v>Fencing</v>
      </c>
      <c r="T613" t="str">
        <f>IF(Q613="DEP","BAS Excluded","GST on Income")</f>
        <v>GST on Income</v>
      </c>
      <c r="U613">
        <f>IF(O613=T613,1,0)</f>
        <v>1</v>
      </c>
      <c r="V613" s="9">
        <f>IF(OR(M613=0,U613=1),0,IF(T613="GST on Income",ROUND(K613*0.1,2),ROUND(-K613*0.1,2)))</f>
        <v>0</v>
      </c>
    </row>
    <row r="614">
      <c r="A614" t="inlineStr">
        <is>
          <t>INV-4672-1</t>
        </is>
      </c>
      <c r="B614" t="inlineStr">
        <is>
          <t>INV-4672</t>
        </is>
      </c>
      <c r="C614" s="11" t="n">
        <v>45937</v>
      </c>
      <c r="D614" t="inlineStr">
        <is>
          <t>2025-10</t>
        </is>
      </c>
      <c r="E614" t="inlineStr">
        <is>
          <t>C0007</t>
        </is>
      </c>
      <c r="F614" t="inlineStr">
        <is>
          <t>C0007</t>
        </is>
      </c>
      <c r="G614" t="inlineStr">
        <is>
          <t>Eastlink Projects</t>
        </is>
      </c>
      <c r="H614" t="inlineStr">
        <is>
          <t>S0116</t>
        </is>
      </c>
      <c r="I614" t="inlineStr">
        <is>
          <t>Collection and dismantle - temporary fencing</t>
        </is>
      </c>
      <c r="J614" t="n">
        <v>1</v>
      </c>
      <c r="K614" s="9" t="n">
        <v>165</v>
      </c>
      <c r="L614" t="inlineStr">
        <is>
          <t>PAID</t>
        </is>
      </c>
      <c r="M614">
        <f>IF(L614="VOIDED",0,1)</f>
        <v>1</v>
      </c>
      <c r="N614" t="n">
        <v>200</v>
      </c>
      <c r="O614" t="inlineStr">
        <is>
          <t>GST on Income</t>
        </is>
      </c>
      <c r="P614" t="inlineStr">
        <is>
          <t>R07</t>
        </is>
      </c>
      <c r="Q614" t="inlineStr">
        <is>
          <t>DEL-FP</t>
        </is>
      </c>
      <c r="R614">
        <f>IF(OR(Q614="CONTEXT",Q614="REVIEW"),"",INDEX('Category Rules'!$D$5:$D$17,MATCH(P614,'Category Rules'!$A$5:$A$17,0)))</f>
        <v>4020</v>
      </c>
      <c r="S614" t="str">
        <f>IF(Q614="CONTEXT","Fencing",IF(Q614="REVIEW","",INDEX('Category Rules'!$E$5:$E$17,MATCH(P614,'Category Rules'!$A$5:$A$17,0))))</f>
        <v>Fencing</v>
      </c>
      <c r="T614" t="str">
        <f>IF(Q614="DEP","BAS Excluded","GST on Income")</f>
        <v>GST on Income</v>
      </c>
      <c r="U614">
        <f>IF(O614=T614,1,0)</f>
        <v>1</v>
      </c>
      <c r="V614" s="9">
        <f>IF(OR(M614=0,U614=1),0,IF(T614="GST on Income",ROUND(K614*0.1,2),ROUND(-K614*0.1,2)))</f>
        <v>0</v>
      </c>
    </row>
    <row r="615">
      <c r="A615" t="inlineStr">
        <is>
          <t>INV-4964-1</t>
        </is>
      </c>
      <c r="B615" t="inlineStr">
        <is>
          <t>INV-4964</t>
        </is>
      </c>
      <c r="C615" s="11" t="n">
        <v>45937</v>
      </c>
      <c r="D615" t="inlineStr">
        <is>
          <t>2025-10</t>
        </is>
      </c>
      <c r="E615" t="inlineStr">
        <is>
          <t>C0112</t>
        </is>
      </c>
      <c r="F615" t="inlineStr">
        <is>
          <t>C0112</t>
        </is>
      </c>
      <c r="G615" t="inlineStr">
        <is>
          <t>Sam Murphy</t>
        </is>
      </c>
      <c r="H615" t="inlineStr">
        <is>
          <t>S0183</t>
        </is>
      </c>
      <c r="I615" t="inlineStr">
        <is>
          <t>Temporary fence hire 1 wks (05/10/25-06/10/25) - 78 panels</t>
        </is>
      </c>
      <c r="J615" t="n">
        <v>78</v>
      </c>
      <c r="K615" s="9" t="n">
        <v>351</v>
      </c>
      <c r="L615" t="inlineStr">
        <is>
          <t>PAID</t>
        </is>
      </c>
      <c r="M615">
        <f>IF(L615="VOIDED",0,1)</f>
        <v>1</v>
      </c>
      <c r="N615" t="n">
        <v>200</v>
      </c>
      <c r="O615" t="inlineStr">
        <is>
          <t>GST on Income</t>
        </is>
      </c>
      <c r="P615" t="inlineStr">
        <is>
          <t>R03</t>
        </is>
      </c>
      <c r="Q615" t="inlineStr">
        <is>
          <t>HIRE-FP</t>
        </is>
      </c>
      <c r="R615">
        <f>IF(OR(Q615="CONTEXT",Q615="REVIEW"),"",INDEX('Category Rules'!$D$5:$D$17,MATCH(P615,'Category Rules'!$A$5:$A$17,0)))</f>
        <v>4010</v>
      </c>
      <c r="S615" t="str">
        <f>IF(Q615="CONTEXT","Fencing",IF(Q615="REVIEW","",INDEX('Category Rules'!$E$5:$E$17,MATCH(P615,'Category Rules'!$A$5:$A$17,0))))</f>
        <v>Fencing</v>
      </c>
      <c r="T615" t="str">
        <f>IF(Q615="DEP","BAS Excluded","GST on Income")</f>
        <v>GST on Income</v>
      </c>
      <c r="U615">
        <f>IF(O615=T615,1,0)</f>
        <v>1</v>
      </c>
      <c r="V615" s="9">
        <f>IF(OR(M615=0,U615=1),0,IF(T615="GST on Income",ROUND(K615*0.1,2),ROUND(-K615*0.1,2)))</f>
        <v>0</v>
      </c>
    </row>
    <row r="616">
      <c r="A616" t="inlineStr">
        <is>
          <t>INV-4966-1</t>
        </is>
      </c>
      <c r="B616" t="inlineStr">
        <is>
          <t>INV-4966</t>
        </is>
      </c>
      <c r="C616" s="11" t="n">
        <v>45937</v>
      </c>
      <c r="D616" t="inlineStr">
        <is>
          <t>2025-10</t>
        </is>
      </c>
      <c r="E616" t="inlineStr">
        <is>
          <t>C0112</t>
        </is>
      </c>
      <c r="F616" t="inlineStr">
        <is>
          <t>C0112</t>
        </is>
      </c>
      <c r="G616" t="inlineStr">
        <is>
          <t>Sam Murphy</t>
        </is>
      </c>
      <c r="H616" t="inlineStr">
        <is>
          <t>S0183</t>
        </is>
      </c>
      <c r="I616" t="inlineStr">
        <is>
          <t>Collection and dismantle - temporary fencing</t>
        </is>
      </c>
      <c r="J616" t="n">
        <v>1</v>
      </c>
      <c r="K616" s="9" t="n">
        <v>165</v>
      </c>
      <c r="L616" t="inlineStr">
        <is>
          <t>PAID</t>
        </is>
      </c>
      <c r="M616">
        <f>IF(L616="VOIDED",0,1)</f>
        <v>1</v>
      </c>
      <c r="N616" t="n">
        <v>200</v>
      </c>
      <c r="O616" t="inlineStr">
        <is>
          <t>GST on Income</t>
        </is>
      </c>
      <c r="P616" t="inlineStr">
        <is>
          <t>R07</t>
        </is>
      </c>
      <c r="Q616" t="inlineStr">
        <is>
          <t>DEL-FP</t>
        </is>
      </c>
      <c r="R616">
        <f>IF(OR(Q616="CONTEXT",Q616="REVIEW"),"",INDEX('Category Rules'!$D$5:$D$17,MATCH(P616,'Category Rules'!$A$5:$A$17,0)))</f>
        <v>4020</v>
      </c>
      <c r="S616" t="str">
        <f>IF(Q616="CONTEXT","Fencing",IF(Q616="REVIEW","",INDEX('Category Rules'!$E$5:$E$17,MATCH(P616,'Category Rules'!$A$5:$A$17,0))))</f>
        <v>Fencing</v>
      </c>
      <c r="T616" t="str">
        <f>IF(Q616="DEP","BAS Excluded","GST on Income")</f>
        <v>GST on Income</v>
      </c>
      <c r="U616">
        <f>IF(O616=T616,1,0)</f>
        <v>1</v>
      </c>
      <c r="V616" s="9">
        <f>IF(OR(M616=0,U616=1),0,IF(T616="GST on Income",ROUND(K616*0.1,2),ROUND(-K616*0.1,2)))</f>
        <v>0</v>
      </c>
    </row>
    <row r="617">
      <c r="A617" t="inlineStr">
        <is>
          <t>INV-5474-1</t>
        </is>
      </c>
      <c r="B617" t="inlineStr">
        <is>
          <t>INV-5474</t>
        </is>
      </c>
      <c r="C617" s="11" t="n">
        <v>45938</v>
      </c>
      <c r="D617" t="inlineStr">
        <is>
          <t>2025-10</t>
        </is>
      </c>
      <c r="E617" t="inlineStr">
        <is>
          <t>C0023</t>
        </is>
      </c>
      <c r="F617" t="inlineStr">
        <is>
          <t>C0023</t>
        </is>
      </c>
      <c r="G617" t="inlineStr">
        <is>
          <t>Ashford Constructions Pty Ltd</t>
        </is>
      </c>
      <c r="H617" t="inlineStr">
        <is>
          <t>S0311</t>
        </is>
      </c>
      <c r="I617" t="inlineStr">
        <is>
          <t>Make safe call-out</t>
        </is>
      </c>
      <c r="J617" t="n">
        <v>1</v>
      </c>
      <c r="K617" s="9" t="n">
        <v>385</v>
      </c>
      <c r="L617" t="inlineStr">
        <is>
          <t>PAID</t>
        </is>
      </c>
      <c r="M617">
        <f>IF(L617="VOIDED",0,1)</f>
        <v>1</v>
      </c>
      <c r="N617" t="n">
        <v>200</v>
      </c>
      <c r="O617" t="inlineStr">
        <is>
          <t>GST on Income</t>
        </is>
      </c>
      <c r="P617" t="inlineStr">
        <is>
          <t>R09</t>
        </is>
      </c>
      <c r="Q617" t="inlineStr">
        <is>
          <t>MS</t>
        </is>
      </c>
      <c r="R617">
        <f>IF(OR(Q617="CONTEXT",Q617="REVIEW"),"",INDEX('Category Rules'!$D$5:$D$17,MATCH(P617,'Category Rules'!$A$5:$A$17,0)))</f>
        <v>4020</v>
      </c>
      <c r="S617" t="str">
        <f>IF(Q617="CONTEXT","Make-safe",IF(Q617="REVIEW","",INDEX('Category Rules'!$E$5:$E$17,MATCH(P617,'Category Rules'!$A$5:$A$17,0))))</f>
        <v>Make-safe</v>
      </c>
      <c r="T617" t="str">
        <f>IF(Q617="DEP","BAS Excluded","GST on Income")</f>
        <v>GST on Income</v>
      </c>
      <c r="U617">
        <f>IF(O617=T617,1,0)</f>
        <v>1</v>
      </c>
      <c r="V617" s="9">
        <f>IF(OR(M617=0,U617=1),0,IF(T617="GST on Income",ROUND(K617*0.1,2),ROUND(-K617*0.1,2)))</f>
        <v>0</v>
      </c>
    </row>
    <row r="618">
      <c r="A618" t="inlineStr">
        <is>
          <t>INV-5871-1</t>
        </is>
      </c>
      <c r="B618" t="inlineStr">
        <is>
          <t>INV-5871</t>
        </is>
      </c>
      <c r="C618" s="11" t="n">
        <v>45938</v>
      </c>
      <c r="D618" t="inlineStr">
        <is>
          <t>2025-10</t>
        </is>
      </c>
      <c r="E618" t="inlineStr">
        <is>
          <t>C0063</t>
        </is>
      </c>
      <c r="F618" t="inlineStr">
        <is>
          <t>C0063</t>
        </is>
      </c>
      <c r="G618" t="inlineStr">
        <is>
          <t>Highpoint Insurance Repairs Pty Ltd</t>
        </is>
      </c>
      <c r="H618" t="inlineStr">
        <is>
          <t>S0533</t>
        </is>
      </c>
      <c r="I618" t="inlineStr">
        <is>
          <t>Tarp kit hire 4 wks (10/09/25-07/10/25) - 2 kits</t>
        </is>
      </c>
      <c r="J618" t="n">
        <v>8</v>
      </c>
      <c r="K618" s="9" t="n">
        <v>280</v>
      </c>
      <c r="L618" t="inlineStr">
        <is>
          <t>PAID</t>
        </is>
      </c>
      <c r="M618">
        <f>IF(L618="VOIDED",0,1)</f>
        <v>1</v>
      </c>
      <c r="N618" t="n">
        <v>200</v>
      </c>
      <c r="O618" t="inlineStr">
        <is>
          <t>GST on Income</t>
        </is>
      </c>
      <c r="P618" t="inlineStr">
        <is>
          <t>R06</t>
        </is>
      </c>
      <c r="Q618" t="inlineStr">
        <is>
          <t>HIRE-TK</t>
        </is>
      </c>
      <c r="R618">
        <f>IF(OR(Q618="CONTEXT",Q618="REVIEW"),"",INDEX('Category Rules'!$D$5:$D$17,MATCH(P618,'Category Rules'!$A$5:$A$17,0)))</f>
        <v>4010</v>
      </c>
      <c r="S618" t="str">
        <f>IF(Q618="CONTEXT","Make-safe",IF(Q618="REVIEW","",INDEX('Category Rules'!$E$5:$E$17,MATCH(P618,'Category Rules'!$A$5:$A$17,0))))</f>
        <v>Make-safe</v>
      </c>
      <c r="T618" t="str">
        <f>IF(Q618="DEP","BAS Excluded","GST on Income")</f>
        <v>GST on Income</v>
      </c>
      <c r="U618">
        <f>IF(O618=T618,1,0)</f>
        <v>1</v>
      </c>
      <c r="V618" s="9">
        <f>IF(OR(M618=0,U618=1),0,IF(T618="GST on Income",ROUND(K618*0.1,2),ROUND(-K618*0.1,2)))</f>
        <v>0</v>
      </c>
    </row>
    <row r="619">
      <c r="A619" t="inlineStr">
        <is>
          <t>INV-4220-1</t>
        </is>
      </c>
      <c r="B619" t="inlineStr">
        <is>
          <t>INV-4220</t>
        </is>
      </c>
      <c r="C619" s="11" t="n">
        <v>45939</v>
      </c>
      <c r="D619" t="inlineStr">
        <is>
          <t>2025-10</t>
        </is>
      </c>
      <c r="E619" t="inlineStr">
        <is>
          <t>C0045</t>
        </is>
      </c>
      <c r="F619" t="inlineStr">
        <is>
          <t>C0045</t>
        </is>
      </c>
      <c r="G619" t="inlineStr">
        <is>
          <t>Westside Owners Corporation Services Pty Ltd</t>
        </is>
      </c>
      <c r="H619" t="inlineStr">
        <is>
          <t>S0022</t>
        </is>
      </c>
      <c r="I619" t="inlineStr">
        <is>
          <t>Temporary fence hire 2 wks (25/09/25-08/10/25) - 135 panels</t>
        </is>
      </c>
      <c r="J619" t="n">
        <v>270</v>
      </c>
      <c r="K619" s="9" t="n">
        <v>1215</v>
      </c>
      <c r="L619" t="inlineStr">
        <is>
          <t>PAID</t>
        </is>
      </c>
      <c r="M619">
        <f>IF(L619="VOIDED",0,1)</f>
        <v>1</v>
      </c>
      <c r="N619" t="n">
        <v>200</v>
      </c>
      <c r="O619" t="inlineStr">
        <is>
          <t>GST on Income</t>
        </is>
      </c>
      <c r="P619" t="inlineStr">
        <is>
          <t>R03</t>
        </is>
      </c>
      <c r="Q619" t="inlineStr">
        <is>
          <t>HIRE-FP</t>
        </is>
      </c>
      <c r="R619">
        <f>IF(OR(Q619="CONTEXT",Q619="REVIEW"),"",INDEX('Category Rules'!$D$5:$D$17,MATCH(P619,'Category Rules'!$A$5:$A$17,0)))</f>
        <v>4010</v>
      </c>
      <c r="S619" t="str">
        <f>IF(Q619="CONTEXT","Fencing",IF(Q619="REVIEW","",INDEX('Category Rules'!$E$5:$E$17,MATCH(P619,'Category Rules'!$A$5:$A$17,0))))</f>
        <v>Fencing</v>
      </c>
      <c r="T619" t="str">
        <f>IF(Q619="DEP","BAS Excluded","GST on Income")</f>
        <v>GST on Income</v>
      </c>
      <c r="U619">
        <f>IF(O619=T619,1,0)</f>
        <v>1</v>
      </c>
      <c r="V619" s="9">
        <f>IF(OR(M619=0,U619=1),0,IF(T619="GST on Income",ROUND(K619*0.1,2),ROUND(-K619*0.1,2)))</f>
        <v>0</v>
      </c>
    </row>
    <row r="620">
      <c r="A620" t="inlineStr">
        <is>
          <t>INV-4222-1</t>
        </is>
      </c>
      <c r="B620" t="inlineStr">
        <is>
          <t>INV-4222</t>
        </is>
      </c>
      <c r="C620" s="11" t="n">
        <v>45939</v>
      </c>
      <c r="D620" t="inlineStr">
        <is>
          <t>2025-10</t>
        </is>
      </c>
      <c r="E620" t="inlineStr">
        <is>
          <t>C0045</t>
        </is>
      </c>
      <c r="F620" t="inlineStr">
        <is>
          <t>C0045</t>
        </is>
      </c>
      <c r="G620" t="inlineStr">
        <is>
          <t>Westside Owners Corporation Services Pty Ltd</t>
        </is>
      </c>
      <c r="H620" t="inlineStr">
        <is>
          <t>S0022</t>
        </is>
      </c>
      <c r="I620" t="inlineStr">
        <is>
          <t>Pedestrian barrier hire 2 wks (25/09/25-08/10/25) - 15 barriers</t>
        </is>
      </c>
      <c r="J620" t="n">
        <v>30</v>
      </c>
      <c r="K620" s="9" t="n">
        <v>96</v>
      </c>
      <c r="L620" t="inlineStr">
        <is>
          <t>PAID</t>
        </is>
      </c>
      <c r="M620">
        <f>IF(L620="VOIDED",0,1)</f>
        <v>1</v>
      </c>
      <c r="N620" t="n">
        <v>200</v>
      </c>
      <c r="O620" t="inlineStr">
        <is>
          <t>GST on Income</t>
        </is>
      </c>
      <c r="P620" t="inlineStr">
        <is>
          <t>R04</t>
        </is>
      </c>
      <c r="Q620" t="inlineStr">
        <is>
          <t>HIRE-BR</t>
        </is>
      </c>
      <c r="R620">
        <f>IF(OR(Q620="CONTEXT",Q620="REVIEW"),"",INDEX('Category Rules'!$D$5:$D$17,MATCH(P620,'Category Rules'!$A$5:$A$17,0)))</f>
        <v>4010</v>
      </c>
      <c r="S620" t="str">
        <f>IF(Q620="CONTEXT","Fencing",IF(Q620="REVIEW","",INDEX('Category Rules'!$E$5:$E$17,MATCH(P620,'Category Rules'!$A$5:$A$17,0))))</f>
        <v>Fencing</v>
      </c>
      <c r="T620" t="str">
        <f>IF(Q620="DEP","BAS Excluded","GST on Income")</f>
        <v>GST on Income</v>
      </c>
      <c r="U620">
        <f>IF(O620=T620,1,0)</f>
        <v>1</v>
      </c>
      <c r="V620" s="9">
        <f>IF(OR(M620=0,U620=1),0,IF(T620="GST on Income",ROUND(K620*0.1,2),ROUND(-K620*0.1,2)))</f>
        <v>0</v>
      </c>
    </row>
    <row r="621">
      <c r="A621" t="inlineStr">
        <is>
          <t>INV-4224-1</t>
        </is>
      </c>
      <c r="B621" t="inlineStr">
        <is>
          <t>INV-4224</t>
        </is>
      </c>
      <c r="C621" s="11" t="n">
        <v>45939</v>
      </c>
      <c r="D621" t="inlineStr">
        <is>
          <t>2025-10</t>
        </is>
      </c>
      <c r="E621" t="inlineStr">
        <is>
          <t>C0045</t>
        </is>
      </c>
      <c r="F621" t="inlineStr">
        <is>
          <t>C0045</t>
        </is>
      </c>
      <c r="G621" t="inlineStr">
        <is>
          <t>Westside Owners Corporation Services Pty Ltd</t>
        </is>
      </c>
      <c r="H621" t="inlineStr">
        <is>
          <t>S0022</t>
        </is>
      </c>
      <c r="I621" t="inlineStr">
        <is>
          <t>Collection and dismantle - temporary fencing</t>
        </is>
      </c>
      <c r="J621" t="n">
        <v>1</v>
      </c>
      <c r="K621" s="9" t="n">
        <v>165</v>
      </c>
      <c r="L621" t="inlineStr">
        <is>
          <t>PAID</t>
        </is>
      </c>
      <c r="M621">
        <f>IF(L621="VOIDED",0,1)</f>
        <v>1</v>
      </c>
      <c r="N621" t="n">
        <v>200</v>
      </c>
      <c r="O621" t="inlineStr">
        <is>
          <t>GST on Income</t>
        </is>
      </c>
      <c r="P621" t="inlineStr">
        <is>
          <t>R07</t>
        </is>
      </c>
      <c r="Q621" t="inlineStr">
        <is>
          <t>DEL-FP</t>
        </is>
      </c>
      <c r="R621">
        <f>IF(OR(Q621="CONTEXT",Q621="REVIEW"),"",INDEX('Category Rules'!$D$5:$D$17,MATCH(P621,'Category Rules'!$A$5:$A$17,0)))</f>
        <v>4020</v>
      </c>
      <c r="S621" t="str">
        <f>IF(Q621="CONTEXT","Fencing",IF(Q621="REVIEW","",INDEX('Category Rules'!$E$5:$E$17,MATCH(P621,'Category Rules'!$A$5:$A$17,0))))</f>
        <v>Fencing</v>
      </c>
      <c r="T621" t="str">
        <f>IF(Q621="DEP","BAS Excluded","GST on Income")</f>
        <v>GST on Income</v>
      </c>
      <c r="U621">
        <f>IF(O621=T621,1,0)</f>
        <v>1</v>
      </c>
      <c r="V621" s="9">
        <f>IF(OR(M621=0,U621=1),0,IF(T621="GST on Income",ROUND(K621*0.1,2),ROUND(-K621*0.1,2)))</f>
        <v>0</v>
      </c>
    </row>
    <row r="622">
      <c r="A622" t="inlineStr">
        <is>
          <t>INV-5193-1</t>
        </is>
      </c>
      <c r="B622" t="inlineStr">
        <is>
          <t>INV-5193</t>
        </is>
      </c>
      <c r="C622" s="11" t="n">
        <v>45939</v>
      </c>
      <c r="D622" t="inlineStr">
        <is>
          <t>2025-10</t>
        </is>
      </c>
      <c r="E622" t="inlineStr">
        <is>
          <t>C0148</t>
        </is>
      </c>
      <c r="F622" t="inlineStr">
        <is>
          <t>C0042</t>
        </is>
      </c>
      <c r="G622" t="inlineStr">
        <is>
          <t>Lakeside Constructions Pty Ltd</t>
        </is>
      </c>
      <c r="H622" t="inlineStr">
        <is>
          <t>S0233</t>
        </is>
      </c>
      <c r="I622" t="inlineStr">
        <is>
          <t>Scaffold erect - 2 tower(s)</t>
        </is>
      </c>
      <c r="J622" t="n">
        <v>2</v>
      </c>
      <c r="K622" s="9" t="n">
        <v>840</v>
      </c>
      <c r="L622" t="inlineStr">
        <is>
          <t>PAID</t>
        </is>
      </c>
      <c r="M622">
        <f>IF(L622="VOIDED",0,1)</f>
        <v>1</v>
      </c>
      <c r="N622" t="n">
        <v>200</v>
      </c>
      <c r="O622" t="inlineStr">
        <is>
          <t>GST on Income</t>
        </is>
      </c>
      <c r="P622" t="inlineStr">
        <is>
          <t>R08</t>
        </is>
      </c>
      <c r="Q622" t="inlineStr">
        <is>
          <t>LAB-ST</t>
        </is>
      </c>
      <c r="R622">
        <f>IF(OR(Q622="CONTEXT",Q622="REVIEW"),"",INDEX('Category Rules'!$D$5:$D$17,MATCH(P622,'Category Rules'!$A$5:$A$17,0)))</f>
        <v>4020</v>
      </c>
      <c r="S622" t="str">
        <f>IF(Q622="CONTEXT","Scaffolding",IF(Q622="REVIEW","",INDEX('Category Rules'!$E$5:$E$17,MATCH(P622,'Category Rules'!$A$5:$A$17,0))))</f>
        <v>Scaffolding</v>
      </c>
      <c r="T622" t="str">
        <f>IF(Q622="DEP","BAS Excluded","GST on Income")</f>
        <v>GST on Income</v>
      </c>
      <c r="U622">
        <f>IF(O622=T622,1,0)</f>
        <v>1</v>
      </c>
      <c r="V622" s="9">
        <f>IF(OR(M622=0,U622=1),0,IF(T622="GST on Income",ROUND(K622*0.1,2),ROUND(-K622*0.1,2)))</f>
        <v>0</v>
      </c>
    </row>
    <row r="623">
      <c r="A623" t="inlineStr">
        <is>
          <t>INV-5449-1</t>
        </is>
      </c>
      <c r="B623" t="inlineStr">
        <is>
          <t>INV-5449</t>
        </is>
      </c>
      <c r="C623" s="11" t="n">
        <v>45939</v>
      </c>
      <c r="D623" t="inlineStr">
        <is>
          <t>2025-10</t>
        </is>
      </c>
      <c r="E623" t="inlineStr">
        <is>
          <t>C0153</t>
        </is>
      </c>
      <c r="F623" t="inlineStr">
        <is>
          <t>C0098</t>
        </is>
      </c>
      <c r="G623" t="inlineStr">
        <is>
          <t>Ethan Walker</t>
        </is>
      </c>
      <c r="H623" t="inlineStr">
        <is>
          <t>S0297</t>
        </is>
      </c>
      <c r="I623" t="inlineStr">
        <is>
          <t>Make safe call-out</t>
        </is>
      </c>
      <c r="J623" t="n">
        <v>1</v>
      </c>
      <c r="K623" s="9" t="n">
        <v>385</v>
      </c>
      <c r="L623" t="inlineStr">
        <is>
          <t>PAID</t>
        </is>
      </c>
      <c r="M623">
        <f>IF(L623="VOIDED",0,1)</f>
        <v>1</v>
      </c>
      <c r="N623" t="n">
        <v>200</v>
      </c>
      <c r="O623" t="inlineStr">
        <is>
          <t>GST on Income</t>
        </is>
      </c>
      <c r="P623" t="inlineStr">
        <is>
          <t>R09</t>
        </is>
      </c>
      <c r="Q623" t="inlineStr">
        <is>
          <t>MS</t>
        </is>
      </c>
      <c r="R623">
        <f>IF(OR(Q623="CONTEXT",Q623="REVIEW"),"",INDEX('Category Rules'!$D$5:$D$17,MATCH(P623,'Category Rules'!$A$5:$A$17,0)))</f>
        <v>4020</v>
      </c>
      <c r="S623" t="str">
        <f>IF(Q623="CONTEXT","Make-safe",IF(Q623="REVIEW","",INDEX('Category Rules'!$E$5:$E$17,MATCH(P623,'Category Rules'!$A$5:$A$17,0))))</f>
        <v>Make-safe</v>
      </c>
      <c r="T623" t="str">
        <f>IF(Q623="DEP","BAS Excluded","GST on Income")</f>
        <v>GST on Income</v>
      </c>
      <c r="U623">
        <f>IF(O623=T623,1,0)</f>
        <v>1</v>
      </c>
      <c r="V623" s="9">
        <f>IF(OR(M623=0,U623=1),0,IF(T623="GST on Income",ROUND(K623*0.1,2),ROUND(-K623*0.1,2)))</f>
        <v>0</v>
      </c>
    </row>
    <row r="624">
      <c r="A624" t="inlineStr">
        <is>
          <t>INV-5449-2</t>
        </is>
      </c>
      <c r="B624" t="inlineStr">
        <is>
          <t>INV-5449</t>
        </is>
      </c>
      <c r="C624" s="11" t="n">
        <v>45939</v>
      </c>
      <c r="D624" t="inlineStr">
        <is>
          <t>2025-10</t>
        </is>
      </c>
      <c r="E624" t="inlineStr">
        <is>
          <t>C0153</t>
        </is>
      </c>
      <c r="F624" t="inlineStr">
        <is>
          <t>C0098</t>
        </is>
      </c>
      <c r="G624" t="inlineStr">
        <is>
          <t>Ethan Walker</t>
        </is>
      </c>
      <c r="H624" t="inlineStr">
        <is>
          <t>S0297</t>
        </is>
      </c>
      <c r="I624" t="inlineStr">
        <is>
          <t>Tarp supply and install - 3 tarp(s)</t>
        </is>
      </c>
      <c r="J624" t="n">
        <v>3</v>
      </c>
      <c r="K624" s="9" t="n">
        <v>720</v>
      </c>
      <c r="L624" t="inlineStr">
        <is>
          <t>PAID</t>
        </is>
      </c>
      <c r="M624">
        <f>IF(L624="VOIDED",0,1)</f>
        <v>1</v>
      </c>
      <c r="N624" t="n">
        <v>200</v>
      </c>
      <c r="O624" t="inlineStr">
        <is>
          <t>GST on Income</t>
        </is>
      </c>
      <c r="P624" t="inlineStr">
        <is>
          <t>R09</t>
        </is>
      </c>
      <c r="Q624" t="inlineStr">
        <is>
          <t>MS</t>
        </is>
      </c>
      <c r="R624">
        <f>IF(OR(Q624="CONTEXT",Q624="REVIEW"),"",INDEX('Category Rules'!$D$5:$D$17,MATCH(P624,'Category Rules'!$A$5:$A$17,0)))</f>
        <v>4020</v>
      </c>
      <c r="S624" t="str">
        <f>IF(Q624="CONTEXT","Make-safe",IF(Q624="REVIEW","",INDEX('Category Rules'!$E$5:$E$17,MATCH(P624,'Category Rules'!$A$5:$A$17,0))))</f>
        <v>Make-safe</v>
      </c>
      <c r="T624" t="str">
        <f>IF(Q624="DEP","BAS Excluded","GST on Income")</f>
        <v>GST on Income</v>
      </c>
      <c r="U624">
        <f>IF(O624=T624,1,0)</f>
        <v>1</v>
      </c>
      <c r="V624" s="9">
        <f>IF(OR(M624=0,U624=1),0,IF(T624="GST on Income",ROUND(K624*0.1,2),ROUND(-K624*0.1,2)))</f>
        <v>0</v>
      </c>
    </row>
    <row r="625">
      <c r="A625" t="inlineStr">
        <is>
          <t>INV-5783-1</t>
        </is>
      </c>
      <c r="B625" t="inlineStr">
        <is>
          <t>INV-5783</t>
        </is>
      </c>
      <c r="C625" s="11" t="n">
        <v>45939</v>
      </c>
      <c r="D625" t="inlineStr">
        <is>
          <t>2025-10</t>
        </is>
      </c>
      <c r="E625" t="inlineStr">
        <is>
          <t>C0068</t>
        </is>
      </c>
      <c r="F625" t="inlineStr">
        <is>
          <t>C0068</t>
        </is>
      </c>
      <c r="G625" t="inlineStr">
        <is>
          <t>Coastline Claims Services</t>
        </is>
      </c>
      <c r="H625" t="inlineStr">
        <is>
          <t>S0481</t>
        </is>
      </c>
      <c r="I625" t="inlineStr">
        <is>
          <t>Roof repair labour - 24 hrs</t>
        </is>
      </c>
      <c r="J625" t="n">
        <v>24</v>
      </c>
      <c r="K625" s="9" t="n">
        <v>2352</v>
      </c>
      <c r="L625" t="inlineStr">
        <is>
          <t>PAID</t>
        </is>
      </c>
      <c r="M625">
        <f>IF(L625="VOIDED",0,1)</f>
        <v>1</v>
      </c>
      <c r="N625" t="n">
        <v>200</v>
      </c>
      <c r="O625" t="inlineStr">
        <is>
          <t>GST on Income</t>
        </is>
      </c>
      <c r="P625" t="inlineStr">
        <is>
          <t>R10</t>
        </is>
      </c>
      <c r="Q625" t="inlineStr">
        <is>
          <t>LAB-RF</t>
        </is>
      </c>
      <c r="R625">
        <f>IF(OR(Q625="CONTEXT",Q625="REVIEW"),"",INDEX('Category Rules'!$D$5:$D$17,MATCH(P625,'Category Rules'!$A$5:$A$17,0)))</f>
        <v>4020</v>
      </c>
      <c r="S625" t="str">
        <f>IF(Q625="CONTEXT","Roofing",IF(Q625="REVIEW","",INDEX('Category Rules'!$E$5:$E$17,MATCH(P625,'Category Rules'!$A$5:$A$17,0))))</f>
        <v>Roofing</v>
      </c>
      <c r="T625" t="str">
        <f>IF(Q625="DEP","BAS Excluded","GST on Income")</f>
        <v>GST on Income</v>
      </c>
      <c r="U625">
        <f>IF(O625=T625,1,0)</f>
        <v>1</v>
      </c>
      <c r="V625" s="9">
        <f>IF(OR(M625=0,U625=1),0,IF(T625="GST on Income",ROUND(K625*0.1,2),ROUND(-K625*0.1,2)))</f>
        <v>0</v>
      </c>
    </row>
    <row r="626">
      <c r="A626" t="inlineStr">
        <is>
          <t>INV-5783-2</t>
        </is>
      </c>
      <c r="B626" t="inlineStr">
        <is>
          <t>INV-5783</t>
        </is>
      </c>
      <c r="C626" s="11" t="n">
        <v>45939</v>
      </c>
      <c r="D626" t="inlineStr">
        <is>
          <t>2025-10</t>
        </is>
      </c>
      <c r="E626" t="inlineStr">
        <is>
          <t>C0068</t>
        </is>
      </c>
      <c r="F626" t="inlineStr">
        <is>
          <t>C0068</t>
        </is>
      </c>
      <c r="G626" t="inlineStr">
        <is>
          <t>Coastline Claims Services</t>
        </is>
      </c>
      <c r="H626" t="inlineStr">
        <is>
          <t>S0481</t>
        </is>
      </c>
      <c r="I626" t="inlineStr">
        <is>
          <t>Materials - Colorbond sheet</t>
        </is>
      </c>
      <c r="J626" t="n">
        <v>1</v>
      </c>
      <c r="K626" s="9" t="n">
        <v>282.65</v>
      </c>
      <c r="L626" t="inlineStr">
        <is>
          <t>PAID</t>
        </is>
      </c>
      <c r="M626">
        <f>IF(L626="VOIDED",0,1)</f>
        <v>1</v>
      </c>
      <c r="N626" t="n">
        <v>200</v>
      </c>
      <c r="O626" t="inlineStr">
        <is>
          <t>GST on Income</t>
        </is>
      </c>
      <c r="P626" t="inlineStr">
        <is>
          <t>R11</t>
        </is>
      </c>
      <c r="Q626" t="inlineStr">
        <is>
          <t>MAT-RF</t>
        </is>
      </c>
      <c r="R626">
        <f>IF(OR(Q626="CONTEXT",Q626="REVIEW"),"",INDEX('Category Rules'!$D$5:$D$17,MATCH(P626,'Category Rules'!$A$5:$A$17,0)))</f>
        <v>4030</v>
      </c>
      <c r="S626" t="str">
        <f>IF(Q626="CONTEXT","Roofing",IF(Q626="REVIEW","",INDEX('Category Rules'!$E$5:$E$17,MATCH(P626,'Category Rules'!$A$5:$A$17,0))))</f>
        <v>Roofing</v>
      </c>
      <c r="T626" t="str">
        <f>IF(Q626="DEP","BAS Excluded","GST on Income")</f>
        <v>GST on Income</v>
      </c>
      <c r="U626">
        <f>IF(O626=T626,1,0)</f>
        <v>1</v>
      </c>
      <c r="V626" s="9">
        <f>IF(OR(M626=0,U626=1),0,IF(T626="GST on Income",ROUND(K626*0.1,2),ROUND(-K626*0.1,2)))</f>
        <v>0</v>
      </c>
    </row>
    <row r="627">
      <c r="A627" t="inlineStr">
        <is>
          <t>INV-5783-3</t>
        </is>
      </c>
      <c r="B627" t="inlineStr">
        <is>
          <t>INV-5783</t>
        </is>
      </c>
      <c r="C627" s="11" t="n">
        <v>45939</v>
      </c>
      <c r="D627" t="inlineStr">
        <is>
          <t>2025-10</t>
        </is>
      </c>
      <c r="E627" t="inlineStr">
        <is>
          <t>C0068</t>
        </is>
      </c>
      <c r="F627" t="inlineStr">
        <is>
          <t>C0068</t>
        </is>
      </c>
      <c r="G627" t="inlineStr">
        <is>
          <t>Coastline Claims Services</t>
        </is>
      </c>
      <c r="H627" t="inlineStr">
        <is>
          <t>S0481</t>
        </is>
      </c>
      <c r="I627" t="inlineStr">
        <is>
          <t>Materials - sealant and fixings</t>
        </is>
      </c>
      <c r="J627" t="n">
        <v>1</v>
      </c>
      <c r="K627" s="9" t="n">
        <v>192.79</v>
      </c>
      <c r="L627" t="inlineStr">
        <is>
          <t>PAID</t>
        </is>
      </c>
      <c r="M627">
        <f>IF(L627="VOIDED",0,1)</f>
        <v>1</v>
      </c>
      <c r="N627" t="n">
        <v>200</v>
      </c>
      <c r="O627" t="inlineStr">
        <is>
          <t>GST on Income</t>
        </is>
      </c>
      <c r="P627" t="inlineStr">
        <is>
          <t>R11</t>
        </is>
      </c>
      <c r="Q627" t="inlineStr">
        <is>
          <t>MAT-RF</t>
        </is>
      </c>
      <c r="R627">
        <f>IF(OR(Q627="CONTEXT",Q627="REVIEW"),"",INDEX('Category Rules'!$D$5:$D$17,MATCH(P627,'Category Rules'!$A$5:$A$17,0)))</f>
        <v>4030</v>
      </c>
      <c r="S627" t="str">
        <f>IF(Q627="CONTEXT","Roofing",IF(Q627="REVIEW","",INDEX('Category Rules'!$E$5:$E$17,MATCH(P627,'Category Rules'!$A$5:$A$17,0))))</f>
        <v>Roofing</v>
      </c>
      <c r="T627" t="str">
        <f>IF(Q627="DEP","BAS Excluded","GST on Income")</f>
        <v>GST on Income</v>
      </c>
      <c r="U627">
        <f>IF(O627=T627,1,0)</f>
        <v>1</v>
      </c>
      <c r="V627" s="9">
        <f>IF(OR(M627=0,U627=1),0,IF(T627="GST on Income",ROUND(K627*0.1,2),ROUND(-K627*0.1,2)))</f>
        <v>0</v>
      </c>
    </row>
    <row r="628">
      <c r="A628" t="inlineStr">
        <is>
          <t>INV-5872-1</t>
        </is>
      </c>
      <c r="B628" t="inlineStr">
        <is>
          <t>INV-5872</t>
        </is>
      </c>
      <c r="C628" s="11" t="n">
        <v>45939</v>
      </c>
      <c r="D628" t="inlineStr">
        <is>
          <t>2025-10</t>
        </is>
      </c>
      <c r="E628" t="inlineStr">
        <is>
          <t>C0063</t>
        </is>
      </c>
      <c r="F628" t="inlineStr">
        <is>
          <t>C0063</t>
        </is>
      </c>
      <c r="G628" t="inlineStr">
        <is>
          <t>Highpoint Insurance Repairs Pty Ltd</t>
        </is>
      </c>
      <c r="H628" t="inlineStr">
        <is>
          <t>S0533</t>
        </is>
      </c>
      <c r="I628" t="inlineStr">
        <is>
          <t>Tarp kit hire 1 wks (08/10/25-08/10/25) - 2 kits</t>
        </is>
      </c>
      <c r="J628" t="n">
        <v>2</v>
      </c>
      <c r="K628" s="9" t="n">
        <v>70</v>
      </c>
      <c r="L628" t="inlineStr">
        <is>
          <t>PAID</t>
        </is>
      </c>
      <c r="M628">
        <f>IF(L628="VOIDED",0,1)</f>
        <v>1</v>
      </c>
      <c r="N628" t="n">
        <v>200</v>
      </c>
      <c r="O628" t="inlineStr">
        <is>
          <t>GST on Income</t>
        </is>
      </c>
      <c r="P628" t="inlineStr">
        <is>
          <t>R06</t>
        </is>
      </c>
      <c r="Q628" t="inlineStr">
        <is>
          <t>HIRE-TK</t>
        </is>
      </c>
      <c r="R628">
        <f>IF(OR(Q628="CONTEXT",Q628="REVIEW"),"",INDEX('Category Rules'!$D$5:$D$17,MATCH(P628,'Category Rules'!$A$5:$A$17,0)))</f>
        <v>4010</v>
      </c>
      <c r="S628" t="str">
        <f>IF(Q628="CONTEXT","Make-safe",IF(Q628="REVIEW","",INDEX('Category Rules'!$E$5:$E$17,MATCH(P628,'Category Rules'!$A$5:$A$17,0))))</f>
        <v>Make-safe</v>
      </c>
      <c r="T628" t="str">
        <f>IF(Q628="DEP","BAS Excluded","GST on Income")</f>
        <v>GST on Income</v>
      </c>
      <c r="U628">
        <f>IF(O628=T628,1,0)</f>
        <v>1</v>
      </c>
      <c r="V628" s="9">
        <f>IF(OR(M628=0,U628=1),0,IF(T628="GST on Income",ROUND(K628*0.1,2),ROUND(-K628*0.1,2)))</f>
        <v>0</v>
      </c>
    </row>
    <row r="629">
      <c r="A629" t="inlineStr">
        <is>
          <t>INV-5647-1</t>
        </is>
      </c>
      <c r="B629" t="inlineStr">
        <is>
          <t>INV-5647</t>
        </is>
      </c>
      <c r="C629" s="11" t="n">
        <v>45940</v>
      </c>
      <c r="D629" t="inlineStr">
        <is>
          <t>2025-10</t>
        </is>
      </c>
      <c r="E629" t="inlineStr">
        <is>
          <t>C0016</t>
        </is>
      </c>
      <c r="F629" t="inlineStr">
        <is>
          <t>C0016</t>
        </is>
      </c>
      <c r="G629" t="inlineStr">
        <is>
          <t>Juniper Developments Pty Ltd</t>
        </is>
      </c>
      <c r="H629" t="inlineStr">
        <is>
          <t>S0406</t>
        </is>
      </c>
      <c r="I629" t="inlineStr">
        <is>
          <t>Tarp kit hire 3 wks (25/09/25-09/10/25) - 2 kits</t>
        </is>
      </c>
      <c r="J629" t="n">
        <v>6</v>
      </c>
      <c r="K629" s="9" t="n">
        <v>210</v>
      </c>
      <c r="L629" t="inlineStr">
        <is>
          <t>PAID</t>
        </is>
      </c>
      <c r="M629">
        <f>IF(L629="VOIDED",0,1)</f>
        <v>1</v>
      </c>
      <c r="N629" t="n">
        <v>200</v>
      </c>
      <c r="O629" t="inlineStr">
        <is>
          <t>GST on Income</t>
        </is>
      </c>
      <c r="P629" t="inlineStr">
        <is>
          <t>R06</t>
        </is>
      </c>
      <c r="Q629" t="inlineStr">
        <is>
          <t>HIRE-TK</t>
        </is>
      </c>
      <c r="R629">
        <f>IF(OR(Q629="CONTEXT",Q629="REVIEW"),"",INDEX('Category Rules'!$D$5:$D$17,MATCH(P629,'Category Rules'!$A$5:$A$17,0)))</f>
        <v>4010</v>
      </c>
      <c r="S629" t="str">
        <f>IF(Q629="CONTEXT","Make-safe",IF(Q629="REVIEW","",INDEX('Category Rules'!$E$5:$E$17,MATCH(P629,'Category Rules'!$A$5:$A$17,0))))</f>
        <v>Make-safe</v>
      </c>
      <c r="T629" t="str">
        <f>IF(Q629="DEP","BAS Excluded","GST on Income")</f>
        <v>GST on Income</v>
      </c>
      <c r="U629">
        <f>IF(O629=T629,1,0)</f>
        <v>1</v>
      </c>
      <c r="V629" s="9">
        <f>IF(OR(M629=0,U629=1),0,IF(T629="GST on Income",ROUND(K629*0.1,2),ROUND(-K629*0.1,2)))</f>
        <v>0</v>
      </c>
    </row>
    <row r="630">
      <c r="A630" t="inlineStr">
        <is>
          <t>INV-5766-1</t>
        </is>
      </c>
      <c r="B630" t="inlineStr">
        <is>
          <t>INV-5766</t>
        </is>
      </c>
      <c r="C630" s="11" t="n">
        <v>45940</v>
      </c>
      <c r="D630" t="inlineStr">
        <is>
          <t>2025-10</t>
        </is>
      </c>
      <c r="E630" t="inlineStr">
        <is>
          <t>C0092</t>
        </is>
      </c>
      <c r="F630" t="inlineStr">
        <is>
          <t>C0092</t>
        </is>
      </c>
      <c r="G630" t="inlineStr">
        <is>
          <t>Leo Jones</t>
        </is>
      </c>
      <c r="H630" t="inlineStr">
        <is>
          <t>S0470</t>
        </is>
      </c>
      <c r="I630" t="inlineStr">
        <is>
          <t>Tarp kit hire 3 wks (25/09/25-09/10/25) - 3 kits</t>
        </is>
      </c>
      <c r="J630" t="n">
        <v>9</v>
      </c>
      <c r="K630" s="9" t="n">
        <v>315</v>
      </c>
      <c r="L630" t="inlineStr">
        <is>
          <t>PAID</t>
        </is>
      </c>
      <c r="M630">
        <f>IF(L630="VOIDED",0,1)</f>
        <v>1</v>
      </c>
      <c r="N630" t="n">
        <v>200</v>
      </c>
      <c r="O630" t="inlineStr">
        <is>
          <t>GST on Income</t>
        </is>
      </c>
      <c r="P630" t="inlineStr">
        <is>
          <t>R06</t>
        </is>
      </c>
      <c r="Q630" t="inlineStr">
        <is>
          <t>HIRE-TK</t>
        </is>
      </c>
      <c r="R630">
        <f>IF(OR(Q630="CONTEXT",Q630="REVIEW"),"",INDEX('Category Rules'!$D$5:$D$17,MATCH(P630,'Category Rules'!$A$5:$A$17,0)))</f>
        <v>4010</v>
      </c>
      <c r="S630" t="str">
        <f>IF(Q630="CONTEXT","Make-safe",IF(Q630="REVIEW","",INDEX('Category Rules'!$E$5:$E$17,MATCH(P630,'Category Rules'!$A$5:$A$17,0))))</f>
        <v>Make-safe</v>
      </c>
      <c r="T630" t="str">
        <f>IF(Q630="DEP","BAS Excluded","GST on Income")</f>
        <v>GST on Income</v>
      </c>
      <c r="U630">
        <f>IF(O630=T630,1,0)</f>
        <v>1</v>
      </c>
      <c r="V630" s="9">
        <f>IF(OR(M630=0,U630=1),0,IF(T630="GST on Income",ROUND(K630*0.1,2),ROUND(-K630*0.1,2)))</f>
        <v>0</v>
      </c>
    </row>
    <row r="631">
      <c r="A631" t="inlineStr">
        <is>
          <t>INV-5770-1</t>
        </is>
      </c>
      <c r="B631" t="inlineStr">
        <is>
          <t>INV-5770</t>
        </is>
      </c>
      <c r="C631" s="11" t="n">
        <v>45940</v>
      </c>
      <c r="D631" t="inlineStr">
        <is>
          <t>2025-10</t>
        </is>
      </c>
      <c r="E631" t="inlineStr">
        <is>
          <t>C0125</t>
        </is>
      </c>
      <c r="F631" t="inlineStr">
        <is>
          <t>C0064</t>
        </is>
      </c>
      <c r="G631" t="inlineStr">
        <is>
          <t>Lakeside Claims Services Pty Ltd</t>
        </is>
      </c>
      <c r="H631" t="inlineStr">
        <is>
          <t>S0472</t>
        </is>
      </c>
      <c r="I631" t="inlineStr">
        <is>
          <t>Roof repair labour - 24 hrs</t>
        </is>
      </c>
      <c r="J631" t="n">
        <v>24</v>
      </c>
      <c r="K631" s="9" t="n">
        <v>2352</v>
      </c>
      <c r="L631" t="inlineStr">
        <is>
          <t>PAID</t>
        </is>
      </c>
      <c r="M631">
        <f>IF(L631="VOIDED",0,1)</f>
        <v>1</v>
      </c>
      <c r="N631" t="n">
        <v>200</v>
      </c>
      <c r="O631" t="inlineStr">
        <is>
          <t>GST on Income</t>
        </is>
      </c>
      <c r="P631" t="inlineStr">
        <is>
          <t>R10</t>
        </is>
      </c>
      <c r="Q631" t="inlineStr">
        <is>
          <t>LAB-RF</t>
        </is>
      </c>
      <c r="R631">
        <f>IF(OR(Q631="CONTEXT",Q631="REVIEW"),"",INDEX('Category Rules'!$D$5:$D$17,MATCH(P631,'Category Rules'!$A$5:$A$17,0)))</f>
        <v>4020</v>
      </c>
      <c r="S631" t="str">
        <f>IF(Q631="CONTEXT","Roofing",IF(Q631="REVIEW","",INDEX('Category Rules'!$E$5:$E$17,MATCH(P631,'Category Rules'!$A$5:$A$17,0))))</f>
        <v>Roofing</v>
      </c>
      <c r="T631" t="str">
        <f>IF(Q631="DEP","BAS Excluded","GST on Income")</f>
        <v>GST on Income</v>
      </c>
      <c r="U631">
        <f>IF(O631=T631,1,0)</f>
        <v>1</v>
      </c>
      <c r="V631" s="9">
        <f>IF(OR(M631=0,U631=1),0,IF(T631="GST on Income",ROUND(K631*0.1,2),ROUND(-K631*0.1,2)))</f>
        <v>0</v>
      </c>
    </row>
    <row r="632">
      <c r="A632" t="inlineStr">
        <is>
          <t>INV-5770-2</t>
        </is>
      </c>
      <c r="B632" t="inlineStr">
        <is>
          <t>INV-5770</t>
        </is>
      </c>
      <c r="C632" s="11" t="n">
        <v>45940</v>
      </c>
      <c r="D632" t="inlineStr">
        <is>
          <t>2025-10</t>
        </is>
      </c>
      <c r="E632" t="inlineStr">
        <is>
          <t>C0125</t>
        </is>
      </c>
      <c r="F632" t="inlineStr">
        <is>
          <t>C0064</t>
        </is>
      </c>
      <c r="G632" t="inlineStr">
        <is>
          <t>Lakeside Claims Services Pty Ltd</t>
        </is>
      </c>
      <c r="H632" t="inlineStr">
        <is>
          <t>S0472</t>
        </is>
      </c>
      <c r="I632" t="inlineStr">
        <is>
          <t>Materials - flashing</t>
        </is>
      </c>
      <c r="J632" t="n">
        <v>1</v>
      </c>
      <c r="K632" s="9" t="n">
        <v>1366.37</v>
      </c>
      <c r="L632" t="inlineStr">
        <is>
          <t>PAID</t>
        </is>
      </c>
      <c r="M632">
        <f>IF(L632="VOIDED",0,1)</f>
        <v>1</v>
      </c>
      <c r="N632" t="n">
        <v>200</v>
      </c>
      <c r="O632" t="inlineStr">
        <is>
          <t>GST on Income</t>
        </is>
      </c>
      <c r="P632" t="inlineStr">
        <is>
          <t>R11</t>
        </is>
      </c>
      <c r="Q632" t="inlineStr">
        <is>
          <t>MAT-RF</t>
        </is>
      </c>
      <c r="R632">
        <f>IF(OR(Q632="CONTEXT",Q632="REVIEW"),"",INDEX('Category Rules'!$D$5:$D$17,MATCH(P632,'Category Rules'!$A$5:$A$17,0)))</f>
        <v>4030</v>
      </c>
      <c r="S632" t="str">
        <f>IF(Q632="CONTEXT","Roofing",IF(Q632="REVIEW","",INDEX('Category Rules'!$E$5:$E$17,MATCH(P632,'Category Rules'!$A$5:$A$17,0))))</f>
        <v>Roofing</v>
      </c>
      <c r="T632" t="str">
        <f>IF(Q632="DEP","BAS Excluded","GST on Income")</f>
        <v>GST on Income</v>
      </c>
      <c r="U632">
        <f>IF(O632=T632,1,0)</f>
        <v>1</v>
      </c>
      <c r="V632" s="9">
        <f>IF(OR(M632=0,U632=1),0,IF(T632="GST on Income",ROUND(K632*0.1,2),ROUND(-K632*0.1,2)))</f>
        <v>0</v>
      </c>
    </row>
    <row r="633">
      <c r="A633" t="inlineStr">
        <is>
          <t>INV-5880-1</t>
        </is>
      </c>
      <c r="B633" t="inlineStr">
        <is>
          <t>INV-5880</t>
        </is>
      </c>
      <c r="C633" s="11" t="n">
        <v>45940</v>
      </c>
      <c r="D633" t="inlineStr">
        <is>
          <t>2025-10</t>
        </is>
      </c>
      <c r="E633" t="inlineStr">
        <is>
          <t>C0091</t>
        </is>
      </c>
      <c r="F633" t="inlineStr">
        <is>
          <t>C0091</t>
        </is>
      </c>
      <c r="G633" t="inlineStr">
        <is>
          <t>Zoe Martin</t>
        </is>
      </c>
      <c r="H633" t="inlineStr">
        <is>
          <t>S0540</t>
        </is>
      </c>
      <c r="I633" t="inlineStr">
        <is>
          <t>Make safe call-out</t>
        </is>
      </c>
      <c r="J633" t="n">
        <v>1</v>
      </c>
      <c r="K633" s="9" t="n">
        <v>385</v>
      </c>
      <c r="L633" t="inlineStr">
        <is>
          <t>PAID</t>
        </is>
      </c>
      <c r="M633">
        <f>IF(L633="VOIDED",0,1)</f>
        <v>1</v>
      </c>
      <c r="N633" t="n">
        <v>200</v>
      </c>
      <c r="O633" t="inlineStr">
        <is>
          <t>GST on Income</t>
        </is>
      </c>
      <c r="P633" t="inlineStr">
        <is>
          <t>R09</t>
        </is>
      </c>
      <c r="Q633" t="inlineStr">
        <is>
          <t>MS</t>
        </is>
      </c>
      <c r="R633">
        <f>IF(OR(Q633="CONTEXT",Q633="REVIEW"),"",INDEX('Category Rules'!$D$5:$D$17,MATCH(P633,'Category Rules'!$A$5:$A$17,0)))</f>
        <v>4020</v>
      </c>
      <c r="S633" t="str">
        <f>IF(Q633="CONTEXT","Make-safe",IF(Q633="REVIEW","",INDEX('Category Rules'!$E$5:$E$17,MATCH(P633,'Category Rules'!$A$5:$A$17,0))))</f>
        <v>Make-safe</v>
      </c>
      <c r="T633" t="str">
        <f>IF(Q633="DEP","BAS Excluded","GST on Income")</f>
        <v>GST on Income</v>
      </c>
      <c r="U633">
        <f>IF(O633=T633,1,0)</f>
        <v>1</v>
      </c>
      <c r="V633" s="9">
        <f>IF(OR(M633=0,U633=1),0,IF(T633="GST on Income",ROUND(K633*0.1,2),ROUND(-K633*0.1,2)))</f>
        <v>0</v>
      </c>
    </row>
    <row r="634">
      <c r="A634" t="inlineStr">
        <is>
          <t>INV-5698-1</t>
        </is>
      </c>
      <c r="B634" t="inlineStr">
        <is>
          <t>INV-5698</t>
        </is>
      </c>
      <c r="C634" s="11" t="n">
        <v>45941</v>
      </c>
      <c r="D634" t="inlineStr">
        <is>
          <t>2025-10</t>
        </is>
      </c>
      <c r="E634" t="inlineStr">
        <is>
          <t>C0033</t>
        </is>
      </c>
      <c r="F634" t="inlineStr">
        <is>
          <t>C0033</t>
        </is>
      </c>
      <c r="G634" t="inlineStr">
        <is>
          <t>Granite Projects Pty Ltd</t>
        </is>
      </c>
      <c r="H634" t="inlineStr">
        <is>
          <t>S0434</t>
        </is>
      </c>
      <c r="I634" t="inlineStr">
        <is>
          <t>Make safe call-out</t>
        </is>
      </c>
      <c r="J634" t="n">
        <v>1</v>
      </c>
      <c r="K634" s="9" t="n">
        <v>385</v>
      </c>
      <c r="L634" t="inlineStr">
        <is>
          <t>PAID</t>
        </is>
      </c>
      <c r="M634">
        <f>IF(L634="VOIDED",0,1)</f>
        <v>1</v>
      </c>
      <c r="N634" t="n">
        <v>200</v>
      </c>
      <c r="O634" t="inlineStr">
        <is>
          <t>GST on Income</t>
        </is>
      </c>
      <c r="P634" t="inlineStr">
        <is>
          <t>R09</t>
        </is>
      </c>
      <c r="Q634" t="inlineStr">
        <is>
          <t>MS</t>
        </is>
      </c>
      <c r="R634">
        <f>IF(OR(Q634="CONTEXT",Q634="REVIEW"),"",INDEX('Category Rules'!$D$5:$D$17,MATCH(P634,'Category Rules'!$A$5:$A$17,0)))</f>
        <v>4020</v>
      </c>
      <c r="S634" t="str">
        <f>IF(Q634="CONTEXT","Make-safe",IF(Q634="REVIEW","",INDEX('Category Rules'!$E$5:$E$17,MATCH(P634,'Category Rules'!$A$5:$A$17,0))))</f>
        <v>Make-safe</v>
      </c>
      <c r="T634" t="str">
        <f>IF(Q634="DEP","BAS Excluded","GST on Income")</f>
        <v>GST on Income</v>
      </c>
      <c r="U634">
        <f>IF(O634=T634,1,0)</f>
        <v>1</v>
      </c>
      <c r="V634" s="9">
        <f>IF(OR(M634=0,U634=1),0,IF(T634="GST on Income",ROUND(K634*0.1,2),ROUND(-K634*0.1,2)))</f>
        <v>0</v>
      </c>
    </row>
    <row r="635">
      <c r="A635" t="inlineStr">
        <is>
          <t>INV-5698-2</t>
        </is>
      </c>
      <c r="B635" t="inlineStr">
        <is>
          <t>INV-5698</t>
        </is>
      </c>
      <c r="C635" s="11" t="n">
        <v>45941</v>
      </c>
      <c r="D635" t="inlineStr">
        <is>
          <t>2025-10</t>
        </is>
      </c>
      <c r="E635" t="inlineStr">
        <is>
          <t>C0033</t>
        </is>
      </c>
      <c r="F635" t="inlineStr">
        <is>
          <t>C0033</t>
        </is>
      </c>
      <c r="G635" t="inlineStr">
        <is>
          <t>Granite Projects Pty Ltd</t>
        </is>
      </c>
      <c r="H635" t="inlineStr">
        <is>
          <t>S0434</t>
        </is>
      </c>
      <c r="I635" t="inlineStr">
        <is>
          <t>Tarp supply and install - 3 tarp(s)</t>
        </is>
      </c>
      <c r="J635" t="n">
        <v>3</v>
      </c>
      <c r="K635" s="9" t="n">
        <v>720</v>
      </c>
      <c r="L635" t="inlineStr">
        <is>
          <t>PAID</t>
        </is>
      </c>
      <c r="M635">
        <f>IF(L635="VOIDED",0,1)</f>
        <v>1</v>
      </c>
      <c r="N635" t="n">
        <v>200</v>
      </c>
      <c r="O635" t="inlineStr">
        <is>
          <t>GST on Income</t>
        </is>
      </c>
      <c r="P635" t="inlineStr">
        <is>
          <t>R09</t>
        </is>
      </c>
      <c r="Q635" t="inlineStr">
        <is>
          <t>MS</t>
        </is>
      </c>
      <c r="R635">
        <f>IF(OR(Q635="CONTEXT",Q635="REVIEW"),"",INDEX('Category Rules'!$D$5:$D$17,MATCH(P635,'Category Rules'!$A$5:$A$17,0)))</f>
        <v>4020</v>
      </c>
      <c r="S635" t="str">
        <f>IF(Q635="CONTEXT","Make-safe",IF(Q635="REVIEW","",INDEX('Category Rules'!$E$5:$E$17,MATCH(P635,'Category Rules'!$A$5:$A$17,0))))</f>
        <v>Make-safe</v>
      </c>
      <c r="T635" t="str">
        <f>IF(Q635="DEP","BAS Excluded","GST on Income")</f>
        <v>GST on Income</v>
      </c>
      <c r="U635">
        <f>IF(O635=T635,1,0)</f>
        <v>1</v>
      </c>
      <c r="V635" s="9">
        <f>IF(OR(M635=0,U635=1),0,IF(T635="GST on Income",ROUND(K635*0.1,2),ROUND(-K635*0.1,2)))</f>
        <v>0</v>
      </c>
    </row>
    <row r="636">
      <c r="A636" t="inlineStr">
        <is>
          <t>INV-4874-1</t>
        </is>
      </c>
      <c r="B636" t="inlineStr">
        <is>
          <t>INV-4874</t>
        </is>
      </c>
      <c r="C636" s="11" t="n">
        <v>45942</v>
      </c>
      <c r="D636" t="inlineStr">
        <is>
          <t>2025-10</t>
        </is>
      </c>
      <c r="E636" t="inlineStr">
        <is>
          <t>C0038</t>
        </is>
      </c>
      <c r="F636" t="inlineStr">
        <is>
          <t>C0038</t>
        </is>
      </c>
      <c r="G636" t="inlineStr">
        <is>
          <t>Cobalt Constructions Pty Ltd</t>
        </is>
      </c>
      <c r="H636" t="inlineStr">
        <is>
          <t>S0163</t>
        </is>
      </c>
      <c r="I636" t="inlineStr">
        <is>
          <t>Temporary fence hire 2 wks (28/09/25-11/10/25) - 130 panels</t>
        </is>
      </c>
      <c r="J636" t="n">
        <v>260</v>
      </c>
      <c r="K636" s="9" t="n">
        <v>1170</v>
      </c>
      <c r="L636" t="inlineStr">
        <is>
          <t>PAID</t>
        </is>
      </c>
      <c r="M636">
        <f>IF(L636="VOIDED",0,1)</f>
        <v>1</v>
      </c>
      <c r="N636" t="n">
        <v>200</v>
      </c>
      <c r="O636" t="inlineStr">
        <is>
          <t>GST Free Income</t>
        </is>
      </c>
      <c r="P636" t="inlineStr">
        <is>
          <t>R03</t>
        </is>
      </c>
      <c r="Q636" t="inlineStr">
        <is>
          <t>HIRE-FP</t>
        </is>
      </c>
      <c r="R636">
        <f>IF(OR(Q636="CONTEXT",Q636="REVIEW"),"",INDEX('Category Rules'!$D$5:$D$17,MATCH(P636,'Category Rules'!$A$5:$A$17,0)))</f>
        <v>4010</v>
      </c>
      <c r="S636" t="str">
        <f>IF(Q636="CONTEXT","Fencing",IF(Q636="REVIEW","",INDEX('Category Rules'!$E$5:$E$17,MATCH(P636,'Category Rules'!$A$5:$A$17,0))))</f>
        <v>Fencing</v>
      </c>
      <c r="T636" t="str">
        <f>IF(Q636="DEP","BAS Excluded","GST on Income")</f>
        <v>GST on Income</v>
      </c>
      <c r="U636">
        <f>IF(O636=T636,1,0)</f>
        <v>0</v>
      </c>
      <c r="V636" s="9">
        <f>IF(OR(M636=0,U636=1),0,IF(T636="GST on Income",ROUND(K636*0.1,2),ROUND(-K636*0.1,2)))</f>
        <v>117</v>
      </c>
    </row>
    <row r="637">
      <c r="A637" t="inlineStr">
        <is>
          <t>INV-4876-1</t>
        </is>
      </c>
      <c r="B637" t="inlineStr">
        <is>
          <t>INV-4876</t>
        </is>
      </c>
      <c r="C637" s="11" t="n">
        <v>45942</v>
      </c>
      <c r="D637" t="inlineStr">
        <is>
          <t>2025-10</t>
        </is>
      </c>
      <c r="E637" t="inlineStr">
        <is>
          <t>C0038</t>
        </is>
      </c>
      <c r="F637" t="inlineStr">
        <is>
          <t>C0038</t>
        </is>
      </c>
      <c r="G637" t="inlineStr">
        <is>
          <t>Cobalt Constructions Pty Ltd</t>
        </is>
      </c>
      <c r="H637" t="inlineStr">
        <is>
          <t>S0163</t>
        </is>
      </c>
      <c r="I637" t="inlineStr">
        <is>
          <t>Collection and dismantle - temporary fencing</t>
        </is>
      </c>
      <c r="J637" t="n">
        <v>1</v>
      </c>
      <c r="K637" s="9" t="n">
        <v>165</v>
      </c>
      <c r="L637" t="inlineStr">
        <is>
          <t>PAID</t>
        </is>
      </c>
      <c r="M637">
        <f>IF(L637="VOIDED",0,1)</f>
        <v>1</v>
      </c>
      <c r="N637" t="n">
        <v>200</v>
      </c>
      <c r="O637" t="inlineStr">
        <is>
          <t>GST on Income</t>
        </is>
      </c>
      <c r="P637" t="inlineStr">
        <is>
          <t>R07</t>
        </is>
      </c>
      <c r="Q637" t="inlineStr">
        <is>
          <t>DEL-FP</t>
        </is>
      </c>
      <c r="R637">
        <f>IF(OR(Q637="CONTEXT",Q637="REVIEW"),"",INDEX('Category Rules'!$D$5:$D$17,MATCH(P637,'Category Rules'!$A$5:$A$17,0)))</f>
        <v>4020</v>
      </c>
      <c r="S637" t="str">
        <f>IF(Q637="CONTEXT","Fencing",IF(Q637="REVIEW","",INDEX('Category Rules'!$E$5:$E$17,MATCH(P637,'Category Rules'!$A$5:$A$17,0))))</f>
        <v>Fencing</v>
      </c>
      <c r="T637" t="str">
        <f>IF(Q637="DEP","BAS Excluded","GST on Income")</f>
        <v>GST on Income</v>
      </c>
      <c r="U637">
        <f>IF(O637=T637,1,0)</f>
        <v>1</v>
      </c>
      <c r="V637" s="9">
        <f>IF(OR(M637=0,U637=1),0,IF(T637="GST on Income",ROUND(K637*0.1,2),ROUND(-K637*0.1,2)))</f>
        <v>0</v>
      </c>
    </row>
    <row r="638">
      <c r="A638" t="inlineStr">
        <is>
          <t>INV-5021-1</t>
        </is>
      </c>
      <c r="B638" t="inlineStr">
        <is>
          <t>INV-5021</t>
        </is>
      </c>
      <c r="C638" s="11" t="n">
        <v>45942</v>
      </c>
      <c r="D638" t="inlineStr">
        <is>
          <t>2025-10</t>
        </is>
      </c>
      <c r="E638" t="inlineStr">
        <is>
          <t>C0071</t>
        </is>
      </c>
      <c r="F638" t="inlineStr">
        <is>
          <t>C0071</t>
        </is>
      </c>
      <c r="G638" t="inlineStr">
        <is>
          <t>Maribyrnong City Council</t>
        </is>
      </c>
      <c r="H638" t="inlineStr">
        <is>
          <t>S0199</t>
        </is>
      </c>
      <c r="I638" t="inlineStr">
        <is>
          <t>Delivery and installation - temporary fencing</t>
        </is>
      </c>
      <c r="J638" t="n">
        <v>1</v>
      </c>
      <c r="K638" s="9" t="n">
        <v>165</v>
      </c>
      <c r="L638" t="inlineStr">
        <is>
          <t>PAID</t>
        </is>
      </c>
      <c r="M638">
        <f>IF(L638="VOIDED",0,1)</f>
        <v>1</v>
      </c>
      <c r="N638" t="n">
        <v>200</v>
      </c>
      <c r="O638" t="inlineStr">
        <is>
          <t>GST on Income</t>
        </is>
      </c>
      <c r="P638" t="inlineStr">
        <is>
          <t>R07</t>
        </is>
      </c>
      <c r="Q638" t="inlineStr">
        <is>
          <t>DEL-FP</t>
        </is>
      </c>
      <c r="R638">
        <f>IF(OR(Q638="CONTEXT",Q638="REVIEW"),"",INDEX('Category Rules'!$D$5:$D$17,MATCH(P638,'Category Rules'!$A$5:$A$17,0)))</f>
        <v>4020</v>
      </c>
      <c r="S638" t="str">
        <f>IF(Q638="CONTEXT","Fencing",IF(Q638="REVIEW","",INDEX('Category Rules'!$E$5:$E$17,MATCH(P638,'Category Rules'!$A$5:$A$17,0))))</f>
        <v>Fencing</v>
      </c>
      <c r="T638" t="str">
        <f>IF(Q638="DEP","BAS Excluded","GST on Income")</f>
        <v>GST on Income</v>
      </c>
      <c r="U638">
        <f>IF(O638=T638,1,0)</f>
        <v>1</v>
      </c>
      <c r="V638" s="9">
        <f>IF(OR(M638=0,U638=1),0,IF(T638="GST on Income",ROUND(K638*0.1,2),ROUND(-K638*0.1,2)))</f>
        <v>0</v>
      </c>
    </row>
    <row r="639">
      <c r="A639" t="inlineStr">
        <is>
          <t>INV-5021-2</t>
        </is>
      </c>
      <c r="B639" t="inlineStr">
        <is>
          <t>INV-5021</t>
        </is>
      </c>
      <c r="C639" s="11" t="n">
        <v>45942</v>
      </c>
      <c r="D639" t="inlineStr">
        <is>
          <t>2025-10</t>
        </is>
      </c>
      <c r="E639" t="inlineStr">
        <is>
          <t>C0071</t>
        </is>
      </c>
      <c r="F639" t="inlineStr">
        <is>
          <t>C0071</t>
        </is>
      </c>
      <c r="G639" t="inlineStr">
        <is>
          <t>Maribyrnong City Council</t>
        </is>
      </c>
      <c r="H639" t="inlineStr">
        <is>
          <t>S0199</t>
        </is>
      </c>
      <c r="I639" t="inlineStr">
        <is>
          <t>Installation labour - 22 panels @ 2.20</t>
        </is>
      </c>
      <c r="J639" t="n">
        <v>22</v>
      </c>
      <c r="K639" s="9" t="n">
        <v>48.4</v>
      </c>
      <c r="L639" t="inlineStr">
        <is>
          <t>PAID</t>
        </is>
      </c>
      <c r="M639">
        <f>IF(L639="VOIDED",0,1)</f>
        <v>1</v>
      </c>
      <c r="N639" t="n">
        <v>200</v>
      </c>
      <c r="O639" t="inlineStr">
        <is>
          <t>GST on Income</t>
        </is>
      </c>
      <c r="P639" t="inlineStr">
        <is>
          <t>R07</t>
        </is>
      </c>
      <c r="Q639" t="inlineStr">
        <is>
          <t>DEL-FP</t>
        </is>
      </c>
      <c r="R639">
        <f>IF(OR(Q639="CONTEXT",Q639="REVIEW"),"",INDEX('Category Rules'!$D$5:$D$17,MATCH(P639,'Category Rules'!$A$5:$A$17,0)))</f>
        <v>4020</v>
      </c>
      <c r="S639" t="str">
        <f>IF(Q639="CONTEXT","Fencing",IF(Q639="REVIEW","",INDEX('Category Rules'!$E$5:$E$17,MATCH(P639,'Category Rules'!$A$5:$A$17,0))))</f>
        <v>Fencing</v>
      </c>
      <c r="T639" t="str">
        <f>IF(Q639="DEP","BAS Excluded","GST on Income")</f>
        <v>GST on Income</v>
      </c>
      <c r="U639">
        <f>IF(O639=T639,1,0)</f>
        <v>1</v>
      </c>
      <c r="V639" s="9">
        <f>IF(OR(M639=0,U639=1),0,IF(T639="GST on Income",ROUND(K639*0.1,2),ROUND(-K639*0.1,2)))</f>
        <v>0</v>
      </c>
    </row>
    <row r="640">
      <c r="A640" t="inlineStr">
        <is>
          <t>INV-5308-1</t>
        </is>
      </c>
      <c r="B640" t="inlineStr">
        <is>
          <t>INV-5308</t>
        </is>
      </c>
      <c r="C640" s="11" t="n">
        <v>45942</v>
      </c>
      <c r="D640" t="inlineStr">
        <is>
          <t>2025-10</t>
        </is>
      </c>
      <c r="E640" t="inlineStr">
        <is>
          <t>C0022</t>
        </is>
      </c>
      <c r="F640" t="inlineStr">
        <is>
          <t>C0022</t>
        </is>
      </c>
      <c r="G640" t="inlineStr">
        <is>
          <t>Highpoint Projects</t>
        </is>
      </c>
      <c r="H640" t="inlineStr">
        <is>
          <t>S0262</t>
        </is>
      </c>
      <c r="I640" t="inlineStr">
        <is>
          <t>Scaffold tower hire 4 wks (14/09/25-11/10/25) - 2 towers</t>
        </is>
      </c>
      <c r="J640" t="n">
        <v>8</v>
      </c>
      <c r="K640" s="9" t="n">
        <v>760</v>
      </c>
      <c r="L640" t="inlineStr">
        <is>
          <t>PAID</t>
        </is>
      </c>
      <c r="M640">
        <f>IF(L640="VOIDED",0,1)</f>
        <v>1</v>
      </c>
      <c r="N640" t="n">
        <v>200</v>
      </c>
      <c r="O640" t="inlineStr">
        <is>
          <t>GST on Income</t>
        </is>
      </c>
      <c r="P640" t="inlineStr">
        <is>
          <t>R05</t>
        </is>
      </c>
      <c r="Q640" t="inlineStr">
        <is>
          <t>HIRE-ST</t>
        </is>
      </c>
      <c r="R640">
        <f>IF(OR(Q640="CONTEXT",Q640="REVIEW"),"",INDEX('Category Rules'!$D$5:$D$17,MATCH(P640,'Category Rules'!$A$5:$A$17,0)))</f>
        <v>4010</v>
      </c>
      <c r="S640" t="str">
        <f>IF(Q640="CONTEXT","Scaffolding",IF(Q640="REVIEW","",INDEX('Category Rules'!$E$5:$E$17,MATCH(P640,'Category Rules'!$A$5:$A$17,0))))</f>
        <v>Scaffolding</v>
      </c>
      <c r="T640" t="str">
        <f>IF(Q640="DEP","BAS Excluded","GST on Income")</f>
        <v>GST on Income</v>
      </c>
      <c r="U640">
        <f>IF(O640=T640,1,0)</f>
        <v>1</v>
      </c>
      <c r="V640" s="9">
        <f>IF(OR(M640=0,U640=1),0,IF(T640="GST on Income",ROUND(K640*0.1,2),ROUND(-K640*0.1,2)))</f>
        <v>0</v>
      </c>
    </row>
    <row r="641">
      <c r="A641" t="inlineStr">
        <is>
          <t>INV-5791-1</t>
        </is>
      </c>
      <c r="B641" t="inlineStr">
        <is>
          <t>INV-5791</t>
        </is>
      </c>
      <c r="C641" s="11" t="n">
        <v>45942</v>
      </c>
      <c r="D641" t="inlineStr">
        <is>
          <t>2025-10</t>
        </is>
      </c>
      <c r="E641" t="inlineStr">
        <is>
          <t>C0019</t>
        </is>
      </c>
      <c r="F641" t="inlineStr">
        <is>
          <t>C0019</t>
        </is>
      </c>
      <c r="G641" t="inlineStr">
        <is>
          <t>Metro Developments</t>
        </is>
      </c>
      <c r="H641" t="inlineStr">
        <is>
          <t>S0485</t>
        </is>
      </c>
      <c r="I641" t="inlineStr">
        <is>
          <t>Roof repair labour - 6 hrs</t>
        </is>
      </c>
      <c r="J641" t="n">
        <v>6</v>
      </c>
      <c r="K641" s="9" t="n">
        <v>588</v>
      </c>
      <c r="L641" t="inlineStr">
        <is>
          <t>PAID</t>
        </is>
      </c>
      <c r="M641">
        <f>IF(L641="VOIDED",0,1)</f>
        <v>1</v>
      </c>
      <c r="N641" t="n">
        <v>200</v>
      </c>
      <c r="O641" t="inlineStr">
        <is>
          <t>GST on Income</t>
        </is>
      </c>
      <c r="P641" t="inlineStr">
        <is>
          <t>R10</t>
        </is>
      </c>
      <c r="Q641" t="inlineStr">
        <is>
          <t>LAB-RF</t>
        </is>
      </c>
      <c r="R641">
        <f>IF(OR(Q641="CONTEXT",Q641="REVIEW"),"",INDEX('Category Rules'!$D$5:$D$17,MATCH(P641,'Category Rules'!$A$5:$A$17,0)))</f>
        <v>4020</v>
      </c>
      <c r="S641" t="str">
        <f>IF(Q641="CONTEXT","Roofing",IF(Q641="REVIEW","",INDEX('Category Rules'!$E$5:$E$17,MATCH(P641,'Category Rules'!$A$5:$A$17,0))))</f>
        <v>Roofing</v>
      </c>
      <c r="T641" t="str">
        <f>IF(Q641="DEP","BAS Excluded","GST on Income")</f>
        <v>GST on Income</v>
      </c>
      <c r="U641">
        <f>IF(O641=T641,1,0)</f>
        <v>1</v>
      </c>
      <c r="V641" s="9">
        <f>IF(OR(M641=0,U641=1),0,IF(T641="GST on Income",ROUND(K641*0.1,2),ROUND(-K641*0.1,2)))</f>
        <v>0</v>
      </c>
    </row>
    <row r="642">
      <c r="A642" t="inlineStr">
        <is>
          <t>INV-5791-2</t>
        </is>
      </c>
      <c r="B642" t="inlineStr">
        <is>
          <t>INV-5791</t>
        </is>
      </c>
      <c r="C642" s="11" t="n">
        <v>45942</v>
      </c>
      <c r="D642" t="inlineStr">
        <is>
          <t>2025-10</t>
        </is>
      </c>
      <c r="E642" t="inlineStr">
        <is>
          <t>C0019</t>
        </is>
      </c>
      <c r="F642" t="inlineStr">
        <is>
          <t>C0019</t>
        </is>
      </c>
      <c r="G642" t="inlineStr">
        <is>
          <t>Metro Developments</t>
        </is>
      </c>
      <c r="H642" t="inlineStr">
        <is>
          <t>S0485</t>
        </is>
      </c>
      <c r="I642" t="inlineStr">
        <is>
          <t>Materials - sealant and fixings</t>
        </is>
      </c>
      <c r="J642" t="n">
        <v>1</v>
      </c>
      <c r="K642" s="9" t="n">
        <v>98.76000000000001</v>
      </c>
      <c r="L642" t="inlineStr">
        <is>
          <t>PAID</t>
        </is>
      </c>
      <c r="M642">
        <f>IF(L642="VOIDED",0,1)</f>
        <v>1</v>
      </c>
      <c r="N642" t="n">
        <v>200</v>
      </c>
      <c r="O642" t="inlineStr">
        <is>
          <t>GST on Income</t>
        </is>
      </c>
      <c r="P642" t="inlineStr">
        <is>
          <t>R11</t>
        </is>
      </c>
      <c r="Q642" t="inlineStr">
        <is>
          <t>MAT-RF</t>
        </is>
      </c>
      <c r="R642">
        <f>IF(OR(Q642="CONTEXT",Q642="REVIEW"),"",INDEX('Category Rules'!$D$5:$D$17,MATCH(P642,'Category Rules'!$A$5:$A$17,0)))</f>
        <v>4030</v>
      </c>
      <c r="S642" t="str">
        <f>IF(Q642="CONTEXT","Roofing",IF(Q642="REVIEW","",INDEX('Category Rules'!$E$5:$E$17,MATCH(P642,'Category Rules'!$A$5:$A$17,0))))</f>
        <v>Roofing</v>
      </c>
      <c r="T642" t="str">
        <f>IF(Q642="DEP","BAS Excluded","GST on Income")</f>
        <v>GST on Income</v>
      </c>
      <c r="U642">
        <f>IF(O642=T642,1,0)</f>
        <v>1</v>
      </c>
      <c r="V642" s="9">
        <f>IF(OR(M642=0,U642=1),0,IF(T642="GST on Income",ROUND(K642*0.1,2),ROUND(-K642*0.1,2)))</f>
        <v>0</v>
      </c>
    </row>
    <row r="643">
      <c r="A643" t="inlineStr">
        <is>
          <t>INV-5842-1</t>
        </is>
      </c>
      <c r="B643" t="inlineStr">
        <is>
          <t>INV-5842</t>
        </is>
      </c>
      <c r="C643" s="11" t="n">
        <v>45942</v>
      </c>
      <c r="D643" t="inlineStr">
        <is>
          <t>2025-10</t>
        </is>
      </c>
      <c r="E643" t="inlineStr">
        <is>
          <t>C0082</t>
        </is>
      </c>
      <c r="F643" t="inlineStr">
        <is>
          <t>C0082</t>
        </is>
      </c>
      <c r="G643" t="inlineStr">
        <is>
          <t>Olivia Hughes</t>
        </is>
      </c>
      <c r="H643" t="inlineStr">
        <is>
          <t>S0515</t>
        </is>
      </c>
      <c r="I643" t="inlineStr">
        <is>
          <t>Tarp kit hire 2 wks (04/10/25-11/10/25) - 2 kits</t>
        </is>
      </c>
      <c r="J643" t="n">
        <v>4</v>
      </c>
      <c r="K643" s="9" t="n">
        <v>140</v>
      </c>
      <c r="L643" t="inlineStr">
        <is>
          <t>PAID</t>
        </is>
      </c>
      <c r="M643">
        <f>IF(L643="VOIDED",0,1)</f>
        <v>1</v>
      </c>
      <c r="N643" t="n">
        <v>200</v>
      </c>
      <c r="O643" t="inlineStr">
        <is>
          <t>GST on Income</t>
        </is>
      </c>
      <c r="P643" t="inlineStr">
        <is>
          <t>R06</t>
        </is>
      </c>
      <c r="Q643" t="inlineStr">
        <is>
          <t>HIRE-TK</t>
        </is>
      </c>
      <c r="R643">
        <f>IF(OR(Q643="CONTEXT",Q643="REVIEW"),"",INDEX('Category Rules'!$D$5:$D$17,MATCH(P643,'Category Rules'!$A$5:$A$17,0)))</f>
        <v>4010</v>
      </c>
      <c r="S643" t="str">
        <f>IF(Q643="CONTEXT","Make-safe",IF(Q643="REVIEW","",INDEX('Category Rules'!$E$5:$E$17,MATCH(P643,'Category Rules'!$A$5:$A$17,0))))</f>
        <v>Make-safe</v>
      </c>
      <c r="T643" t="str">
        <f>IF(Q643="DEP","BAS Excluded","GST on Income")</f>
        <v>GST on Income</v>
      </c>
      <c r="U643">
        <f>IF(O643=T643,1,0)</f>
        <v>1</v>
      </c>
      <c r="V643" s="9">
        <f>IF(OR(M643=0,U643=1),0,IF(T643="GST on Income",ROUND(K643*0.1,2),ROUND(-K643*0.1,2)))</f>
        <v>0</v>
      </c>
    </row>
    <row r="644">
      <c r="A644" t="inlineStr">
        <is>
          <t>INV-4722-1</t>
        </is>
      </c>
      <c r="B644" t="inlineStr">
        <is>
          <t>INV-4722</t>
        </is>
      </c>
      <c r="C644" s="11" t="n">
        <v>45943</v>
      </c>
      <c r="D644" t="inlineStr">
        <is>
          <t>2025-10</t>
        </is>
      </c>
      <c r="E644" t="inlineStr">
        <is>
          <t>C0116</t>
        </is>
      </c>
      <c r="F644" t="inlineStr">
        <is>
          <t>C0116</t>
        </is>
      </c>
      <c r="G644" t="inlineStr">
        <is>
          <t>Lucas Patel</t>
        </is>
      </c>
      <c r="H644" t="inlineStr">
        <is>
          <t>S0130</t>
        </is>
      </c>
      <c r="I644" t="inlineStr">
        <is>
          <t>Temporary fence hire 4 wks (15/09/25-12/10/25) - 106 panels</t>
        </is>
      </c>
      <c r="J644" t="n">
        <v>424</v>
      </c>
      <c r="K644" s="9" t="n">
        <v>1908</v>
      </c>
      <c r="L644" t="inlineStr">
        <is>
          <t>PAID</t>
        </is>
      </c>
      <c r="M644">
        <f>IF(L644="VOIDED",0,1)</f>
        <v>1</v>
      </c>
      <c r="N644" t="n">
        <v>200</v>
      </c>
      <c r="O644" t="inlineStr">
        <is>
          <t>GST on Income</t>
        </is>
      </c>
      <c r="P644" t="inlineStr">
        <is>
          <t>R03</t>
        </is>
      </c>
      <c r="Q644" t="inlineStr">
        <is>
          <t>HIRE-FP</t>
        </is>
      </c>
      <c r="R644">
        <f>IF(OR(Q644="CONTEXT",Q644="REVIEW"),"",INDEX('Category Rules'!$D$5:$D$17,MATCH(P644,'Category Rules'!$A$5:$A$17,0)))</f>
        <v>4010</v>
      </c>
      <c r="S644" t="str">
        <f>IF(Q644="CONTEXT","Fencing",IF(Q644="REVIEW","",INDEX('Category Rules'!$E$5:$E$17,MATCH(P644,'Category Rules'!$A$5:$A$17,0))))</f>
        <v>Fencing</v>
      </c>
      <c r="T644" t="str">
        <f>IF(Q644="DEP","BAS Excluded","GST on Income")</f>
        <v>GST on Income</v>
      </c>
      <c r="U644">
        <f>IF(O644=T644,1,0)</f>
        <v>1</v>
      </c>
      <c r="V644" s="9">
        <f>IF(OR(M644=0,U644=1),0,IF(T644="GST on Income",ROUND(K644*0.1,2),ROUND(-K644*0.1,2)))</f>
        <v>0</v>
      </c>
    </row>
    <row r="645">
      <c r="A645" t="inlineStr">
        <is>
          <t>INV-4780-1</t>
        </is>
      </c>
      <c r="B645" t="inlineStr">
        <is>
          <t>INV-4780</t>
        </is>
      </c>
      <c r="C645" s="11" t="n">
        <v>45943</v>
      </c>
      <c r="D645" t="inlineStr">
        <is>
          <t>2025-10</t>
        </is>
      </c>
      <c r="E645" t="inlineStr">
        <is>
          <t>C0080</t>
        </is>
      </c>
      <c r="F645" t="inlineStr">
        <is>
          <t>C0080</t>
        </is>
      </c>
      <c r="G645" t="inlineStr">
        <is>
          <t>Ember Productions Pty Ltd</t>
        </is>
      </c>
      <c r="H645" t="inlineStr">
        <is>
          <t>S0145</t>
        </is>
      </c>
      <c r="I645" t="inlineStr">
        <is>
          <t>Temporary fence hire 2 wks (05/10/25-12/10/25) - 88 panels</t>
        </is>
      </c>
      <c r="J645" t="n">
        <v>176</v>
      </c>
      <c r="K645" s="9" t="n">
        <v>792</v>
      </c>
      <c r="L645" t="inlineStr">
        <is>
          <t>PAID</t>
        </is>
      </c>
      <c r="M645">
        <f>IF(L645="VOIDED",0,1)</f>
        <v>1</v>
      </c>
      <c r="N645" t="n">
        <v>200</v>
      </c>
      <c r="O645" t="inlineStr">
        <is>
          <t>GST on Income</t>
        </is>
      </c>
      <c r="P645" t="inlineStr">
        <is>
          <t>R03</t>
        </is>
      </c>
      <c r="Q645" t="inlineStr">
        <is>
          <t>HIRE-FP</t>
        </is>
      </c>
      <c r="R645">
        <f>IF(OR(Q645="CONTEXT",Q645="REVIEW"),"",INDEX('Category Rules'!$D$5:$D$17,MATCH(P645,'Category Rules'!$A$5:$A$17,0)))</f>
        <v>4010</v>
      </c>
      <c r="S645" t="str">
        <f>IF(Q645="CONTEXT","Fencing",IF(Q645="REVIEW","",INDEX('Category Rules'!$E$5:$E$17,MATCH(P645,'Category Rules'!$A$5:$A$17,0))))</f>
        <v>Fencing</v>
      </c>
      <c r="T645" t="str">
        <f>IF(Q645="DEP","BAS Excluded","GST on Income")</f>
        <v>GST on Income</v>
      </c>
      <c r="U645">
        <f>IF(O645=T645,1,0)</f>
        <v>1</v>
      </c>
      <c r="V645" s="9">
        <f>IF(OR(M645=0,U645=1),0,IF(T645="GST on Income",ROUND(K645*0.1,2),ROUND(-K645*0.1,2)))</f>
        <v>0</v>
      </c>
    </row>
    <row r="646">
      <c r="A646" t="inlineStr">
        <is>
          <t>INV-4782-1</t>
        </is>
      </c>
      <c r="B646" t="inlineStr">
        <is>
          <t>INV-4782</t>
        </is>
      </c>
      <c r="C646" s="11" t="n">
        <v>45943</v>
      </c>
      <c r="D646" t="inlineStr">
        <is>
          <t>2025-10</t>
        </is>
      </c>
      <c r="E646" t="inlineStr">
        <is>
          <t>C0080</t>
        </is>
      </c>
      <c r="F646" t="inlineStr">
        <is>
          <t>C0080</t>
        </is>
      </c>
      <c r="G646" t="inlineStr">
        <is>
          <t>Ember Productions Pty Ltd</t>
        </is>
      </c>
      <c r="H646" t="inlineStr">
        <is>
          <t>S0145</t>
        </is>
      </c>
      <c r="I646" t="inlineStr">
        <is>
          <t>Collection and dismantle - temporary fencing</t>
        </is>
      </c>
      <c r="J646" t="n">
        <v>1</v>
      </c>
      <c r="K646" s="9" t="n">
        <v>165</v>
      </c>
      <c r="L646" t="inlineStr">
        <is>
          <t>PAID</t>
        </is>
      </c>
      <c r="M646">
        <f>IF(L646="VOIDED",0,1)</f>
        <v>1</v>
      </c>
      <c r="N646" t="n">
        <v>200</v>
      </c>
      <c r="O646" t="inlineStr">
        <is>
          <t>GST on Income</t>
        </is>
      </c>
      <c r="P646" t="inlineStr">
        <is>
          <t>R07</t>
        </is>
      </c>
      <c r="Q646" t="inlineStr">
        <is>
          <t>DEL-FP</t>
        </is>
      </c>
      <c r="R646">
        <f>IF(OR(Q646="CONTEXT",Q646="REVIEW"),"",INDEX('Category Rules'!$D$5:$D$17,MATCH(P646,'Category Rules'!$A$5:$A$17,0)))</f>
        <v>4020</v>
      </c>
      <c r="S646" t="str">
        <f>IF(Q646="CONTEXT","Fencing",IF(Q646="REVIEW","",INDEX('Category Rules'!$E$5:$E$17,MATCH(P646,'Category Rules'!$A$5:$A$17,0))))</f>
        <v>Fencing</v>
      </c>
      <c r="T646" t="str">
        <f>IF(Q646="DEP","BAS Excluded","GST on Income")</f>
        <v>GST on Income</v>
      </c>
      <c r="U646">
        <f>IF(O646=T646,1,0)</f>
        <v>1</v>
      </c>
      <c r="V646" s="9">
        <f>IF(OR(M646=0,U646=1),0,IF(T646="GST on Income",ROUND(K646*0.1,2),ROUND(-K646*0.1,2)))</f>
        <v>0</v>
      </c>
    </row>
    <row r="647">
      <c r="A647" t="inlineStr">
        <is>
          <t>INV-5197-1</t>
        </is>
      </c>
      <c r="B647" t="inlineStr">
        <is>
          <t>INV-5197</t>
        </is>
      </c>
      <c r="C647" s="11" t="n">
        <v>45943</v>
      </c>
      <c r="D647" t="inlineStr">
        <is>
          <t>2025-10</t>
        </is>
      </c>
      <c r="E647" t="inlineStr">
        <is>
          <t>C0018</t>
        </is>
      </c>
      <c r="F647" t="inlineStr">
        <is>
          <t>C0018</t>
        </is>
      </c>
      <c r="G647" t="inlineStr">
        <is>
          <t>Wattle Constructions Pty Ltd</t>
        </is>
      </c>
      <c r="H647" t="inlineStr">
        <is>
          <t>S0234</t>
        </is>
      </c>
      <c r="I647" t="inlineStr">
        <is>
          <t>Scaffold erect - 1 tower(s)</t>
        </is>
      </c>
      <c r="J647" t="n">
        <v>1</v>
      </c>
      <c r="K647" s="9" t="n">
        <v>420</v>
      </c>
      <c r="L647" t="inlineStr">
        <is>
          <t>PAID</t>
        </is>
      </c>
      <c r="M647">
        <f>IF(L647="VOIDED",0,1)</f>
        <v>1</v>
      </c>
      <c r="N647" t="n">
        <v>200</v>
      </c>
      <c r="O647" t="inlineStr">
        <is>
          <t>GST on Income</t>
        </is>
      </c>
      <c r="P647" t="inlineStr">
        <is>
          <t>R08</t>
        </is>
      </c>
      <c r="Q647" t="inlineStr">
        <is>
          <t>LAB-ST</t>
        </is>
      </c>
      <c r="R647">
        <f>IF(OR(Q647="CONTEXT",Q647="REVIEW"),"",INDEX('Category Rules'!$D$5:$D$17,MATCH(P647,'Category Rules'!$A$5:$A$17,0)))</f>
        <v>4020</v>
      </c>
      <c r="S647" t="str">
        <f>IF(Q647="CONTEXT","Scaffolding",IF(Q647="REVIEW","",INDEX('Category Rules'!$E$5:$E$17,MATCH(P647,'Category Rules'!$A$5:$A$17,0))))</f>
        <v>Scaffolding</v>
      </c>
      <c r="T647" t="str">
        <f>IF(Q647="DEP","BAS Excluded","GST on Income")</f>
        <v>GST on Income</v>
      </c>
      <c r="U647">
        <f>IF(O647=T647,1,0)</f>
        <v>1</v>
      </c>
      <c r="V647" s="9">
        <f>IF(OR(M647=0,U647=1),0,IF(T647="GST on Income",ROUND(K647*0.1,2),ROUND(-K647*0.1,2)))</f>
        <v>0</v>
      </c>
    </row>
    <row r="648">
      <c r="A648" t="inlineStr">
        <is>
          <t>INV-5309-1</t>
        </is>
      </c>
      <c r="B648" t="inlineStr">
        <is>
          <t>INV-5309</t>
        </is>
      </c>
      <c r="C648" s="11" t="n">
        <v>45943</v>
      </c>
      <c r="D648" t="inlineStr">
        <is>
          <t>2025-10</t>
        </is>
      </c>
      <c r="E648" t="inlineStr">
        <is>
          <t>C0022</t>
        </is>
      </c>
      <c r="F648" t="inlineStr">
        <is>
          <t>C0022</t>
        </is>
      </c>
      <c r="G648" t="inlineStr">
        <is>
          <t>Highpoint Projects</t>
        </is>
      </c>
      <c r="H648" t="inlineStr">
        <is>
          <t>S0262</t>
        </is>
      </c>
      <c r="I648" t="inlineStr">
        <is>
          <t>Scaffold tower hire 1 wks (12/10/25-12/10/25) - 2 towers</t>
        </is>
      </c>
      <c r="J648" t="n">
        <v>2</v>
      </c>
      <c r="K648" s="9" t="n">
        <v>190</v>
      </c>
      <c r="L648" t="inlineStr">
        <is>
          <t>PAID</t>
        </is>
      </c>
      <c r="M648">
        <f>IF(L648="VOIDED",0,1)</f>
        <v>1</v>
      </c>
      <c r="N648" t="n">
        <v>200</v>
      </c>
      <c r="O648" t="inlineStr">
        <is>
          <t>GST on Income</t>
        </is>
      </c>
      <c r="P648" t="inlineStr">
        <is>
          <t>R05</t>
        </is>
      </c>
      <c r="Q648" t="inlineStr">
        <is>
          <t>HIRE-ST</t>
        </is>
      </c>
      <c r="R648">
        <f>IF(OR(Q648="CONTEXT",Q648="REVIEW"),"",INDEX('Category Rules'!$D$5:$D$17,MATCH(P648,'Category Rules'!$A$5:$A$17,0)))</f>
        <v>4010</v>
      </c>
      <c r="S648" t="str">
        <f>IF(Q648="CONTEXT","Scaffolding",IF(Q648="REVIEW","",INDEX('Category Rules'!$E$5:$E$17,MATCH(P648,'Category Rules'!$A$5:$A$17,0))))</f>
        <v>Scaffolding</v>
      </c>
      <c r="T648" t="str">
        <f>IF(Q648="DEP","BAS Excluded","GST on Income")</f>
        <v>GST on Income</v>
      </c>
      <c r="U648">
        <f>IF(O648=T648,1,0)</f>
        <v>1</v>
      </c>
      <c r="V648" s="9">
        <f>IF(OR(M648=0,U648=1),0,IF(T648="GST on Income",ROUND(K648*0.1,2),ROUND(-K648*0.1,2)))</f>
        <v>0</v>
      </c>
    </row>
    <row r="649">
      <c r="A649" t="inlineStr">
        <is>
          <t>INV-5311-1</t>
        </is>
      </c>
      <c r="B649" t="inlineStr">
        <is>
          <t>INV-5311</t>
        </is>
      </c>
      <c r="C649" s="11" t="n">
        <v>45943</v>
      </c>
      <c r="D649" t="inlineStr">
        <is>
          <t>2025-10</t>
        </is>
      </c>
      <c r="E649" t="inlineStr">
        <is>
          <t>C0022</t>
        </is>
      </c>
      <c r="F649" t="inlineStr">
        <is>
          <t>C0022</t>
        </is>
      </c>
      <c r="G649" t="inlineStr">
        <is>
          <t>Highpoint Projects</t>
        </is>
      </c>
      <c r="H649" t="inlineStr">
        <is>
          <t>S0262</t>
        </is>
      </c>
      <c r="I649" t="inlineStr">
        <is>
          <t>Scaffold dismantle - 2 tower(s)</t>
        </is>
      </c>
      <c r="J649" t="n">
        <v>2</v>
      </c>
      <c r="K649" s="9" t="n">
        <v>640</v>
      </c>
      <c r="L649" t="inlineStr">
        <is>
          <t>PAID</t>
        </is>
      </c>
      <c r="M649">
        <f>IF(L649="VOIDED",0,1)</f>
        <v>1</v>
      </c>
      <c r="N649" t="n">
        <v>260</v>
      </c>
      <c r="O649" t="inlineStr">
        <is>
          <t>GST on Income</t>
        </is>
      </c>
      <c r="P649" t="inlineStr">
        <is>
          <t>R08</t>
        </is>
      </c>
      <c r="Q649" t="inlineStr">
        <is>
          <t>LAB-ST</t>
        </is>
      </c>
      <c r="R649">
        <f>IF(OR(Q649="CONTEXT",Q649="REVIEW"),"",INDEX('Category Rules'!$D$5:$D$17,MATCH(P649,'Category Rules'!$A$5:$A$17,0)))</f>
        <v>4020</v>
      </c>
      <c r="S649" t="str">
        <f>IF(Q649="CONTEXT","Scaffolding",IF(Q649="REVIEW","",INDEX('Category Rules'!$E$5:$E$17,MATCH(P649,'Category Rules'!$A$5:$A$17,0))))</f>
        <v>Scaffolding</v>
      </c>
      <c r="T649" t="str">
        <f>IF(Q649="DEP","BAS Excluded","GST on Income")</f>
        <v>GST on Income</v>
      </c>
      <c r="U649">
        <f>IF(O649=T649,1,0)</f>
        <v>1</v>
      </c>
      <c r="V649" s="9">
        <f>IF(OR(M649=0,U649=1),0,IF(T649="GST on Income",ROUND(K649*0.1,2),ROUND(-K649*0.1,2)))</f>
        <v>0</v>
      </c>
    </row>
    <row r="650">
      <c r="A650" t="inlineStr">
        <is>
          <t>INV-5583-1</t>
        </is>
      </c>
      <c r="B650" t="inlineStr">
        <is>
          <t>INV-5583</t>
        </is>
      </c>
      <c r="C650" s="11" t="n">
        <v>45943</v>
      </c>
      <c r="D650" t="inlineStr">
        <is>
          <t>2025-10</t>
        </is>
      </c>
      <c r="E650" t="inlineStr">
        <is>
          <t>C0099</t>
        </is>
      </c>
      <c r="F650" t="inlineStr">
        <is>
          <t>C0099</t>
        </is>
      </c>
      <c r="G650" t="inlineStr">
        <is>
          <t>Ruby Rossi</t>
        </is>
      </c>
      <c r="H650" t="inlineStr">
        <is>
          <t>S0372</t>
        </is>
      </c>
      <c r="I650" t="inlineStr">
        <is>
          <t>Roof repair labour - 8 hrs</t>
        </is>
      </c>
      <c r="J650" t="n">
        <v>8</v>
      </c>
      <c r="K650" s="9" t="n">
        <v>784</v>
      </c>
      <c r="L650" t="inlineStr">
        <is>
          <t>PAID</t>
        </is>
      </c>
      <c r="M650">
        <f>IF(L650="VOIDED",0,1)</f>
        <v>1</v>
      </c>
      <c r="N650" t="n">
        <v>200</v>
      </c>
      <c r="O650" t="inlineStr">
        <is>
          <t>GST on Income</t>
        </is>
      </c>
      <c r="P650" t="inlineStr">
        <is>
          <t>R10</t>
        </is>
      </c>
      <c r="Q650" t="inlineStr">
        <is>
          <t>LAB-RF</t>
        </is>
      </c>
      <c r="R650">
        <f>IF(OR(Q650="CONTEXT",Q650="REVIEW"),"",INDEX('Category Rules'!$D$5:$D$17,MATCH(P650,'Category Rules'!$A$5:$A$17,0)))</f>
        <v>4020</v>
      </c>
      <c r="S650" t="str">
        <f>IF(Q650="CONTEXT","Roofing",IF(Q650="REVIEW","",INDEX('Category Rules'!$E$5:$E$17,MATCH(P650,'Category Rules'!$A$5:$A$17,0))))</f>
        <v>Roofing</v>
      </c>
      <c r="T650" t="str">
        <f>IF(Q650="DEP","BAS Excluded","GST on Income")</f>
        <v>GST on Income</v>
      </c>
      <c r="U650">
        <f>IF(O650=T650,1,0)</f>
        <v>1</v>
      </c>
      <c r="V650" s="9">
        <f>IF(OR(M650=0,U650=1),0,IF(T650="GST on Income",ROUND(K650*0.1,2),ROUND(-K650*0.1,2)))</f>
        <v>0</v>
      </c>
    </row>
    <row r="651">
      <c r="A651" t="inlineStr">
        <is>
          <t>INV-5583-2</t>
        </is>
      </c>
      <c r="B651" t="inlineStr">
        <is>
          <t>INV-5583</t>
        </is>
      </c>
      <c r="C651" s="11" t="n">
        <v>45943</v>
      </c>
      <c r="D651" t="inlineStr">
        <is>
          <t>2025-10</t>
        </is>
      </c>
      <c r="E651" t="inlineStr">
        <is>
          <t>C0099</t>
        </is>
      </c>
      <c r="F651" t="inlineStr">
        <is>
          <t>C0099</t>
        </is>
      </c>
      <c r="G651" t="inlineStr">
        <is>
          <t>Ruby Rossi</t>
        </is>
      </c>
      <c r="H651" t="inlineStr">
        <is>
          <t>S0372</t>
        </is>
      </c>
      <c r="I651" t="inlineStr">
        <is>
          <t>Materials - gutter and downpipe</t>
        </is>
      </c>
      <c r="J651" t="n">
        <v>1</v>
      </c>
      <c r="K651" s="9" t="n">
        <v>1271.67</v>
      </c>
      <c r="L651" t="inlineStr">
        <is>
          <t>PAID</t>
        </is>
      </c>
      <c r="M651">
        <f>IF(L651="VOIDED",0,1)</f>
        <v>1</v>
      </c>
      <c r="N651" t="n">
        <v>200</v>
      </c>
      <c r="O651" t="inlineStr">
        <is>
          <t>GST on Income</t>
        </is>
      </c>
      <c r="P651" t="inlineStr">
        <is>
          <t>R11</t>
        </is>
      </c>
      <c r="Q651" t="inlineStr">
        <is>
          <t>MAT-RF</t>
        </is>
      </c>
      <c r="R651">
        <f>IF(OR(Q651="CONTEXT",Q651="REVIEW"),"",INDEX('Category Rules'!$D$5:$D$17,MATCH(P651,'Category Rules'!$A$5:$A$17,0)))</f>
        <v>4030</v>
      </c>
      <c r="S651" t="str">
        <f>IF(Q651="CONTEXT","Roofing",IF(Q651="REVIEW","",INDEX('Category Rules'!$E$5:$E$17,MATCH(P651,'Category Rules'!$A$5:$A$17,0))))</f>
        <v>Roofing</v>
      </c>
      <c r="T651" t="str">
        <f>IF(Q651="DEP","BAS Excluded","GST on Income")</f>
        <v>GST on Income</v>
      </c>
      <c r="U651">
        <f>IF(O651=T651,1,0)</f>
        <v>1</v>
      </c>
      <c r="V651" s="9">
        <f>IF(OR(M651=0,U651=1),0,IF(T651="GST on Income",ROUND(K651*0.1,2),ROUND(-K651*0.1,2)))</f>
        <v>0</v>
      </c>
    </row>
    <row r="652">
      <c r="A652" t="inlineStr">
        <is>
          <t>INV-5583-3</t>
        </is>
      </c>
      <c r="B652" t="inlineStr">
        <is>
          <t>INV-5583</t>
        </is>
      </c>
      <c r="C652" s="11" t="n">
        <v>45943</v>
      </c>
      <c r="D652" t="inlineStr">
        <is>
          <t>2025-10</t>
        </is>
      </c>
      <c r="E652" t="inlineStr">
        <is>
          <t>C0099</t>
        </is>
      </c>
      <c r="F652" t="inlineStr">
        <is>
          <t>C0099</t>
        </is>
      </c>
      <c r="G652" t="inlineStr">
        <is>
          <t>Ruby Rossi</t>
        </is>
      </c>
      <c r="H652" t="inlineStr">
        <is>
          <t>S0372</t>
        </is>
      </c>
      <c r="I652" t="inlineStr">
        <is>
          <t>Materials - Colorbond sheet</t>
        </is>
      </c>
      <c r="J652" t="n">
        <v>1</v>
      </c>
      <c r="K652" s="9" t="n">
        <v>1243.53</v>
      </c>
      <c r="L652" t="inlineStr">
        <is>
          <t>PAID</t>
        </is>
      </c>
      <c r="M652">
        <f>IF(L652="VOIDED",0,1)</f>
        <v>1</v>
      </c>
      <c r="N652" t="n">
        <v>260</v>
      </c>
      <c r="O652" t="inlineStr">
        <is>
          <t>GST on Income</t>
        </is>
      </c>
      <c r="P652" t="inlineStr">
        <is>
          <t>R11</t>
        </is>
      </c>
      <c r="Q652" t="inlineStr">
        <is>
          <t>MAT-RF</t>
        </is>
      </c>
      <c r="R652">
        <f>IF(OR(Q652="CONTEXT",Q652="REVIEW"),"",INDEX('Category Rules'!$D$5:$D$17,MATCH(P652,'Category Rules'!$A$5:$A$17,0)))</f>
        <v>4030</v>
      </c>
      <c r="S652" t="str">
        <f>IF(Q652="CONTEXT","Roofing",IF(Q652="REVIEW","",INDEX('Category Rules'!$E$5:$E$17,MATCH(P652,'Category Rules'!$A$5:$A$17,0))))</f>
        <v>Roofing</v>
      </c>
      <c r="T652" t="str">
        <f>IF(Q652="DEP","BAS Excluded","GST on Income")</f>
        <v>GST on Income</v>
      </c>
      <c r="U652">
        <f>IF(O652=T652,1,0)</f>
        <v>1</v>
      </c>
      <c r="V652" s="9">
        <f>IF(OR(M652=0,U652=1),0,IF(T652="GST on Income",ROUND(K652*0.1,2),ROUND(-K652*0.1,2)))</f>
        <v>0</v>
      </c>
    </row>
    <row r="653">
      <c r="A653" t="inlineStr">
        <is>
          <t>INV-5583-4</t>
        </is>
      </c>
      <c r="B653" t="inlineStr">
        <is>
          <t>INV-5583</t>
        </is>
      </c>
      <c r="C653" s="11" t="n">
        <v>45943</v>
      </c>
      <c r="D653" t="inlineStr">
        <is>
          <t>2025-10</t>
        </is>
      </c>
      <c r="E653" t="inlineStr">
        <is>
          <t>C0099</t>
        </is>
      </c>
      <c r="F653" t="inlineStr">
        <is>
          <t>C0099</t>
        </is>
      </c>
      <c r="G653" t="inlineStr">
        <is>
          <t>Ruby Rossi</t>
        </is>
      </c>
      <c r="H653" t="inlineStr">
        <is>
          <t>S0372</t>
        </is>
      </c>
      <c r="I653" t="inlineStr">
        <is>
          <t>Materials - flashing</t>
        </is>
      </c>
      <c r="J653" t="n">
        <v>1</v>
      </c>
      <c r="K653" s="9" t="n">
        <v>575.17</v>
      </c>
      <c r="L653" t="inlineStr">
        <is>
          <t>PAID</t>
        </is>
      </c>
      <c r="M653">
        <f>IF(L653="VOIDED",0,1)</f>
        <v>1</v>
      </c>
      <c r="N653" t="n">
        <v>200</v>
      </c>
      <c r="O653" t="inlineStr">
        <is>
          <t>GST on Income</t>
        </is>
      </c>
      <c r="P653" t="inlineStr">
        <is>
          <t>R11</t>
        </is>
      </c>
      <c r="Q653" t="inlineStr">
        <is>
          <t>MAT-RF</t>
        </is>
      </c>
      <c r="R653">
        <f>IF(OR(Q653="CONTEXT",Q653="REVIEW"),"",INDEX('Category Rules'!$D$5:$D$17,MATCH(P653,'Category Rules'!$A$5:$A$17,0)))</f>
        <v>4030</v>
      </c>
      <c r="S653" t="str">
        <f>IF(Q653="CONTEXT","Roofing",IF(Q653="REVIEW","",INDEX('Category Rules'!$E$5:$E$17,MATCH(P653,'Category Rules'!$A$5:$A$17,0))))</f>
        <v>Roofing</v>
      </c>
      <c r="T653" t="str">
        <f>IF(Q653="DEP","BAS Excluded","GST on Income")</f>
        <v>GST on Income</v>
      </c>
      <c r="U653">
        <f>IF(O653=T653,1,0)</f>
        <v>1</v>
      </c>
      <c r="V653" s="9">
        <f>IF(OR(M653=0,U653=1),0,IF(T653="GST on Income",ROUND(K653*0.1,2),ROUND(-K653*0.1,2)))</f>
        <v>0</v>
      </c>
    </row>
    <row r="654">
      <c r="A654" t="inlineStr">
        <is>
          <t>INV-5583-5</t>
        </is>
      </c>
      <c r="B654" t="inlineStr">
        <is>
          <t>INV-5583</t>
        </is>
      </c>
      <c r="C654" s="11" t="n">
        <v>45943</v>
      </c>
      <c r="D654" t="inlineStr">
        <is>
          <t>2025-10</t>
        </is>
      </c>
      <c r="E654" t="inlineStr">
        <is>
          <t>C0099</t>
        </is>
      </c>
      <c r="F654" t="inlineStr">
        <is>
          <t>C0099</t>
        </is>
      </c>
      <c r="G654" t="inlineStr">
        <is>
          <t>Ruby Rossi</t>
        </is>
      </c>
      <c r="H654" t="inlineStr">
        <is>
          <t>S0372</t>
        </is>
      </c>
      <c r="I654" t="inlineStr">
        <is>
          <t>Waste removal and tip fees</t>
        </is>
      </c>
      <c r="J654" t="n">
        <v>1</v>
      </c>
      <c r="K654" s="9" t="n">
        <v>120</v>
      </c>
      <c r="L654" t="inlineStr">
        <is>
          <t>PAID</t>
        </is>
      </c>
      <c r="M654">
        <f>IF(L654="VOIDED",0,1)</f>
        <v>1</v>
      </c>
      <c r="N654" t="n">
        <v>200</v>
      </c>
      <c r="O654" t="inlineStr">
        <is>
          <t>GST on Income</t>
        </is>
      </c>
      <c r="P654" t="inlineStr">
        <is>
          <t>R11</t>
        </is>
      </c>
      <c r="Q654" t="inlineStr">
        <is>
          <t>MAT-RF</t>
        </is>
      </c>
      <c r="R654">
        <f>IF(OR(Q654="CONTEXT",Q654="REVIEW"),"",INDEX('Category Rules'!$D$5:$D$17,MATCH(P654,'Category Rules'!$A$5:$A$17,0)))</f>
        <v>4030</v>
      </c>
      <c r="S654" t="str">
        <f>IF(Q654="CONTEXT","Roofing",IF(Q654="REVIEW","",INDEX('Category Rules'!$E$5:$E$17,MATCH(P654,'Category Rules'!$A$5:$A$17,0))))</f>
        <v>Roofing</v>
      </c>
      <c r="T654" t="str">
        <f>IF(Q654="DEP","BAS Excluded","GST on Income")</f>
        <v>GST on Income</v>
      </c>
      <c r="U654">
        <f>IF(O654=T654,1,0)</f>
        <v>1</v>
      </c>
      <c r="V654" s="9">
        <f>IF(OR(M654=0,U654=1),0,IF(T654="GST on Income",ROUND(K654*0.1,2),ROUND(-K654*0.1,2)))</f>
        <v>0</v>
      </c>
    </row>
    <row r="655">
      <c r="A655" t="inlineStr">
        <is>
          <t>INV-5881-1</t>
        </is>
      </c>
      <c r="B655" t="inlineStr">
        <is>
          <t>INV-5881</t>
        </is>
      </c>
      <c r="C655" s="11" t="n">
        <v>45943</v>
      </c>
      <c r="D655" t="inlineStr">
        <is>
          <t>2025-10</t>
        </is>
      </c>
      <c r="E655" t="inlineStr">
        <is>
          <t>C0091</t>
        </is>
      </c>
      <c r="F655" t="inlineStr">
        <is>
          <t>C0091</t>
        </is>
      </c>
      <c r="G655" t="inlineStr">
        <is>
          <t>Zoe Martin</t>
        </is>
      </c>
      <c r="H655" t="inlineStr">
        <is>
          <t>S0540</t>
        </is>
      </c>
      <c r="I655" t="inlineStr">
        <is>
          <t>Roof repair labour - 12 hrs</t>
        </is>
      </c>
      <c r="J655" t="n">
        <v>12</v>
      </c>
      <c r="K655" s="9" t="n">
        <v>1176</v>
      </c>
      <c r="L655" t="inlineStr">
        <is>
          <t>PAID</t>
        </is>
      </c>
      <c r="M655">
        <f>IF(L655="VOIDED",0,1)</f>
        <v>1</v>
      </c>
      <c r="N655" t="n">
        <v>200</v>
      </c>
      <c r="O655" t="inlineStr">
        <is>
          <t>GST on Income</t>
        </is>
      </c>
      <c r="P655" t="inlineStr">
        <is>
          <t>R10</t>
        </is>
      </c>
      <c r="Q655" t="inlineStr">
        <is>
          <t>LAB-RF</t>
        </is>
      </c>
      <c r="R655">
        <f>IF(OR(Q655="CONTEXT",Q655="REVIEW"),"",INDEX('Category Rules'!$D$5:$D$17,MATCH(P655,'Category Rules'!$A$5:$A$17,0)))</f>
        <v>4020</v>
      </c>
      <c r="S655" t="str">
        <f>IF(Q655="CONTEXT","Roofing",IF(Q655="REVIEW","",INDEX('Category Rules'!$E$5:$E$17,MATCH(P655,'Category Rules'!$A$5:$A$17,0))))</f>
        <v>Roofing</v>
      </c>
      <c r="T655" t="str">
        <f>IF(Q655="DEP","BAS Excluded","GST on Income")</f>
        <v>GST on Income</v>
      </c>
      <c r="U655">
        <f>IF(O655=T655,1,0)</f>
        <v>1</v>
      </c>
      <c r="V655" s="9">
        <f>IF(OR(M655=0,U655=1),0,IF(T655="GST on Income",ROUND(K655*0.1,2),ROUND(-K655*0.1,2)))</f>
        <v>0</v>
      </c>
    </row>
    <row r="656">
      <c r="A656" t="inlineStr">
        <is>
          <t>INV-5881-2</t>
        </is>
      </c>
      <c r="B656" t="inlineStr">
        <is>
          <t>INV-5881</t>
        </is>
      </c>
      <c r="C656" s="11" t="n">
        <v>45943</v>
      </c>
      <c r="D656" t="inlineStr">
        <is>
          <t>2025-10</t>
        </is>
      </c>
      <c r="E656" t="inlineStr">
        <is>
          <t>C0091</t>
        </is>
      </c>
      <c r="F656" t="inlineStr">
        <is>
          <t>C0091</t>
        </is>
      </c>
      <c r="G656" t="inlineStr">
        <is>
          <t>Zoe Martin</t>
        </is>
      </c>
      <c r="H656" t="inlineStr">
        <is>
          <t>S0540</t>
        </is>
      </c>
      <c r="I656" t="inlineStr">
        <is>
          <t>Materials - roof tiles (matched)</t>
        </is>
      </c>
      <c r="J656" t="n">
        <v>1</v>
      </c>
      <c r="K656" s="9" t="n">
        <v>1324.41</v>
      </c>
      <c r="L656" t="inlineStr">
        <is>
          <t>PAID</t>
        </is>
      </c>
      <c r="M656">
        <f>IF(L656="VOIDED",0,1)</f>
        <v>1</v>
      </c>
      <c r="N656" t="n">
        <v>200</v>
      </c>
      <c r="O656" t="inlineStr">
        <is>
          <t>GST on Income</t>
        </is>
      </c>
      <c r="P656" t="inlineStr">
        <is>
          <t>R11</t>
        </is>
      </c>
      <c r="Q656" t="inlineStr">
        <is>
          <t>MAT-RF</t>
        </is>
      </c>
      <c r="R656">
        <f>IF(OR(Q656="CONTEXT",Q656="REVIEW"),"",INDEX('Category Rules'!$D$5:$D$17,MATCH(P656,'Category Rules'!$A$5:$A$17,0)))</f>
        <v>4030</v>
      </c>
      <c r="S656" t="str">
        <f>IF(Q656="CONTEXT","Roofing",IF(Q656="REVIEW","",INDEX('Category Rules'!$E$5:$E$17,MATCH(P656,'Category Rules'!$A$5:$A$17,0))))</f>
        <v>Roofing</v>
      </c>
      <c r="T656" t="str">
        <f>IF(Q656="DEP","BAS Excluded","GST on Income")</f>
        <v>GST on Income</v>
      </c>
      <c r="U656">
        <f>IF(O656=T656,1,0)</f>
        <v>1</v>
      </c>
      <c r="V656" s="9">
        <f>IF(OR(M656=0,U656=1),0,IF(T656="GST on Income",ROUND(K656*0.1,2),ROUND(-K656*0.1,2)))</f>
        <v>0</v>
      </c>
    </row>
    <row r="657">
      <c r="A657" t="inlineStr">
        <is>
          <t>INV-5881-3</t>
        </is>
      </c>
      <c r="B657" t="inlineStr">
        <is>
          <t>INV-5881</t>
        </is>
      </c>
      <c r="C657" s="11" t="n">
        <v>45943</v>
      </c>
      <c r="D657" t="inlineStr">
        <is>
          <t>2025-10</t>
        </is>
      </c>
      <c r="E657" t="inlineStr">
        <is>
          <t>C0091</t>
        </is>
      </c>
      <c r="F657" t="inlineStr">
        <is>
          <t>C0091</t>
        </is>
      </c>
      <c r="G657" t="inlineStr">
        <is>
          <t>Zoe Martin</t>
        </is>
      </c>
      <c r="H657" t="inlineStr">
        <is>
          <t>S0540</t>
        </is>
      </c>
      <c r="I657" t="inlineStr">
        <is>
          <t>Materials - gutter and downpipe</t>
        </is>
      </c>
      <c r="J657" t="n">
        <v>1</v>
      </c>
      <c r="K657" s="9" t="n">
        <v>950</v>
      </c>
      <c r="L657" t="inlineStr">
        <is>
          <t>PAID</t>
        </is>
      </c>
      <c r="M657">
        <f>IF(L657="VOIDED",0,1)</f>
        <v>1</v>
      </c>
      <c r="N657" t="n">
        <v>200</v>
      </c>
      <c r="O657" t="inlineStr">
        <is>
          <t>GST on Income</t>
        </is>
      </c>
      <c r="P657" t="inlineStr">
        <is>
          <t>R11</t>
        </is>
      </c>
      <c r="Q657" t="inlineStr">
        <is>
          <t>MAT-RF</t>
        </is>
      </c>
      <c r="R657">
        <f>IF(OR(Q657="CONTEXT",Q657="REVIEW"),"",INDEX('Category Rules'!$D$5:$D$17,MATCH(P657,'Category Rules'!$A$5:$A$17,0)))</f>
        <v>4030</v>
      </c>
      <c r="S657" t="str">
        <f>IF(Q657="CONTEXT","Roofing",IF(Q657="REVIEW","",INDEX('Category Rules'!$E$5:$E$17,MATCH(P657,'Category Rules'!$A$5:$A$17,0))))</f>
        <v>Roofing</v>
      </c>
      <c r="T657" t="str">
        <f>IF(Q657="DEP","BAS Excluded","GST on Income")</f>
        <v>GST on Income</v>
      </c>
      <c r="U657">
        <f>IF(O657=T657,1,0)</f>
        <v>1</v>
      </c>
      <c r="V657" s="9">
        <f>IF(OR(M657=0,U657=1),0,IF(T657="GST on Income",ROUND(K657*0.1,2),ROUND(-K657*0.1,2)))</f>
        <v>0</v>
      </c>
    </row>
    <row r="658">
      <c r="A658" t="inlineStr">
        <is>
          <t>INV-5881-4</t>
        </is>
      </c>
      <c r="B658" t="inlineStr">
        <is>
          <t>INV-5881</t>
        </is>
      </c>
      <c r="C658" s="11" t="n">
        <v>45943</v>
      </c>
      <c r="D658" t="inlineStr">
        <is>
          <t>2025-10</t>
        </is>
      </c>
      <c r="E658" t="inlineStr">
        <is>
          <t>C0091</t>
        </is>
      </c>
      <c r="F658" t="inlineStr">
        <is>
          <t>C0091</t>
        </is>
      </c>
      <c r="G658" t="inlineStr">
        <is>
          <t>Zoe Martin</t>
        </is>
      </c>
      <c r="H658" t="inlineStr">
        <is>
          <t>S0540</t>
        </is>
      </c>
      <c r="I658" t="inlineStr">
        <is>
          <t>Materials - sealant and fixings</t>
        </is>
      </c>
      <c r="J658" t="n">
        <v>1</v>
      </c>
      <c r="K658" s="9" t="n">
        <v>163.4</v>
      </c>
      <c r="L658" t="inlineStr">
        <is>
          <t>PAID</t>
        </is>
      </c>
      <c r="M658">
        <f>IF(L658="VOIDED",0,1)</f>
        <v>1</v>
      </c>
      <c r="N658" t="n">
        <v>200</v>
      </c>
      <c r="O658" t="inlineStr">
        <is>
          <t>GST on Income</t>
        </is>
      </c>
      <c r="P658" t="inlineStr">
        <is>
          <t>R11</t>
        </is>
      </c>
      <c r="Q658" t="inlineStr">
        <is>
          <t>MAT-RF</t>
        </is>
      </c>
      <c r="R658">
        <f>IF(OR(Q658="CONTEXT",Q658="REVIEW"),"",INDEX('Category Rules'!$D$5:$D$17,MATCH(P658,'Category Rules'!$A$5:$A$17,0)))</f>
        <v>4030</v>
      </c>
      <c r="S658" t="str">
        <f>IF(Q658="CONTEXT","Roofing",IF(Q658="REVIEW","",INDEX('Category Rules'!$E$5:$E$17,MATCH(P658,'Category Rules'!$A$5:$A$17,0))))</f>
        <v>Roofing</v>
      </c>
      <c r="T658" t="str">
        <f>IF(Q658="DEP","BAS Excluded","GST on Income")</f>
        <v>GST on Income</v>
      </c>
      <c r="U658">
        <f>IF(O658=T658,1,0)</f>
        <v>1</v>
      </c>
      <c r="V658" s="9">
        <f>IF(OR(M658=0,U658=1),0,IF(T658="GST on Income",ROUND(K658*0.1,2),ROUND(-K658*0.1,2)))</f>
        <v>0</v>
      </c>
    </row>
    <row r="659">
      <c r="A659" t="inlineStr">
        <is>
          <t>INV-5922-1</t>
        </is>
      </c>
      <c r="B659" t="inlineStr">
        <is>
          <t>INV-5922</t>
        </is>
      </c>
      <c r="C659" s="11" t="n">
        <v>45943</v>
      </c>
      <c r="D659" t="inlineStr">
        <is>
          <t>2025-10</t>
        </is>
      </c>
      <c r="E659" t="inlineStr">
        <is>
          <t>C0046</t>
        </is>
      </c>
      <c r="F659" t="inlineStr">
        <is>
          <t>C0046</t>
        </is>
      </c>
      <c r="G659" t="inlineStr">
        <is>
          <t>Bayside Owners Corporation Services Pty Ltd</t>
        </is>
      </c>
      <c r="H659" t="inlineStr"/>
      <c r="I659" t="inlineStr">
        <is>
          <t>Variation 4198 - additional works</t>
        </is>
      </c>
      <c r="J659" t="n">
        <v>1</v>
      </c>
      <c r="K659" s="9" t="n">
        <v>2009.79</v>
      </c>
      <c r="L659" t="inlineStr">
        <is>
          <t>PAID</t>
        </is>
      </c>
      <c r="M659">
        <f>IF(L659="VOIDED",0,1)</f>
        <v>1</v>
      </c>
      <c r="N659" t="n">
        <v>200</v>
      </c>
      <c r="O659" t="inlineStr">
        <is>
          <t>GST on Income</t>
        </is>
      </c>
      <c r="P659" t="inlineStr">
        <is>
          <t>--</t>
        </is>
      </c>
      <c r="Q659" t="inlineStr">
        <is>
          <t>REVIEW</t>
        </is>
      </c>
      <c r="R659">
        <f>IF(OR(Q659="CONTEXT",Q659="REVIEW"),"",INDEX('Category Rules'!$D$5:$D$17,MATCH(P659,'Category Rules'!$A$5:$A$17,0)))</f>
      </c>
      <c r="S659">
        <f>IF(Q659="CONTEXT","",IF(Q659="REVIEW","",INDEX('Category Rules'!$E$5:$E$17,MATCH(P659,'Category Rules'!$A$5:$A$17,0))))</f>
      </c>
      <c r="T659" t="str">
        <f>IF(Q659="DEP","BAS Excluded","GST on Income")</f>
        <v>GST on Income</v>
      </c>
      <c r="U659">
        <f>IF(O659=T659,1,0)</f>
        <v>1</v>
      </c>
      <c r="V659" s="9">
        <f>IF(OR(M659=0,U659=1),0,IF(T659="GST on Income",ROUND(K659*0.1,2),ROUND(-K659*0.1,2)))</f>
        <v>0</v>
      </c>
    </row>
    <row r="660">
      <c r="A660" t="inlineStr">
        <is>
          <t>INV-4639-1</t>
        </is>
      </c>
      <c r="B660" t="inlineStr">
        <is>
          <t>INV-4639</t>
        </is>
      </c>
      <c r="C660" s="11" t="n">
        <v>45944</v>
      </c>
      <c r="D660" t="inlineStr">
        <is>
          <t>2025-10</t>
        </is>
      </c>
      <c r="E660" t="inlineStr">
        <is>
          <t>C0014</t>
        </is>
      </c>
      <c r="F660" t="inlineStr">
        <is>
          <t>C0014</t>
        </is>
      </c>
      <c r="G660" t="inlineStr">
        <is>
          <t>Riverbend Homes Pty Ltd</t>
        </is>
      </c>
      <c r="H660" t="inlineStr">
        <is>
          <t>S0109</t>
        </is>
      </c>
      <c r="I660" t="inlineStr">
        <is>
          <t>Delivery and installation - temporary fencing</t>
        </is>
      </c>
      <c r="J660" t="n">
        <v>1</v>
      </c>
      <c r="K660" s="9" t="n">
        <v>165</v>
      </c>
      <c r="L660" t="inlineStr">
        <is>
          <t>PAID</t>
        </is>
      </c>
      <c r="M660">
        <f>IF(L660="VOIDED",0,1)</f>
        <v>1</v>
      </c>
      <c r="N660" t="n">
        <v>200</v>
      </c>
      <c r="O660" t="inlineStr">
        <is>
          <t>GST on Income</t>
        </is>
      </c>
      <c r="P660" t="inlineStr">
        <is>
          <t>R07</t>
        </is>
      </c>
      <c r="Q660" t="inlineStr">
        <is>
          <t>DEL-FP</t>
        </is>
      </c>
      <c r="R660">
        <f>IF(OR(Q660="CONTEXT",Q660="REVIEW"),"",INDEX('Category Rules'!$D$5:$D$17,MATCH(P660,'Category Rules'!$A$5:$A$17,0)))</f>
        <v>4020</v>
      </c>
      <c r="S660" t="str">
        <f>IF(Q660="CONTEXT","Fencing",IF(Q660="REVIEW","",INDEX('Category Rules'!$E$5:$E$17,MATCH(P660,'Category Rules'!$A$5:$A$17,0))))</f>
        <v>Fencing</v>
      </c>
      <c r="T660" t="str">
        <f>IF(Q660="DEP","BAS Excluded","GST on Income")</f>
        <v>GST on Income</v>
      </c>
      <c r="U660">
        <f>IF(O660=T660,1,0)</f>
        <v>1</v>
      </c>
      <c r="V660" s="9">
        <f>IF(OR(M660=0,U660=1),0,IF(T660="GST on Income",ROUND(K660*0.1,2),ROUND(-K660*0.1,2)))</f>
        <v>0</v>
      </c>
    </row>
    <row r="661">
      <c r="A661" t="inlineStr">
        <is>
          <t>INV-4639-2</t>
        </is>
      </c>
      <c r="B661" t="inlineStr">
        <is>
          <t>INV-4639</t>
        </is>
      </c>
      <c r="C661" s="11" t="n">
        <v>45944</v>
      </c>
      <c r="D661" t="inlineStr">
        <is>
          <t>2025-10</t>
        </is>
      </c>
      <c r="E661" t="inlineStr">
        <is>
          <t>C0014</t>
        </is>
      </c>
      <c r="F661" t="inlineStr">
        <is>
          <t>C0014</t>
        </is>
      </c>
      <c r="G661" t="inlineStr">
        <is>
          <t>Riverbend Homes Pty Ltd</t>
        </is>
      </c>
      <c r="H661" t="inlineStr">
        <is>
          <t>S0109</t>
        </is>
      </c>
      <c r="I661" t="inlineStr">
        <is>
          <t>Installation labour - 31 panels @ 2.20</t>
        </is>
      </c>
      <c r="J661" t="n">
        <v>31</v>
      </c>
      <c r="K661" s="9" t="n">
        <v>68.2</v>
      </c>
      <c r="L661" t="inlineStr">
        <is>
          <t>PAID</t>
        </is>
      </c>
      <c r="M661">
        <f>IF(L661="VOIDED",0,1)</f>
        <v>1</v>
      </c>
      <c r="N661" t="n">
        <v>200</v>
      </c>
      <c r="O661" t="inlineStr">
        <is>
          <t>GST on Income</t>
        </is>
      </c>
      <c r="P661" t="inlineStr">
        <is>
          <t>R07</t>
        </is>
      </c>
      <c r="Q661" t="inlineStr">
        <is>
          <t>DEL-FP</t>
        </is>
      </c>
      <c r="R661">
        <f>IF(OR(Q661="CONTEXT",Q661="REVIEW"),"",INDEX('Category Rules'!$D$5:$D$17,MATCH(P661,'Category Rules'!$A$5:$A$17,0)))</f>
        <v>4020</v>
      </c>
      <c r="S661" t="str">
        <f>IF(Q661="CONTEXT","Fencing",IF(Q661="REVIEW","",INDEX('Category Rules'!$E$5:$E$17,MATCH(P661,'Category Rules'!$A$5:$A$17,0))))</f>
        <v>Fencing</v>
      </c>
      <c r="T661" t="str">
        <f>IF(Q661="DEP","BAS Excluded","GST on Income")</f>
        <v>GST on Income</v>
      </c>
      <c r="U661">
        <f>IF(O661=T661,1,0)</f>
        <v>1</v>
      </c>
      <c r="V661" s="9">
        <f>IF(OR(M661=0,U661=1),0,IF(T661="GST on Income",ROUND(K661*0.1,2),ROUND(-K661*0.1,2)))</f>
        <v>0</v>
      </c>
    </row>
    <row r="662">
      <c r="A662" t="inlineStr">
        <is>
          <t>INV-5183-1</t>
        </is>
      </c>
      <c r="B662" t="inlineStr">
        <is>
          <t>INV-5183</t>
        </is>
      </c>
      <c r="C662" s="11" t="n">
        <v>45944</v>
      </c>
      <c r="D662" t="inlineStr">
        <is>
          <t>2025-10</t>
        </is>
      </c>
      <c r="E662" t="inlineStr">
        <is>
          <t>C0029</t>
        </is>
      </c>
      <c r="F662" t="inlineStr">
        <is>
          <t>C0029</t>
        </is>
      </c>
      <c r="G662" t="inlineStr">
        <is>
          <t>Ironbark Constructions</t>
        </is>
      </c>
      <c r="H662" t="inlineStr">
        <is>
          <t>S0232</t>
        </is>
      </c>
      <c r="I662" t="inlineStr">
        <is>
          <t>Temporary fence hire 4 wks (16/09/25-13/10/25) - 93 panels</t>
        </is>
      </c>
      <c r="J662" t="n">
        <v>372</v>
      </c>
      <c r="K662" s="9" t="n">
        <v>1674</v>
      </c>
      <c r="L662" t="inlineStr">
        <is>
          <t>PAID</t>
        </is>
      </c>
      <c r="M662">
        <f>IF(L662="VOIDED",0,1)</f>
        <v>1</v>
      </c>
      <c r="N662" t="n">
        <v>200</v>
      </c>
      <c r="O662" t="inlineStr">
        <is>
          <t>GST on Income</t>
        </is>
      </c>
      <c r="P662" t="inlineStr">
        <is>
          <t>R03</t>
        </is>
      </c>
      <c r="Q662" t="inlineStr">
        <is>
          <t>HIRE-FP</t>
        </is>
      </c>
      <c r="R662">
        <f>IF(OR(Q662="CONTEXT",Q662="REVIEW"),"",INDEX('Category Rules'!$D$5:$D$17,MATCH(P662,'Category Rules'!$A$5:$A$17,0)))</f>
        <v>4010</v>
      </c>
      <c r="S662" t="str">
        <f>IF(Q662="CONTEXT","Fencing",IF(Q662="REVIEW","",INDEX('Category Rules'!$E$5:$E$17,MATCH(P662,'Category Rules'!$A$5:$A$17,0))))</f>
        <v>Fencing</v>
      </c>
      <c r="T662" t="str">
        <f>IF(Q662="DEP","BAS Excluded","GST on Income")</f>
        <v>GST on Income</v>
      </c>
      <c r="U662">
        <f>IF(O662=T662,1,0)</f>
        <v>1</v>
      </c>
      <c r="V662" s="9">
        <f>IF(OR(M662=0,U662=1),0,IF(T662="GST on Income",ROUND(K662*0.1,2),ROUND(-K662*0.1,2)))</f>
        <v>0</v>
      </c>
    </row>
    <row r="663">
      <c r="A663" t="inlineStr">
        <is>
          <t>INV-4691-1</t>
        </is>
      </c>
      <c r="B663" t="inlineStr">
        <is>
          <t>INV-4691</t>
        </is>
      </c>
      <c r="C663" s="11" t="n">
        <v>45945</v>
      </c>
      <c r="D663" t="inlineStr">
        <is>
          <t>2025-10</t>
        </is>
      </c>
      <c r="E663" t="inlineStr">
        <is>
          <t>C0033</t>
        </is>
      </c>
      <c r="F663" t="inlineStr">
        <is>
          <t>C0033</t>
        </is>
      </c>
      <c r="G663" t="inlineStr">
        <is>
          <t>Granite Projects Pty Ltd</t>
        </is>
      </c>
      <c r="H663" t="inlineStr">
        <is>
          <t>S0123</t>
        </is>
      </c>
      <c r="I663" t="inlineStr">
        <is>
          <t>Delivery and installation - temporary fencing</t>
        </is>
      </c>
      <c r="J663" t="n">
        <v>1</v>
      </c>
      <c r="K663" s="9" t="n">
        <v>165</v>
      </c>
      <c r="L663" t="inlineStr">
        <is>
          <t>PAID</t>
        </is>
      </c>
      <c r="M663">
        <f>IF(L663="VOIDED",0,1)</f>
        <v>1</v>
      </c>
      <c r="N663" t="n">
        <v>200</v>
      </c>
      <c r="O663" t="inlineStr">
        <is>
          <t>GST on Income</t>
        </is>
      </c>
      <c r="P663" t="inlineStr">
        <is>
          <t>R07</t>
        </is>
      </c>
      <c r="Q663" t="inlineStr">
        <is>
          <t>DEL-FP</t>
        </is>
      </c>
      <c r="R663">
        <f>IF(OR(Q663="CONTEXT",Q663="REVIEW"),"",INDEX('Category Rules'!$D$5:$D$17,MATCH(P663,'Category Rules'!$A$5:$A$17,0)))</f>
        <v>4020</v>
      </c>
      <c r="S663" t="str">
        <f>IF(Q663="CONTEXT","Fencing",IF(Q663="REVIEW","",INDEX('Category Rules'!$E$5:$E$17,MATCH(P663,'Category Rules'!$A$5:$A$17,0))))</f>
        <v>Fencing</v>
      </c>
      <c r="T663" t="str">
        <f>IF(Q663="DEP","BAS Excluded","GST on Income")</f>
        <v>GST on Income</v>
      </c>
      <c r="U663">
        <f>IF(O663=T663,1,0)</f>
        <v>1</v>
      </c>
      <c r="V663" s="9">
        <f>IF(OR(M663=0,U663=1),0,IF(T663="GST on Income",ROUND(K663*0.1,2),ROUND(-K663*0.1,2)))</f>
        <v>0</v>
      </c>
    </row>
    <row r="664">
      <c r="A664" t="inlineStr">
        <is>
          <t>INV-4691-2</t>
        </is>
      </c>
      <c r="B664" t="inlineStr">
        <is>
          <t>INV-4691</t>
        </is>
      </c>
      <c r="C664" s="11" t="n">
        <v>45945</v>
      </c>
      <c r="D664" t="inlineStr">
        <is>
          <t>2025-10</t>
        </is>
      </c>
      <c r="E664" t="inlineStr">
        <is>
          <t>C0033</t>
        </is>
      </c>
      <c r="F664" t="inlineStr">
        <is>
          <t>C0033</t>
        </is>
      </c>
      <c r="G664" t="inlineStr">
        <is>
          <t>Granite Projects Pty Ltd</t>
        </is>
      </c>
      <c r="H664" t="inlineStr">
        <is>
          <t>S0123</t>
        </is>
      </c>
      <c r="I664" t="inlineStr">
        <is>
          <t>Installation labour - 135 panels @ 2.20</t>
        </is>
      </c>
      <c r="J664" t="n">
        <v>135</v>
      </c>
      <c r="K664" s="9" t="n">
        <v>297</v>
      </c>
      <c r="L664" t="inlineStr">
        <is>
          <t>PAID</t>
        </is>
      </c>
      <c r="M664">
        <f>IF(L664="VOIDED",0,1)</f>
        <v>1</v>
      </c>
      <c r="N664" t="n">
        <v>200</v>
      </c>
      <c r="O664" t="inlineStr">
        <is>
          <t>GST on Income</t>
        </is>
      </c>
      <c r="P664" t="inlineStr">
        <is>
          <t>R07</t>
        </is>
      </c>
      <c r="Q664" t="inlineStr">
        <is>
          <t>DEL-FP</t>
        </is>
      </c>
      <c r="R664">
        <f>IF(OR(Q664="CONTEXT",Q664="REVIEW"),"",INDEX('Category Rules'!$D$5:$D$17,MATCH(P664,'Category Rules'!$A$5:$A$17,0)))</f>
        <v>4020</v>
      </c>
      <c r="S664" t="str">
        <f>IF(Q664="CONTEXT","Fencing",IF(Q664="REVIEW","",INDEX('Category Rules'!$E$5:$E$17,MATCH(P664,'Category Rules'!$A$5:$A$17,0))))</f>
        <v>Fencing</v>
      </c>
      <c r="T664" t="str">
        <f>IF(Q664="DEP","BAS Excluded","GST on Income")</f>
        <v>GST on Income</v>
      </c>
      <c r="U664">
        <f>IF(O664=T664,1,0)</f>
        <v>1</v>
      </c>
      <c r="V664" s="9">
        <f>IF(OR(M664=0,U664=1),0,IF(T664="GST on Income",ROUND(K664*0.1,2),ROUND(-K664*0.1,2)))</f>
        <v>0</v>
      </c>
    </row>
    <row r="665">
      <c r="A665" t="inlineStr">
        <is>
          <t>INV-5319-1</t>
        </is>
      </c>
      <c r="B665" t="inlineStr">
        <is>
          <t>INV-5319</t>
        </is>
      </c>
      <c r="C665" s="11" t="n">
        <v>45945</v>
      </c>
      <c r="D665" t="inlineStr">
        <is>
          <t>2025-10</t>
        </is>
      </c>
      <c r="E665" t="inlineStr">
        <is>
          <t>C0102</t>
        </is>
      </c>
      <c r="F665" t="inlineStr">
        <is>
          <t>C0102</t>
        </is>
      </c>
      <c r="G665" t="inlineStr">
        <is>
          <t>Arjun Doyle</t>
        </is>
      </c>
      <c r="H665" t="inlineStr">
        <is>
          <t>S0264</t>
        </is>
      </c>
      <c r="I665" t="inlineStr">
        <is>
          <t>Scaffold erect - 6 tower(s)</t>
        </is>
      </c>
      <c r="J665" t="n">
        <v>6</v>
      </c>
      <c r="K665" s="9" t="n">
        <v>2520</v>
      </c>
      <c r="L665" t="inlineStr">
        <is>
          <t>PAID</t>
        </is>
      </c>
      <c r="M665">
        <f>IF(L665="VOIDED",0,1)</f>
        <v>1</v>
      </c>
      <c r="N665" t="n">
        <v>200</v>
      </c>
      <c r="O665" t="inlineStr">
        <is>
          <t>GST on Income</t>
        </is>
      </c>
      <c r="P665" t="inlineStr">
        <is>
          <t>R08</t>
        </is>
      </c>
      <c r="Q665" t="inlineStr">
        <is>
          <t>LAB-ST</t>
        </is>
      </c>
      <c r="R665">
        <f>IF(OR(Q665="CONTEXT",Q665="REVIEW"),"",INDEX('Category Rules'!$D$5:$D$17,MATCH(P665,'Category Rules'!$A$5:$A$17,0)))</f>
        <v>4020</v>
      </c>
      <c r="S665" t="str">
        <f>IF(Q665="CONTEXT","Scaffolding",IF(Q665="REVIEW","",INDEX('Category Rules'!$E$5:$E$17,MATCH(P665,'Category Rules'!$A$5:$A$17,0))))</f>
        <v>Scaffolding</v>
      </c>
      <c r="T665" t="str">
        <f>IF(Q665="DEP","BAS Excluded","GST on Income")</f>
        <v>GST on Income</v>
      </c>
      <c r="U665">
        <f>IF(O665=T665,1,0)</f>
        <v>1</v>
      </c>
      <c r="V665" s="9">
        <f>IF(OR(M665=0,U665=1),0,IF(T665="GST on Income",ROUND(K665*0.1,2),ROUND(-K665*0.1,2)))</f>
        <v>0</v>
      </c>
    </row>
    <row r="666">
      <c r="A666" t="inlineStr">
        <is>
          <t>INV-4118-1</t>
        </is>
      </c>
      <c r="B666" t="inlineStr">
        <is>
          <t>INV-4118</t>
        </is>
      </c>
      <c r="C666" s="11" t="n">
        <v>45946</v>
      </c>
      <c r="D666" t="inlineStr">
        <is>
          <t>2025-10</t>
        </is>
      </c>
      <c r="E666" t="inlineStr">
        <is>
          <t>C0022</t>
        </is>
      </c>
      <c r="F666" t="inlineStr">
        <is>
          <t>C0022</t>
        </is>
      </c>
      <c r="G666" t="inlineStr">
        <is>
          <t>Highpoint Projects</t>
        </is>
      </c>
      <c r="H666" t="inlineStr">
        <is>
          <t>S0004</t>
        </is>
      </c>
      <c r="I666" t="inlineStr">
        <is>
          <t>Temporary fence hire 4 wks (18/09/25-15/10/25) - 125 panels</t>
        </is>
      </c>
      <c r="J666" t="n">
        <v>500</v>
      </c>
      <c r="K666" s="9" t="n">
        <v>2250</v>
      </c>
      <c r="L666" t="inlineStr">
        <is>
          <t>PAID</t>
        </is>
      </c>
      <c r="M666">
        <f>IF(L666="VOIDED",0,1)</f>
        <v>1</v>
      </c>
      <c r="N666" t="n">
        <v>200</v>
      </c>
      <c r="O666" t="inlineStr">
        <is>
          <t>GST on Income</t>
        </is>
      </c>
      <c r="P666" t="inlineStr">
        <is>
          <t>R03</t>
        </is>
      </c>
      <c r="Q666" t="inlineStr">
        <is>
          <t>HIRE-FP</t>
        </is>
      </c>
      <c r="R666">
        <f>IF(OR(Q666="CONTEXT",Q666="REVIEW"),"",INDEX('Category Rules'!$D$5:$D$17,MATCH(P666,'Category Rules'!$A$5:$A$17,0)))</f>
        <v>4010</v>
      </c>
      <c r="S666" t="str">
        <f>IF(Q666="CONTEXT","Fencing",IF(Q666="REVIEW","",INDEX('Category Rules'!$E$5:$E$17,MATCH(P666,'Category Rules'!$A$5:$A$17,0))))</f>
        <v>Fencing</v>
      </c>
      <c r="T666" t="str">
        <f>IF(Q666="DEP","BAS Excluded","GST on Income")</f>
        <v>GST on Income</v>
      </c>
      <c r="U666">
        <f>IF(O666=T666,1,0)</f>
        <v>1</v>
      </c>
      <c r="V666" s="9">
        <f>IF(OR(M666=0,U666=1),0,IF(T666="GST on Income",ROUND(K666*0.1,2),ROUND(-K666*0.1,2)))</f>
        <v>0</v>
      </c>
    </row>
    <row r="667">
      <c r="A667" t="inlineStr">
        <is>
          <t>INV-4350-1</t>
        </is>
      </c>
      <c r="B667" t="inlineStr">
        <is>
          <t>INV-4350</t>
        </is>
      </c>
      <c r="C667" s="11" t="n">
        <v>45946</v>
      </c>
      <c r="D667" t="inlineStr">
        <is>
          <t>2025-10</t>
        </is>
      </c>
      <c r="E667" t="inlineStr">
        <is>
          <t>C0144</t>
        </is>
      </c>
      <c r="F667" t="inlineStr">
        <is>
          <t>C0001</t>
        </is>
      </c>
      <c r="G667" t="inlineStr">
        <is>
          <t>Parkview Projects Pty Ltd</t>
        </is>
      </c>
      <c r="H667" t="inlineStr">
        <is>
          <t>S0053</t>
        </is>
      </c>
      <c r="I667" t="inlineStr">
        <is>
          <t>Temporary fence hire 4 wks (18/09/25-15/10/25) - 143 panels</t>
        </is>
      </c>
      <c r="J667" t="n">
        <v>572</v>
      </c>
      <c r="K667" s="9" t="n">
        <v>2574</v>
      </c>
      <c r="L667" t="inlineStr">
        <is>
          <t>PAID</t>
        </is>
      </c>
      <c r="M667">
        <f>IF(L667="VOIDED",0,1)</f>
        <v>1</v>
      </c>
      <c r="N667" t="n">
        <v>200</v>
      </c>
      <c r="O667" t="inlineStr">
        <is>
          <t>GST on Income</t>
        </is>
      </c>
      <c r="P667" t="inlineStr">
        <is>
          <t>R03</t>
        </is>
      </c>
      <c r="Q667" t="inlineStr">
        <is>
          <t>HIRE-FP</t>
        </is>
      </c>
      <c r="R667">
        <f>IF(OR(Q667="CONTEXT",Q667="REVIEW"),"",INDEX('Category Rules'!$D$5:$D$17,MATCH(P667,'Category Rules'!$A$5:$A$17,0)))</f>
        <v>4010</v>
      </c>
      <c r="S667" t="str">
        <f>IF(Q667="CONTEXT","Fencing",IF(Q667="REVIEW","",INDEX('Category Rules'!$E$5:$E$17,MATCH(P667,'Category Rules'!$A$5:$A$17,0))))</f>
        <v>Fencing</v>
      </c>
      <c r="T667" t="str">
        <f>IF(Q667="DEP","BAS Excluded","GST on Income")</f>
        <v>GST on Income</v>
      </c>
      <c r="U667">
        <f>IF(O667=T667,1,0)</f>
        <v>1</v>
      </c>
      <c r="V667" s="9">
        <f>IF(OR(M667=0,U667=1),0,IF(T667="GST on Income",ROUND(K667*0.1,2),ROUND(-K667*0.1,2)))</f>
        <v>0</v>
      </c>
    </row>
    <row r="668">
      <c r="A668" t="inlineStr">
        <is>
          <t>INV-5248-1</t>
        </is>
      </c>
      <c r="B668" t="inlineStr">
        <is>
          <t>INV-5248</t>
        </is>
      </c>
      <c r="C668" s="11" t="n">
        <v>45946</v>
      </c>
      <c r="D668" t="inlineStr">
        <is>
          <t>2025-10</t>
        </is>
      </c>
      <c r="E668" t="inlineStr">
        <is>
          <t>C0124</t>
        </is>
      </c>
      <c r="F668" t="inlineStr">
        <is>
          <t>C0124</t>
        </is>
      </c>
      <c r="G668" t="inlineStr">
        <is>
          <t>Harbor Strata Management</t>
        </is>
      </c>
      <c r="H668" t="inlineStr">
        <is>
          <t>S0247</t>
        </is>
      </c>
      <c r="I668" t="inlineStr">
        <is>
          <t>Scaffold tower hire 4 wks (18/09/25-15/10/25) - 2 towers</t>
        </is>
      </c>
      <c r="J668" t="n">
        <v>8</v>
      </c>
      <c r="K668" s="9" t="n">
        <v>760</v>
      </c>
      <c r="L668" t="inlineStr">
        <is>
          <t>PAID</t>
        </is>
      </c>
      <c r="M668">
        <f>IF(L668="VOIDED",0,1)</f>
        <v>1</v>
      </c>
      <c r="N668" t="n">
        <v>200</v>
      </c>
      <c r="O668" t="inlineStr">
        <is>
          <t>GST on Income</t>
        </is>
      </c>
      <c r="P668" t="inlineStr">
        <is>
          <t>R05</t>
        </is>
      </c>
      <c r="Q668" t="inlineStr">
        <is>
          <t>HIRE-ST</t>
        </is>
      </c>
      <c r="R668">
        <f>IF(OR(Q668="CONTEXT",Q668="REVIEW"),"",INDEX('Category Rules'!$D$5:$D$17,MATCH(P668,'Category Rules'!$A$5:$A$17,0)))</f>
        <v>4010</v>
      </c>
      <c r="S668" t="str">
        <f>IF(Q668="CONTEXT","Scaffolding",IF(Q668="REVIEW","",INDEX('Category Rules'!$E$5:$E$17,MATCH(P668,'Category Rules'!$A$5:$A$17,0))))</f>
        <v>Scaffolding</v>
      </c>
      <c r="T668" t="str">
        <f>IF(Q668="DEP","BAS Excluded","GST on Income")</f>
        <v>GST on Income</v>
      </c>
      <c r="U668">
        <f>IF(O668=T668,1,0)</f>
        <v>1</v>
      </c>
      <c r="V668" s="9">
        <f>IF(OR(M668=0,U668=1),0,IF(T668="GST on Income",ROUND(K668*0.1,2),ROUND(-K668*0.1,2)))</f>
        <v>0</v>
      </c>
    </row>
    <row r="669">
      <c r="A669" t="inlineStr">
        <is>
          <t>INV-5532-1</t>
        </is>
      </c>
      <c r="B669" t="inlineStr">
        <is>
          <t>INV-5532</t>
        </is>
      </c>
      <c r="C669" s="11" t="n">
        <v>45946</v>
      </c>
      <c r="D669" t="inlineStr">
        <is>
          <t>2025-10</t>
        </is>
      </c>
      <c r="E669" t="inlineStr">
        <is>
          <t>C0001</t>
        </is>
      </c>
      <c r="F669" t="inlineStr">
        <is>
          <t>C0001</t>
        </is>
      </c>
      <c r="G669" t="inlineStr">
        <is>
          <t>Parkview Projects Pty Ltd</t>
        </is>
      </c>
      <c r="H669" t="inlineStr">
        <is>
          <t>S0340</t>
        </is>
      </c>
      <c r="I669" t="inlineStr">
        <is>
          <t>Emergency make safe call-out - after hours</t>
        </is>
      </c>
      <c r="J669" t="n">
        <v>1</v>
      </c>
      <c r="K669" s="9" t="n">
        <v>560</v>
      </c>
      <c r="L669" t="inlineStr">
        <is>
          <t>PAID</t>
        </is>
      </c>
      <c r="M669">
        <f>IF(L669="VOIDED",0,1)</f>
        <v>1</v>
      </c>
      <c r="N669" t="n">
        <v>200</v>
      </c>
      <c r="O669" t="inlineStr">
        <is>
          <t>GST on Income</t>
        </is>
      </c>
      <c r="P669" t="inlineStr">
        <is>
          <t>R09</t>
        </is>
      </c>
      <c r="Q669" t="inlineStr">
        <is>
          <t>MS</t>
        </is>
      </c>
      <c r="R669">
        <f>IF(OR(Q669="CONTEXT",Q669="REVIEW"),"",INDEX('Category Rules'!$D$5:$D$17,MATCH(P669,'Category Rules'!$A$5:$A$17,0)))</f>
        <v>4020</v>
      </c>
      <c r="S669" t="str">
        <f>IF(Q669="CONTEXT","Make-safe",IF(Q669="REVIEW","",INDEX('Category Rules'!$E$5:$E$17,MATCH(P669,'Category Rules'!$A$5:$A$17,0))))</f>
        <v>Make-safe</v>
      </c>
      <c r="T669" t="str">
        <f>IF(Q669="DEP","BAS Excluded","GST on Income")</f>
        <v>GST on Income</v>
      </c>
      <c r="U669">
        <f>IF(O669=T669,1,0)</f>
        <v>1</v>
      </c>
      <c r="V669" s="9">
        <f>IF(OR(M669=0,U669=1),0,IF(T669="GST on Income",ROUND(K669*0.1,2),ROUND(-K669*0.1,2)))</f>
        <v>0</v>
      </c>
    </row>
    <row r="670">
      <c r="A670" t="inlineStr">
        <is>
          <t>INV-5532-2</t>
        </is>
      </c>
      <c r="B670" t="inlineStr">
        <is>
          <t>INV-5532</t>
        </is>
      </c>
      <c r="C670" s="11" t="n">
        <v>45946</v>
      </c>
      <c r="D670" t="inlineStr">
        <is>
          <t>2025-10</t>
        </is>
      </c>
      <c r="E670" t="inlineStr">
        <is>
          <t>C0001</t>
        </is>
      </c>
      <c r="F670" t="inlineStr">
        <is>
          <t>C0001</t>
        </is>
      </c>
      <c r="G670" t="inlineStr">
        <is>
          <t>Parkview Projects Pty Ltd</t>
        </is>
      </c>
      <c r="H670" t="inlineStr">
        <is>
          <t>S0340</t>
        </is>
      </c>
      <c r="I670" t="inlineStr">
        <is>
          <t>Tarp supply and install - 3 tarp(s)</t>
        </is>
      </c>
      <c r="J670" t="n">
        <v>3</v>
      </c>
      <c r="K670" s="9" t="n">
        <v>720</v>
      </c>
      <c r="L670" t="inlineStr">
        <is>
          <t>PAID</t>
        </is>
      </c>
      <c r="M670">
        <f>IF(L670="VOIDED",0,1)</f>
        <v>1</v>
      </c>
      <c r="N670" t="n">
        <v>200</v>
      </c>
      <c r="O670" t="inlineStr">
        <is>
          <t>GST on Income</t>
        </is>
      </c>
      <c r="P670" t="inlineStr">
        <is>
          <t>R09</t>
        </is>
      </c>
      <c r="Q670" t="inlineStr">
        <is>
          <t>MS</t>
        </is>
      </c>
      <c r="R670">
        <f>IF(OR(Q670="CONTEXT",Q670="REVIEW"),"",INDEX('Category Rules'!$D$5:$D$17,MATCH(P670,'Category Rules'!$A$5:$A$17,0)))</f>
        <v>4020</v>
      </c>
      <c r="S670" t="str">
        <f>IF(Q670="CONTEXT","Make-safe",IF(Q670="REVIEW","",INDEX('Category Rules'!$E$5:$E$17,MATCH(P670,'Category Rules'!$A$5:$A$17,0))))</f>
        <v>Make-safe</v>
      </c>
      <c r="T670" t="str">
        <f>IF(Q670="DEP","BAS Excluded","GST on Income")</f>
        <v>GST on Income</v>
      </c>
      <c r="U670">
        <f>IF(O670=T670,1,0)</f>
        <v>1</v>
      </c>
      <c r="V670" s="9">
        <f>IF(OR(M670=0,U670=1),0,IF(T670="GST on Income",ROUND(K670*0.1,2),ROUND(-K670*0.1,2)))</f>
        <v>0</v>
      </c>
    </row>
    <row r="671">
      <c r="A671" t="inlineStr">
        <is>
          <t>INV-5561-1</t>
        </is>
      </c>
      <c r="B671" t="inlineStr">
        <is>
          <t>INV-5561</t>
        </is>
      </c>
      <c r="C671" s="11" t="n">
        <v>45946</v>
      </c>
      <c r="D671" t="inlineStr">
        <is>
          <t>2025-10</t>
        </is>
      </c>
      <c r="E671" t="inlineStr">
        <is>
          <t>C0105</t>
        </is>
      </c>
      <c r="F671" t="inlineStr">
        <is>
          <t>C0105</t>
        </is>
      </c>
      <c r="G671" t="inlineStr">
        <is>
          <t>Priya Walker</t>
        </is>
      </c>
      <c r="H671" t="inlineStr">
        <is>
          <t>S0358</t>
        </is>
      </c>
      <c r="I671" t="inlineStr">
        <is>
          <t>Make safe call-out</t>
        </is>
      </c>
      <c r="J671" t="n">
        <v>1</v>
      </c>
      <c r="K671" s="9" t="n">
        <v>385</v>
      </c>
      <c r="L671" t="inlineStr">
        <is>
          <t>PAID</t>
        </is>
      </c>
      <c r="M671">
        <f>IF(L671="VOIDED",0,1)</f>
        <v>1</v>
      </c>
      <c r="N671" t="n">
        <v>200</v>
      </c>
      <c r="O671" t="inlineStr">
        <is>
          <t>GST on Income</t>
        </is>
      </c>
      <c r="P671" t="inlineStr">
        <is>
          <t>R09</t>
        </is>
      </c>
      <c r="Q671" t="inlineStr">
        <is>
          <t>MS</t>
        </is>
      </c>
      <c r="R671">
        <f>IF(OR(Q671="CONTEXT",Q671="REVIEW"),"",INDEX('Category Rules'!$D$5:$D$17,MATCH(P671,'Category Rules'!$A$5:$A$17,0)))</f>
        <v>4020</v>
      </c>
      <c r="S671" t="str">
        <f>IF(Q671="CONTEXT","Make-safe",IF(Q671="REVIEW","",INDEX('Category Rules'!$E$5:$E$17,MATCH(P671,'Category Rules'!$A$5:$A$17,0))))</f>
        <v>Make-safe</v>
      </c>
      <c r="T671" t="str">
        <f>IF(Q671="DEP","BAS Excluded","GST on Income")</f>
        <v>GST on Income</v>
      </c>
      <c r="U671">
        <f>IF(O671=T671,1,0)</f>
        <v>1</v>
      </c>
      <c r="V671" s="9">
        <f>IF(OR(M671=0,U671=1),0,IF(T671="GST on Income",ROUND(K671*0.1,2),ROUND(-K671*0.1,2)))</f>
        <v>0</v>
      </c>
    </row>
    <row r="672">
      <c r="A672" t="inlineStr">
        <is>
          <t>INV-5921-1</t>
        </is>
      </c>
      <c r="B672" t="inlineStr">
        <is>
          <t>INV-5921</t>
        </is>
      </c>
      <c r="C672" s="11" t="n">
        <v>45946</v>
      </c>
      <c r="D672" t="inlineStr">
        <is>
          <t>2025-10</t>
        </is>
      </c>
      <c r="E672" t="inlineStr">
        <is>
          <t>C0042</t>
        </is>
      </c>
      <c r="F672" t="inlineStr">
        <is>
          <t>C0042</t>
        </is>
      </c>
      <c r="G672" t="inlineStr">
        <is>
          <t>Lakeside Constructions Pty Ltd</t>
        </is>
      </c>
      <c r="H672" t="inlineStr">
        <is>
          <t>S0029</t>
        </is>
      </c>
      <c r="I672" t="inlineStr">
        <is>
          <t>Fence and make safe package - Job 2009</t>
        </is>
      </c>
      <c r="J672" t="n">
        <v>1</v>
      </c>
      <c r="K672" s="9" t="n">
        <v>2431.94</v>
      </c>
      <c r="L672" t="inlineStr">
        <is>
          <t>PAID</t>
        </is>
      </c>
      <c r="M672">
        <f>IF(L672="VOIDED",0,1)</f>
        <v>1</v>
      </c>
      <c r="N672" t="n">
        <v>200</v>
      </c>
      <c r="O672" t="inlineStr">
        <is>
          <t>GST on Income</t>
        </is>
      </c>
      <c r="P672" t="inlineStr">
        <is>
          <t>R00</t>
        </is>
      </c>
      <c r="Q672" t="inlineStr">
        <is>
          <t>CONTEXT</t>
        </is>
      </c>
      <c r="R672">
        <f>IF(OR(Q672="CONTEXT",Q672="REVIEW"),"",INDEX('Category Rules'!$D$5:$D$17,MATCH(P672,'Category Rules'!$A$5:$A$17,0)))</f>
      </c>
      <c r="S672" t="str">
        <f>IF(Q672="CONTEXT","Fencing",IF(Q672="REVIEW","",INDEX('Category Rules'!$E$5:$E$17,MATCH(P672,'Category Rules'!$A$5:$A$17,0))))</f>
        <v>Fencing</v>
      </c>
      <c r="T672" t="str">
        <f>IF(Q672="DEP","BAS Excluded","GST on Income")</f>
        <v>GST on Income</v>
      </c>
      <c r="U672">
        <f>IF(O672=T672,1,0)</f>
        <v>1</v>
      </c>
      <c r="V672" s="9">
        <f>IF(OR(M672=0,U672=1),0,IF(T672="GST on Income",ROUND(K672*0.1,2),ROUND(-K672*0.1,2)))</f>
        <v>0</v>
      </c>
    </row>
    <row r="673">
      <c r="A673" t="inlineStr">
        <is>
          <t>INV-4120-1</t>
        </is>
      </c>
      <c r="B673" t="inlineStr">
        <is>
          <t>INV-4120</t>
        </is>
      </c>
      <c r="C673" s="11" t="n">
        <v>45947</v>
      </c>
      <c r="D673" t="inlineStr">
        <is>
          <t>2025-10</t>
        </is>
      </c>
      <c r="E673" t="inlineStr">
        <is>
          <t>C0022</t>
        </is>
      </c>
      <c r="F673" t="inlineStr">
        <is>
          <t>C0022</t>
        </is>
      </c>
      <c r="G673" t="inlineStr">
        <is>
          <t>Highpoint Projects</t>
        </is>
      </c>
      <c r="H673" t="inlineStr">
        <is>
          <t>S0004</t>
        </is>
      </c>
      <c r="I673" t="inlineStr">
        <is>
          <t>Collection and dismantle - temporary fencing</t>
        </is>
      </c>
      <c r="J673" t="n">
        <v>1</v>
      </c>
      <c r="K673" s="9" t="n">
        <v>165</v>
      </c>
      <c r="L673" t="inlineStr">
        <is>
          <t>PAID</t>
        </is>
      </c>
      <c r="M673">
        <f>IF(L673="VOIDED",0,1)</f>
        <v>1</v>
      </c>
      <c r="N673" t="n">
        <v>200</v>
      </c>
      <c r="O673" t="inlineStr">
        <is>
          <t>GST on Income</t>
        </is>
      </c>
      <c r="P673" t="inlineStr">
        <is>
          <t>R07</t>
        </is>
      </c>
      <c r="Q673" t="inlineStr">
        <is>
          <t>DEL-FP</t>
        </is>
      </c>
      <c r="R673">
        <f>IF(OR(Q673="CONTEXT",Q673="REVIEW"),"",INDEX('Category Rules'!$D$5:$D$17,MATCH(P673,'Category Rules'!$A$5:$A$17,0)))</f>
        <v>4020</v>
      </c>
      <c r="S673" t="str">
        <f>IF(Q673="CONTEXT","Fencing",IF(Q673="REVIEW","",INDEX('Category Rules'!$E$5:$E$17,MATCH(P673,'Category Rules'!$A$5:$A$17,0))))</f>
        <v>Fencing</v>
      </c>
      <c r="T673" t="str">
        <f>IF(Q673="DEP","BAS Excluded","GST on Income")</f>
        <v>GST on Income</v>
      </c>
      <c r="U673">
        <f>IF(O673=T673,1,0)</f>
        <v>1</v>
      </c>
      <c r="V673" s="9">
        <f>IF(OR(M673=0,U673=1),0,IF(T673="GST on Income",ROUND(K673*0.1,2),ROUND(-K673*0.1,2)))</f>
        <v>0</v>
      </c>
    </row>
    <row r="674">
      <c r="A674" t="inlineStr">
        <is>
          <t>INV-4328-1</t>
        </is>
      </c>
      <c r="B674" t="inlineStr">
        <is>
          <t>INV-4328</t>
        </is>
      </c>
      <c r="C674" s="11" t="n">
        <v>45947</v>
      </c>
      <c r="D674" t="inlineStr">
        <is>
          <t>2025-10</t>
        </is>
      </c>
      <c r="E674" t="inlineStr">
        <is>
          <t>C0042</t>
        </is>
      </c>
      <c r="F674" t="inlineStr">
        <is>
          <t>C0042</t>
        </is>
      </c>
      <c r="G674" t="inlineStr">
        <is>
          <t>Lakeside Constructions Pty Ltd</t>
        </is>
      </c>
      <c r="H674" t="inlineStr">
        <is>
          <t>S0049</t>
        </is>
      </c>
      <c r="I674" t="inlineStr">
        <is>
          <t>Temporary fence hire 4 wks (19/09/25-16/10/25) - 27 panels</t>
        </is>
      </c>
      <c r="J674" t="n">
        <v>108</v>
      </c>
      <c r="K674" s="9" t="n">
        <v>486</v>
      </c>
      <c r="L674" t="inlineStr">
        <is>
          <t>PAID</t>
        </is>
      </c>
      <c r="M674">
        <f>IF(L674="VOIDED",0,1)</f>
        <v>1</v>
      </c>
      <c r="N674" t="n">
        <v>200</v>
      </c>
      <c r="O674" t="inlineStr">
        <is>
          <t>GST on Income</t>
        </is>
      </c>
      <c r="P674" t="inlineStr">
        <is>
          <t>R03</t>
        </is>
      </c>
      <c r="Q674" t="inlineStr">
        <is>
          <t>HIRE-FP</t>
        </is>
      </c>
      <c r="R674">
        <f>IF(OR(Q674="CONTEXT",Q674="REVIEW"),"",INDEX('Category Rules'!$D$5:$D$17,MATCH(P674,'Category Rules'!$A$5:$A$17,0)))</f>
        <v>4010</v>
      </c>
      <c r="S674" t="str">
        <f>IF(Q674="CONTEXT","Fencing",IF(Q674="REVIEW","",INDEX('Category Rules'!$E$5:$E$17,MATCH(P674,'Category Rules'!$A$5:$A$17,0))))</f>
        <v>Fencing</v>
      </c>
      <c r="T674" t="str">
        <f>IF(Q674="DEP","BAS Excluded","GST on Income")</f>
        <v>GST on Income</v>
      </c>
      <c r="U674">
        <f>IF(O674=T674,1,0)</f>
        <v>1</v>
      </c>
      <c r="V674" s="9">
        <f>IF(OR(M674=0,U674=1),0,IF(T674="GST on Income",ROUND(K674*0.1,2),ROUND(-K674*0.1,2)))</f>
        <v>0</v>
      </c>
    </row>
    <row r="675">
      <c r="A675" t="inlineStr">
        <is>
          <t>INV-5398-1</t>
        </is>
      </c>
      <c r="B675" t="inlineStr">
        <is>
          <t>INV-5398</t>
        </is>
      </c>
      <c r="C675" s="11" t="n">
        <v>45947</v>
      </c>
      <c r="D675" t="inlineStr">
        <is>
          <t>2025-10</t>
        </is>
      </c>
      <c r="E675" t="inlineStr">
        <is>
          <t>C0005</t>
        </is>
      </c>
      <c r="F675" t="inlineStr">
        <is>
          <t>C0005</t>
        </is>
      </c>
      <c r="G675" t="inlineStr">
        <is>
          <t>Fairway Developments</t>
        </is>
      </c>
      <c r="H675" t="inlineStr">
        <is>
          <t>S0282</t>
        </is>
      </c>
      <c r="I675" t="inlineStr">
        <is>
          <t>Scaffold erect - 1 tower(s)</t>
        </is>
      </c>
      <c r="J675" t="n">
        <v>1</v>
      </c>
      <c r="K675" s="9" t="n">
        <v>420</v>
      </c>
      <c r="L675" t="inlineStr">
        <is>
          <t>PAID</t>
        </is>
      </c>
      <c r="M675">
        <f>IF(L675="VOIDED",0,1)</f>
        <v>1</v>
      </c>
      <c r="N675" t="n">
        <v>200</v>
      </c>
      <c r="O675" t="inlineStr">
        <is>
          <t>GST on Income</t>
        </is>
      </c>
      <c r="P675" t="inlineStr">
        <is>
          <t>R08</t>
        </is>
      </c>
      <c r="Q675" t="inlineStr">
        <is>
          <t>LAB-ST</t>
        </is>
      </c>
      <c r="R675">
        <f>IF(OR(Q675="CONTEXT",Q675="REVIEW"),"",INDEX('Category Rules'!$D$5:$D$17,MATCH(P675,'Category Rules'!$A$5:$A$17,0)))</f>
        <v>4020</v>
      </c>
      <c r="S675" t="str">
        <f>IF(Q675="CONTEXT","Scaffolding",IF(Q675="REVIEW","",INDEX('Category Rules'!$E$5:$E$17,MATCH(P675,'Category Rules'!$A$5:$A$17,0))))</f>
        <v>Scaffolding</v>
      </c>
      <c r="T675" t="str">
        <f>IF(Q675="DEP","BAS Excluded","GST on Income")</f>
        <v>GST on Income</v>
      </c>
      <c r="U675">
        <f>IF(O675=T675,1,0)</f>
        <v>1</v>
      </c>
      <c r="V675" s="9">
        <f>IF(OR(M675=0,U675=1),0,IF(T675="GST on Income",ROUND(K675*0.1,2),ROUND(-K675*0.1,2)))</f>
        <v>0</v>
      </c>
    </row>
    <row r="676">
      <c r="A676" t="inlineStr">
        <is>
          <t>INV-5448-1</t>
        </is>
      </c>
      <c r="B676" t="inlineStr">
        <is>
          <t>INV-5448</t>
        </is>
      </c>
      <c r="C676" s="11" t="n">
        <v>45947</v>
      </c>
      <c r="D676" t="inlineStr">
        <is>
          <t>2025-10</t>
        </is>
      </c>
      <c r="E676" t="inlineStr">
        <is>
          <t>C0098</t>
        </is>
      </c>
      <c r="F676" t="inlineStr">
        <is>
          <t>C0098</t>
        </is>
      </c>
      <c r="G676" t="inlineStr">
        <is>
          <t>Ethan Walker</t>
        </is>
      </c>
      <c r="H676" t="inlineStr">
        <is>
          <t>S0297</t>
        </is>
      </c>
      <c r="I676" t="inlineStr">
        <is>
          <t>Tarp kit hire 2 wks (09/10/25-16/10/25) - 3 kits</t>
        </is>
      </c>
      <c r="J676" t="n">
        <v>6</v>
      </c>
      <c r="K676" s="9" t="n">
        <v>210</v>
      </c>
      <c r="L676" t="inlineStr">
        <is>
          <t>PAID</t>
        </is>
      </c>
      <c r="M676">
        <f>IF(L676="VOIDED",0,1)</f>
        <v>1</v>
      </c>
      <c r="N676" t="n">
        <v>200</v>
      </c>
      <c r="O676" t="inlineStr">
        <is>
          <t>GST on Income</t>
        </is>
      </c>
      <c r="P676" t="inlineStr">
        <is>
          <t>R06</t>
        </is>
      </c>
      <c r="Q676" t="inlineStr">
        <is>
          <t>HIRE-TK</t>
        </is>
      </c>
      <c r="R676">
        <f>IF(OR(Q676="CONTEXT",Q676="REVIEW"),"",INDEX('Category Rules'!$D$5:$D$17,MATCH(P676,'Category Rules'!$A$5:$A$17,0)))</f>
        <v>4010</v>
      </c>
      <c r="S676" t="str">
        <f>IF(Q676="CONTEXT","Make-safe",IF(Q676="REVIEW","",INDEX('Category Rules'!$E$5:$E$17,MATCH(P676,'Category Rules'!$A$5:$A$17,0))))</f>
        <v>Make-safe</v>
      </c>
      <c r="T676" t="str">
        <f>IF(Q676="DEP","BAS Excluded","GST on Income")</f>
        <v>GST on Income</v>
      </c>
      <c r="U676">
        <f>IF(O676=T676,1,0)</f>
        <v>1</v>
      </c>
      <c r="V676" s="9">
        <f>IF(OR(M676=0,U676=1),0,IF(T676="GST on Income",ROUND(K676*0.1,2),ROUND(-K676*0.1,2)))</f>
        <v>0</v>
      </c>
    </row>
    <row r="677">
      <c r="A677" t="inlineStr">
        <is>
          <t>INV-5475-1</t>
        </is>
      </c>
      <c r="B677" t="inlineStr">
        <is>
          <t>INV-5475</t>
        </is>
      </c>
      <c r="C677" s="11" t="n">
        <v>45947</v>
      </c>
      <c r="D677" t="inlineStr">
        <is>
          <t>2025-10</t>
        </is>
      </c>
      <c r="E677" t="inlineStr">
        <is>
          <t>C0023</t>
        </is>
      </c>
      <c r="F677" t="inlineStr">
        <is>
          <t>C0023</t>
        </is>
      </c>
      <c r="G677" t="inlineStr">
        <is>
          <t>Ashford Constructions Pty Ltd</t>
        </is>
      </c>
      <c r="H677" t="inlineStr">
        <is>
          <t>S0311</t>
        </is>
      </c>
      <c r="I677" t="inlineStr">
        <is>
          <t>Roof repair labour - 16 hrs</t>
        </is>
      </c>
      <c r="J677" t="n">
        <v>16</v>
      </c>
      <c r="K677" s="9" t="n">
        <v>1568</v>
      </c>
      <c r="L677" t="inlineStr">
        <is>
          <t>PAID</t>
        </is>
      </c>
      <c r="M677">
        <f>IF(L677="VOIDED",0,1)</f>
        <v>1</v>
      </c>
      <c r="N677" t="n">
        <v>260</v>
      </c>
      <c r="O677" t="inlineStr">
        <is>
          <t>GST on Income</t>
        </is>
      </c>
      <c r="P677" t="inlineStr">
        <is>
          <t>R10</t>
        </is>
      </c>
      <c r="Q677" t="inlineStr">
        <is>
          <t>LAB-RF</t>
        </is>
      </c>
      <c r="R677">
        <f>IF(OR(Q677="CONTEXT",Q677="REVIEW"),"",INDEX('Category Rules'!$D$5:$D$17,MATCH(P677,'Category Rules'!$A$5:$A$17,0)))</f>
        <v>4020</v>
      </c>
      <c r="S677" t="str">
        <f>IF(Q677="CONTEXT","Roofing",IF(Q677="REVIEW","",INDEX('Category Rules'!$E$5:$E$17,MATCH(P677,'Category Rules'!$A$5:$A$17,0))))</f>
        <v>Roofing</v>
      </c>
      <c r="T677" t="str">
        <f>IF(Q677="DEP","BAS Excluded","GST on Income")</f>
        <v>GST on Income</v>
      </c>
      <c r="U677">
        <f>IF(O677=T677,1,0)</f>
        <v>1</v>
      </c>
      <c r="V677" s="9">
        <f>IF(OR(M677=0,U677=1),0,IF(T677="GST on Income",ROUND(K677*0.1,2),ROUND(-K677*0.1,2)))</f>
        <v>0</v>
      </c>
    </row>
    <row r="678">
      <c r="A678" t="inlineStr">
        <is>
          <t>INV-5475-2</t>
        </is>
      </c>
      <c r="B678" t="inlineStr">
        <is>
          <t>INV-5475</t>
        </is>
      </c>
      <c r="C678" s="11" t="n">
        <v>45947</v>
      </c>
      <c r="D678" t="inlineStr">
        <is>
          <t>2025-10</t>
        </is>
      </c>
      <c r="E678" t="inlineStr">
        <is>
          <t>C0023</t>
        </is>
      </c>
      <c r="F678" t="inlineStr">
        <is>
          <t>C0023</t>
        </is>
      </c>
      <c r="G678" t="inlineStr">
        <is>
          <t>Ashford Constructions Pty Ltd</t>
        </is>
      </c>
      <c r="H678" t="inlineStr">
        <is>
          <t>S0311</t>
        </is>
      </c>
      <c r="I678" t="inlineStr">
        <is>
          <t>Materials - gutter and downpipe</t>
        </is>
      </c>
      <c r="J678" t="n">
        <v>1</v>
      </c>
      <c r="K678" s="9" t="n">
        <v>155.49</v>
      </c>
      <c r="L678" t="inlineStr">
        <is>
          <t>PAID</t>
        </is>
      </c>
      <c r="M678">
        <f>IF(L678="VOIDED",0,1)</f>
        <v>1</v>
      </c>
      <c r="N678" t="n">
        <v>200</v>
      </c>
      <c r="O678" t="inlineStr">
        <is>
          <t>GST on Income</t>
        </is>
      </c>
      <c r="P678" t="inlineStr">
        <is>
          <t>R11</t>
        </is>
      </c>
      <c r="Q678" t="inlineStr">
        <is>
          <t>MAT-RF</t>
        </is>
      </c>
      <c r="R678">
        <f>IF(OR(Q678="CONTEXT",Q678="REVIEW"),"",INDEX('Category Rules'!$D$5:$D$17,MATCH(P678,'Category Rules'!$A$5:$A$17,0)))</f>
        <v>4030</v>
      </c>
      <c r="S678" t="str">
        <f>IF(Q678="CONTEXT","Roofing",IF(Q678="REVIEW","",INDEX('Category Rules'!$E$5:$E$17,MATCH(P678,'Category Rules'!$A$5:$A$17,0))))</f>
        <v>Roofing</v>
      </c>
      <c r="T678" t="str">
        <f>IF(Q678="DEP","BAS Excluded","GST on Income")</f>
        <v>GST on Income</v>
      </c>
      <c r="U678">
        <f>IF(O678=T678,1,0)</f>
        <v>1</v>
      </c>
      <c r="V678" s="9">
        <f>IF(OR(M678=0,U678=1),0,IF(T678="GST on Income",ROUND(K678*0.1,2),ROUND(-K678*0.1,2)))</f>
        <v>0</v>
      </c>
    </row>
    <row r="679">
      <c r="A679" t="inlineStr">
        <is>
          <t>INV-5475-3</t>
        </is>
      </c>
      <c r="B679" t="inlineStr">
        <is>
          <t>INV-5475</t>
        </is>
      </c>
      <c r="C679" s="11" t="n">
        <v>45947</v>
      </c>
      <c r="D679" t="inlineStr">
        <is>
          <t>2025-10</t>
        </is>
      </c>
      <c r="E679" t="inlineStr">
        <is>
          <t>C0023</t>
        </is>
      </c>
      <c r="F679" t="inlineStr">
        <is>
          <t>C0023</t>
        </is>
      </c>
      <c r="G679" t="inlineStr">
        <is>
          <t>Ashford Constructions Pty Ltd</t>
        </is>
      </c>
      <c r="H679" t="inlineStr">
        <is>
          <t>S0311</t>
        </is>
      </c>
      <c r="I679" t="inlineStr">
        <is>
          <t>Materials - Colorbond sheet</t>
        </is>
      </c>
      <c r="J679" t="n">
        <v>1</v>
      </c>
      <c r="K679" s="9" t="n">
        <v>301</v>
      </c>
      <c r="L679" t="inlineStr">
        <is>
          <t>PAID</t>
        </is>
      </c>
      <c r="M679">
        <f>IF(L679="VOIDED",0,1)</f>
        <v>1</v>
      </c>
      <c r="N679" t="n">
        <v>200</v>
      </c>
      <c r="O679" t="inlineStr">
        <is>
          <t>GST on Income</t>
        </is>
      </c>
      <c r="P679" t="inlineStr">
        <is>
          <t>R11</t>
        </is>
      </c>
      <c r="Q679" t="inlineStr">
        <is>
          <t>MAT-RF</t>
        </is>
      </c>
      <c r="R679">
        <f>IF(OR(Q679="CONTEXT",Q679="REVIEW"),"",INDEX('Category Rules'!$D$5:$D$17,MATCH(P679,'Category Rules'!$A$5:$A$17,0)))</f>
        <v>4030</v>
      </c>
      <c r="S679" t="str">
        <f>IF(Q679="CONTEXT","Roofing",IF(Q679="REVIEW","",INDEX('Category Rules'!$E$5:$E$17,MATCH(P679,'Category Rules'!$A$5:$A$17,0))))</f>
        <v>Roofing</v>
      </c>
      <c r="T679" t="str">
        <f>IF(Q679="DEP","BAS Excluded","GST on Income")</f>
        <v>GST on Income</v>
      </c>
      <c r="U679">
        <f>IF(O679=T679,1,0)</f>
        <v>1</v>
      </c>
      <c r="V679" s="9">
        <f>IF(OR(M679=0,U679=1),0,IF(T679="GST on Income",ROUND(K679*0.1,2),ROUND(-K679*0.1,2)))</f>
        <v>0</v>
      </c>
    </row>
    <row r="680">
      <c r="A680" t="inlineStr">
        <is>
          <t>INV-5475-4</t>
        </is>
      </c>
      <c r="B680" t="inlineStr">
        <is>
          <t>INV-5475</t>
        </is>
      </c>
      <c r="C680" s="11" t="n">
        <v>45947</v>
      </c>
      <c r="D680" t="inlineStr">
        <is>
          <t>2025-10</t>
        </is>
      </c>
      <c r="E680" t="inlineStr">
        <is>
          <t>C0023</t>
        </is>
      </c>
      <c r="F680" t="inlineStr">
        <is>
          <t>C0023</t>
        </is>
      </c>
      <c r="G680" t="inlineStr">
        <is>
          <t>Ashford Constructions Pty Ltd</t>
        </is>
      </c>
      <c r="H680" t="inlineStr">
        <is>
          <t>S0311</t>
        </is>
      </c>
      <c r="I680" t="inlineStr">
        <is>
          <t>Materials - sealant and fixings</t>
        </is>
      </c>
      <c r="J680" t="n">
        <v>1</v>
      </c>
      <c r="K680" s="9" t="n">
        <v>1162.08</v>
      </c>
      <c r="L680" t="inlineStr">
        <is>
          <t>PAID</t>
        </is>
      </c>
      <c r="M680">
        <f>IF(L680="VOIDED",0,1)</f>
        <v>1</v>
      </c>
      <c r="N680" t="n">
        <v>200</v>
      </c>
      <c r="O680" t="inlineStr">
        <is>
          <t>GST on Income</t>
        </is>
      </c>
      <c r="P680" t="inlineStr">
        <is>
          <t>R11</t>
        </is>
      </c>
      <c r="Q680" t="inlineStr">
        <is>
          <t>MAT-RF</t>
        </is>
      </c>
      <c r="R680">
        <f>IF(OR(Q680="CONTEXT",Q680="REVIEW"),"",INDEX('Category Rules'!$D$5:$D$17,MATCH(P680,'Category Rules'!$A$5:$A$17,0)))</f>
        <v>4030</v>
      </c>
      <c r="S680" t="str">
        <f>IF(Q680="CONTEXT","Roofing",IF(Q680="REVIEW","",INDEX('Category Rules'!$E$5:$E$17,MATCH(P680,'Category Rules'!$A$5:$A$17,0))))</f>
        <v>Roofing</v>
      </c>
      <c r="T680" t="str">
        <f>IF(Q680="DEP","BAS Excluded","GST on Income")</f>
        <v>GST on Income</v>
      </c>
      <c r="U680">
        <f>IF(O680=T680,1,0)</f>
        <v>1</v>
      </c>
      <c r="V680" s="9">
        <f>IF(OR(M680=0,U680=1),0,IF(T680="GST on Income",ROUND(K680*0.1,2),ROUND(-K680*0.1,2)))</f>
        <v>0</v>
      </c>
    </row>
    <row r="681">
      <c r="A681" t="inlineStr">
        <is>
          <t>INV-5536-1</t>
        </is>
      </c>
      <c r="B681" t="inlineStr">
        <is>
          <t>INV-5536</t>
        </is>
      </c>
      <c r="C681" s="11" t="n">
        <v>45947</v>
      </c>
      <c r="D681" t="inlineStr">
        <is>
          <t>2025-10</t>
        </is>
      </c>
      <c r="E681" t="inlineStr">
        <is>
          <t>C0110</t>
        </is>
      </c>
      <c r="F681" t="inlineStr">
        <is>
          <t>C0110</t>
        </is>
      </c>
      <c r="G681" t="inlineStr">
        <is>
          <t>Henry Murphy</t>
        </is>
      </c>
      <c r="H681" t="inlineStr">
        <is>
          <t>S0342</t>
        </is>
      </c>
      <c r="I681" t="inlineStr">
        <is>
          <t>Roof repair labour - 3 hrs</t>
        </is>
      </c>
      <c r="J681" t="n">
        <v>3</v>
      </c>
      <c r="K681" s="9" t="n">
        <v>294</v>
      </c>
      <c r="L681" t="inlineStr">
        <is>
          <t>PAID</t>
        </is>
      </c>
      <c r="M681">
        <f>IF(L681="VOIDED",0,1)</f>
        <v>1</v>
      </c>
      <c r="N681" t="n">
        <v>200</v>
      </c>
      <c r="O681" t="inlineStr">
        <is>
          <t>GST on Income</t>
        </is>
      </c>
      <c r="P681" t="inlineStr">
        <is>
          <t>R10</t>
        </is>
      </c>
      <c r="Q681" t="inlineStr">
        <is>
          <t>LAB-RF</t>
        </is>
      </c>
      <c r="R681">
        <f>IF(OR(Q681="CONTEXT",Q681="REVIEW"),"",INDEX('Category Rules'!$D$5:$D$17,MATCH(P681,'Category Rules'!$A$5:$A$17,0)))</f>
        <v>4020</v>
      </c>
      <c r="S681" t="str">
        <f>IF(Q681="CONTEXT","Roofing",IF(Q681="REVIEW","",INDEX('Category Rules'!$E$5:$E$17,MATCH(P681,'Category Rules'!$A$5:$A$17,0))))</f>
        <v>Roofing</v>
      </c>
      <c r="T681" t="str">
        <f>IF(Q681="DEP","BAS Excluded","GST on Income")</f>
        <v>GST on Income</v>
      </c>
      <c r="U681">
        <f>IF(O681=T681,1,0)</f>
        <v>1</v>
      </c>
      <c r="V681" s="9">
        <f>IF(OR(M681=0,U681=1),0,IF(T681="GST on Income",ROUND(K681*0.1,2),ROUND(-K681*0.1,2)))</f>
        <v>0</v>
      </c>
    </row>
    <row r="682">
      <c r="A682" t="inlineStr">
        <is>
          <t>INV-5536-2</t>
        </is>
      </c>
      <c r="B682" t="inlineStr">
        <is>
          <t>INV-5536</t>
        </is>
      </c>
      <c r="C682" s="11" t="n">
        <v>45947</v>
      </c>
      <c r="D682" t="inlineStr">
        <is>
          <t>2025-10</t>
        </is>
      </c>
      <c r="E682" t="inlineStr">
        <is>
          <t>C0110</t>
        </is>
      </c>
      <c r="F682" t="inlineStr">
        <is>
          <t>C0110</t>
        </is>
      </c>
      <c r="G682" t="inlineStr">
        <is>
          <t>Henry Murphy</t>
        </is>
      </c>
      <c r="H682" t="inlineStr">
        <is>
          <t>S0342</t>
        </is>
      </c>
      <c r="I682" t="inlineStr">
        <is>
          <t>Materials - ridge capping</t>
        </is>
      </c>
      <c r="J682" t="n">
        <v>1</v>
      </c>
      <c r="K682" s="9" t="n">
        <v>308.77</v>
      </c>
      <c r="L682" t="inlineStr">
        <is>
          <t>PAID</t>
        </is>
      </c>
      <c r="M682">
        <f>IF(L682="VOIDED",0,1)</f>
        <v>1</v>
      </c>
      <c r="N682" t="n">
        <v>200</v>
      </c>
      <c r="O682" t="inlineStr">
        <is>
          <t>GST on Income</t>
        </is>
      </c>
      <c r="P682" t="inlineStr">
        <is>
          <t>R11</t>
        </is>
      </c>
      <c r="Q682" t="inlineStr">
        <is>
          <t>MAT-RF</t>
        </is>
      </c>
      <c r="R682">
        <f>IF(OR(Q682="CONTEXT",Q682="REVIEW"),"",INDEX('Category Rules'!$D$5:$D$17,MATCH(P682,'Category Rules'!$A$5:$A$17,0)))</f>
        <v>4030</v>
      </c>
      <c r="S682" t="str">
        <f>IF(Q682="CONTEXT","Roofing",IF(Q682="REVIEW","",INDEX('Category Rules'!$E$5:$E$17,MATCH(P682,'Category Rules'!$A$5:$A$17,0))))</f>
        <v>Roofing</v>
      </c>
      <c r="T682" t="str">
        <f>IF(Q682="DEP","BAS Excluded","GST on Income")</f>
        <v>GST on Income</v>
      </c>
      <c r="U682">
        <f>IF(O682=T682,1,0)</f>
        <v>1</v>
      </c>
      <c r="V682" s="9">
        <f>IF(OR(M682=0,U682=1),0,IF(T682="GST on Income",ROUND(K682*0.1,2),ROUND(-K682*0.1,2)))</f>
        <v>0</v>
      </c>
    </row>
    <row r="683">
      <c r="A683" t="inlineStr">
        <is>
          <t>INV-5536-3</t>
        </is>
      </c>
      <c r="B683" t="inlineStr">
        <is>
          <t>INV-5536</t>
        </is>
      </c>
      <c r="C683" s="11" t="n">
        <v>45947</v>
      </c>
      <c r="D683" t="inlineStr">
        <is>
          <t>2025-10</t>
        </is>
      </c>
      <c r="E683" t="inlineStr">
        <is>
          <t>C0110</t>
        </is>
      </c>
      <c r="F683" t="inlineStr">
        <is>
          <t>C0110</t>
        </is>
      </c>
      <c r="G683" t="inlineStr">
        <is>
          <t>Henry Murphy</t>
        </is>
      </c>
      <c r="H683" t="inlineStr">
        <is>
          <t>S0342</t>
        </is>
      </c>
      <c r="I683" t="inlineStr">
        <is>
          <t>Materials - flashing</t>
        </is>
      </c>
      <c r="J683" t="n">
        <v>1</v>
      </c>
      <c r="K683" s="9" t="n">
        <v>1344.02</v>
      </c>
      <c r="L683" t="inlineStr">
        <is>
          <t>PAID</t>
        </is>
      </c>
      <c r="M683">
        <f>IF(L683="VOIDED",0,1)</f>
        <v>1</v>
      </c>
      <c r="N683" t="n">
        <v>200</v>
      </c>
      <c r="O683" t="inlineStr">
        <is>
          <t>GST on Income</t>
        </is>
      </c>
      <c r="P683" t="inlineStr">
        <is>
          <t>R11</t>
        </is>
      </c>
      <c r="Q683" t="inlineStr">
        <is>
          <t>MAT-RF</t>
        </is>
      </c>
      <c r="R683">
        <f>IF(OR(Q683="CONTEXT",Q683="REVIEW"),"",INDEX('Category Rules'!$D$5:$D$17,MATCH(P683,'Category Rules'!$A$5:$A$17,0)))</f>
        <v>4030</v>
      </c>
      <c r="S683" t="str">
        <f>IF(Q683="CONTEXT","Roofing",IF(Q683="REVIEW","",INDEX('Category Rules'!$E$5:$E$17,MATCH(P683,'Category Rules'!$A$5:$A$17,0))))</f>
        <v>Roofing</v>
      </c>
      <c r="T683" t="str">
        <f>IF(Q683="DEP","BAS Excluded","GST on Income")</f>
        <v>GST on Income</v>
      </c>
      <c r="U683">
        <f>IF(O683=T683,1,0)</f>
        <v>1</v>
      </c>
      <c r="V683" s="9">
        <f>IF(OR(M683=0,U683=1),0,IF(T683="GST on Income",ROUND(K683*0.1,2),ROUND(-K683*0.1,2)))</f>
        <v>0</v>
      </c>
    </row>
    <row r="684">
      <c r="A684" t="inlineStr">
        <is>
          <t>INV-5536-4</t>
        </is>
      </c>
      <c r="B684" t="inlineStr">
        <is>
          <t>INV-5536</t>
        </is>
      </c>
      <c r="C684" s="11" t="n">
        <v>45947</v>
      </c>
      <c r="D684" t="inlineStr">
        <is>
          <t>2025-10</t>
        </is>
      </c>
      <c r="E684" t="inlineStr">
        <is>
          <t>C0110</t>
        </is>
      </c>
      <c r="F684" t="inlineStr">
        <is>
          <t>C0110</t>
        </is>
      </c>
      <c r="G684" t="inlineStr">
        <is>
          <t>Henry Murphy</t>
        </is>
      </c>
      <c r="H684" t="inlineStr">
        <is>
          <t>S0342</t>
        </is>
      </c>
      <c r="I684" t="inlineStr">
        <is>
          <t>Materials - sealant and fixings</t>
        </is>
      </c>
      <c r="J684" t="n">
        <v>1</v>
      </c>
      <c r="K684" s="9" t="n">
        <v>351.65</v>
      </c>
      <c r="L684" t="inlineStr">
        <is>
          <t>PAID</t>
        </is>
      </c>
      <c r="M684">
        <f>IF(L684="VOIDED",0,1)</f>
        <v>1</v>
      </c>
      <c r="N684" t="n">
        <v>200</v>
      </c>
      <c r="O684" t="inlineStr">
        <is>
          <t>GST on Income</t>
        </is>
      </c>
      <c r="P684" t="inlineStr">
        <is>
          <t>R11</t>
        </is>
      </c>
      <c r="Q684" t="inlineStr">
        <is>
          <t>MAT-RF</t>
        </is>
      </c>
      <c r="R684">
        <f>IF(OR(Q684="CONTEXT",Q684="REVIEW"),"",INDEX('Category Rules'!$D$5:$D$17,MATCH(P684,'Category Rules'!$A$5:$A$17,0)))</f>
        <v>4030</v>
      </c>
      <c r="S684" t="str">
        <f>IF(Q684="CONTEXT","Roofing",IF(Q684="REVIEW","",INDEX('Category Rules'!$E$5:$E$17,MATCH(P684,'Category Rules'!$A$5:$A$17,0))))</f>
        <v>Roofing</v>
      </c>
      <c r="T684" t="str">
        <f>IF(Q684="DEP","BAS Excluded","GST on Income")</f>
        <v>GST on Income</v>
      </c>
      <c r="U684">
        <f>IF(O684=T684,1,0)</f>
        <v>1</v>
      </c>
      <c r="V684" s="9">
        <f>IF(OR(M684=0,U684=1),0,IF(T684="GST on Income",ROUND(K684*0.1,2),ROUND(-K684*0.1,2)))</f>
        <v>0</v>
      </c>
    </row>
    <row r="685">
      <c r="A685" t="inlineStr">
        <is>
          <t>INV-5816-1</t>
        </is>
      </c>
      <c r="B685" t="inlineStr">
        <is>
          <t>INV-5816</t>
        </is>
      </c>
      <c r="C685" s="11" t="n">
        <v>45947</v>
      </c>
      <c r="D685" t="inlineStr">
        <is>
          <t>2025-10</t>
        </is>
      </c>
      <c r="E685" t="inlineStr">
        <is>
          <t>C0066</t>
        </is>
      </c>
      <c r="F685" t="inlineStr">
        <is>
          <t>C0066</t>
        </is>
      </c>
      <c r="G685" t="inlineStr">
        <is>
          <t>Northgate Insurance Repairs</t>
        </is>
      </c>
      <c r="H685" t="inlineStr">
        <is>
          <t>S0499</t>
        </is>
      </c>
      <c r="I685" t="inlineStr">
        <is>
          <t>Make safe call-out</t>
        </is>
      </c>
      <c r="J685" t="n">
        <v>1</v>
      </c>
      <c r="K685" s="9" t="n">
        <v>385</v>
      </c>
      <c r="L685" t="inlineStr">
        <is>
          <t>PAID</t>
        </is>
      </c>
      <c r="M685">
        <f>IF(L685="VOIDED",0,1)</f>
        <v>1</v>
      </c>
      <c r="N685" t="n">
        <v>200</v>
      </c>
      <c r="O685" t="inlineStr">
        <is>
          <t>GST on Income</t>
        </is>
      </c>
      <c r="P685" t="inlineStr">
        <is>
          <t>R09</t>
        </is>
      </c>
      <c r="Q685" t="inlineStr">
        <is>
          <t>MS</t>
        </is>
      </c>
      <c r="R685">
        <f>IF(OR(Q685="CONTEXT",Q685="REVIEW"),"",INDEX('Category Rules'!$D$5:$D$17,MATCH(P685,'Category Rules'!$A$5:$A$17,0)))</f>
        <v>4020</v>
      </c>
      <c r="S685" t="str">
        <f>IF(Q685="CONTEXT","Make-safe",IF(Q685="REVIEW","",INDEX('Category Rules'!$E$5:$E$17,MATCH(P685,'Category Rules'!$A$5:$A$17,0))))</f>
        <v>Make-safe</v>
      </c>
      <c r="T685" t="str">
        <f>IF(Q685="DEP","BAS Excluded","GST on Income")</f>
        <v>GST on Income</v>
      </c>
      <c r="U685">
        <f>IF(O685=T685,1,0)</f>
        <v>1</v>
      </c>
      <c r="V685" s="9">
        <f>IF(OR(M685=0,U685=1),0,IF(T685="GST on Income",ROUND(K685*0.1,2),ROUND(-K685*0.1,2)))</f>
        <v>0</v>
      </c>
    </row>
    <row r="686">
      <c r="A686" t="inlineStr">
        <is>
          <t>INV-5816-2</t>
        </is>
      </c>
      <c r="B686" t="inlineStr">
        <is>
          <t>INV-5816</t>
        </is>
      </c>
      <c r="C686" s="11" t="n">
        <v>45947</v>
      </c>
      <c r="D686" t="inlineStr">
        <is>
          <t>2025-10</t>
        </is>
      </c>
      <c r="E686" t="inlineStr">
        <is>
          <t>C0066</t>
        </is>
      </c>
      <c r="F686" t="inlineStr">
        <is>
          <t>C0066</t>
        </is>
      </c>
      <c r="G686" t="inlineStr">
        <is>
          <t>Northgate Insurance Repairs</t>
        </is>
      </c>
      <c r="H686" t="inlineStr">
        <is>
          <t>S0499</t>
        </is>
      </c>
      <c r="I686" t="inlineStr">
        <is>
          <t>Tarp supply and install - 1 tarp(s)</t>
        </is>
      </c>
      <c r="J686" t="n">
        <v>1</v>
      </c>
      <c r="K686" s="9" t="n">
        <v>240</v>
      </c>
      <c r="L686" t="inlineStr">
        <is>
          <t>PAID</t>
        </is>
      </c>
      <c r="M686">
        <f>IF(L686="VOIDED",0,1)</f>
        <v>1</v>
      </c>
      <c r="N686" t="n">
        <v>200</v>
      </c>
      <c r="O686" t="inlineStr">
        <is>
          <t>GST on Income</t>
        </is>
      </c>
      <c r="P686" t="inlineStr">
        <is>
          <t>R09</t>
        </is>
      </c>
      <c r="Q686" t="inlineStr">
        <is>
          <t>MS</t>
        </is>
      </c>
      <c r="R686">
        <f>IF(OR(Q686="CONTEXT",Q686="REVIEW"),"",INDEX('Category Rules'!$D$5:$D$17,MATCH(P686,'Category Rules'!$A$5:$A$17,0)))</f>
        <v>4020</v>
      </c>
      <c r="S686" t="str">
        <f>IF(Q686="CONTEXT","Make-safe",IF(Q686="REVIEW","",INDEX('Category Rules'!$E$5:$E$17,MATCH(P686,'Category Rules'!$A$5:$A$17,0))))</f>
        <v>Make-safe</v>
      </c>
      <c r="T686" t="str">
        <f>IF(Q686="DEP","BAS Excluded","GST on Income")</f>
        <v>GST on Income</v>
      </c>
      <c r="U686">
        <f>IF(O686=T686,1,0)</f>
        <v>1</v>
      </c>
      <c r="V686" s="9">
        <f>IF(OR(M686=0,U686=1),0,IF(T686="GST on Income",ROUND(K686*0.1,2),ROUND(-K686*0.1,2)))</f>
        <v>0</v>
      </c>
    </row>
    <row r="687">
      <c r="A687" t="inlineStr">
        <is>
          <t>INV-4425-1</t>
        </is>
      </c>
      <c r="B687" t="inlineStr">
        <is>
          <t>INV-4425</t>
        </is>
      </c>
      <c r="C687" s="11" t="n">
        <v>45948</v>
      </c>
      <c r="D687" t="inlineStr">
        <is>
          <t>2025-10</t>
        </is>
      </c>
      <c r="E687" t="inlineStr">
        <is>
          <t>C0061</t>
        </is>
      </c>
      <c r="F687" t="inlineStr">
        <is>
          <t>C0061</t>
        </is>
      </c>
      <c r="G687" t="inlineStr">
        <is>
          <t>Southbank Claims Services Pty Ltd</t>
        </is>
      </c>
      <c r="H687" t="inlineStr">
        <is>
          <t>S0065</t>
        </is>
      </c>
      <c r="I687" t="inlineStr">
        <is>
          <t>Temporary fence hire 4 wks (20/09/25-17/10/25) - 130 panels</t>
        </is>
      </c>
      <c r="J687" t="n">
        <v>520</v>
      </c>
      <c r="K687" s="9" t="n">
        <v>2340</v>
      </c>
      <c r="L687" t="inlineStr">
        <is>
          <t>PAID</t>
        </is>
      </c>
      <c r="M687">
        <f>IF(L687="VOIDED",0,1)</f>
        <v>1</v>
      </c>
      <c r="N687" t="n">
        <v>200</v>
      </c>
      <c r="O687" t="inlineStr">
        <is>
          <t>GST on Income</t>
        </is>
      </c>
      <c r="P687" t="inlineStr">
        <is>
          <t>R03</t>
        </is>
      </c>
      <c r="Q687" t="inlineStr">
        <is>
          <t>HIRE-FP</t>
        </is>
      </c>
      <c r="R687">
        <f>IF(OR(Q687="CONTEXT",Q687="REVIEW"),"",INDEX('Category Rules'!$D$5:$D$17,MATCH(P687,'Category Rules'!$A$5:$A$17,0)))</f>
        <v>4010</v>
      </c>
      <c r="S687" t="str">
        <f>IF(Q687="CONTEXT","Fencing",IF(Q687="REVIEW","",INDEX('Category Rules'!$E$5:$E$17,MATCH(P687,'Category Rules'!$A$5:$A$17,0))))</f>
        <v>Fencing</v>
      </c>
      <c r="T687" t="str">
        <f>IF(Q687="DEP","BAS Excluded","GST on Income")</f>
        <v>GST on Income</v>
      </c>
      <c r="U687">
        <f>IF(O687=T687,1,0)</f>
        <v>1</v>
      </c>
      <c r="V687" s="9">
        <f>IF(OR(M687=0,U687=1),0,IF(T687="GST on Income",ROUND(K687*0.1,2),ROUND(-K687*0.1,2)))</f>
        <v>0</v>
      </c>
    </row>
    <row r="688">
      <c r="A688" t="inlineStr">
        <is>
          <t>INV-4861-1</t>
        </is>
      </c>
      <c r="B688" t="inlineStr">
        <is>
          <t>INV-4861</t>
        </is>
      </c>
      <c r="C688" s="11" t="n">
        <v>45948</v>
      </c>
      <c r="D688" t="inlineStr">
        <is>
          <t>2025-10</t>
        </is>
      </c>
      <c r="E688" t="inlineStr">
        <is>
          <t>C0007</t>
        </is>
      </c>
      <c r="F688" t="inlineStr">
        <is>
          <t>C0007</t>
        </is>
      </c>
      <c r="G688" t="inlineStr">
        <is>
          <t>Eastlink Projects</t>
        </is>
      </c>
      <c r="H688" t="inlineStr">
        <is>
          <t>S0161</t>
        </is>
      </c>
      <c r="I688" t="inlineStr">
        <is>
          <t>Temporary fence hire 4 wks (20/09/25-17/10/25) - 131 panels</t>
        </is>
      </c>
      <c r="J688" t="n">
        <v>524</v>
      </c>
      <c r="K688" s="9" t="n">
        <v>2358</v>
      </c>
      <c r="L688" t="inlineStr">
        <is>
          <t>PAID</t>
        </is>
      </c>
      <c r="M688">
        <f>IF(L688="VOIDED",0,1)</f>
        <v>1</v>
      </c>
      <c r="N688" t="n">
        <v>200</v>
      </c>
      <c r="O688" t="inlineStr">
        <is>
          <t>GST on Income</t>
        </is>
      </c>
      <c r="P688" t="inlineStr">
        <is>
          <t>R03</t>
        </is>
      </c>
      <c r="Q688" t="inlineStr">
        <is>
          <t>HIRE-FP</t>
        </is>
      </c>
      <c r="R688">
        <f>IF(OR(Q688="CONTEXT",Q688="REVIEW"),"",INDEX('Category Rules'!$D$5:$D$17,MATCH(P688,'Category Rules'!$A$5:$A$17,0)))</f>
        <v>4010</v>
      </c>
      <c r="S688" t="str">
        <f>IF(Q688="CONTEXT","Fencing",IF(Q688="REVIEW","",INDEX('Category Rules'!$E$5:$E$17,MATCH(P688,'Category Rules'!$A$5:$A$17,0))))</f>
        <v>Fencing</v>
      </c>
      <c r="T688" t="str">
        <f>IF(Q688="DEP","BAS Excluded","GST on Income")</f>
        <v>GST on Income</v>
      </c>
      <c r="U688">
        <f>IF(O688=T688,1,0)</f>
        <v>1</v>
      </c>
      <c r="V688" s="9">
        <f>IF(OR(M688=0,U688=1),0,IF(T688="GST on Income",ROUND(K688*0.1,2),ROUND(-K688*0.1,2)))</f>
        <v>0</v>
      </c>
    </row>
    <row r="689">
      <c r="A689" t="inlineStr">
        <is>
          <t>INV-5361-1</t>
        </is>
      </c>
      <c r="B689" t="inlineStr">
        <is>
          <t>INV-5361</t>
        </is>
      </c>
      <c r="C689" s="11" t="n">
        <v>45948</v>
      </c>
      <c r="D689" t="inlineStr">
        <is>
          <t>2025-10</t>
        </is>
      </c>
      <c r="E689" t="inlineStr">
        <is>
          <t>C0096</t>
        </is>
      </c>
      <c r="F689" t="inlineStr">
        <is>
          <t>C0096</t>
        </is>
      </c>
      <c r="G689" t="inlineStr">
        <is>
          <t>Lucas Kelly</t>
        </is>
      </c>
      <c r="H689" t="inlineStr">
        <is>
          <t>S0274</t>
        </is>
      </c>
      <c r="I689" t="inlineStr">
        <is>
          <t>Scaffold tower hire 4 wks (20/09/25-17/10/25) - 1 towers</t>
        </is>
      </c>
      <c r="J689" t="n">
        <v>4</v>
      </c>
      <c r="K689" s="9" t="n">
        <v>380</v>
      </c>
      <c r="L689" t="inlineStr">
        <is>
          <t>PAID</t>
        </is>
      </c>
      <c r="M689">
        <f>IF(L689="VOIDED",0,1)</f>
        <v>1</v>
      </c>
      <c r="N689" t="n">
        <v>200</v>
      </c>
      <c r="O689" t="inlineStr">
        <is>
          <t>GST on Income</t>
        </is>
      </c>
      <c r="P689" t="inlineStr">
        <is>
          <t>R05</t>
        </is>
      </c>
      <c r="Q689" t="inlineStr">
        <is>
          <t>HIRE-ST</t>
        </is>
      </c>
      <c r="R689">
        <f>IF(OR(Q689="CONTEXT",Q689="REVIEW"),"",INDEX('Category Rules'!$D$5:$D$17,MATCH(P689,'Category Rules'!$A$5:$A$17,0)))</f>
        <v>4010</v>
      </c>
      <c r="S689" t="str">
        <f>IF(Q689="CONTEXT","Scaffolding",IF(Q689="REVIEW","",INDEX('Category Rules'!$E$5:$E$17,MATCH(P689,'Category Rules'!$A$5:$A$17,0))))</f>
        <v>Scaffolding</v>
      </c>
      <c r="T689" t="str">
        <f>IF(Q689="DEP","BAS Excluded","GST on Income")</f>
        <v>GST on Income</v>
      </c>
      <c r="U689">
        <f>IF(O689=T689,1,0)</f>
        <v>1</v>
      </c>
      <c r="V689" s="9">
        <f>IF(OR(M689=0,U689=1),0,IF(T689="GST on Income",ROUND(K689*0.1,2),ROUND(-K689*0.1,2)))</f>
        <v>0</v>
      </c>
    </row>
    <row r="690">
      <c r="A690" t="inlineStr">
        <is>
          <t>INV-5692-1</t>
        </is>
      </c>
      <c r="B690" t="inlineStr">
        <is>
          <t>INV-5692</t>
        </is>
      </c>
      <c r="C690" s="11" t="n">
        <v>45948</v>
      </c>
      <c r="D690" t="inlineStr">
        <is>
          <t>2025-10</t>
        </is>
      </c>
      <c r="E690" t="inlineStr">
        <is>
          <t>C0112</t>
        </is>
      </c>
      <c r="F690" t="inlineStr">
        <is>
          <t>C0112</t>
        </is>
      </c>
      <c r="G690" t="inlineStr">
        <is>
          <t>Sam Murphy</t>
        </is>
      </c>
      <c r="H690" t="inlineStr">
        <is>
          <t>S0430</t>
        </is>
      </c>
      <c r="I690" t="inlineStr">
        <is>
          <t>Roof repair labour - 8 hrs</t>
        </is>
      </c>
      <c r="J690" t="n">
        <v>8</v>
      </c>
      <c r="K690" s="9" t="n">
        <v>784</v>
      </c>
      <c r="L690" t="inlineStr">
        <is>
          <t>PAID</t>
        </is>
      </c>
      <c r="M690">
        <f>IF(L690="VOIDED",0,1)</f>
        <v>1</v>
      </c>
      <c r="N690" t="n">
        <v>200</v>
      </c>
      <c r="O690" t="inlineStr">
        <is>
          <t>GST on Income</t>
        </is>
      </c>
      <c r="P690" t="inlineStr">
        <is>
          <t>R10</t>
        </is>
      </c>
      <c r="Q690" t="inlineStr">
        <is>
          <t>LAB-RF</t>
        </is>
      </c>
      <c r="R690">
        <f>IF(OR(Q690="CONTEXT",Q690="REVIEW"),"",INDEX('Category Rules'!$D$5:$D$17,MATCH(P690,'Category Rules'!$A$5:$A$17,0)))</f>
        <v>4020</v>
      </c>
      <c r="S690" t="str">
        <f>IF(Q690="CONTEXT","Roofing",IF(Q690="REVIEW","",INDEX('Category Rules'!$E$5:$E$17,MATCH(P690,'Category Rules'!$A$5:$A$17,0))))</f>
        <v>Roofing</v>
      </c>
      <c r="T690" t="str">
        <f>IF(Q690="DEP","BAS Excluded","GST on Income")</f>
        <v>GST on Income</v>
      </c>
      <c r="U690">
        <f>IF(O690=T690,1,0)</f>
        <v>1</v>
      </c>
      <c r="V690" s="9">
        <f>IF(OR(M690=0,U690=1),0,IF(T690="GST on Income",ROUND(K690*0.1,2),ROUND(-K690*0.1,2)))</f>
        <v>0</v>
      </c>
    </row>
    <row r="691">
      <c r="A691" t="inlineStr">
        <is>
          <t>INV-5692-2</t>
        </is>
      </c>
      <c r="B691" t="inlineStr">
        <is>
          <t>INV-5692</t>
        </is>
      </c>
      <c r="C691" s="11" t="n">
        <v>45948</v>
      </c>
      <c r="D691" t="inlineStr">
        <is>
          <t>2025-10</t>
        </is>
      </c>
      <c r="E691" t="inlineStr">
        <is>
          <t>C0112</t>
        </is>
      </c>
      <c r="F691" t="inlineStr">
        <is>
          <t>C0112</t>
        </is>
      </c>
      <c r="G691" t="inlineStr">
        <is>
          <t>Sam Murphy</t>
        </is>
      </c>
      <c r="H691" t="inlineStr">
        <is>
          <t>S0430</t>
        </is>
      </c>
      <c r="I691" t="inlineStr">
        <is>
          <t>Materials - flashing</t>
        </is>
      </c>
      <c r="J691" t="n">
        <v>1</v>
      </c>
      <c r="K691" s="9" t="n">
        <v>591.99</v>
      </c>
      <c r="L691" t="inlineStr">
        <is>
          <t>PAID</t>
        </is>
      </c>
      <c r="M691">
        <f>IF(L691="VOIDED",0,1)</f>
        <v>1</v>
      </c>
      <c r="N691" t="n">
        <v>200</v>
      </c>
      <c r="O691" t="inlineStr">
        <is>
          <t>GST on Income</t>
        </is>
      </c>
      <c r="P691" t="inlineStr">
        <is>
          <t>R11</t>
        </is>
      </c>
      <c r="Q691" t="inlineStr">
        <is>
          <t>MAT-RF</t>
        </is>
      </c>
      <c r="R691">
        <f>IF(OR(Q691="CONTEXT",Q691="REVIEW"),"",INDEX('Category Rules'!$D$5:$D$17,MATCH(P691,'Category Rules'!$A$5:$A$17,0)))</f>
        <v>4030</v>
      </c>
      <c r="S691" t="str">
        <f>IF(Q691="CONTEXT","Roofing",IF(Q691="REVIEW","",INDEX('Category Rules'!$E$5:$E$17,MATCH(P691,'Category Rules'!$A$5:$A$17,0))))</f>
        <v>Roofing</v>
      </c>
      <c r="T691" t="str">
        <f>IF(Q691="DEP","BAS Excluded","GST on Income")</f>
        <v>GST on Income</v>
      </c>
      <c r="U691">
        <f>IF(O691=T691,1,0)</f>
        <v>1</v>
      </c>
      <c r="V691" s="9">
        <f>IF(OR(M691=0,U691=1),0,IF(T691="GST on Income",ROUND(K691*0.1,2),ROUND(-K691*0.1,2)))</f>
        <v>0</v>
      </c>
    </row>
    <row r="692">
      <c r="A692" t="inlineStr">
        <is>
          <t>INV-5692-3</t>
        </is>
      </c>
      <c r="B692" t="inlineStr">
        <is>
          <t>INV-5692</t>
        </is>
      </c>
      <c r="C692" s="11" t="n">
        <v>45948</v>
      </c>
      <c r="D692" t="inlineStr">
        <is>
          <t>2025-10</t>
        </is>
      </c>
      <c r="E692" t="inlineStr">
        <is>
          <t>C0112</t>
        </is>
      </c>
      <c r="F692" t="inlineStr">
        <is>
          <t>C0112</t>
        </is>
      </c>
      <c r="G692" t="inlineStr">
        <is>
          <t>Sam Murphy</t>
        </is>
      </c>
      <c r="H692" t="inlineStr">
        <is>
          <t>S0430</t>
        </is>
      </c>
      <c r="I692" t="inlineStr">
        <is>
          <t>Materials - gutter and downpipe</t>
        </is>
      </c>
      <c r="J692" t="n">
        <v>1</v>
      </c>
      <c r="K692" s="9" t="n">
        <v>390.08</v>
      </c>
      <c r="L692" t="inlineStr">
        <is>
          <t>PAID</t>
        </is>
      </c>
      <c r="M692">
        <f>IF(L692="VOIDED",0,1)</f>
        <v>1</v>
      </c>
      <c r="N692" t="n">
        <v>200</v>
      </c>
      <c r="O692" t="inlineStr">
        <is>
          <t>GST on Income</t>
        </is>
      </c>
      <c r="P692" t="inlineStr">
        <is>
          <t>R11</t>
        </is>
      </c>
      <c r="Q692" t="inlineStr">
        <is>
          <t>MAT-RF</t>
        </is>
      </c>
      <c r="R692">
        <f>IF(OR(Q692="CONTEXT",Q692="REVIEW"),"",INDEX('Category Rules'!$D$5:$D$17,MATCH(P692,'Category Rules'!$A$5:$A$17,0)))</f>
        <v>4030</v>
      </c>
      <c r="S692" t="str">
        <f>IF(Q692="CONTEXT","Roofing",IF(Q692="REVIEW","",INDEX('Category Rules'!$E$5:$E$17,MATCH(P692,'Category Rules'!$A$5:$A$17,0))))</f>
        <v>Roofing</v>
      </c>
      <c r="T692" t="str">
        <f>IF(Q692="DEP","BAS Excluded","GST on Income")</f>
        <v>GST on Income</v>
      </c>
      <c r="U692">
        <f>IF(O692=T692,1,0)</f>
        <v>1</v>
      </c>
      <c r="V692" s="9">
        <f>IF(OR(M692=0,U692=1),0,IF(T692="GST on Income",ROUND(K692*0.1,2),ROUND(-K692*0.1,2)))</f>
        <v>0</v>
      </c>
    </row>
    <row r="693">
      <c r="A693" t="inlineStr">
        <is>
          <t>INV-5693-1</t>
        </is>
      </c>
      <c r="B693" t="inlineStr">
        <is>
          <t>INV-5693</t>
        </is>
      </c>
      <c r="C693" s="11" t="n">
        <v>45948</v>
      </c>
      <c r="D693" t="inlineStr">
        <is>
          <t>2025-10</t>
        </is>
      </c>
      <c r="E693" t="inlineStr">
        <is>
          <t>C0018</t>
        </is>
      </c>
      <c r="F693" t="inlineStr">
        <is>
          <t>C0018</t>
        </is>
      </c>
      <c r="G693" t="inlineStr">
        <is>
          <t>Wattle Constructions Pty Ltd</t>
        </is>
      </c>
      <c r="H693" t="inlineStr">
        <is>
          <t>S0431</t>
        </is>
      </c>
      <c r="I693" t="inlineStr">
        <is>
          <t>Make safe call-out</t>
        </is>
      </c>
      <c r="J693" t="n">
        <v>1</v>
      </c>
      <c r="K693" s="9" t="n">
        <v>385</v>
      </c>
      <c r="L693" t="inlineStr">
        <is>
          <t>PAID</t>
        </is>
      </c>
      <c r="M693">
        <f>IF(L693="VOIDED",0,1)</f>
        <v>1</v>
      </c>
      <c r="N693" t="n">
        <v>200</v>
      </c>
      <c r="O693" t="inlineStr">
        <is>
          <t>GST on Income</t>
        </is>
      </c>
      <c r="P693" t="inlineStr">
        <is>
          <t>R09</t>
        </is>
      </c>
      <c r="Q693" t="inlineStr">
        <is>
          <t>MS</t>
        </is>
      </c>
      <c r="R693">
        <f>IF(OR(Q693="CONTEXT",Q693="REVIEW"),"",INDEX('Category Rules'!$D$5:$D$17,MATCH(P693,'Category Rules'!$A$5:$A$17,0)))</f>
        <v>4020</v>
      </c>
      <c r="S693" t="str">
        <f>IF(Q693="CONTEXT","Make-safe",IF(Q693="REVIEW","",INDEX('Category Rules'!$E$5:$E$17,MATCH(P693,'Category Rules'!$A$5:$A$17,0))))</f>
        <v>Make-safe</v>
      </c>
      <c r="T693" t="str">
        <f>IF(Q693="DEP","BAS Excluded","GST on Income")</f>
        <v>GST on Income</v>
      </c>
      <c r="U693">
        <f>IF(O693=T693,1,0)</f>
        <v>1</v>
      </c>
      <c r="V693" s="9">
        <f>IF(OR(M693=0,U693=1),0,IF(T693="GST on Income",ROUND(K693*0.1,2),ROUND(-K693*0.1,2)))</f>
        <v>0</v>
      </c>
    </row>
    <row r="694">
      <c r="A694" t="inlineStr">
        <is>
          <t>INV-5855-1</t>
        </is>
      </c>
      <c r="B694" t="inlineStr">
        <is>
          <t>INV-5855</t>
        </is>
      </c>
      <c r="C694" s="11" t="n">
        <v>45948</v>
      </c>
      <c r="D694" t="inlineStr">
        <is>
          <t>2025-10</t>
        </is>
      </c>
      <c r="E694" t="inlineStr">
        <is>
          <t>C0089</t>
        </is>
      </c>
      <c r="F694" t="inlineStr">
        <is>
          <t>C0089</t>
        </is>
      </c>
      <c r="G694" t="inlineStr">
        <is>
          <t>Leo Hughes</t>
        </is>
      </c>
      <c r="H694" t="inlineStr">
        <is>
          <t>S0522</t>
        </is>
      </c>
      <c r="I694" t="inlineStr">
        <is>
          <t>Emergency make safe call-out - after hours</t>
        </is>
      </c>
      <c r="J694" t="n">
        <v>1</v>
      </c>
      <c r="K694" s="9" t="n">
        <v>560</v>
      </c>
      <c r="L694" t="inlineStr">
        <is>
          <t>PAID</t>
        </is>
      </c>
      <c r="M694">
        <f>IF(L694="VOIDED",0,1)</f>
        <v>1</v>
      </c>
      <c r="N694" t="n">
        <v>260</v>
      </c>
      <c r="O694" t="inlineStr">
        <is>
          <t>GST on Income</t>
        </is>
      </c>
      <c r="P694" t="inlineStr">
        <is>
          <t>R09</t>
        </is>
      </c>
      <c r="Q694" t="inlineStr">
        <is>
          <t>MS</t>
        </is>
      </c>
      <c r="R694">
        <f>IF(OR(Q694="CONTEXT",Q694="REVIEW"),"",INDEX('Category Rules'!$D$5:$D$17,MATCH(P694,'Category Rules'!$A$5:$A$17,0)))</f>
        <v>4020</v>
      </c>
      <c r="S694" t="str">
        <f>IF(Q694="CONTEXT","Make-safe",IF(Q694="REVIEW","",INDEX('Category Rules'!$E$5:$E$17,MATCH(P694,'Category Rules'!$A$5:$A$17,0))))</f>
        <v>Make-safe</v>
      </c>
      <c r="T694" t="str">
        <f>IF(Q694="DEP","BAS Excluded","GST on Income")</f>
        <v>GST on Income</v>
      </c>
      <c r="U694">
        <f>IF(O694=T694,1,0)</f>
        <v>1</v>
      </c>
      <c r="V694" s="9">
        <f>IF(OR(M694=0,U694=1),0,IF(T694="GST on Income",ROUND(K694*0.1,2),ROUND(-K694*0.1,2)))</f>
        <v>0</v>
      </c>
    </row>
    <row r="695">
      <c r="A695" t="inlineStr">
        <is>
          <t>INV-4233-1</t>
        </is>
      </c>
      <c r="B695" t="inlineStr">
        <is>
          <t>INV-4233</t>
        </is>
      </c>
      <c r="C695" s="11" t="n">
        <v>45949</v>
      </c>
      <c r="D695" t="inlineStr">
        <is>
          <t>2025-10</t>
        </is>
      </c>
      <c r="E695" t="inlineStr">
        <is>
          <t>C0105</t>
        </is>
      </c>
      <c r="F695" t="inlineStr">
        <is>
          <t>C0105</t>
        </is>
      </c>
      <c r="G695" t="inlineStr">
        <is>
          <t>Priya Walker</t>
        </is>
      </c>
      <c r="H695" t="inlineStr">
        <is>
          <t>S0025</t>
        </is>
      </c>
      <c r="I695" t="inlineStr">
        <is>
          <t>Temporary fence hire 4 wks (21/09/25-18/10/25) - 76 panels</t>
        </is>
      </c>
      <c r="J695" t="n">
        <v>304</v>
      </c>
      <c r="K695" s="9" t="n">
        <v>1368</v>
      </c>
      <c r="L695" t="inlineStr">
        <is>
          <t>PAID</t>
        </is>
      </c>
      <c r="M695">
        <f>IF(L695="VOIDED",0,1)</f>
        <v>1</v>
      </c>
      <c r="N695" t="n">
        <v>200</v>
      </c>
      <c r="O695" t="inlineStr">
        <is>
          <t>GST on Income</t>
        </is>
      </c>
      <c r="P695" t="inlineStr">
        <is>
          <t>R03</t>
        </is>
      </c>
      <c r="Q695" t="inlineStr">
        <is>
          <t>HIRE-FP</t>
        </is>
      </c>
      <c r="R695">
        <f>IF(OR(Q695="CONTEXT",Q695="REVIEW"),"",INDEX('Category Rules'!$D$5:$D$17,MATCH(P695,'Category Rules'!$A$5:$A$17,0)))</f>
        <v>4010</v>
      </c>
      <c r="S695" t="str">
        <f>IF(Q695="CONTEXT","Fencing",IF(Q695="REVIEW","",INDEX('Category Rules'!$E$5:$E$17,MATCH(P695,'Category Rules'!$A$5:$A$17,0))))</f>
        <v>Fencing</v>
      </c>
      <c r="T695" t="str">
        <f>IF(Q695="DEP","BAS Excluded","GST on Income")</f>
        <v>GST on Income</v>
      </c>
      <c r="U695">
        <f>IF(O695=T695,1,0)</f>
        <v>1</v>
      </c>
      <c r="V695" s="9">
        <f>IF(OR(M695=0,U695=1),0,IF(T695="GST on Income",ROUND(K695*0.1,2),ROUND(-K695*0.1,2)))</f>
        <v>0</v>
      </c>
    </row>
    <row r="696">
      <c r="A696" t="inlineStr">
        <is>
          <t>INV-4280-1</t>
        </is>
      </c>
      <c r="B696" t="inlineStr">
        <is>
          <t>INV-4280</t>
        </is>
      </c>
      <c r="C696" s="11" t="n">
        <v>45949</v>
      </c>
      <c r="D696" t="inlineStr">
        <is>
          <t>2025-10</t>
        </is>
      </c>
      <c r="E696" t="inlineStr">
        <is>
          <t>C0015</t>
        </is>
      </c>
      <c r="F696" t="inlineStr">
        <is>
          <t>C0015</t>
        </is>
      </c>
      <c r="G696" t="inlineStr">
        <is>
          <t>Bluegum Building Group</t>
        </is>
      </c>
      <c r="H696" t="inlineStr">
        <is>
          <t>S0038</t>
        </is>
      </c>
      <c r="I696" t="inlineStr">
        <is>
          <t>Temporary fence hire 4 wks (21/09/25-18/10/25) - 137 panels</t>
        </is>
      </c>
      <c r="J696" t="n">
        <v>548</v>
      </c>
      <c r="K696" s="9" t="n">
        <v>2466</v>
      </c>
      <c r="L696" t="inlineStr">
        <is>
          <t>PAID</t>
        </is>
      </c>
      <c r="M696">
        <f>IF(L696="VOIDED",0,1)</f>
        <v>1</v>
      </c>
      <c r="N696" t="n">
        <v>200</v>
      </c>
      <c r="O696" t="inlineStr">
        <is>
          <t>GST on Income</t>
        </is>
      </c>
      <c r="P696" t="inlineStr">
        <is>
          <t>R03</t>
        </is>
      </c>
      <c r="Q696" t="inlineStr">
        <is>
          <t>HIRE-FP</t>
        </is>
      </c>
      <c r="R696">
        <f>IF(OR(Q696="CONTEXT",Q696="REVIEW"),"",INDEX('Category Rules'!$D$5:$D$17,MATCH(P696,'Category Rules'!$A$5:$A$17,0)))</f>
        <v>4010</v>
      </c>
      <c r="S696" t="str">
        <f>IF(Q696="CONTEXT","Fencing",IF(Q696="REVIEW","",INDEX('Category Rules'!$E$5:$E$17,MATCH(P696,'Category Rules'!$A$5:$A$17,0))))</f>
        <v>Fencing</v>
      </c>
      <c r="T696" t="str">
        <f>IF(Q696="DEP","BAS Excluded","GST on Income")</f>
        <v>GST on Income</v>
      </c>
      <c r="U696">
        <f>IF(O696=T696,1,0)</f>
        <v>1</v>
      </c>
      <c r="V696" s="9">
        <f>IF(OR(M696=0,U696=1),0,IF(T696="GST on Income",ROUND(K696*0.1,2),ROUND(-K696*0.1,2)))</f>
        <v>0</v>
      </c>
    </row>
    <row r="697">
      <c r="A697" t="inlineStr">
        <is>
          <t>INV-4285-1</t>
        </is>
      </c>
      <c r="B697" t="inlineStr">
        <is>
          <t>INV-4285</t>
        </is>
      </c>
      <c r="C697" s="11" t="n">
        <v>45949</v>
      </c>
      <c r="D697" t="inlineStr">
        <is>
          <t>2025-10</t>
        </is>
      </c>
      <c r="E697" t="inlineStr">
        <is>
          <t>C0015</t>
        </is>
      </c>
      <c r="F697" t="inlineStr">
        <is>
          <t>C0015</t>
        </is>
      </c>
      <c r="G697" t="inlineStr">
        <is>
          <t>Bluegum Building Group</t>
        </is>
      </c>
      <c r="H697" t="inlineStr">
        <is>
          <t>S0038</t>
        </is>
      </c>
      <c r="I697" t="inlineStr">
        <is>
          <t>Pedestrian barrier hire 4 wks (21/09/25-18/10/25) - 20 barriers</t>
        </is>
      </c>
      <c r="J697" t="n">
        <v>80</v>
      </c>
      <c r="K697" s="9" t="n">
        <v>256</v>
      </c>
      <c r="L697" t="inlineStr">
        <is>
          <t>PAID</t>
        </is>
      </c>
      <c r="M697">
        <f>IF(L697="VOIDED",0,1)</f>
        <v>1</v>
      </c>
      <c r="N697" t="n">
        <v>200</v>
      </c>
      <c r="O697" t="inlineStr">
        <is>
          <t>GST on Income</t>
        </is>
      </c>
      <c r="P697" t="inlineStr">
        <is>
          <t>R04</t>
        </is>
      </c>
      <c r="Q697" t="inlineStr">
        <is>
          <t>HIRE-BR</t>
        </is>
      </c>
      <c r="R697">
        <f>IF(OR(Q697="CONTEXT",Q697="REVIEW"),"",INDEX('Category Rules'!$D$5:$D$17,MATCH(P697,'Category Rules'!$A$5:$A$17,0)))</f>
        <v>4010</v>
      </c>
      <c r="S697" t="str">
        <f>IF(Q697="CONTEXT","Fencing",IF(Q697="REVIEW","",INDEX('Category Rules'!$E$5:$E$17,MATCH(P697,'Category Rules'!$A$5:$A$17,0))))</f>
        <v>Fencing</v>
      </c>
      <c r="T697" t="str">
        <f>IF(Q697="DEP","BAS Excluded","GST on Income")</f>
        <v>GST on Income</v>
      </c>
      <c r="U697">
        <f>IF(O697=T697,1,0)</f>
        <v>1</v>
      </c>
      <c r="V697" s="9">
        <f>IF(OR(M697=0,U697=1),0,IF(T697="GST on Income",ROUND(K697*0.1,2),ROUND(-K697*0.1,2)))</f>
        <v>0</v>
      </c>
    </row>
    <row r="698">
      <c r="A698" t="inlineStr">
        <is>
          <t>INV-4315-1</t>
        </is>
      </c>
      <c r="B698" t="inlineStr">
        <is>
          <t>INV-4315</t>
        </is>
      </c>
      <c r="C698" s="11" t="n">
        <v>45949</v>
      </c>
      <c r="D698" t="inlineStr">
        <is>
          <t>2025-10</t>
        </is>
      </c>
      <c r="E698" t="inlineStr">
        <is>
          <t>C0063</t>
        </is>
      </c>
      <c r="F698" t="inlineStr">
        <is>
          <t>C0063</t>
        </is>
      </c>
      <c r="G698" t="inlineStr">
        <is>
          <t>Highpoint Insurance Repairs Pty Ltd</t>
        </is>
      </c>
      <c r="H698" t="inlineStr">
        <is>
          <t>S0044</t>
        </is>
      </c>
      <c r="I698" t="inlineStr">
        <is>
          <t>Delivery and installation - temporary fencing</t>
        </is>
      </c>
      <c r="J698" t="n">
        <v>1</v>
      </c>
      <c r="K698" s="9" t="n">
        <v>165</v>
      </c>
      <c r="L698" t="inlineStr">
        <is>
          <t>PAID</t>
        </is>
      </c>
      <c r="M698">
        <f>IF(L698="VOIDED",0,1)</f>
        <v>1</v>
      </c>
      <c r="N698" t="n">
        <v>200</v>
      </c>
      <c r="O698" t="inlineStr">
        <is>
          <t>GST on Income</t>
        </is>
      </c>
      <c r="P698" t="inlineStr">
        <is>
          <t>R07</t>
        </is>
      </c>
      <c r="Q698" t="inlineStr">
        <is>
          <t>DEL-FP</t>
        </is>
      </c>
      <c r="R698">
        <f>IF(OR(Q698="CONTEXT",Q698="REVIEW"),"",INDEX('Category Rules'!$D$5:$D$17,MATCH(P698,'Category Rules'!$A$5:$A$17,0)))</f>
        <v>4020</v>
      </c>
      <c r="S698" t="str">
        <f>IF(Q698="CONTEXT","Fencing",IF(Q698="REVIEW","",INDEX('Category Rules'!$E$5:$E$17,MATCH(P698,'Category Rules'!$A$5:$A$17,0))))</f>
        <v>Fencing</v>
      </c>
      <c r="T698" t="str">
        <f>IF(Q698="DEP","BAS Excluded","GST on Income")</f>
        <v>GST on Income</v>
      </c>
      <c r="U698">
        <f>IF(O698=T698,1,0)</f>
        <v>1</v>
      </c>
      <c r="V698" s="9">
        <f>IF(OR(M698=0,U698=1),0,IF(T698="GST on Income",ROUND(K698*0.1,2),ROUND(-K698*0.1,2)))</f>
        <v>0</v>
      </c>
    </row>
    <row r="699">
      <c r="A699" t="inlineStr">
        <is>
          <t>INV-4315-2</t>
        </is>
      </c>
      <c r="B699" t="inlineStr">
        <is>
          <t>INV-4315</t>
        </is>
      </c>
      <c r="C699" s="11" t="n">
        <v>45949</v>
      </c>
      <c r="D699" t="inlineStr">
        <is>
          <t>2025-10</t>
        </is>
      </c>
      <c r="E699" t="inlineStr">
        <is>
          <t>C0063</t>
        </is>
      </c>
      <c r="F699" t="inlineStr">
        <is>
          <t>C0063</t>
        </is>
      </c>
      <c r="G699" t="inlineStr">
        <is>
          <t>Highpoint Insurance Repairs Pty Ltd</t>
        </is>
      </c>
      <c r="H699" t="inlineStr">
        <is>
          <t>S0044</t>
        </is>
      </c>
      <c r="I699" t="inlineStr">
        <is>
          <t>Installation labour - 137 panels @ 2.20</t>
        </is>
      </c>
      <c r="J699" t="n">
        <v>137</v>
      </c>
      <c r="K699" s="9" t="n">
        <v>301.4</v>
      </c>
      <c r="L699" t="inlineStr">
        <is>
          <t>PAID</t>
        </is>
      </c>
      <c r="M699">
        <f>IF(L699="VOIDED",0,1)</f>
        <v>1</v>
      </c>
      <c r="N699" t="n">
        <v>200</v>
      </c>
      <c r="O699" t="inlineStr">
        <is>
          <t>GST on Income</t>
        </is>
      </c>
      <c r="P699" t="inlineStr">
        <is>
          <t>R07</t>
        </is>
      </c>
      <c r="Q699" t="inlineStr">
        <is>
          <t>DEL-FP</t>
        </is>
      </c>
      <c r="R699">
        <f>IF(OR(Q699="CONTEXT",Q699="REVIEW"),"",INDEX('Category Rules'!$D$5:$D$17,MATCH(P699,'Category Rules'!$A$5:$A$17,0)))</f>
        <v>4020</v>
      </c>
      <c r="S699" t="str">
        <f>IF(Q699="CONTEXT","Fencing",IF(Q699="REVIEW","",INDEX('Category Rules'!$E$5:$E$17,MATCH(P699,'Category Rules'!$A$5:$A$17,0))))</f>
        <v>Fencing</v>
      </c>
      <c r="T699" t="str">
        <f>IF(Q699="DEP","BAS Excluded","GST on Income")</f>
        <v>GST on Income</v>
      </c>
      <c r="U699">
        <f>IF(O699=T699,1,0)</f>
        <v>1</v>
      </c>
      <c r="V699" s="9">
        <f>IF(OR(M699=0,U699=1),0,IF(T699="GST on Income",ROUND(K699*0.1,2),ROUND(-K699*0.1,2)))</f>
        <v>0</v>
      </c>
    </row>
    <row r="700">
      <c r="A700" t="inlineStr">
        <is>
          <t>INV-4315-3</t>
        </is>
      </c>
      <c r="B700" t="inlineStr">
        <is>
          <t>INV-4315</t>
        </is>
      </c>
      <c r="C700" s="11" t="n">
        <v>45949</v>
      </c>
      <c r="D700" t="inlineStr">
        <is>
          <t>2025-10</t>
        </is>
      </c>
      <c r="E700" t="inlineStr">
        <is>
          <t>C0063</t>
        </is>
      </c>
      <c r="F700" t="inlineStr">
        <is>
          <t>C0063</t>
        </is>
      </c>
      <c r="G700" t="inlineStr">
        <is>
          <t>Highpoint Insurance Repairs Pty Ltd</t>
        </is>
      </c>
      <c r="H700" t="inlineStr">
        <is>
          <t>S0044</t>
        </is>
      </c>
      <c r="I700" t="inlineStr">
        <is>
          <t>Security deposit - fence panels (refundable)</t>
        </is>
      </c>
      <c r="J700" t="n">
        <v>1</v>
      </c>
      <c r="K700" s="9" t="n">
        <v>1100</v>
      </c>
      <c r="L700" t="inlineStr">
        <is>
          <t>PAID</t>
        </is>
      </c>
      <c r="M700">
        <f>IF(L700="VOIDED",0,1)</f>
        <v>1</v>
      </c>
      <c r="N700" t="n">
        <v>200</v>
      </c>
      <c r="O700" t="inlineStr">
        <is>
          <t>GST on Income</t>
        </is>
      </c>
      <c r="P700" t="inlineStr">
        <is>
          <t>R01</t>
        </is>
      </c>
      <c r="Q700" t="inlineStr">
        <is>
          <t>DEP</t>
        </is>
      </c>
      <c r="R700">
        <f>IF(OR(Q700="CONTEXT",Q700="REVIEW"),"",INDEX('Category Rules'!$D$5:$D$17,MATCH(P700,'Category Rules'!$A$5:$A$17,0)))</f>
        <v>835</v>
      </c>
      <c r="S700" t="str">
        <f>IF(Q700="CONTEXT","Fencing",IF(Q700="REVIEW","",INDEX('Category Rules'!$E$5:$E$17,MATCH(P700,'Category Rules'!$A$5:$A$17,0))))</f>
        <v>Fencing</v>
      </c>
      <c r="T700" t="str">
        <f>IF(Q700="DEP","BAS Excluded","GST on Income")</f>
        <v>BAS Excluded</v>
      </c>
      <c r="U700">
        <f>IF(O700=T700,1,0)</f>
        <v>0</v>
      </c>
      <c r="V700" s="9">
        <f>IF(OR(M700=0,U700=1),0,IF(T700="GST on Income",ROUND(K700*0.1,2),ROUND(-K700*0.1,2)))</f>
        <v>-110</v>
      </c>
    </row>
    <row r="701">
      <c r="A701" t="inlineStr">
        <is>
          <t>INV-4787-1</t>
        </is>
      </c>
      <c r="B701" t="inlineStr">
        <is>
          <t>INV-4787</t>
        </is>
      </c>
      <c r="C701" s="11" t="n">
        <v>45949</v>
      </c>
      <c r="D701" t="inlineStr">
        <is>
          <t>2025-10</t>
        </is>
      </c>
      <c r="E701" t="inlineStr">
        <is>
          <t>C0029</t>
        </is>
      </c>
      <c r="F701" t="inlineStr">
        <is>
          <t>C0029</t>
        </is>
      </c>
      <c r="G701" t="inlineStr">
        <is>
          <t>Ironbark Constructions</t>
        </is>
      </c>
      <c r="H701" t="inlineStr">
        <is>
          <t>S0147</t>
        </is>
      </c>
      <c r="I701" t="inlineStr">
        <is>
          <t>Temporary fence hire 4 wks (21/09/25-18/10/25) - 40 panels</t>
        </is>
      </c>
      <c r="J701" t="n">
        <v>160</v>
      </c>
      <c r="K701" s="9" t="n">
        <v>720</v>
      </c>
      <c r="L701" t="inlineStr">
        <is>
          <t>PAID</t>
        </is>
      </c>
      <c r="M701">
        <f>IF(L701="VOIDED",0,1)</f>
        <v>1</v>
      </c>
      <c r="N701" t="n">
        <v>200</v>
      </c>
      <c r="O701" t="inlineStr">
        <is>
          <t>GST on Income</t>
        </is>
      </c>
      <c r="P701" t="inlineStr">
        <is>
          <t>R03</t>
        </is>
      </c>
      <c r="Q701" t="inlineStr">
        <is>
          <t>HIRE-FP</t>
        </is>
      </c>
      <c r="R701">
        <f>IF(OR(Q701="CONTEXT",Q701="REVIEW"),"",INDEX('Category Rules'!$D$5:$D$17,MATCH(P701,'Category Rules'!$A$5:$A$17,0)))</f>
        <v>4010</v>
      </c>
      <c r="S701" t="str">
        <f>IF(Q701="CONTEXT","Fencing",IF(Q701="REVIEW","",INDEX('Category Rules'!$E$5:$E$17,MATCH(P701,'Category Rules'!$A$5:$A$17,0))))</f>
        <v>Fencing</v>
      </c>
      <c r="T701" t="str">
        <f>IF(Q701="DEP","BAS Excluded","GST on Income")</f>
        <v>GST on Income</v>
      </c>
      <c r="U701">
        <f>IF(O701=T701,1,0)</f>
        <v>1</v>
      </c>
      <c r="V701" s="9">
        <f>IF(OR(M701=0,U701=1),0,IF(T701="GST on Income",ROUND(K701*0.1,2),ROUND(-K701*0.1,2)))</f>
        <v>0</v>
      </c>
    </row>
    <row r="702">
      <c r="A702" t="inlineStr">
        <is>
          <t>INV-5697-1</t>
        </is>
      </c>
      <c r="B702" t="inlineStr">
        <is>
          <t>INV-5697</t>
        </is>
      </c>
      <c r="C702" s="11" t="n">
        <v>45949</v>
      </c>
      <c r="D702" t="inlineStr">
        <is>
          <t>2025-10</t>
        </is>
      </c>
      <c r="E702" t="inlineStr">
        <is>
          <t>C0033</t>
        </is>
      </c>
      <c r="F702" t="inlineStr">
        <is>
          <t>C0033</t>
        </is>
      </c>
      <c r="G702" t="inlineStr">
        <is>
          <t>Granite Projects Pty Ltd</t>
        </is>
      </c>
      <c r="H702" t="inlineStr">
        <is>
          <t>S0434</t>
        </is>
      </c>
      <c r="I702" t="inlineStr">
        <is>
          <t>Tarp kit hire 2 wks (11/10/25-18/10/25) - 3 kits</t>
        </is>
      </c>
      <c r="J702" t="n">
        <v>6</v>
      </c>
      <c r="K702" s="9" t="n">
        <v>210</v>
      </c>
      <c r="L702" t="inlineStr">
        <is>
          <t>PAID</t>
        </is>
      </c>
      <c r="M702">
        <f>IF(L702="VOIDED",0,1)</f>
        <v>1</v>
      </c>
      <c r="N702" t="n">
        <v>200</v>
      </c>
      <c r="O702" t="inlineStr">
        <is>
          <t>GST on Income</t>
        </is>
      </c>
      <c r="P702" t="inlineStr">
        <is>
          <t>R06</t>
        </is>
      </c>
      <c r="Q702" t="inlineStr">
        <is>
          <t>HIRE-TK</t>
        </is>
      </c>
      <c r="R702">
        <f>IF(OR(Q702="CONTEXT",Q702="REVIEW"),"",INDEX('Category Rules'!$D$5:$D$17,MATCH(P702,'Category Rules'!$A$5:$A$17,0)))</f>
        <v>4010</v>
      </c>
      <c r="S702" t="str">
        <f>IF(Q702="CONTEXT","Make-safe",IF(Q702="REVIEW","",INDEX('Category Rules'!$E$5:$E$17,MATCH(P702,'Category Rules'!$A$5:$A$17,0))))</f>
        <v>Make-safe</v>
      </c>
      <c r="T702" t="str">
        <f>IF(Q702="DEP","BAS Excluded","GST on Income")</f>
        <v>GST on Income</v>
      </c>
      <c r="U702">
        <f>IF(O702=T702,1,0)</f>
        <v>1</v>
      </c>
      <c r="V702" s="9">
        <f>IF(OR(M702=0,U702=1),0,IF(T702="GST on Income",ROUND(K702*0.1,2),ROUND(-K702*0.1,2)))</f>
        <v>0</v>
      </c>
    </row>
    <row r="703">
      <c r="A703" t="inlineStr">
        <is>
          <t>INV-4609-1</t>
        </is>
      </c>
      <c r="B703" t="inlineStr">
        <is>
          <t>INV-4609</t>
        </is>
      </c>
      <c r="C703" s="11" t="n">
        <v>45950</v>
      </c>
      <c r="D703" t="inlineStr">
        <is>
          <t>2025-10</t>
        </is>
      </c>
      <c r="E703" t="inlineStr">
        <is>
          <t>C0024</t>
        </is>
      </c>
      <c r="F703" t="inlineStr">
        <is>
          <t>C0024</t>
        </is>
      </c>
      <c r="G703" t="inlineStr">
        <is>
          <t>Parkview Homes Pty Ltd</t>
        </is>
      </c>
      <c r="H703" t="inlineStr">
        <is>
          <t>S0101</t>
        </is>
      </c>
      <c r="I703" t="inlineStr">
        <is>
          <t>Temporary fence hire 2 wks (07/10/25-19/10/25) - 51 panels</t>
        </is>
      </c>
      <c r="J703" t="n">
        <v>102</v>
      </c>
      <c r="K703" s="9" t="n">
        <v>459</v>
      </c>
      <c r="L703" t="inlineStr">
        <is>
          <t>PAID</t>
        </is>
      </c>
      <c r="M703">
        <f>IF(L703="VOIDED",0,1)</f>
        <v>1</v>
      </c>
      <c r="N703" t="n">
        <v>200</v>
      </c>
      <c r="O703" t="inlineStr">
        <is>
          <t>GST on Income</t>
        </is>
      </c>
      <c r="P703" t="inlineStr">
        <is>
          <t>R03</t>
        </is>
      </c>
      <c r="Q703" t="inlineStr">
        <is>
          <t>HIRE-FP</t>
        </is>
      </c>
      <c r="R703">
        <f>IF(OR(Q703="CONTEXT",Q703="REVIEW"),"",INDEX('Category Rules'!$D$5:$D$17,MATCH(P703,'Category Rules'!$A$5:$A$17,0)))</f>
        <v>4010</v>
      </c>
      <c r="S703" t="str">
        <f>IF(Q703="CONTEXT","Fencing",IF(Q703="REVIEW","",INDEX('Category Rules'!$E$5:$E$17,MATCH(P703,'Category Rules'!$A$5:$A$17,0))))</f>
        <v>Fencing</v>
      </c>
      <c r="T703" t="str">
        <f>IF(Q703="DEP","BAS Excluded","GST on Income")</f>
        <v>GST on Income</v>
      </c>
      <c r="U703">
        <f>IF(O703=T703,1,0)</f>
        <v>1</v>
      </c>
      <c r="V703" s="9">
        <f>IF(OR(M703=0,U703=1),0,IF(T703="GST on Income",ROUND(K703*0.1,2),ROUND(-K703*0.1,2)))</f>
        <v>0</v>
      </c>
    </row>
    <row r="704">
      <c r="A704" t="inlineStr">
        <is>
          <t>INV-4611-1</t>
        </is>
      </c>
      <c r="B704" t="inlineStr">
        <is>
          <t>INV-4611</t>
        </is>
      </c>
      <c r="C704" s="11" t="n">
        <v>45950</v>
      </c>
      <c r="D704" t="inlineStr">
        <is>
          <t>2025-10</t>
        </is>
      </c>
      <c r="E704" t="inlineStr">
        <is>
          <t>C0024</t>
        </is>
      </c>
      <c r="F704" t="inlineStr">
        <is>
          <t>C0024</t>
        </is>
      </c>
      <c r="G704" t="inlineStr">
        <is>
          <t>Parkview Homes Pty Ltd</t>
        </is>
      </c>
      <c r="H704" t="inlineStr">
        <is>
          <t>S0101</t>
        </is>
      </c>
      <c r="I704" t="inlineStr">
        <is>
          <t>Collection and dismantle - temporary fencing</t>
        </is>
      </c>
      <c r="J704" t="n">
        <v>1</v>
      </c>
      <c r="K704" s="9" t="n">
        <v>165</v>
      </c>
      <c r="L704" t="inlineStr">
        <is>
          <t>PAID</t>
        </is>
      </c>
      <c r="M704">
        <f>IF(L704="VOIDED",0,1)</f>
        <v>1</v>
      </c>
      <c r="N704" t="n">
        <v>200</v>
      </c>
      <c r="O704" t="inlineStr">
        <is>
          <t>GST on Income</t>
        </is>
      </c>
      <c r="P704" t="inlineStr">
        <is>
          <t>R07</t>
        </is>
      </c>
      <c r="Q704" t="inlineStr">
        <is>
          <t>DEL-FP</t>
        </is>
      </c>
      <c r="R704">
        <f>IF(OR(Q704="CONTEXT",Q704="REVIEW"),"",INDEX('Category Rules'!$D$5:$D$17,MATCH(P704,'Category Rules'!$A$5:$A$17,0)))</f>
        <v>4020</v>
      </c>
      <c r="S704" t="str">
        <f>IF(Q704="CONTEXT","Fencing",IF(Q704="REVIEW","",INDEX('Category Rules'!$E$5:$E$17,MATCH(P704,'Category Rules'!$A$5:$A$17,0))))</f>
        <v>Fencing</v>
      </c>
      <c r="T704" t="str">
        <f>IF(Q704="DEP","BAS Excluded","GST on Income")</f>
        <v>GST on Income</v>
      </c>
      <c r="U704">
        <f>IF(O704=T704,1,0)</f>
        <v>1</v>
      </c>
      <c r="V704" s="9">
        <f>IF(OR(M704=0,U704=1),0,IF(T704="GST on Income",ROUND(K704*0.1,2),ROUND(-K704*0.1,2)))</f>
        <v>0</v>
      </c>
    </row>
    <row r="705">
      <c r="A705" t="inlineStr">
        <is>
          <t>INV-4611-2</t>
        </is>
      </c>
      <c r="B705" t="inlineStr">
        <is>
          <t>INV-4611</t>
        </is>
      </c>
      <c r="C705" s="11" t="n">
        <v>45950</v>
      </c>
      <c r="D705" t="inlineStr">
        <is>
          <t>2025-10</t>
        </is>
      </c>
      <c r="E705" t="inlineStr">
        <is>
          <t>C0024</t>
        </is>
      </c>
      <c r="F705" t="inlineStr">
        <is>
          <t>C0024</t>
        </is>
      </c>
      <c r="G705" t="inlineStr">
        <is>
          <t>Parkview Homes Pty Ltd</t>
        </is>
      </c>
      <c r="H705" t="inlineStr">
        <is>
          <t>S0101</t>
        </is>
      </c>
      <c r="I705" t="inlineStr">
        <is>
          <t>Lost/damaged panels charged - 5 @ 145.00</t>
        </is>
      </c>
      <c r="J705" t="n">
        <v>5</v>
      </c>
      <c r="K705" s="9" t="n">
        <v>725</v>
      </c>
      <c r="L705" t="inlineStr">
        <is>
          <t>PAID</t>
        </is>
      </c>
      <c r="M705">
        <f>IF(L705="VOIDED",0,1)</f>
        <v>1</v>
      </c>
      <c r="N705" t="n">
        <v>200</v>
      </c>
      <c r="O705" t="inlineStr">
        <is>
          <t>GST on Income</t>
        </is>
      </c>
      <c r="P705" t="inlineStr">
        <is>
          <t>R02</t>
        </is>
      </c>
      <c r="Q705" t="inlineStr">
        <is>
          <t>LOSS</t>
        </is>
      </c>
      <c r="R705">
        <f>IF(OR(Q705="CONTEXT",Q705="REVIEW"),"",INDEX('Category Rules'!$D$5:$D$17,MATCH(P705,'Category Rules'!$A$5:$A$17,0)))</f>
        <v>4040</v>
      </c>
      <c r="S705" t="str">
        <f>IF(Q705="CONTEXT","Fencing",IF(Q705="REVIEW","",INDEX('Category Rules'!$E$5:$E$17,MATCH(P705,'Category Rules'!$A$5:$A$17,0))))</f>
        <v>Fencing</v>
      </c>
      <c r="T705" t="str">
        <f>IF(Q705="DEP","BAS Excluded","GST on Income")</f>
        <v>GST on Income</v>
      </c>
      <c r="U705">
        <f>IF(O705=T705,1,0)</f>
        <v>1</v>
      </c>
      <c r="V705" s="9">
        <f>IF(OR(M705=0,U705=1),0,IF(T705="GST on Income",ROUND(K705*0.1,2),ROUND(-K705*0.1,2)))</f>
        <v>0</v>
      </c>
    </row>
    <row r="706">
      <c r="A706" t="inlineStr">
        <is>
          <t>INV-4713-1</t>
        </is>
      </c>
      <c r="B706" t="inlineStr">
        <is>
          <t>INV-4713</t>
        </is>
      </c>
      <c r="C706" s="11" t="n">
        <v>45950</v>
      </c>
      <c r="D706" t="inlineStr">
        <is>
          <t>2025-10</t>
        </is>
      </c>
      <c r="E706" t="inlineStr">
        <is>
          <t>C0030</t>
        </is>
      </c>
      <c r="F706" t="inlineStr">
        <is>
          <t>C0030</t>
        </is>
      </c>
      <c r="G706" t="inlineStr">
        <is>
          <t>Bluegum Developments</t>
        </is>
      </c>
      <c r="H706" t="inlineStr">
        <is>
          <t>S0126</t>
        </is>
      </c>
      <c r="I706" t="inlineStr">
        <is>
          <t>Delivery and installation - temporary fencing</t>
        </is>
      </c>
      <c r="J706" t="n">
        <v>1</v>
      </c>
      <c r="K706" s="9" t="n">
        <v>165</v>
      </c>
      <c r="L706" t="inlineStr">
        <is>
          <t>PAID</t>
        </is>
      </c>
      <c r="M706">
        <f>IF(L706="VOIDED",0,1)</f>
        <v>1</v>
      </c>
      <c r="N706" t="n">
        <v>200</v>
      </c>
      <c r="O706" t="inlineStr">
        <is>
          <t>GST on Income</t>
        </is>
      </c>
      <c r="P706" t="inlineStr">
        <is>
          <t>R07</t>
        </is>
      </c>
      <c r="Q706" t="inlineStr">
        <is>
          <t>DEL-FP</t>
        </is>
      </c>
      <c r="R706">
        <f>IF(OR(Q706="CONTEXT",Q706="REVIEW"),"",INDEX('Category Rules'!$D$5:$D$17,MATCH(P706,'Category Rules'!$A$5:$A$17,0)))</f>
        <v>4020</v>
      </c>
      <c r="S706" t="str">
        <f>IF(Q706="CONTEXT","Fencing",IF(Q706="REVIEW","",INDEX('Category Rules'!$E$5:$E$17,MATCH(P706,'Category Rules'!$A$5:$A$17,0))))</f>
        <v>Fencing</v>
      </c>
      <c r="T706" t="str">
        <f>IF(Q706="DEP","BAS Excluded","GST on Income")</f>
        <v>GST on Income</v>
      </c>
      <c r="U706">
        <f>IF(O706=T706,1,0)</f>
        <v>1</v>
      </c>
      <c r="V706" s="9">
        <f>IF(OR(M706=0,U706=1),0,IF(T706="GST on Income",ROUND(K706*0.1,2),ROUND(-K706*0.1,2)))</f>
        <v>0</v>
      </c>
    </row>
    <row r="707">
      <c r="A707" t="inlineStr">
        <is>
          <t>INV-4713-2</t>
        </is>
      </c>
      <c r="B707" t="inlineStr">
        <is>
          <t>INV-4713</t>
        </is>
      </c>
      <c r="C707" s="11" t="n">
        <v>45950</v>
      </c>
      <c r="D707" t="inlineStr">
        <is>
          <t>2025-10</t>
        </is>
      </c>
      <c r="E707" t="inlineStr">
        <is>
          <t>C0030</t>
        </is>
      </c>
      <c r="F707" t="inlineStr">
        <is>
          <t>C0030</t>
        </is>
      </c>
      <c r="G707" t="inlineStr">
        <is>
          <t>Bluegum Developments</t>
        </is>
      </c>
      <c r="H707" t="inlineStr">
        <is>
          <t>S0126</t>
        </is>
      </c>
      <c r="I707" t="inlineStr">
        <is>
          <t>Installation labour - 129 panels @ 2.20</t>
        </is>
      </c>
      <c r="J707" t="n">
        <v>129</v>
      </c>
      <c r="K707" s="9" t="n">
        <v>283.8</v>
      </c>
      <c r="L707" t="inlineStr">
        <is>
          <t>PAID</t>
        </is>
      </c>
      <c r="M707">
        <f>IF(L707="VOIDED",0,1)</f>
        <v>1</v>
      </c>
      <c r="N707" t="n">
        <v>200</v>
      </c>
      <c r="O707" t="inlineStr">
        <is>
          <t>GST Free Income</t>
        </is>
      </c>
      <c r="P707" t="inlineStr">
        <is>
          <t>R07</t>
        </is>
      </c>
      <c r="Q707" t="inlineStr">
        <is>
          <t>DEL-FP</t>
        </is>
      </c>
      <c r="R707">
        <f>IF(OR(Q707="CONTEXT",Q707="REVIEW"),"",INDEX('Category Rules'!$D$5:$D$17,MATCH(P707,'Category Rules'!$A$5:$A$17,0)))</f>
        <v>4020</v>
      </c>
      <c r="S707" t="str">
        <f>IF(Q707="CONTEXT","Fencing",IF(Q707="REVIEW","",INDEX('Category Rules'!$E$5:$E$17,MATCH(P707,'Category Rules'!$A$5:$A$17,0))))</f>
        <v>Fencing</v>
      </c>
      <c r="T707" t="str">
        <f>IF(Q707="DEP","BAS Excluded","GST on Income")</f>
        <v>GST on Income</v>
      </c>
      <c r="U707">
        <f>IF(O707=T707,1,0)</f>
        <v>0</v>
      </c>
      <c r="V707" s="9">
        <f>IF(OR(M707=0,U707=1),0,IF(T707="GST on Income",ROUND(K707*0.1,2),ROUND(-K707*0.1,2)))</f>
        <v>28.38</v>
      </c>
    </row>
    <row r="708">
      <c r="A708" t="inlineStr">
        <is>
          <t>INV-4443-1</t>
        </is>
      </c>
      <c r="B708" t="inlineStr">
        <is>
          <t>INV-4443</t>
        </is>
      </c>
      <c r="C708" s="11" t="n">
        <v>45951</v>
      </c>
      <c r="D708" t="inlineStr">
        <is>
          <t>2025-10</t>
        </is>
      </c>
      <c r="E708" t="inlineStr">
        <is>
          <t>C0038</t>
        </is>
      </c>
      <c r="F708" t="inlineStr">
        <is>
          <t>C0038</t>
        </is>
      </c>
      <c r="G708" t="inlineStr">
        <is>
          <t>Cobalt Constructions Pty Ltd</t>
        </is>
      </c>
      <c r="H708" t="inlineStr">
        <is>
          <t>S0068</t>
        </is>
      </c>
      <c r="I708" t="inlineStr">
        <is>
          <t>Temporary fence hire 4 wks (23/09/25-20/10/25) - 38 panels</t>
        </is>
      </c>
      <c r="J708" t="n">
        <v>152</v>
      </c>
      <c r="K708" s="9" t="n">
        <v>684</v>
      </c>
      <c r="L708" t="inlineStr">
        <is>
          <t>PAID</t>
        </is>
      </c>
      <c r="M708">
        <f>IF(L708="VOIDED",0,1)</f>
        <v>1</v>
      </c>
      <c r="N708" t="n">
        <v>200</v>
      </c>
      <c r="O708" t="inlineStr">
        <is>
          <t>GST on Income</t>
        </is>
      </c>
      <c r="P708" t="inlineStr">
        <is>
          <t>R03</t>
        </is>
      </c>
      <c r="Q708" t="inlineStr">
        <is>
          <t>HIRE-FP</t>
        </is>
      </c>
      <c r="R708">
        <f>IF(OR(Q708="CONTEXT",Q708="REVIEW"),"",INDEX('Category Rules'!$D$5:$D$17,MATCH(P708,'Category Rules'!$A$5:$A$17,0)))</f>
        <v>4010</v>
      </c>
      <c r="S708" t="str">
        <f>IF(Q708="CONTEXT","Fencing",IF(Q708="REVIEW","",INDEX('Category Rules'!$E$5:$E$17,MATCH(P708,'Category Rules'!$A$5:$A$17,0))))</f>
        <v>Fencing</v>
      </c>
      <c r="T708" t="str">
        <f>IF(Q708="DEP","BAS Excluded","GST on Income")</f>
        <v>GST on Income</v>
      </c>
      <c r="U708">
        <f>IF(O708=T708,1,0)</f>
        <v>1</v>
      </c>
      <c r="V708" s="9">
        <f>IF(OR(M708=0,U708=1),0,IF(T708="GST on Income",ROUND(K708*0.1,2),ROUND(-K708*0.1,2)))</f>
        <v>0</v>
      </c>
    </row>
    <row r="709">
      <c r="A709" t="inlineStr">
        <is>
          <t>INV-4492-1</t>
        </is>
      </c>
      <c r="B709" t="inlineStr">
        <is>
          <t>INV-4492</t>
        </is>
      </c>
      <c r="C709" s="11" t="n">
        <v>45951</v>
      </c>
      <c r="D709" t="inlineStr">
        <is>
          <t>2025-10</t>
        </is>
      </c>
      <c r="E709" t="inlineStr">
        <is>
          <t>C0070</t>
        </is>
      </c>
      <c r="F709" t="inlineStr">
        <is>
          <t>C0070</t>
        </is>
      </c>
      <c r="G709" t="inlineStr">
        <is>
          <t>Banyule City Council</t>
        </is>
      </c>
      <c r="H709" t="inlineStr">
        <is>
          <t>S0082</t>
        </is>
      </c>
      <c r="I709" t="inlineStr">
        <is>
          <t>Temporary fence hire 4 wks (23/09/25-20/10/25) - 158 panels</t>
        </is>
      </c>
      <c r="J709" t="n">
        <v>632</v>
      </c>
      <c r="K709" s="9" t="n">
        <v>2844</v>
      </c>
      <c r="L709" t="inlineStr">
        <is>
          <t>PAID</t>
        </is>
      </c>
      <c r="M709">
        <f>IF(L709="VOIDED",0,1)</f>
        <v>1</v>
      </c>
      <c r="N709" t="n">
        <v>200</v>
      </c>
      <c r="O709" t="inlineStr">
        <is>
          <t>GST on Income</t>
        </is>
      </c>
      <c r="P709" t="inlineStr">
        <is>
          <t>R03</t>
        </is>
      </c>
      <c r="Q709" t="inlineStr">
        <is>
          <t>HIRE-FP</t>
        </is>
      </c>
      <c r="R709">
        <f>IF(OR(Q709="CONTEXT",Q709="REVIEW"),"",INDEX('Category Rules'!$D$5:$D$17,MATCH(P709,'Category Rules'!$A$5:$A$17,0)))</f>
        <v>4010</v>
      </c>
      <c r="S709" t="str">
        <f>IF(Q709="CONTEXT","Fencing",IF(Q709="REVIEW","",INDEX('Category Rules'!$E$5:$E$17,MATCH(P709,'Category Rules'!$A$5:$A$17,0))))</f>
        <v>Fencing</v>
      </c>
      <c r="T709" t="str">
        <f>IF(Q709="DEP","BAS Excluded","GST on Income")</f>
        <v>GST on Income</v>
      </c>
      <c r="U709">
        <f>IF(O709=T709,1,0)</f>
        <v>1</v>
      </c>
      <c r="V709" s="9">
        <f>IF(OR(M709=0,U709=1),0,IF(T709="GST on Income",ROUND(K709*0.1,2),ROUND(-K709*0.1,2)))</f>
        <v>0</v>
      </c>
    </row>
    <row r="710">
      <c r="A710" t="inlineStr">
        <is>
          <t>INV-4628-1</t>
        </is>
      </c>
      <c r="B710" t="inlineStr">
        <is>
          <t>INV-4628</t>
        </is>
      </c>
      <c r="C710" s="11" t="n">
        <v>45951</v>
      </c>
      <c r="D710" t="inlineStr">
        <is>
          <t>2025-10</t>
        </is>
      </c>
      <c r="E710" t="inlineStr">
        <is>
          <t>C0080</t>
        </is>
      </c>
      <c r="F710" t="inlineStr">
        <is>
          <t>C0080</t>
        </is>
      </c>
      <c r="G710" t="inlineStr">
        <is>
          <t>Ember Productions Pty Ltd</t>
        </is>
      </c>
      <c r="H710" t="inlineStr">
        <is>
          <t>S0107</t>
        </is>
      </c>
      <c r="I710" t="inlineStr">
        <is>
          <t>Delivery and installation - temporary fencing</t>
        </is>
      </c>
      <c r="J710" t="n">
        <v>1</v>
      </c>
      <c r="K710" s="9" t="n">
        <v>165</v>
      </c>
      <c r="L710" t="inlineStr">
        <is>
          <t>PAID</t>
        </is>
      </c>
      <c r="M710">
        <f>IF(L710="VOIDED",0,1)</f>
        <v>1</v>
      </c>
      <c r="N710" t="n">
        <v>200</v>
      </c>
      <c r="O710" t="inlineStr">
        <is>
          <t>GST on Income</t>
        </is>
      </c>
      <c r="P710" t="inlineStr">
        <is>
          <t>R07</t>
        </is>
      </c>
      <c r="Q710" t="inlineStr">
        <is>
          <t>DEL-FP</t>
        </is>
      </c>
      <c r="R710">
        <f>IF(OR(Q710="CONTEXT",Q710="REVIEW"),"",INDEX('Category Rules'!$D$5:$D$17,MATCH(P710,'Category Rules'!$A$5:$A$17,0)))</f>
        <v>4020</v>
      </c>
      <c r="S710" t="str">
        <f>IF(Q710="CONTEXT","Fencing",IF(Q710="REVIEW","",INDEX('Category Rules'!$E$5:$E$17,MATCH(P710,'Category Rules'!$A$5:$A$17,0))))</f>
        <v>Fencing</v>
      </c>
      <c r="T710" t="str">
        <f>IF(Q710="DEP","BAS Excluded","GST on Income")</f>
        <v>GST on Income</v>
      </c>
      <c r="U710">
        <f>IF(O710=T710,1,0)</f>
        <v>1</v>
      </c>
      <c r="V710" s="9">
        <f>IF(OR(M710=0,U710=1),0,IF(T710="GST on Income",ROUND(K710*0.1,2),ROUND(-K710*0.1,2)))</f>
        <v>0</v>
      </c>
    </row>
    <row r="711">
      <c r="A711" t="inlineStr">
        <is>
          <t>INV-4628-2</t>
        </is>
      </c>
      <c r="B711" t="inlineStr">
        <is>
          <t>INV-4628</t>
        </is>
      </c>
      <c r="C711" s="11" t="n">
        <v>45951</v>
      </c>
      <c r="D711" t="inlineStr">
        <is>
          <t>2025-10</t>
        </is>
      </c>
      <c r="E711" t="inlineStr">
        <is>
          <t>C0080</t>
        </is>
      </c>
      <c r="F711" t="inlineStr">
        <is>
          <t>C0080</t>
        </is>
      </c>
      <c r="G711" t="inlineStr">
        <is>
          <t>Ember Productions Pty Ltd</t>
        </is>
      </c>
      <c r="H711" t="inlineStr">
        <is>
          <t>S0107</t>
        </is>
      </c>
      <c r="I711" t="inlineStr">
        <is>
          <t>Installation labour - 106 panels @ 2.20</t>
        </is>
      </c>
      <c r="J711" t="n">
        <v>106</v>
      </c>
      <c r="K711" s="9" t="n">
        <v>233.2</v>
      </c>
      <c r="L711" t="inlineStr">
        <is>
          <t>PAID</t>
        </is>
      </c>
      <c r="M711">
        <f>IF(L711="VOIDED",0,1)</f>
        <v>1</v>
      </c>
      <c r="N711" t="n">
        <v>200</v>
      </c>
      <c r="O711" t="inlineStr">
        <is>
          <t>GST on Income</t>
        </is>
      </c>
      <c r="P711" t="inlineStr">
        <is>
          <t>R07</t>
        </is>
      </c>
      <c r="Q711" t="inlineStr">
        <is>
          <t>DEL-FP</t>
        </is>
      </c>
      <c r="R711">
        <f>IF(OR(Q711="CONTEXT",Q711="REVIEW"),"",INDEX('Category Rules'!$D$5:$D$17,MATCH(P711,'Category Rules'!$A$5:$A$17,0)))</f>
        <v>4020</v>
      </c>
      <c r="S711" t="str">
        <f>IF(Q711="CONTEXT","Fencing",IF(Q711="REVIEW","",INDEX('Category Rules'!$E$5:$E$17,MATCH(P711,'Category Rules'!$A$5:$A$17,0))))</f>
        <v>Fencing</v>
      </c>
      <c r="T711" t="str">
        <f>IF(Q711="DEP","BAS Excluded","GST on Income")</f>
        <v>GST on Income</v>
      </c>
      <c r="U711">
        <f>IF(O711=T711,1,0)</f>
        <v>1</v>
      </c>
      <c r="V711" s="9">
        <f>IF(OR(M711=0,U711=1),0,IF(T711="GST on Income",ROUND(K711*0.1,2),ROUND(-K711*0.1,2)))</f>
        <v>0</v>
      </c>
    </row>
    <row r="712">
      <c r="A712" t="inlineStr">
        <is>
          <t>INV-5525-1</t>
        </is>
      </c>
      <c r="B712" t="inlineStr">
        <is>
          <t>INV-5525</t>
        </is>
      </c>
      <c r="C712" s="11" t="n">
        <v>45951</v>
      </c>
      <c r="D712" t="inlineStr">
        <is>
          <t>2025-10</t>
        </is>
      </c>
      <c r="E712" t="inlineStr">
        <is>
          <t>C0039</t>
        </is>
      </c>
      <c r="F712" t="inlineStr">
        <is>
          <t>C0039</t>
        </is>
      </c>
      <c r="G712" t="inlineStr">
        <is>
          <t>Coastline Developments Pty Ltd</t>
        </is>
      </c>
      <c r="H712" t="inlineStr">
        <is>
          <t>S0337</t>
        </is>
      </c>
      <c r="I712" t="inlineStr">
        <is>
          <t>Roof repair labour - 8 hrs</t>
        </is>
      </c>
      <c r="J712" t="n">
        <v>8</v>
      </c>
      <c r="K712" s="9" t="n">
        <v>784</v>
      </c>
      <c r="L712" t="inlineStr">
        <is>
          <t>PAID</t>
        </is>
      </c>
      <c r="M712">
        <f>IF(L712="VOIDED",0,1)</f>
        <v>1</v>
      </c>
      <c r="N712" t="n">
        <v>260</v>
      </c>
      <c r="O712" t="inlineStr">
        <is>
          <t>GST on Income</t>
        </is>
      </c>
      <c r="P712" t="inlineStr">
        <is>
          <t>R10</t>
        </is>
      </c>
      <c r="Q712" t="inlineStr">
        <is>
          <t>LAB-RF</t>
        </is>
      </c>
      <c r="R712">
        <f>IF(OR(Q712="CONTEXT",Q712="REVIEW"),"",INDEX('Category Rules'!$D$5:$D$17,MATCH(P712,'Category Rules'!$A$5:$A$17,0)))</f>
        <v>4020</v>
      </c>
      <c r="S712" t="str">
        <f>IF(Q712="CONTEXT","Roofing",IF(Q712="REVIEW","",INDEX('Category Rules'!$E$5:$E$17,MATCH(P712,'Category Rules'!$A$5:$A$17,0))))</f>
        <v>Roofing</v>
      </c>
      <c r="T712" t="str">
        <f>IF(Q712="DEP","BAS Excluded","GST on Income")</f>
        <v>GST on Income</v>
      </c>
      <c r="U712">
        <f>IF(O712=T712,1,0)</f>
        <v>1</v>
      </c>
      <c r="V712" s="9">
        <f>IF(OR(M712=0,U712=1),0,IF(T712="GST on Income",ROUND(K712*0.1,2),ROUND(-K712*0.1,2)))</f>
        <v>0</v>
      </c>
    </row>
    <row r="713">
      <c r="A713" t="inlineStr">
        <is>
          <t>INV-5525-2</t>
        </is>
      </c>
      <c r="B713" t="inlineStr">
        <is>
          <t>INV-5525</t>
        </is>
      </c>
      <c r="C713" s="11" t="n">
        <v>45951</v>
      </c>
      <c r="D713" t="inlineStr">
        <is>
          <t>2025-10</t>
        </is>
      </c>
      <c r="E713" t="inlineStr">
        <is>
          <t>C0039</t>
        </is>
      </c>
      <c r="F713" t="inlineStr">
        <is>
          <t>C0039</t>
        </is>
      </c>
      <c r="G713" t="inlineStr">
        <is>
          <t>Coastline Developments Pty Ltd</t>
        </is>
      </c>
      <c r="H713" t="inlineStr">
        <is>
          <t>S0337</t>
        </is>
      </c>
      <c r="I713" t="inlineStr">
        <is>
          <t>Materials - ridge capping</t>
        </is>
      </c>
      <c r="J713" t="n">
        <v>1</v>
      </c>
      <c r="K713" s="9" t="n">
        <v>332.81</v>
      </c>
      <c r="L713" t="inlineStr">
        <is>
          <t>PAID</t>
        </is>
      </c>
      <c r="M713">
        <f>IF(L713="VOIDED",0,1)</f>
        <v>1</v>
      </c>
      <c r="N713" t="n">
        <v>200</v>
      </c>
      <c r="O713" t="inlineStr">
        <is>
          <t>GST on Income</t>
        </is>
      </c>
      <c r="P713" t="inlineStr">
        <is>
          <t>R11</t>
        </is>
      </c>
      <c r="Q713" t="inlineStr">
        <is>
          <t>MAT-RF</t>
        </is>
      </c>
      <c r="R713">
        <f>IF(OR(Q713="CONTEXT",Q713="REVIEW"),"",INDEX('Category Rules'!$D$5:$D$17,MATCH(P713,'Category Rules'!$A$5:$A$17,0)))</f>
        <v>4030</v>
      </c>
      <c r="S713" t="str">
        <f>IF(Q713="CONTEXT","Roofing",IF(Q713="REVIEW","",INDEX('Category Rules'!$E$5:$E$17,MATCH(P713,'Category Rules'!$A$5:$A$17,0))))</f>
        <v>Roofing</v>
      </c>
      <c r="T713" t="str">
        <f>IF(Q713="DEP","BAS Excluded","GST on Income")</f>
        <v>GST on Income</v>
      </c>
      <c r="U713">
        <f>IF(O713=T713,1,0)</f>
        <v>1</v>
      </c>
      <c r="V713" s="9">
        <f>IF(OR(M713=0,U713=1),0,IF(T713="GST on Income",ROUND(K713*0.1,2),ROUND(-K713*0.1,2)))</f>
        <v>0</v>
      </c>
    </row>
    <row r="714">
      <c r="A714" t="inlineStr">
        <is>
          <t>INV-5525-3</t>
        </is>
      </c>
      <c r="B714" t="inlineStr">
        <is>
          <t>INV-5525</t>
        </is>
      </c>
      <c r="C714" s="11" t="n">
        <v>45951</v>
      </c>
      <c r="D714" t="inlineStr">
        <is>
          <t>2025-10</t>
        </is>
      </c>
      <c r="E714" t="inlineStr">
        <is>
          <t>C0039</t>
        </is>
      </c>
      <c r="F714" t="inlineStr">
        <is>
          <t>C0039</t>
        </is>
      </c>
      <c r="G714" t="inlineStr">
        <is>
          <t>Coastline Developments Pty Ltd</t>
        </is>
      </c>
      <c r="H714" t="inlineStr">
        <is>
          <t>S0337</t>
        </is>
      </c>
      <c r="I714" t="inlineStr">
        <is>
          <t>Materials - gutter and downpipe</t>
        </is>
      </c>
      <c r="J714" t="n">
        <v>1</v>
      </c>
      <c r="K714" s="9" t="n">
        <v>590.85</v>
      </c>
      <c r="L714" t="inlineStr">
        <is>
          <t>PAID</t>
        </is>
      </c>
      <c r="M714">
        <f>IF(L714="VOIDED",0,1)</f>
        <v>1</v>
      </c>
      <c r="N714" t="n">
        <v>200</v>
      </c>
      <c r="O714" t="inlineStr">
        <is>
          <t>GST on Income</t>
        </is>
      </c>
      <c r="P714" t="inlineStr">
        <is>
          <t>R11</t>
        </is>
      </c>
      <c r="Q714" t="inlineStr">
        <is>
          <t>MAT-RF</t>
        </is>
      </c>
      <c r="R714">
        <f>IF(OR(Q714="CONTEXT",Q714="REVIEW"),"",INDEX('Category Rules'!$D$5:$D$17,MATCH(P714,'Category Rules'!$A$5:$A$17,0)))</f>
        <v>4030</v>
      </c>
      <c r="S714" t="str">
        <f>IF(Q714="CONTEXT","Roofing",IF(Q714="REVIEW","",INDEX('Category Rules'!$E$5:$E$17,MATCH(P714,'Category Rules'!$A$5:$A$17,0))))</f>
        <v>Roofing</v>
      </c>
      <c r="T714" t="str">
        <f>IF(Q714="DEP","BAS Excluded","GST on Income")</f>
        <v>GST on Income</v>
      </c>
      <c r="U714">
        <f>IF(O714=T714,1,0)</f>
        <v>1</v>
      </c>
      <c r="V714" s="9">
        <f>IF(OR(M714=0,U714=1),0,IF(T714="GST on Income",ROUND(K714*0.1,2),ROUND(-K714*0.1,2)))</f>
        <v>0</v>
      </c>
    </row>
    <row r="715">
      <c r="A715" t="inlineStr">
        <is>
          <t>INV-5824-1</t>
        </is>
      </c>
      <c r="B715" t="inlineStr">
        <is>
          <t>INV-5824</t>
        </is>
      </c>
      <c r="C715" s="11" t="n">
        <v>45951</v>
      </c>
      <c r="D715" t="inlineStr">
        <is>
          <t>2025-10</t>
        </is>
      </c>
      <c r="E715" t="inlineStr">
        <is>
          <t>C0116</t>
        </is>
      </c>
      <c r="F715" t="inlineStr">
        <is>
          <t>C0116</t>
        </is>
      </c>
      <c r="G715" t="inlineStr">
        <is>
          <t>Lucas Patel</t>
        </is>
      </c>
      <c r="H715" t="inlineStr">
        <is>
          <t>S0503</t>
        </is>
      </c>
      <c r="I715" t="inlineStr">
        <is>
          <t>Roof repair labour - 12 hrs</t>
        </is>
      </c>
      <c r="J715" t="n">
        <v>12</v>
      </c>
      <c r="K715" s="9" t="n">
        <v>1176</v>
      </c>
      <c r="L715" t="inlineStr">
        <is>
          <t>PAID</t>
        </is>
      </c>
      <c r="M715">
        <f>IF(L715="VOIDED",0,1)</f>
        <v>1</v>
      </c>
      <c r="N715" t="n">
        <v>200</v>
      </c>
      <c r="O715" t="inlineStr">
        <is>
          <t>GST on Income</t>
        </is>
      </c>
      <c r="P715" t="inlineStr">
        <is>
          <t>R10</t>
        </is>
      </c>
      <c r="Q715" t="inlineStr">
        <is>
          <t>LAB-RF</t>
        </is>
      </c>
      <c r="R715">
        <f>IF(OR(Q715="CONTEXT",Q715="REVIEW"),"",INDEX('Category Rules'!$D$5:$D$17,MATCH(P715,'Category Rules'!$A$5:$A$17,0)))</f>
        <v>4020</v>
      </c>
      <c r="S715" t="str">
        <f>IF(Q715="CONTEXT","Roofing",IF(Q715="REVIEW","",INDEX('Category Rules'!$E$5:$E$17,MATCH(P715,'Category Rules'!$A$5:$A$17,0))))</f>
        <v>Roofing</v>
      </c>
      <c r="T715" t="str">
        <f>IF(Q715="DEP","BAS Excluded","GST on Income")</f>
        <v>GST on Income</v>
      </c>
      <c r="U715">
        <f>IF(O715=T715,1,0)</f>
        <v>1</v>
      </c>
      <c r="V715" s="9">
        <f>IF(OR(M715=0,U715=1),0,IF(T715="GST on Income",ROUND(K715*0.1,2),ROUND(-K715*0.1,2)))</f>
        <v>0</v>
      </c>
    </row>
    <row r="716">
      <c r="A716" t="inlineStr">
        <is>
          <t>INV-5824-2</t>
        </is>
      </c>
      <c r="B716" t="inlineStr">
        <is>
          <t>INV-5824</t>
        </is>
      </c>
      <c r="C716" s="11" t="n">
        <v>45951</v>
      </c>
      <c r="D716" t="inlineStr">
        <is>
          <t>2025-10</t>
        </is>
      </c>
      <c r="E716" t="inlineStr">
        <is>
          <t>C0116</t>
        </is>
      </c>
      <c r="F716" t="inlineStr">
        <is>
          <t>C0116</t>
        </is>
      </c>
      <c r="G716" t="inlineStr">
        <is>
          <t>Lucas Patel</t>
        </is>
      </c>
      <c r="H716" t="inlineStr">
        <is>
          <t>S0503</t>
        </is>
      </c>
      <c r="I716" t="inlineStr">
        <is>
          <t>Materials - Colorbond sheet</t>
        </is>
      </c>
      <c r="J716" t="n">
        <v>1</v>
      </c>
      <c r="K716" s="9" t="n">
        <v>603.17</v>
      </c>
      <c r="L716" t="inlineStr">
        <is>
          <t>PAID</t>
        </is>
      </c>
      <c r="M716">
        <f>IF(L716="VOIDED",0,1)</f>
        <v>1</v>
      </c>
      <c r="N716" t="n">
        <v>200</v>
      </c>
      <c r="O716" t="inlineStr">
        <is>
          <t>GST on Income</t>
        </is>
      </c>
      <c r="P716" t="inlineStr">
        <is>
          <t>R11</t>
        </is>
      </c>
      <c r="Q716" t="inlineStr">
        <is>
          <t>MAT-RF</t>
        </is>
      </c>
      <c r="R716">
        <f>IF(OR(Q716="CONTEXT",Q716="REVIEW"),"",INDEX('Category Rules'!$D$5:$D$17,MATCH(P716,'Category Rules'!$A$5:$A$17,0)))</f>
        <v>4030</v>
      </c>
      <c r="S716" t="str">
        <f>IF(Q716="CONTEXT","Roofing",IF(Q716="REVIEW","",INDEX('Category Rules'!$E$5:$E$17,MATCH(P716,'Category Rules'!$A$5:$A$17,0))))</f>
        <v>Roofing</v>
      </c>
      <c r="T716" t="str">
        <f>IF(Q716="DEP","BAS Excluded","GST on Income")</f>
        <v>GST on Income</v>
      </c>
      <c r="U716">
        <f>IF(O716=T716,1,0)</f>
        <v>1</v>
      </c>
      <c r="V716" s="9">
        <f>IF(OR(M716=0,U716=1),0,IF(T716="GST on Income",ROUND(K716*0.1,2),ROUND(-K716*0.1,2)))</f>
        <v>0</v>
      </c>
    </row>
    <row r="717">
      <c r="A717" t="inlineStr">
        <is>
          <t>INV-5824-3</t>
        </is>
      </c>
      <c r="B717" t="inlineStr">
        <is>
          <t>INV-5824</t>
        </is>
      </c>
      <c r="C717" s="11" t="n">
        <v>45951</v>
      </c>
      <c r="D717" t="inlineStr">
        <is>
          <t>2025-10</t>
        </is>
      </c>
      <c r="E717" t="inlineStr">
        <is>
          <t>C0116</t>
        </is>
      </c>
      <c r="F717" t="inlineStr">
        <is>
          <t>C0116</t>
        </is>
      </c>
      <c r="G717" t="inlineStr">
        <is>
          <t>Lucas Patel</t>
        </is>
      </c>
      <c r="H717" t="inlineStr">
        <is>
          <t>S0503</t>
        </is>
      </c>
      <c r="I717" t="inlineStr">
        <is>
          <t>Materials - gutter and downpipe</t>
        </is>
      </c>
      <c r="J717" t="n">
        <v>1</v>
      </c>
      <c r="K717" s="9" t="n">
        <v>875.83</v>
      </c>
      <c r="L717" t="inlineStr">
        <is>
          <t>PAID</t>
        </is>
      </c>
      <c r="M717">
        <f>IF(L717="VOIDED",0,1)</f>
        <v>1</v>
      </c>
      <c r="N717" t="n">
        <v>200</v>
      </c>
      <c r="O717" t="inlineStr">
        <is>
          <t>GST on Income</t>
        </is>
      </c>
      <c r="P717" t="inlineStr">
        <is>
          <t>R11</t>
        </is>
      </c>
      <c r="Q717" t="inlineStr">
        <is>
          <t>MAT-RF</t>
        </is>
      </c>
      <c r="R717">
        <f>IF(OR(Q717="CONTEXT",Q717="REVIEW"),"",INDEX('Category Rules'!$D$5:$D$17,MATCH(P717,'Category Rules'!$A$5:$A$17,0)))</f>
        <v>4030</v>
      </c>
      <c r="S717" t="str">
        <f>IF(Q717="CONTEXT","Roofing",IF(Q717="REVIEW","",INDEX('Category Rules'!$E$5:$E$17,MATCH(P717,'Category Rules'!$A$5:$A$17,0))))</f>
        <v>Roofing</v>
      </c>
      <c r="T717" t="str">
        <f>IF(Q717="DEP","BAS Excluded","GST on Income")</f>
        <v>GST on Income</v>
      </c>
      <c r="U717">
        <f>IF(O717=T717,1,0)</f>
        <v>1</v>
      </c>
      <c r="V717" s="9">
        <f>IF(OR(M717=0,U717=1),0,IF(T717="GST on Income",ROUND(K717*0.1,2),ROUND(-K717*0.1,2)))</f>
        <v>0</v>
      </c>
    </row>
    <row r="718">
      <c r="A718" t="inlineStr">
        <is>
          <t>INV-5850-1</t>
        </is>
      </c>
      <c r="B718" t="inlineStr">
        <is>
          <t>INV-5850</t>
        </is>
      </c>
      <c r="C718" s="11" t="n">
        <v>45951</v>
      </c>
      <c r="D718" t="inlineStr">
        <is>
          <t>2025-10</t>
        </is>
      </c>
      <c r="E718" t="inlineStr">
        <is>
          <t>C0132</t>
        </is>
      </c>
      <c r="F718" t="inlineStr">
        <is>
          <t>C0052</t>
        </is>
      </c>
      <c r="G718" t="inlineStr">
        <is>
          <t>Bluegum Body Corporate Pty Ltd</t>
        </is>
      </c>
      <c r="H718" t="inlineStr">
        <is>
          <t>S0520</t>
        </is>
      </c>
      <c r="I718" t="inlineStr">
        <is>
          <t>Tarp kit hire 4 wks (23/09/25-20/10/25) - 2 kits</t>
        </is>
      </c>
      <c r="J718" t="n">
        <v>8</v>
      </c>
      <c r="K718" s="9" t="n">
        <v>280</v>
      </c>
      <c r="L718" t="inlineStr">
        <is>
          <t>PAID</t>
        </is>
      </c>
      <c r="M718">
        <f>IF(L718="VOIDED",0,1)</f>
        <v>1</v>
      </c>
      <c r="N718" t="n">
        <v>200</v>
      </c>
      <c r="O718" t="inlineStr">
        <is>
          <t>GST on Income</t>
        </is>
      </c>
      <c r="P718" t="inlineStr">
        <is>
          <t>R06</t>
        </is>
      </c>
      <c r="Q718" t="inlineStr">
        <is>
          <t>HIRE-TK</t>
        </is>
      </c>
      <c r="R718">
        <f>IF(OR(Q718="CONTEXT",Q718="REVIEW"),"",INDEX('Category Rules'!$D$5:$D$17,MATCH(P718,'Category Rules'!$A$5:$A$17,0)))</f>
        <v>4010</v>
      </c>
      <c r="S718" t="str">
        <f>IF(Q718="CONTEXT","Make-safe",IF(Q718="REVIEW","",INDEX('Category Rules'!$E$5:$E$17,MATCH(P718,'Category Rules'!$A$5:$A$17,0))))</f>
        <v>Make-safe</v>
      </c>
      <c r="T718" t="str">
        <f>IF(Q718="DEP","BAS Excluded","GST on Income")</f>
        <v>GST on Income</v>
      </c>
      <c r="U718">
        <f>IF(O718=T718,1,0)</f>
        <v>1</v>
      </c>
      <c r="V718" s="9">
        <f>IF(OR(M718=0,U718=1),0,IF(T718="GST on Income",ROUND(K718*0.1,2),ROUND(-K718*0.1,2)))</f>
        <v>0</v>
      </c>
    </row>
    <row r="719">
      <c r="A719" t="inlineStr">
        <is>
          <t>INV-4101-1</t>
        </is>
      </c>
      <c r="B719" t="inlineStr">
        <is>
          <t>INV-4101</t>
        </is>
      </c>
      <c r="C719" s="11" t="n">
        <v>45952</v>
      </c>
      <c r="D719" t="inlineStr">
        <is>
          <t>2025-10</t>
        </is>
      </c>
      <c r="E719" t="inlineStr">
        <is>
          <t>C0120</t>
        </is>
      </c>
      <c r="F719" t="inlineStr">
        <is>
          <t>C0120</t>
        </is>
      </c>
      <c r="G719" t="inlineStr">
        <is>
          <t>Northgate Building Group</t>
        </is>
      </c>
      <c r="H719" t="inlineStr">
        <is>
          <t>S0001</t>
        </is>
      </c>
      <c r="I719" t="inlineStr">
        <is>
          <t>Temporary fence hire 4 wks (24/09/25-21/10/25) - 101 panels</t>
        </is>
      </c>
      <c r="J719" t="n">
        <v>404</v>
      </c>
      <c r="K719" s="9" t="n">
        <v>1818</v>
      </c>
      <c r="L719" t="inlineStr">
        <is>
          <t>PAID</t>
        </is>
      </c>
      <c r="M719">
        <f>IF(L719="VOIDED",0,1)</f>
        <v>1</v>
      </c>
      <c r="N719" t="n">
        <v>200</v>
      </c>
      <c r="O719" t="inlineStr">
        <is>
          <t>GST on Income</t>
        </is>
      </c>
      <c r="P719" t="inlineStr">
        <is>
          <t>R03</t>
        </is>
      </c>
      <c r="Q719" t="inlineStr">
        <is>
          <t>HIRE-FP</t>
        </is>
      </c>
      <c r="R719">
        <f>IF(OR(Q719="CONTEXT",Q719="REVIEW"),"",INDEX('Category Rules'!$D$5:$D$17,MATCH(P719,'Category Rules'!$A$5:$A$17,0)))</f>
        <v>4010</v>
      </c>
      <c r="S719" t="str">
        <f>IF(Q719="CONTEXT","Fencing",IF(Q719="REVIEW","",INDEX('Category Rules'!$E$5:$E$17,MATCH(P719,'Category Rules'!$A$5:$A$17,0))))</f>
        <v>Fencing</v>
      </c>
      <c r="T719" t="str">
        <f>IF(Q719="DEP","BAS Excluded","GST on Income")</f>
        <v>GST on Income</v>
      </c>
      <c r="U719">
        <f>IF(O719=T719,1,0)</f>
        <v>1</v>
      </c>
      <c r="V719" s="9">
        <f>IF(OR(M719=0,U719=1),0,IF(T719="GST on Income",ROUND(K719*0.1,2),ROUND(-K719*0.1,2)))</f>
        <v>0</v>
      </c>
    </row>
    <row r="720">
      <c r="A720" t="inlineStr">
        <is>
          <t>INV-4156-1</t>
        </is>
      </c>
      <c r="B720" t="inlineStr">
        <is>
          <t>INV-4156</t>
        </is>
      </c>
      <c r="C720" s="11" t="n">
        <v>45952</v>
      </c>
      <c r="D720" t="inlineStr">
        <is>
          <t>2025-10</t>
        </is>
      </c>
      <c r="E720" t="inlineStr">
        <is>
          <t>C0015</t>
        </is>
      </c>
      <c r="F720" t="inlineStr">
        <is>
          <t>C0015</t>
        </is>
      </c>
      <c r="G720" t="inlineStr">
        <is>
          <t>Bluegum Building Group</t>
        </is>
      </c>
      <c r="H720" t="inlineStr">
        <is>
          <t>S0011</t>
        </is>
      </c>
      <c r="I720" t="inlineStr">
        <is>
          <t>Temporary fence hire 4 wks (24/09/25-21/10/25) - 96 panels</t>
        </is>
      </c>
      <c r="J720" t="n">
        <v>384</v>
      </c>
      <c r="K720" s="9" t="n">
        <v>1728</v>
      </c>
      <c r="L720" t="inlineStr">
        <is>
          <t>PAID</t>
        </is>
      </c>
      <c r="M720">
        <f>IF(L720="VOIDED",0,1)</f>
        <v>1</v>
      </c>
      <c r="N720" t="n">
        <v>200</v>
      </c>
      <c r="O720" t="inlineStr">
        <is>
          <t>GST on Income</t>
        </is>
      </c>
      <c r="P720" t="inlineStr">
        <is>
          <t>R03</t>
        </is>
      </c>
      <c r="Q720" t="inlineStr">
        <is>
          <t>HIRE-FP</t>
        </is>
      </c>
      <c r="R720">
        <f>IF(OR(Q720="CONTEXT",Q720="REVIEW"),"",INDEX('Category Rules'!$D$5:$D$17,MATCH(P720,'Category Rules'!$A$5:$A$17,0)))</f>
        <v>4010</v>
      </c>
      <c r="S720" t="str">
        <f>IF(Q720="CONTEXT","Fencing",IF(Q720="REVIEW","",INDEX('Category Rules'!$E$5:$E$17,MATCH(P720,'Category Rules'!$A$5:$A$17,0))))</f>
        <v>Fencing</v>
      </c>
      <c r="T720" t="str">
        <f>IF(Q720="DEP","BAS Excluded","GST on Income")</f>
        <v>GST on Income</v>
      </c>
      <c r="U720">
        <f>IF(O720=T720,1,0)</f>
        <v>1</v>
      </c>
      <c r="V720" s="9">
        <f>IF(OR(M720=0,U720=1),0,IF(T720="GST on Income",ROUND(K720*0.1,2),ROUND(-K720*0.1,2)))</f>
        <v>0</v>
      </c>
    </row>
    <row r="721">
      <c r="A721" t="inlineStr">
        <is>
          <t>INV-5094-1</t>
        </is>
      </c>
      <c r="B721" t="inlineStr">
        <is>
          <t>INV-5094</t>
        </is>
      </c>
      <c r="C721" s="11" t="n">
        <v>45952</v>
      </c>
      <c r="D721" t="inlineStr">
        <is>
          <t>2025-10</t>
        </is>
      </c>
      <c r="E721" t="inlineStr">
        <is>
          <t>C0122</t>
        </is>
      </c>
      <c r="F721" t="inlineStr">
        <is>
          <t>C0122</t>
        </is>
      </c>
      <c r="G721" t="inlineStr">
        <is>
          <t>Bluegum Construction Pty Ltd</t>
        </is>
      </c>
      <c r="H721" t="inlineStr">
        <is>
          <t>S0214</t>
        </is>
      </c>
      <c r="I721" t="inlineStr">
        <is>
          <t>Temporary fence hire 3 wks (06/10/25-21/10/25) - 147 panels</t>
        </is>
      </c>
      <c r="J721" t="n">
        <v>441</v>
      </c>
      <c r="K721" s="9" t="n">
        <v>1984.5</v>
      </c>
      <c r="L721" t="inlineStr">
        <is>
          <t>PAID</t>
        </is>
      </c>
      <c r="M721">
        <f>IF(L721="VOIDED",0,1)</f>
        <v>1</v>
      </c>
      <c r="N721" t="n">
        <v>200</v>
      </c>
      <c r="O721" t="inlineStr">
        <is>
          <t>GST on Income</t>
        </is>
      </c>
      <c r="P721" t="inlineStr">
        <is>
          <t>R03</t>
        </is>
      </c>
      <c r="Q721" t="inlineStr">
        <is>
          <t>HIRE-FP</t>
        </is>
      </c>
      <c r="R721">
        <f>IF(OR(Q721="CONTEXT",Q721="REVIEW"),"",INDEX('Category Rules'!$D$5:$D$17,MATCH(P721,'Category Rules'!$A$5:$A$17,0)))</f>
        <v>4010</v>
      </c>
      <c r="S721" t="str">
        <f>IF(Q721="CONTEXT","Fencing",IF(Q721="REVIEW","",INDEX('Category Rules'!$E$5:$E$17,MATCH(P721,'Category Rules'!$A$5:$A$17,0))))</f>
        <v>Fencing</v>
      </c>
      <c r="T721" t="str">
        <f>IF(Q721="DEP","BAS Excluded","GST on Income")</f>
        <v>GST on Income</v>
      </c>
      <c r="U721">
        <f>IF(O721=T721,1,0)</f>
        <v>1</v>
      </c>
      <c r="V721" s="9">
        <f>IF(OR(M721=0,U721=1),0,IF(T721="GST on Income",ROUND(K721*0.1,2),ROUND(-K721*0.1,2)))</f>
        <v>0</v>
      </c>
    </row>
    <row r="722">
      <c r="A722" t="inlineStr">
        <is>
          <t>INV-5096-1</t>
        </is>
      </c>
      <c r="B722" t="inlineStr">
        <is>
          <t>INV-5096</t>
        </is>
      </c>
      <c r="C722" s="11" t="n">
        <v>45952</v>
      </c>
      <c r="D722" t="inlineStr">
        <is>
          <t>2025-10</t>
        </is>
      </c>
      <c r="E722" t="inlineStr">
        <is>
          <t>C0122</t>
        </is>
      </c>
      <c r="F722" t="inlineStr">
        <is>
          <t>C0122</t>
        </is>
      </c>
      <c r="G722" t="inlineStr">
        <is>
          <t>Bluegum Construction Pty Ltd</t>
        </is>
      </c>
      <c r="H722" t="inlineStr">
        <is>
          <t>S0214</t>
        </is>
      </c>
      <c r="I722" t="inlineStr">
        <is>
          <t>Collection and dismantle - temporary fencing</t>
        </is>
      </c>
      <c r="J722" t="n">
        <v>1</v>
      </c>
      <c r="K722" s="9" t="n">
        <v>165</v>
      </c>
      <c r="L722" t="inlineStr">
        <is>
          <t>PAID</t>
        </is>
      </c>
      <c r="M722">
        <f>IF(L722="VOIDED",0,1)</f>
        <v>1</v>
      </c>
      <c r="N722" t="n">
        <v>200</v>
      </c>
      <c r="O722" t="inlineStr">
        <is>
          <t>GST on Income</t>
        </is>
      </c>
      <c r="P722" t="inlineStr">
        <is>
          <t>R07</t>
        </is>
      </c>
      <c r="Q722" t="inlineStr">
        <is>
          <t>DEL-FP</t>
        </is>
      </c>
      <c r="R722">
        <f>IF(OR(Q722="CONTEXT",Q722="REVIEW"),"",INDEX('Category Rules'!$D$5:$D$17,MATCH(P722,'Category Rules'!$A$5:$A$17,0)))</f>
        <v>4020</v>
      </c>
      <c r="S722" t="str">
        <f>IF(Q722="CONTEXT","Fencing",IF(Q722="REVIEW","",INDEX('Category Rules'!$E$5:$E$17,MATCH(P722,'Category Rules'!$A$5:$A$17,0))))</f>
        <v>Fencing</v>
      </c>
      <c r="T722" t="str">
        <f>IF(Q722="DEP","BAS Excluded","GST on Income")</f>
        <v>GST on Income</v>
      </c>
      <c r="U722">
        <f>IF(O722=T722,1,0)</f>
        <v>1</v>
      </c>
      <c r="V722" s="9">
        <f>IF(OR(M722=0,U722=1),0,IF(T722="GST on Income",ROUND(K722*0.1,2),ROUND(-K722*0.1,2)))</f>
        <v>0</v>
      </c>
    </row>
    <row r="723">
      <c r="A723" t="inlineStr">
        <is>
          <t>INV-5405-1</t>
        </is>
      </c>
      <c r="B723" t="inlineStr">
        <is>
          <t>INV-5405</t>
        </is>
      </c>
      <c r="C723" s="11" t="n">
        <v>45952</v>
      </c>
      <c r="D723" t="inlineStr">
        <is>
          <t>2025-10</t>
        </is>
      </c>
      <c r="E723" t="inlineStr">
        <is>
          <t>C0045</t>
        </is>
      </c>
      <c r="F723" t="inlineStr">
        <is>
          <t>C0045</t>
        </is>
      </c>
      <c r="G723" t="inlineStr">
        <is>
          <t>Westside Owners Corporation Services Pty Ltd</t>
        </is>
      </c>
      <c r="H723" t="inlineStr">
        <is>
          <t>S0284</t>
        </is>
      </c>
      <c r="I723" t="inlineStr">
        <is>
          <t>Scaffold erect - 6 tower(s)</t>
        </is>
      </c>
      <c r="J723" t="n">
        <v>6</v>
      </c>
      <c r="K723" s="9" t="n">
        <v>2520</v>
      </c>
      <c r="L723" t="inlineStr">
        <is>
          <t>PAID</t>
        </is>
      </c>
      <c r="M723">
        <f>IF(L723="VOIDED",0,1)</f>
        <v>1</v>
      </c>
      <c r="N723" t="n">
        <v>200</v>
      </c>
      <c r="O723" t="inlineStr">
        <is>
          <t>GST on Income</t>
        </is>
      </c>
      <c r="P723" t="inlineStr">
        <is>
          <t>R08</t>
        </is>
      </c>
      <c r="Q723" t="inlineStr">
        <is>
          <t>LAB-ST</t>
        </is>
      </c>
      <c r="R723">
        <f>IF(OR(Q723="CONTEXT",Q723="REVIEW"),"",INDEX('Category Rules'!$D$5:$D$17,MATCH(P723,'Category Rules'!$A$5:$A$17,0)))</f>
        <v>4020</v>
      </c>
      <c r="S723" t="str">
        <f>IF(Q723="CONTEXT","Scaffolding",IF(Q723="REVIEW","",INDEX('Category Rules'!$E$5:$E$17,MATCH(P723,'Category Rules'!$A$5:$A$17,0))))</f>
        <v>Scaffolding</v>
      </c>
      <c r="T723" t="str">
        <f>IF(Q723="DEP","BAS Excluded","GST on Income")</f>
        <v>GST on Income</v>
      </c>
      <c r="U723">
        <f>IF(O723=T723,1,0)</f>
        <v>1</v>
      </c>
      <c r="V723" s="9">
        <f>IF(OR(M723=0,U723=1),0,IF(T723="GST on Income",ROUND(K723*0.1,2),ROUND(-K723*0.1,2)))</f>
        <v>0</v>
      </c>
    </row>
    <row r="724">
      <c r="A724" t="inlineStr">
        <is>
          <t>INV-5415-1</t>
        </is>
      </c>
      <c r="B724" t="inlineStr">
        <is>
          <t>INV-5415</t>
        </is>
      </c>
      <c r="C724" s="11" t="n">
        <v>45952</v>
      </c>
      <c r="D724" t="inlineStr">
        <is>
          <t>2025-10</t>
        </is>
      </c>
      <c r="E724" t="inlineStr">
        <is>
          <t>C0043</t>
        </is>
      </c>
      <c r="F724" t="inlineStr">
        <is>
          <t>C0043</t>
        </is>
      </c>
      <c r="G724" t="inlineStr">
        <is>
          <t>Banksia Projects Pty Ltd</t>
        </is>
      </c>
      <c r="H724" t="inlineStr">
        <is>
          <t>S0287</t>
        </is>
      </c>
      <c r="I724" t="inlineStr">
        <is>
          <t>Scaffold erect - 2 tower(s)</t>
        </is>
      </c>
      <c r="J724" t="n">
        <v>2</v>
      </c>
      <c r="K724" s="9" t="n">
        <v>840</v>
      </c>
      <c r="L724" t="inlineStr">
        <is>
          <t>PAID</t>
        </is>
      </c>
      <c r="M724">
        <f>IF(L724="VOIDED",0,1)</f>
        <v>1</v>
      </c>
      <c r="N724" t="n">
        <v>200</v>
      </c>
      <c r="O724" t="inlineStr">
        <is>
          <t>GST on Income</t>
        </is>
      </c>
      <c r="P724" t="inlineStr">
        <is>
          <t>R08</t>
        </is>
      </c>
      <c r="Q724" t="inlineStr">
        <is>
          <t>LAB-ST</t>
        </is>
      </c>
      <c r="R724">
        <f>IF(OR(Q724="CONTEXT",Q724="REVIEW"),"",INDEX('Category Rules'!$D$5:$D$17,MATCH(P724,'Category Rules'!$A$5:$A$17,0)))</f>
        <v>4020</v>
      </c>
      <c r="S724" t="str">
        <f>IF(Q724="CONTEXT","Scaffolding",IF(Q724="REVIEW","",INDEX('Category Rules'!$E$5:$E$17,MATCH(P724,'Category Rules'!$A$5:$A$17,0))))</f>
        <v>Scaffolding</v>
      </c>
      <c r="T724" t="str">
        <f>IF(Q724="DEP","BAS Excluded","GST on Income")</f>
        <v>GST on Income</v>
      </c>
      <c r="U724">
        <f>IF(O724=T724,1,0)</f>
        <v>1</v>
      </c>
      <c r="V724" s="9">
        <f>IF(OR(M724=0,U724=1),0,IF(T724="GST on Income",ROUND(K724*0.1,2),ROUND(-K724*0.1,2)))</f>
        <v>0</v>
      </c>
    </row>
    <row r="725">
      <c r="A725" t="inlineStr">
        <is>
          <t>INV-5851-1</t>
        </is>
      </c>
      <c r="B725" t="inlineStr">
        <is>
          <t>INV-5851</t>
        </is>
      </c>
      <c r="C725" s="11" t="n">
        <v>45952</v>
      </c>
      <c r="D725" t="inlineStr">
        <is>
          <t>2025-10</t>
        </is>
      </c>
      <c r="E725" t="inlineStr">
        <is>
          <t>C0052</t>
        </is>
      </c>
      <c r="F725" t="inlineStr">
        <is>
          <t>C0052</t>
        </is>
      </c>
      <c r="G725" t="inlineStr">
        <is>
          <t>Bluegum Body Corporate Pty Ltd</t>
        </is>
      </c>
      <c r="H725" t="inlineStr">
        <is>
          <t>S0520</t>
        </is>
      </c>
      <c r="I725" t="inlineStr">
        <is>
          <t>Tarp kit hire 1 wks (21/10/25-21/10/25) - 2 kits</t>
        </is>
      </c>
      <c r="J725" t="n">
        <v>2</v>
      </c>
      <c r="K725" s="9" t="n">
        <v>70</v>
      </c>
      <c r="L725" t="inlineStr">
        <is>
          <t>PAID</t>
        </is>
      </c>
      <c r="M725">
        <f>IF(L725="VOIDED",0,1)</f>
        <v>1</v>
      </c>
      <c r="N725" t="n">
        <v>200</v>
      </c>
      <c r="O725" t="inlineStr">
        <is>
          <t>GST on Income</t>
        </is>
      </c>
      <c r="P725" t="inlineStr">
        <is>
          <t>R06</t>
        </is>
      </c>
      <c r="Q725" t="inlineStr">
        <is>
          <t>HIRE-TK</t>
        </is>
      </c>
      <c r="R725">
        <f>IF(OR(Q725="CONTEXT",Q725="REVIEW"),"",INDEX('Category Rules'!$D$5:$D$17,MATCH(P725,'Category Rules'!$A$5:$A$17,0)))</f>
        <v>4010</v>
      </c>
      <c r="S725" t="str">
        <f>IF(Q725="CONTEXT","Make-safe",IF(Q725="REVIEW","",INDEX('Category Rules'!$E$5:$E$17,MATCH(P725,'Category Rules'!$A$5:$A$17,0))))</f>
        <v>Make-safe</v>
      </c>
      <c r="T725" t="str">
        <f>IF(Q725="DEP","BAS Excluded","GST on Income")</f>
        <v>GST on Income</v>
      </c>
      <c r="U725">
        <f>IF(O725=T725,1,0)</f>
        <v>1</v>
      </c>
      <c r="V725" s="9">
        <f>IF(OR(M725=0,U725=1),0,IF(T725="GST on Income",ROUND(K725*0.1,2),ROUND(-K725*0.1,2)))</f>
        <v>0</v>
      </c>
    </row>
    <row r="726">
      <c r="A726" t="inlineStr">
        <is>
          <t>INV-4762-1</t>
        </is>
      </c>
      <c r="B726" t="inlineStr">
        <is>
          <t>INV-4762</t>
        </is>
      </c>
      <c r="C726" s="11" t="n">
        <v>45953</v>
      </c>
      <c r="D726" t="inlineStr">
        <is>
          <t>2025-10</t>
        </is>
      </c>
      <c r="E726" t="inlineStr">
        <is>
          <t>C0012</t>
        </is>
      </c>
      <c r="F726" t="inlineStr">
        <is>
          <t>C0012</t>
        </is>
      </c>
      <c r="G726" t="inlineStr">
        <is>
          <t>Kestrel Constructions Pty Ltd</t>
        </is>
      </c>
      <c r="H726" t="inlineStr">
        <is>
          <t>S0138</t>
        </is>
      </c>
      <c r="I726" t="inlineStr">
        <is>
          <t>Delivery and installation - temporary fencing</t>
        </is>
      </c>
      <c r="J726" t="n">
        <v>1</v>
      </c>
      <c r="K726" s="9" t="n">
        <v>165</v>
      </c>
      <c r="L726" t="inlineStr">
        <is>
          <t>PAID</t>
        </is>
      </c>
      <c r="M726">
        <f>IF(L726="VOIDED",0,1)</f>
        <v>1</v>
      </c>
      <c r="N726" t="n">
        <v>200</v>
      </c>
      <c r="O726" t="inlineStr">
        <is>
          <t>GST on Income</t>
        </is>
      </c>
      <c r="P726" t="inlineStr">
        <is>
          <t>R07</t>
        </is>
      </c>
      <c r="Q726" t="inlineStr">
        <is>
          <t>DEL-FP</t>
        </is>
      </c>
      <c r="R726">
        <f>IF(OR(Q726="CONTEXT",Q726="REVIEW"),"",INDEX('Category Rules'!$D$5:$D$17,MATCH(P726,'Category Rules'!$A$5:$A$17,0)))</f>
        <v>4020</v>
      </c>
      <c r="S726" t="str">
        <f>IF(Q726="CONTEXT","Fencing",IF(Q726="REVIEW","",INDEX('Category Rules'!$E$5:$E$17,MATCH(P726,'Category Rules'!$A$5:$A$17,0))))</f>
        <v>Fencing</v>
      </c>
      <c r="T726" t="str">
        <f>IF(Q726="DEP","BAS Excluded","GST on Income")</f>
        <v>GST on Income</v>
      </c>
      <c r="U726">
        <f>IF(O726=T726,1,0)</f>
        <v>1</v>
      </c>
      <c r="V726" s="9">
        <f>IF(OR(M726=0,U726=1),0,IF(T726="GST on Income",ROUND(K726*0.1,2),ROUND(-K726*0.1,2)))</f>
        <v>0</v>
      </c>
    </row>
    <row r="727">
      <c r="A727" t="inlineStr">
        <is>
          <t>INV-4762-2</t>
        </is>
      </c>
      <c r="B727" t="inlineStr">
        <is>
          <t>INV-4762</t>
        </is>
      </c>
      <c r="C727" s="11" t="n">
        <v>45953</v>
      </c>
      <c r="D727" t="inlineStr">
        <is>
          <t>2025-10</t>
        </is>
      </c>
      <c r="E727" t="inlineStr">
        <is>
          <t>C0012</t>
        </is>
      </c>
      <c r="F727" t="inlineStr">
        <is>
          <t>C0012</t>
        </is>
      </c>
      <c r="G727" t="inlineStr">
        <is>
          <t>Kestrel Constructions Pty Ltd</t>
        </is>
      </c>
      <c r="H727" t="inlineStr">
        <is>
          <t>S0138</t>
        </is>
      </c>
      <c r="I727" t="inlineStr">
        <is>
          <t>Installation labour - 22 panels @ 2.20</t>
        </is>
      </c>
      <c r="J727" t="n">
        <v>22</v>
      </c>
      <c r="K727" s="9" t="n">
        <v>48.4</v>
      </c>
      <c r="L727" t="inlineStr">
        <is>
          <t>PAID</t>
        </is>
      </c>
      <c r="M727">
        <f>IF(L727="VOIDED",0,1)</f>
        <v>1</v>
      </c>
      <c r="N727" t="n">
        <v>200</v>
      </c>
      <c r="O727" t="inlineStr">
        <is>
          <t>GST on Income</t>
        </is>
      </c>
      <c r="P727" t="inlineStr">
        <is>
          <t>R07</t>
        </is>
      </c>
      <c r="Q727" t="inlineStr">
        <is>
          <t>DEL-FP</t>
        </is>
      </c>
      <c r="R727">
        <f>IF(OR(Q727="CONTEXT",Q727="REVIEW"),"",INDEX('Category Rules'!$D$5:$D$17,MATCH(P727,'Category Rules'!$A$5:$A$17,0)))</f>
        <v>4020</v>
      </c>
      <c r="S727" t="str">
        <f>IF(Q727="CONTEXT","Fencing",IF(Q727="REVIEW","",INDEX('Category Rules'!$E$5:$E$17,MATCH(P727,'Category Rules'!$A$5:$A$17,0))))</f>
        <v>Fencing</v>
      </c>
      <c r="T727" t="str">
        <f>IF(Q727="DEP","BAS Excluded","GST on Income")</f>
        <v>GST on Income</v>
      </c>
      <c r="U727">
        <f>IF(O727=T727,1,0)</f>
        <v>1</v>
      </c>
      <c r="V727" s="9">
        <f>IF(OR(M727=0,U727=1),0,IF(T727="GST on Income",ROUND(K727*0.1,2),ROUND(-K727*0.1,2)))</f>
        <v>0</v>
      </c>
    </row>
    <row r="728">
      <c r="A728" t="inlineStr">
        <is>
          <t>INV-5318-1</t>
        </is>
      </c>
      <c r="B728" t="inlineStr">
        <is>
          <t>INV-5318</t>
        </is>
      </c>
      <c r="C728" s="11" t="n">
        <v>45953</v>
      </c>
      <c r="D728" t="inlineStr">
        <is>
          <t>2025-10</t>
        </is>
      </c>
      <c r="E728" t="inlineStr">
        <is>
          <t>C0102</t>
        </is>
      </c>
      <c r="F728" t="inlineStr">
        <is>
          <t>C0102</t>
        </is>
      </c>
      <c r="G728" t="inlineStr">
        <is>
          <t>Arjun Doyle</t>
        </is>
      </c>
      <c r="H728" t="inlineStr">
        <is>
          <t>S0264</t>
        </is>
      </c>
      <c r="I728" t="inlineStr">
        <is>
          <t>Scaffold tower hire 2 wks (15/10/25-22/10/25) - 6 towers</t>
        </is>
      </c>
      <c r="J728" t="n">
        <v>12</v>
      </c>
      <c r="K728" s="9" t="n">
        <v>1140</v>
      </c>
      <c r="L728" t="inlineStr">
        <is>
          <t>PAID</t>
        </is>
      </c>
      <c r="M728">
        <f>IF(L728="VOIDED",0,1)</f>
        <v>1</v>
      </c>
      <c r="N728" t="n">
        <v>200</v>
      </c>
      <c r="O728" t="inlineStr">
        <is>
          <t>GST on Income</t>
        </is>
      </c>
      <c r="P728" t="inlineStr">
        <is>
          <t>R05</t>
        </is>
      </c>
      <c r="Q728" t="inlineStr">
        <is>
          <t>HIRE-ST</t>
        </is>
      </c>
      <c r="R728">
        <f>IF(OR(Q728="CONTEXT",Q728="REVIEW"),"",INDEX('Category Rules'!$D$5:$D$17,MATCH(P728,'Category Rules'!$A$5:$A$17,0)))</f>
        <v>4010</v>
      </c>
      <c r="S728" t="str">
        <f>IF(Q728="CONTEXT","Scaffolding",IF(Q728="REVIEW","",INDEX('Category Rules'!$E$5:$E$17,MATCH(P728,'Category Rules'!$A$5:$A$17,0))))</f>
        <v>Scaffolding</v>
      </c>
      <c r="T728" t="str">
        <f>IF(Q728="DEP","BAS Excluded","GST on Income")</f>
        <v>GST on Income</v>
      </c>
      <c r="U728">
        <f>IF(O728=T728,1,0)</f>
        <v>1</v>
      </c>
      <c r="V728" s="9">
        <f>IF(OR(M728=0,U728=1),0,IF(T728="GST on Income",ROUND(K728*0.1,2),ROUND(-K728*0.1,2)))</f>
        <v>0</v>
      </c>
    </row>
    <row r="729">
      <c r="A729" t="inlineStr">
        <is>
          <t>INV-5320-1</t>
        </is>
      </c>
      <c r="B729" t="inlineStr">
        <is>
          <t>INV-5320</t>
        </is>
      </c>
      <c r="C729" s="11" t="n">
        <v>45953</v>
      </c>
      <c r="D729" t="inlineStr">
        <is>
          <t>2025-10</t>
        </is>
      </c>
      <c r="E729" t="inlineStr">
        <is>
          <t>C0102</t>
        </is>
      </c>
      <c r="F729" t="inlineStr">
        <is>
          <t>C0102</t>
        </is>
      </c>
      <c r="G729" t="inlineStr">
        <is>
          <t>Arjun Doyle</t>
        </is>
      </c>
      <c r="H729" t="inlineStr">
        <is>
          <t>S0264</t>
        </is>
      </c>
      <c r="I729" t="inlineStr">
        <is>
          <t>Scaffold dismantle - 6 tower(s)</t>
        </is>
      </c>
      <c r="J729" t="n">
        <v>6</v>
      </c>
      <c r="K729" s="9" t="n">
        <v>1920</v>
      </c>
      <c r="L729" t="inlineStr">
        <is>
          <t>PAID</t>
        </is>
      </c>
      <c r="M729">
        <f>IF(L729="VOIDED",0,1)</f>
        <v>1</v>
      </c>
      <c r="N729" t="n">
        <v>200</v>
      </c>
      <c r="O729" t="inlineStr">
        <is>
          <t>GST on Income</t>
        </is>
      </c>
      <c r="P729" t="inlineStr">
        <is>
          <t>R08</t>
        </is>
      </c>
      <c r="Q729" t="inlineStr">
        <is>
          <t>LAB-ST</t>
        </is>
      </c>
      <c r="R729">
        <f>IF(OR(Q729="CONTEXT",Q729="REVIEW"),"",INDEX('Category Rules'!$D$5:$D$17,MATCH(P729,'Category Rules'!$A$5:$A$17,0)))</f>
        <v>4020</v>
      </c>
      <c r="S729" t="str">
        <f>IF(Q729="CONTEXT","Scaffolding",IF(Q729="REVIEW","",INDEX('Category Rules'!$E$5:$E$17,MATCH(P729,'Category Rules'!$A$5:$A$17,0))))</f>
        <v>Scaffolding</v>
      </c>
      <c r="T729" t="str">
        <f>IF(Q729="DEP","BAS Excluded","GST on Income")</f>
        <v>GST on Income</v>
      </c>
      <c r="U729">
        <f>IF(O729=T729,1,0)</f>
        <v>1</v>
      </c>
      <c r="V729" s="9">
        <f>IF(OR(M729=0,U729=1),0,IF(T729="GST on Income",ROUND(K729*0.1,2),ROUND(-K729*0.1,2)))</f>
        <v>0</v>
      </c>
    </row>
    <row r="730">
      <c r="A730" t="inlineStr">
        <is>
          <t>INV-5625-1</t>
        </is>
      </c>
      <c r="B730" t="inlineStr">
        <is>
          <t>INV-5625</t>
        </is>
      </c>
      <c r="C730" s="11" t="n">
        <v>45953</v>
      </c>
      <c r="D730" t="inlineStr">
        <is>
          <t>2025-10</t>
        </is>
      </c>
      <c r="E730" t="inlineStr">
        <is>
          <t>C0024</t>
        </is>
      </c>
      <c r="F730" t="inlineStr">
        <is>
          <t>C0024</t>
        </is>
      </c>
      <c r="G730" t="inlineStr">
        <is>
          <t>Parkview Homes Pty Ltd</t>
        </is>
      </c>
      <c r="H730" t="inlineStr">
        <is>
          <t>S0393</t>
        </is>
      </c>
      <c r="I730" t="inlineStr">
        <is>
          <t>Tarp kit hire 4 wks (01/10/25-22/10/25) - 1 kits</t>
        </is>
      </c>
      <c r="J730" t="n">
        <v>4</v>
      </c>
      <c r="K730" s="9" t="n">
        <v>140</v>
      </c>
      <c r="L730" t="inlineStr">
        <is>
          <t>PAID</t>
        </is>
      </c>
      <c r="M730">
        <f>IF(L730="VOIDED",0,1)</f>
        <v>1</v>
      </c>
      <c r="N730" t="n">
        <v>200</v>
      </c>
      <c r="O730" t="inlineStr">
        <is>
          <t>GST on Income</t>
        </is>
      </c>
      <c r="P730" t="inlineStr">
        <is>
          <t>R06</t>
        </is>
      </c>
      <c r="Q730" t="inlineStr">
        <is>
          <t>HIRE-TK</t>
        </is>
      </c>
      <c r="R730">
        <f>IF(OR(Q730="CONTEXT",Q730="REVIEW"),"",INDEX('Category Rules'!$D$5:$D$17,MATCH(P730,'Category Rules'!$A$5:$A$17,0)))</f>
        <v>4010</v>
      </c>
      <c r="S730" t="str">
        <f>IF(Q730="CONTEXT","Make-safe",IF(Q730="REVIEW","",INDEX('Category Rules'!$E$5:$E$17,MATCH(P730,'Category Rules'!$A$5:$A$17,0))))</f>
        <v>Make-safe</v>
      </c>
      <c r="T730" t="str">
        <f>IF(Q730="DEP","BAS Excluded","GST on Income")</f>
        <v>GST on Income</v>
      </c>
      <c r="U730">
        <f>IF(O730=T730,1,0)</f>
        <v>1</v>
      </c>
      <c r="V730" s="9">
        <f>IF(OR(M730=0,U730=1),0,IF(T730="GST on Income",ROUND(K730*0.1,2),ROUND(-K730*0.1,2)))</f>
        <v>0</v>
      </c>
    </row>
    <row r="731">
      <c r="A731" t="inlineStr">
        <is>
          <t>INV-5838-1</t>
        </is>
      </c>
      <c r="B731" t="inlineStr">
        <is>
          <t>INV-5838</t>
        </is>
      </c>
      <c r="C731" s="11" t="n">
        <v>45953</v>
      </c>
      <c r="D731" t="inlineStr">
        <is>
          <t>2025-10</t>
        </is>
      </c>
      <c r="E731" t="inlineStr">
        <is>
          <t>C0119</t>
        </is>
      </c>
      <c r="F731" t="inlineStr">
        <is>
          <t>C0119</t>
        </is>
      </c>
      <c r="G731" t="inlineStr">
        <is>
          <t>Northgate Builders Pty Ltd</t>
        </is>
      </c>
      <c r="H731" t="inlineStr">
        <is>
          <t>S0513</t>
        </is>
      </c>
      <c r="I731" t="inlineStr">
        <is>
          <t>Make safe call-out</t>
        </is>
      </c>
      <c r="J731" t="n">
        <v>1</v>
      </c>
      <c r="K731" s="9" t="n">
        <v>385</v>
      </c>
      <c r="L731" t="inlineStr">
        <is>
          <t>PAID</t>
        </is>
      </c>
      <c r="M731">
        <f>IF(L731="VOIDED",0,1)</f>
        <v>1</v>
      </c>
      <c r="N731" t="n">
        <v>200</v>
      </c>
      <c r="O731" t="inlineStr">
        <is>
          <t>GST on Income</t>
        </is>
      </c>
      <c r="P731" t="inlineStr">
        <is>
          <t>R09</t>
        </is>
      </c>
      <c r="Q731" t="inlineStr">
        <is>
          <t>MS</t>
        </is>
      </c>
      <c r="R731">
        <f>IF(OR(Q731="CONTEXT",Q731="REVIEW"),"",INDEX('Category Rules'!$D$5:$D$17,MATCH(P731,'Category Rules'!$A$5:$A$17,0)))</f>
        <v>4020</v>
      </c>
      <c r="S731" t="str">
        <f>IF(Q731="CONTEXT","Make-safe",IF(Q731="REVIEW","",INDEX('Category Rules'!$E$5:$E$17,MATCH(P731,'Category Rules'!$A$5:$A$17,0))))</f>
        <v>Make-safe</v>
      </c>
      <c r="T731" t="str">
        <f>IF(Q731="DEP","BAS Excluded","GST on Income")</f>
        <v>GST on Income</v>
      </c>
      <c r="U731">
        <f>IF(O731=T731,1,0)</f>
        <v>1</v>
      </c>
      <c r="V731" s="9">
        <f>IF(OR(M731=0,U731=1),0,IF(T731="GST on Income",ROUND(K731*0.1,2),ROUND(-K731*0.1,2)))</f>
        <v>0</v>
      </c>
    </row>
    <row r="732">
      <c r="A732" t="inlineStr">
        <is>
          <t>INV-4513-1</t>
        </is>
      </c>
      <c r="B732" t="inlineStr">
        <is>
          <t>INV-4513</t>
        </is>
      </c>
      <c r="C732" s="11" t="n">
        <v>45954</v>
      </c>
      <c r="D732" t="inlineStr">
        <is>
          <t>2025-10</t>
        </is>
      </c>
      <c r="E732" t="inlineStr">
        <is>
          <t>C0022</t>
        </is>
      </c>
      <c r="F732" t="inlineStr">
        <is>
          <t>C0022</t>
        </is>
      </c>
      <c r="G732" t="inlineStr">
        <is>
          <t>Highpoint Projects</t>
        </is>
      </c>
      <c r="H732" t="inlineStr">
        <is>
          <t>S0085</t>
        </is>
      </c>
      <c r="I732" t="inlineStr">
        <is>
          <t>Temporary fence hire 4 wks (26/09/25-23/10/25) - 141 panels</t>
        </is>
      </c>
      <c r="J732" t="n">
        <v>564</v>
      </c>
      <c r="K732" s="9" t="n">
        <v>2538</v>
      </c>
      <c r="L732" t="inlineStr">
        <is>
          <t>PAID</t>
        </is>
      </c>
      <c r="M732">
        <f>IF(L732="VOIDED",0,1)</f>
        <v>1</v>
      </c>
      <c r="N732" t="n">
        <v>200</v>
      </c>
      <c r="O732" t="inlineStr">
        <is>
          <t>GST on Income</t>
        </is>
      </c>
      <c r="P732" t="inlineStr">
        <is>
          <t>R03</t>
        </is>
      </c>
      <c r="Q732" t="inlineStr">
        <is>
          <t>HIRE-FP</t>
        </is>
      </c>
      <c r="R732">
        <f>IF(OR(Q732="CONTEXT",Q732="REVIEW"),"",INDEX('Category Rules'!$D$5:$D$17,MATCH(P732,'Category Rules'!$A$5:$A$17,0)))</f>
        <v>4010</v>
      </c>
      <c r="S732" t="str">
        <f>IF(Q732="CONTEXT","Fencing",IF(Q732="REVIEW","",INDEX('Category Rules'!$E$5:$E$17,MATCH(P732,'Category Rules'!$A$5:$A$17,0))))</f>
        <v>Fencing</v>
      </c>
      <c r="T732" t="str">
        <f>IF(Q732="DEP","BAS Excluded","GST on Income")</f>
        <v>GST on Income</v>
      </c>
      <c r="U732">
        <f>IF(O732=T732,1,0)</f>
        <v>1</v>
      </c>
      <c r="V732" s="9">
        <f>IF(OR(M732=0,U732=1),0,IF(T732="GST on Income",ROUND(K732*0.1,2),ROUND(-K732*0.1,2)))</f>
        <v>0</v>
      </c>
    </row>
    <row r="733">
      <c r="A733" t="inlineStr">
        <is>
          <t>INV-4522-1</t>
        </is>
      </c>
      <c r="B733" t="inlineStr">
        <is>
          <t>INV-4522</t>
        </is>
      </c>
      <c r="C733" s="11" t="n">
        <v>45954</v>
      </c>
      <c r="D733" t="inlineStr">
        <is>
          <t>2025-10</t>
        </is>
      </c>
      <c r="E733" t="inlineStr">
        <is>
          <t>C0022</t>
        </is>
      </c>
      <c r="F733" t="inlineStr">
        <is>
          <t>C0022</t>
        </is>
      </c>
      <c r="G733" t="inlineStr">
        <is>
          <t>Highpoint Projects</t>
        </is>
      </c>
      <c r="H733" t="inlineStr">
        <is>
          <t>S0085</t>
        </is>
      </c>
      <c r="I733" t="inlineStr">
        <is>
          <t>Pedestrian barrier hire 4 wks (26/09/25-23/10/25) - 9 barriers</t>
        </is>
      </c>
      <c r="J733" t="n">
        <v>36</v>
      </c>
      <c r="K733" s="9" t="n">
        <v>115.2</v>
      </c>
      <c r="L733" t="inlineStr">
        <is>
          <t>PAID</t>
        </is>
      </c>
      <c r="M733">
        <f>IF(L733="VOIDED",0,1)</f>
        <v>1</v>
      </c>
      <c r="N733" t="n">
        <v>200</v>
      </c>
      <c r="O733" t="inlineStr">
        <is>
          <t>GST on Income</t>
        </is>
      </c>
      <c r="P733" t="inlineStr">
        <is>
          <t>R04</t>
        </is>
      </c>
      <c r="Q733" t="inlineStr">
        <is>
          <t>HIRE-BR</t>
        </is>
      </c>
      <c r="R733">
        <f>IF(OR(Q733="CONTEXT",Q733="REVIEW"),"",INDEX('Category Rules'!$D$5:$D$17,MATCH(P733,'Category Rules'!$A$5:$A$17,0)))</f>
        <v>4010</v>
      </c>
      <c r="S733" t="str">
        <f>IF(Q733="CONTEXT","Fencing",IF(Q733="REVIEW","",INDEX('Category Rules'!$E$5:$E$17,MATCH(P733,'Category Rules'!$A$5:$A$17,0))))</f>
        <v>Fencing</v>
      </c>
      <c r="T733" t="str">
        <f>IF(Q733="DEP","BAS Excluded","GST on Income")</f>
        <v>GST on Income</v>
      </c>
      <c r="U733">
        <f>IF(O733=T733,1,0)</f>
        <v>1</v>
      </c>
      <c r="V733" s="9">
        <f>IF(OR(M733=0,U733=1),0,IF(T733="GST on Income",ROUND(K733*0.1,2),ROUND(-K733*0.1,2)))</f>
        <v>0</v>
      </c>
    </row>
    <row r="734">
      <c r="A734" t="inlineStr">
        <is>
          <t>INV-4752-1</t>
        </is>
      </c>
      <c r="B734" t="inlineStr">
        <is>
          <t>INV-4752</t>
        </is>
      </c>
      <c r="C734" s="11" t="n">
        <v>45954</v>
      </c>
      <c r="D734" t="inlineStr">
        <is>
          <t>2025-10</t>
        </is>
      </c>
      <c r="E734" t="inlineStr">
        <is>
          <t>C0122</t>
        </is>
      </c>
      <c r="F734" t="inlineStr">
        <is>
          <t>C0122</t>
        </is>
      </c>
      <c r="G734" t="inlineStr">
        <is>
          <t>Bluegum Construction Pty Ltd</t>
        </is>
      </c>
      <c r="H734" t="inlineStr">
        <is>
          <t>S0135</t>
        </is>
      </c>
      <c r="I734" t="inlineStr">
        <is>
          <t>Delivery and installation - temporary fencing</t>
        </is>
      </c>
      <c r="J734" t="n">
        <v>1</v>
      </c>
      <c r="K734" s="9" t="n">
        <v>165</v>
      </c>
      <c r="L734" t="inlineStr">
        <is>
          <t>PAID</t>
        </is>
      </c>
      <c r="M734">
        <f>IF(L734="VOIDED",0,1)</f>
        <v>1</v>
      </c>
      <c r="N734" t="n">
        <v>200</v>
      </c>
      <c r="O734" t="inlineStr">
        <is>
          <t>GST on Income</t>
        </is>
      </c>
      <c r="P734" t="inlineStr">
        <is>
          <t>R07</t>
        </is>
      </c>
      <c r="Q734" t="inlineStr">
        <is>
          <t>DEL-FP</t>
        </is>
      </c>
      <c r="R734">
        <f>IF(OR(Q734="CONTEXT",Q734="REVIEW"),"",INDEX('Category Rules'!$D$5:$D$17,MATCH(P734,'Category Rules'!$A$5:$A$17,0)))</f>
        <v>4020</v>
      </c>
      <c r="S734" t="str">
        <f>IF(Q734="CONTEXT","Fencing",IF(Q734="REVIEW","",INDEX('Category Rules'!$E$5:$E$17,MATCH(P734,'Category Rules'!$A$5:$A$17,0))))</f>
        <v>Fencing</v>
      </c>
      <c r="T734" t="str">
        <f>IF(Q734="DEP","BAS Excluded","GST on Income")</f>
        <v>GST on Income</v>
      </c>
      <c r="U734">
        <f>IF(O734=T734,1,0)</f>
        <v>1</v>
      </c>
      <c r="V734" s="9">
        <f>IF(OR(M734=0,U734=1),0,IF(T734="GST on Income",ROUND(K734*0.1,2),ROUND(-K734*0.1,2)))</f>
        <v>0</v>
      </c>
    </row>
    <row r="735">
      <c r="A735" t="inlineStr">
        <is>
          <t>INV-4752-2</t>
        </is>
      </c>
      <c r="B735" t="inlineStr">
        <is>
          <t>INV-4752</t>
        </is>
      </c>
      <c r="C735" s="11" t="n">
        <v>45954</v>
      </c>
      <c r="D735" t="inlineStr">
        <is>
          <t>2025-10</t>
        </is>
      </c>
      <c r="E735" t="inlineStr">
        <is>
          <t>C0122</t>
        </is>
      </c>
      <c r="F735" t="inlineStr">
        <is>
          <t>C0122</t>
        </is>
      </c>
      <c r="G735" t="inlineStr">
        <is>
          <t>Bluegum Construction Pty Ltd</t>
        </is>
      </c>
      <c r="H735" t="inlineStr">
        <is>
          <t>S0135</t>
        </is>
      </c>
      <c r="I735" t="inlineStr">
        <is>
          <t>Installation labour - 65 panels @ 2.20</t>
        </is>
      </c>
      <c r="J735" t="n">
        <v>65</v>
      </c>
      <c r="K735" s="9" t="n">
        <v>143</v>
      </c>
      <c r="L735" t="inlineStr">
        <is>
          <t>PAID</t>
        </is>
      </c>
      <c r="M735">
        <f>IF(L735="VOIDED",0,1)</f>
        <v>1</v>
      </c>
      <c r="N735" t="n">
        <v>200</v>
      </c>
      <c r="O735" t="inlineStr">
        <is>
          <t>GST on Income</t>
        </is>
      </c>
      <c r="P735" t="inlineStr">
        <is>
          <t>R07</t>
        </is>
      </c>
      <c r="Q735" t="inlineStr">
        <is>
          <t>DEL-FP</t>
        </is>
      </c>
      <c r="R735">
        <f>IF(OR(Q735="CONTEXT",Q735="REVIEW"),"",INDEX('Category Rules'!$D$5:$D$17,MATCH(P735,'Category Rules'!$A$5:$A$17,0)))</f>
        <v>4020</v>
      </c>
      <c r="S735" t="str">
        <f>IF(Q735="CONTEXT","Fencing",IF(Q735="REVIEW","",INDEX('Category Rules'!$E$5:$E$17,MATCH(P735,'Category Rules'!$A$5:$A$17,0))))</f>
        <v>Fencing</v>
      </c>
      <c r="T735" t="str">
        <f>IF(Q735="DEP","BAS Excluded","GST on Income")</f>
        <v>GST on Income</v>
      </c>
      <c r="U735">
        <f>IF(O735=T735,1,0)</f>
        <v>1</v>
      </c>
      <c r="V735" s="9">
        <f>IF(OR(M735=0,U735=1),0,IF(T735="GST on Income",ROUND(K735*0.1,2),ROUND(-K735*0.1,2)))</f>
        <v>0</v>
      </c>
    </row>
    <row r="736">
      <c r="A736" t="inlineStr">
        <is>
          <t>INV-4111-1</t>
        </is>
      </c>
      <c r="B736" t="inlineStr">
        <is>
          <t>INV-4111</t>
        </is>
      </c>
      <c r="C736" s="11" t="n">
        <v>45955</v>
      </c>
      <c r="D736" t="inlineStr">
        <is>
          <t>2025-10</t>
        </is>
      </c>
      <c r="E736" t="inlineStr">
        <is>
          <t>C0148</t>
        </is>
      </c>
      <c r="F736" t="inlineStr">
        <is>
          <t>C0042</t>
        </is>
      </c>
      <c r="G736" t="inlineStr">
        <is>
          <t>Lakeside Constructions Pty Ltd</t>
        </is>
      </c>
      <c r="H736" t="inlineStr">
        <is>
          <t>S0003</t>
        </is>
      </c>
      <c r="I736" t="inlineStr">
        <is>
          <t>Temporary fence hire 4 wks (27/09/25-24/10/25) - 152 panels</t>
        </is>
      </c>
      <c r="J736" t="n">
        <v>608</v>
      </c>
      <c r="K736" s="9" t="n">
        <v>2736</v>
      </c>
      <c r="L736" t="inlineStr">
        <is>
          <t>PAID</t>
        </is>
      </c>
      <c r="M736">
        <f>IF(L736="VOIDED",0,1)</f>
        <v>1</v>
      </c>
      <c r="N736" t="n">
        <v>200</v>
      </c>
      <c r="O736" t="inlineStr">
        <is>
          <t>GST on Income</t>
        </is>
      </c>
      <c r="P736" t="inlineStr">
        <is>
          <t>R03</t>
        </is>
      </c>
      <c r="Q736" t="inlineStr">
        <is>
          <t>HIRE-FP</t>
        </is>
      </c>
      <c r="R736">
        <f>IF(OR(Q736="CONTEXT",Q736="REVIEW"),"",INDEX('Category Rules'!$D$5:$D$17,MATCH(P736,'Category Rules'!$A$5:$A$17,0)))</f>
        <v>4010</v>
      </c>
      <c r="S736" t="str">
        <f>IF(Q736="CONTEXT","Fencing",IF(Q736="REVIEW","",INDEX('Category Rules'!$E$5:$E$17,MATCH(P736,'Category Rules'!$A$5:$A$17,0))))</f>
        <v>Fencing</v>
      </c>
      <c r="T736" t="str">
        <f>IF(Q736="DEP","BAS Excluded","GST on Income")</f>
        <v>GST on Income</v>
      </c>
      <c r="U736">
        <f>IF(O736=T736,1,0)</f>
        <v>1</v>
      </c>
      <c r="V736" s="9">
        <f>IF(OR(M736=0,U736=1),0,IF(T736="GST on Income",ROUND(K736*0.1,2),ROUND(-K736*0.1,2)))</f>
        <v>0</v>
      </c>
    </row>
    <row r="737">
      <c r="A737" t="inlineStr">
        <is>
          <t>INV-4455-1</t>
        </is>
      </c>
      <c r="B737" t="inlineStr">
        <is>
          <t>INV-4455</t>
        </is>
      </c>
      <c r="C737" s="11" t="n">
        <v>45955</v>
      </c>
      <c r="D737" t="inlineStr">
        <is>
          <t>2025-10</t>
        </is>
      </c>
      <c r="E737" t="inlineStr">
        <is>
          <t>C0024</t>
        </is>
      </c>
      <c r="F737" t="inlineStr">
        <is>
          <t>C0024</t>
        </is>
      </c>
      <c r="G737" t="inlineStr">
        <is>
          <t>Parkview Homes Pty Ltd</t>
        </is>
      </c>
      <c r="H737" t="inlineStr">
        <is>
          <t>S0072</t>
        </is>
      </c>
      <c r="I737" t="inlineStr">
        <is>
          <t>Temporary fence hire 3 wks (05/10/25-24/10/25) - 63 panels</t>
        </is>
      </c>
      <c r="J737" t="n">
        <v>189</v>
      </c>
      <c r="K737" s="9" t="n">
        <v>850.5</v>
      </c>
      <c r="L737" t="inlineStr">
        <is>
          <t>PAID</t>
        </is>
      </c>
      <c r="M737">
        <f>IF(L737="VOIDED",0,1)</f>
        <v>1</v>
      </c>
      <c r="N737" t="n">
        <v>200</v>
      </c>
      <c r="O737" t="inlineStr">
        <is>
          <t>GST on Income</t>
        </is>
      </c>
      <c r="P737" t="inlineStr">
        <is>
          <t>R03</t>
        </is>
      </c>
      <c r="Q737" t="inlineStr">
        <is>
          <t>HIRE-FP</t>
        </is>
      </c>
      <c r="R737">
        <f>IF(OR(Q737="CONTEXT",Q737="REVIEW"),"",INDEX('Category Rules'!$D$5:$D$17,MATCH(P737,'Category Rules'!$A$5:$A$17,0)))</f>
        <v>4010</v>
      </c>
      <c r="S737" t="str">
        <f>IF(Q737="CONTEXT","Fencing",IF(Q737="REVIEW","",INDEX('Category Rules'!$E$5:$E$17,MATCH(P737,'Category Rules'!$A$5:$A$17,0))))</f>
        <v>Fencing</v>
      </c>
      <c r="T737" t="str">
        <f>IF(Q737="DEP","BAS Excluded","GST on Income")</f>
        <v>GST on Income</v>
      </c>
      <c r="U737">
        <f>IF(O737=T737,1,0)</f>
        <v>1</v>
      </c>
      <c r="V737" s="9">
        <f>IF(OR(M737=0,U737=1),0,IF(T737="GST on Income",ROUND(K737*0.1,2),ROUND(-K737*0.1,2)))</f>
        <v>0</v>
      </c>
    </row>
    <row r="738">
      <c r="A738" t="inlineStr">
        <is>
          <t>INV-4457-1</t>
        </is>
      </c>
      <c r="B738" t="inlineStr">
        <is>
          <t>INV-4457</t>
        </is>
      </c>
      <c r="C738" s="11" t="n">
        <v>45955</v>
      </c>
      <c r="D738" t="inlineStr">
        <is>
          <t>2025-10</t>
        </is>
      </c>
      <c r="E738" t="inlineStr">
        <is>
          <t>C0024</t>
        </is>
      </c>
      <c r="F738" t="inlineStr">
        <is>
          <t>C0024</t>
        </is>
      </c>
      <c r="G738" t="inlineStr">
        <is>
          <t>Parkview Homes Pty Ltd</t>
        </is>
      </c>
      <c r="H738" t="inlineStr">
        <is>
          <t>S0072</t>
        </is>
      </c>
      <c r="I738" t="inlineStr">
        <is>
          <t>Collection and dismantle - temporary fencing</t>
        </is>
      </c>
      <c r="J738" t="n">
        <v>1</v>
      </c>
      <c r="K738" s="9" t="n">
        <v>165</v>
      </c>
      <c r="L738" t="inlineStr">
        <is>
          <t>PAID</t>
        </is>
      </c>
      <c r="M738">
        <f>IF(L738="VOIDED",0,1)</f>
        <v>1</v>
      </c>
      <c r="N738" t="n">
        <v>200</v>
      </c>
      <c r="O738" t="inlineStr">
        <is>
          <t>GST on Income</t>
        </is>
      </c>
      <c r="P738" t="inlineStr">
        <is>
          <t>R07</t>
        </is>
      </c>
      <c r="Q738" t="inlineStr">
        <is>
          <t>DEL-FP</t>
        </is>
      </c>
      <c r="R738">
        <f>IF(OR(Q738="CONTEXT",Q738="REVIEW"),"",INDEX('Category Rules'!$D$5:$D$17,MATCH(P738,'Category Rules'!$A$5:$A$17,0)))</f>
        <v>4020</v>
      </c>
      <c r="S738" t="str">
        <f>IF(Q738="CONTEXT","Fencing",IF(Q738="REVIEW","",INDEX('Category Rules'!$E$5:$E$17,MATCH(P738,'Category Rules'!$A$5:$A$17,0))))</f>
        <v>Fencing</v>
      </c>
      <c r="T738" t="str">
        <f>IF(Q738="DEP","BAS Excluded","GST on Income")</f>
        <v>GST on Income</v>
      </c>
      <c r="U738">
        <f>IF(O738=T738,1,0)</f>
        <v>1</v>
      </c>
      <c r="V738" s="9">
        <f>IF(OR(M738=0,U738=1),0,IF(T738="GST on Income",ROUND(K738*0.1,2),ROUND(-K738*0.1,2)))</f>
        <v>0</v>
      </c>
    </row>
    <row r="739">
      <c r="A739" t="inlineStr">
        <is>
          <t>INV-5122-1</t>
        </is>
      </c>
      <c r="B739" t="inlineStr">
        <is>
          <t>INV-5122</t>
        </is>
      </c>
      <c r="C739" s="11" t="n">
        <v>45955</v>
      </c>
      <c r="D739" t="inlineStr">
        <is>
          <t>2025-10</t>
        </is>
      </c>
      <c r="E739" t="inlineStr">
        <is>
          <t>C0025</t>
        </is>
      </c>
      <c r="F739" t="inlineStr">
        <is>
          <t>C0025</t>
        </is>
      </c>
      <c r="G739" t="inlineStr">
        <is>
          <t>Silverleaf Building Group Pty Ltd</t>
        </is>
      </c>
      <c r="H739" t="inlineStr">
        <is>
          <t>S0218</t>
        </is>
      </c>
      <c r="I739" t="inlineStr">
        <is>
          <t>Temporary fence hire 4 wks (27/09/25-24/10/25) - 119 panels</t>
        </is>
      </c>
      <c r="J739" t="n">
        <v>476</v>
      </c>
      <c r="K739" s="9" t="n">
        <v>2142</v>
      </c>
      <c r="L739" t="inlineStr">
        <is>
          <t>PAID</t>
        </is>
      </c>
      <c r="M739">
        <f>IF(L739="VOIDED",0,1)</f>
        <v>1</v>
      </c>
      <c r="N739" t="n">
        <v>200</v>
      </c>
      <c r="O739" t="inlineStr">
        <is>
          <t>GST on Income</t>
        </is>
      </c>
      <c r="P739" t="inlineStr">
        <is>
          <t>R03</t>
        </is>
      </c>
      <c r="Q739" t="inlineStr">
        <is>
          <t>HIRE-FP</t>
        </is>
      </c>
      <c r="R739">
        <f>IF(OR(Q739="CONTEXT",Q739="REVIEW"),"",INDEX('Category Rules'!$D$5:$D$17,MATCH(P739,'Category Rules'!$A$5:$A$17,0)))</f>
        <v>4010</v>
      </c>
      <c r="S739" t="str">
        <f>IF(Q739="CONTEXT","Fencing",IF(Q739="REVIEW","",INDEX('Category Rules'!$E$5:$E$17,MATCH(P739,'Category Rules'!$A$5:$A$17,0))))</f>
        <v>Fencing</v>
      </c>
      <c r="T739" t="str">
        <f>IF(Q739="DEP","BAS Excluded","GST on Income")</f>
        <v>GST on Income</v>
      </c>
      <c r="U739">
        <f>IF(O739=T739,1,0)</f>
        <v>1</v>
      </c>
      <c r="V739" s="9">
        <f>IF(OR(M739=0,U739=1),0,IF(T739="GST on Income",ROUND(K739*0.1,2),ROUND(-K739*0.1,2)))</f>
        <v>0</v>
      </c>
    </row>
    <row r="740">
      <c r="A740" t="inlineStr">
        <is>
          <t>INV-5123-1</t>
        </is>
      </c>
      <c r="B740" t="inlineStr">
        <is>
          <t>INV-5123</t>
        </is>
      </c>
      <c r="C740" s="11" t="n">
        <v>45955</v>
      </c>
      <c r="D740" t="inlineStr">
        <is>
          <t>2025-10</t>
        </is>
      </c>
      <c r="E740" t="inlineStr">
        <is>
          <t>C0025</t>
        </is>
      </c>
      <c r="F740" t="inlineStr">
        <is>
          <t>C0025</t>
        </is>
      </c>
      <c r="G740" t="inlineStr">
        <is>
          <t>Silverleaf Building Group Pty Ltd</t>
        </is>
      </c>
      <c r="H740" t="inlineStr">
        <is>
          <t>S0218</t>
        </is>
      </c>
      <c r="I740" t="inlineStr">
        <is>
          <t>Pedestrian barrier hire 4 wks (27/09/25-24/10/25) - 13 barriers</t>
        </is>
      </c>
      <c r="J740" t="n">
        <v>52</v>
      </c>
      <c r="K740" s="9" t="n">
        <v>166.4</v>
      </c>
      <c r="L740" t="inlineStr">
        <is>
          <t>PAID</t>
        </is>
      </c>
      <c r="M740">
        <f>IF(L740="VOIDED",0,1)</f>
        <v>1</v>
      </c>
      <c r="N740" t="n">
        <v>200</v>
      </c>
      <c r="O740" t="inlineStr">
        <is>
          <t>GST on Income</t>
        </is>
      </c>
      <c r="P740" t="inlineStr">
        <is>
          <t>R04</t>
        </is>
      </c>
      <c r="Q740" t="inlineStr">
        <is>
          <t>HIRE-BR</t>
        </is>
      </c>
      <c r="R740">
        <f>IF(OR(Q740="CONTEXT",Q740="REVIEW"),"",INDEX('Category Rules'!$D$5:$D$17,MATCH(P740,'Category Rules'!$A$5:$A$17,0)))</f>
        <v>4010</v>
      </c>
      <c r="S740" t="str">
        <f>IF(Q740="CONTEXT","Fencing",IF(Q740="REVIEW","",INDEX('Category Rules'!$E$5:$E$17,MATCH(P740,'Category Rules'!$A$5:$A$17,0))))</f>
        <v>Fencing</v>
      </c>
      <c r="T740" t="str">
        <f>IF(Q740="DEP","BAS Excluded","GST on Income")</f>
        <v>GST on Income</v>
      </c>
      <c r="U740">
        <f>IF(O740=T740,1,0)</f>
        <v>1</v>
      </c>
      <c r="V740" s="9">
        <f>IF(OR(M740=0,U740=1),0,IF(T740="GST on Income",ROUND(K740*0.1,2),ROUND(-K740*0.1,2)))</f>
        <v>0</v>
      </c>
    </row>
    <row r="741">
      <c r="A741" t="inlineStr">
        <is>
          <t>INV-5125-1</t>
        </is>
      </c>
      <c r="B741" t="inlineStr">
        <is>
          <t>INV-5125</t>
        </is>
      </c>
      <c r="C741" s="11" t="n">
        <v>45955</v>
      </c>
      <c r="D741" t="inlineStr">
        <is>
          <t>2025-10</t>
        </is>
      </c>
      <c r="E741" t="inlineStr">
        <is>
          <t>C0025</t>
        </is>
      </c>
      <c r="F741" t="inlineStr">
        <is>
          <t>C0025</t>
        </is>
      </c>
      <c r="G741" t="inlineStr">
        <is>
          <t>Silverleaf Building Group Pty Ltd</t>
        </is>
      </c>
      <c r="H741" t="inlineStr">
        <is>
          <t>S0218</t>
        </is>
      </c>
      <c r="I741" t="inlineStr">
        <is>
          <t>Collection and dismantle - temporary fencing</t>
        </is>
      </c>
      <c r="J741" t="n">
        <v>1</v>
      </c>
      <c r="K741" s="9" t="n">
        <v>165</v>
      </c>
      <c r="L741" t="inlineStr">
        <is>
          <t>PAID</t>
        </is>
      </c>
      <c r="M741">
        <f>IF(L741="VOIDED",0,1)</f>
        <v>1</v>
      </c>
      <c r="N741" t="n">
        <v>200</v>
      </c>
      <c r="O741" t="inlineStr">
        <is>
          <t>GST on Income</t>
        </is>
      </c>
      <c r="P741" t="inlineStr">
        <is>
          <t>R07</t>
        </is>
      </c>
      <c r="Q741" t="inlineStr">
        <is>
          <t>DEL-FP</t>
        </is>
      </c>
      <c r="R741">
        <f>IF(OR(Q741="CONTEXT",Q741="REVIEW"),"",INDEX('Category Rules'!$D$5:$D$17,MATCH(P741,'Category Rules'!$A$5:$A$17,0)))</f>
        <v>4020</v>
      </c>
      <c r="S741" t="str">
        <f>IF(Q741="CONTEXT","Fencing",IF(Q741="REVIEW","",INDEX('Category Rules'!$E$5:$E$17,MATCH(P741,'Category Rules'!$A$5:$A$17,0))))</f>
        <v>Fencing</v>
      </c>
      <c r="T741" t="str">
        <f>IF(Q741="DEP","BAS Excluded","GST on Income")</f>
        <v>GST on Income</v>
      </c>
      <c r="U741">
        <f>IF(O741=T741,1,0)</f>
        <v>1</v>
      </c>
      <c r="V741" s="9">
        <f>IF(OR(M741=0,U741=1),0,IF(T741="GST on Income",ROUND(K741*0.1,2),ROUND(-K741*0.1,2)))</f>
        <v>0</v>
      </c>
    </row>
    <row r="742">
      <c r="A742" t="inlineStr">
        <is>
          <t>INV-5534-1</t>
        </is>
      </c>
      <c r="B742" t="inlineStr">
        <is>
          <t>INV-5534</t>
        </is>
      </c>
      <c r="C742" s="11" t="n">
        <v>45955</v>
      </c>
      <c r="D742" t="inlineStr">
        <is>
          <t>2025-10</t>
        </is>
      </c>
      <c r="E742" t="inlineStr">
        <is>
          <t>C0107</t>
        </is>
      </c>
      <c r="F742" t="inlineStr">
        <is>
          <t>C0107</t>
        </is>
      </c>
      <c r="G742" t="inlineStr">
        <is>
          <t>Sofia Hughes</t>
        </is>
      </c>
      <c r="H742" t="inlineStr">
        <is>
          <t>S0341</t>
        </is>
      </c>
      <c r="I742" t="inlineStr">
        <is>
          <t>Emergency make safe call-out - after hours</t>
        </is>
      </c>
      <c r="J742" t="n">
        <v>1</v>
      </c>
      <c r="K742" s="9" t="n">
        <v>560</v>
      </c>
      <c r="L742" t="inlineStr">
        <is>
          <t>PAID</t>
        </is>
      </c>
      <c r="M742">
        <f>IF(L742="VOIDED",0,1)</f>
        <v>1</v>
      </c>
      <c r="N742" t="n">
        <v>200</v>
      </c>
      <c r="O742" t="inlineStr">
        <is>
          <t>GST on Income</t>
        </is>
      </c>
      <c r="P742" t="inlineStr">
        <is>
          <t>R09</t>
        </is>
      </c>
      <c r="Q742" t="inlineStr">
        <is>
          <t>MS</t>
        </is>
      </c>
      <c r="R742">
        <f>IF(OR(Q742="CONTEXT",Q742="REVIEW"),"",INDEX('Category Rules'!$D$5:$D$17,MATCH(P742,'Category Rules'!$A$5:$A$17,0)))</f>
        <v>4020</v>
      </c>
      <c r="S742" t="str">
        <f>IF(Q742="CONTEXT","Make-safe",IF(Q742="REVIEW","",INDEX('Category Rules'!$E$5:$E$17,MATCH(P742,'Category Rules'!$A$5:$A$17,0))))</f>
        <v>Make-safe</v>
      </c>
      <c r="T742" t="str">
        <f>IF(Q742="DEP","BAS Excluded","GST on Income")</f>
        <v>GST on Income</v>
      </c>
      <c r="U742">
        <f>IF(O742=T742,1,0)</f>
        <v>1</v>
      </c>
      <c r="V742" s="9">
        <f>IF(OR(M742=0,U742=1),0,IF(T742="GST on Income",ROUND(K742*0.1,2),ROUND(-K742*0.1,2)))</f>
        <v>0</v>
      </c>
    </row>
    <row r="743">
      <c r="A743" t="inlineStr">
        <is>
          <t>INV-5815-1</t>
        </is>
      </c>
      <c r="B743" t="inlineStr">
        <is>
          <t>INV-5815</t>
        </is>
      </c>
      <c r="C743" s="11" t="n">
        <v>45955</v>
      </c>
      <c r="D743" t="inlineStr">
        <is>
          <t>2025-10</t>
        </is>
      </c>
      <c r="E743" t="inlineStr">
        <is>
          <t>C0066</t>
        </is>
      </c>
      <c r="F743" t="inlineStr">
        <is>
          <t>C0066</t>
        </is>
      </c>
      <c r="G743" t="inlineStr">
        <is>
          <t>Northgate Insurance Repairs</t>
        </is>
      </c>
      <c r="H743" t="inlineStr">
        <is>
          <t>S0499</t>
        </is>
      </c>
      <c r="I743" t="inlineStr">
        <is>
          <t>Tarp kit hire 2 wks (17/10/25-24/10/25) - 1 kits</t>
        </is>
      </c>
      <c r="J743" t="n">
        <v>2</v>
      </c>
      <c r="K743" s="9" t="n">
        <v>70</v>
      </c>
      <c r="L743" t="inlineStr">
        <is>
          <t>PAID</t>
        </is>
      </c>
      <c r="M743">
        <f>IF(L743="VOIDED",0,1)</f>
        <v>1</v>
      </c>
      <c r="N743" t="n">
        <v>200</v>
      </c>
      <c r="O743" t="inlineStr">
        <is>
          <t>GST on Income</t>
        </is>
      </c>
      <c r="P743" t="inlineStr">
        <is>
          <t>R06</t>
        </is>
      </c>
      <c r="Q743" t="inlineStr">
        <is>
          <t>HIRE-TK</t>
        </is>
      </c>
      <c r="R743">
        <f>IF(OR(Q743="CONTEXT",Q743="REVIEW"),"",INDEX('Category Rules'!$D$5:$D$17,MATCH(P743,'Category Rules'!$A$5:$A$17,0)))</f>
        <v>4010</v>
      </c>
      <c r="S743" t="str">
        <f>IF(Q743="CONTEXT","Make-safe",IF(Q743="REVIEW","",INDEX('Category Rules'!$E$5:$E$17,MATCH(P743,'Category Rules'!$A$5:$A$17,0))))</f>
        <v>Make-safe</v>
      </c>
      <c r="T743" t="str">
        <f>IF(Q743="DEP","BAS Excluded","GST on Income")</f>
        <v>GST on Income</v>
      </c>
      <c r="U743">
        <f>IF(O743=T743,1,0)</f>
        <v>1</v>
      </c>
      <c r="V743" s="9">
        <f>IF(OR(M743=0,U743=1),0,IF(T743="GST on Income",ROUND(K743*0.1,2),ROUND(-K743*0.1,2)))</f>
        <v>0</v>
      </c>
    </row>
    <row r="744">
      <c r="A744" t="inlineStr">
        <is>
          <t>INV-5904-1</t>
        </is>
      </c>
      <c r="B744" t="inlineStr">
        <is>
          <t>INV-5904</t>
        </is>
      </c>
      <c r="C744" s="11" t="n">
        <v>45955</v>
      </c>
      <c r="D744" t="inlineStr">
        <is>
          <t>2025-10</t>
        </is>
      </c>
      <c r="E744" t="inlineStr">
        <is>
          <t>C0008</t>
        </is>
      </c>
      <c r="F744" t="inlineStr">
        <is>
          <t>C0008</t>
        </is>
      </c>
      <c r="G744" t="inlineStr">
        <is>
          <t>Redline Builders Pty Ltd</t>
        </is>
      </c>
      <c r="H744" t="inlineStr"/>
      <c r="I744" t="inlineStr">
        <is>
          <t>As per quote Q-1911</t>
        </is>
      </c>
      <c r="J744" t="n">
        <v>1</v>
      </c>
      <c r="K744" s="9" t="n">
        <v>1181.1</v>
      </c>
      <c r="L744" t="inlineStr">
        <is>
          <t>PAID</t>
        </is>
      </c>
      <c r="M744">
        <f>IF(L744="VOIDED",0,1)</f>
        <v>1</v>
      </c>
      <c r="N744" t="n">
        <v>200</v>
      </c>
      <c r="O744" t="inlineStr">
        <is>
          <t>GST on Income</t>
        </is>
      </c>
      <c r="P744" t="inlineStr">
        <is>
          <t>--</t>
        </is>
      </c>
      <c r="Q744" t="inlineStr">
        <is>
          <t>REVIEW</t>
        </is>
      </c>
      <c r="R744">
        <f>IF(OR(Q744="CONTEXT",Q744="REVIEW"),"",INDEX('Category Rules'!$D$5:$D$17,MATCH(P744,'Category Rules'!$A$5:$A$17,0)))</f>
      </c>
      <c r="S744">
        <f>IF(Q744="CONTEXT","",IF(Q744="REVIEW","",INDEX('Category Rules'!$E$5:$E$17,MATCH(P744,'Category Rules'!$A$5:$A$17,0))))</f>
      </c>
      <c r="T744" t="str">
        <f>IF(Q744="DEP","BAS Excluded","GST on Income")</f>
        <v>GST on Income</v>
      </c>
      <c r="U744">
        <f>IF(O744=T744,1,0)</f>
        <v>1</v>
      </c>
      <c r="V744" s="9">
        <f>IF(OR(M744=0,U744=1),0,IF(T744="GST on Income",ROUND(K744*0.1,2),ROUND(-K744*0.1,2)))</f>
        <v>0</v>
      </c>
    </row>
    <row r="745">
      <c r="A745" t="inlineStr">
        <is>
          <t>INV-4851-1</t>
        </is>
      </c>
      <c r="B745" t="inlineStr">
        <is>
          <t>INV-4851</t>
        </is>
      </c>
      <c r="C745" s="11" t="n">
        <v>45956</v>
      </c>
      <c r="D745" t="inlineStr">
        <is>
          <t>2025-10</t>
        </is>
      </c>
      <c r="E745" t="inlineStr">
        <is>
          <t>C0122</t>
        </is>
      </c>
      <c r="F745" t="inlineStr">
        <is>
          <t>C0122</t>
        </is>
      </c>
      <c r="G745" t="inlineStr">
        <is>
          <t>Bluegum Construction Pty Ltd</t>
        </is>
      </c>
      <c r="H745" t="inlineStr">
        <is>
          <t>S0160</t>
        </is>
      </c>
      <c r="I745" t="inlineStr">
        <is>
          <t>Temporary fence hire 4 wks (28/09/25-25/10/25) - 91 panels</t>
        </is>
      </c>
      <c r="J745" t="n">
        <v>364</v>
      </c>
      <c r="K745" s="9" t="n">
        <v>1638</v>
      </c>
      <c r="L745" t="inlineStr">
        <is>
          <t>PAID</t>
        </is>
      </c>
      <c r="M745">
        <f>IF(L745="VOIDED",0,1)</f>
        <v>1</v>
      </c>
      <c r="N745" t="n">
        <v>200</v>
      </c>
      <c r="O745" t="inlineStr">
        <is>
          <t>GST on Income</t>
        </is>
      </c>
      <c r="P745" t="inlineStr">
        <is>
          <t>R03</t>
        </is>
      </c>
      <c r="Q745" t="inlineStr">
        <is>
          <t>HIRE-FP</t>
        </is>
      </c>
      <c r="R745">
        <f>IF(OR(Q745="CONTEXT",Q745="REVIEW"),"",INDEX('Category Rules'!$D$5:$D$17,MATCH(P745,'Category Rules'!$A$5:$A$17,0)))</f>
        <v>4010</v>
      </c>
      <c r="S745" t="str">
        <f>IF(Q745="CONTEXT","Fencing",IF(Q745="REVIEW","",INDEX('Category Rules'!$E$5:$E$17,MATCH(P745,'Category Rules'!$A$5:$A$17,0))))</f>
        <v>Fencing</v>
      </c>
      <c r="T745" t="str">
        <f>IF(Q745="DEP","BAS Excluded","GST on Income")</f>
        <v>GST on Income</v>
      </c>
      <c r="U745">
        <f>IF(O745=T745,1,0)</f>
        <v>1</v>
      </c>
      <c r="V745" s="9">
        <f>IF(OR(M745=0,U745=1),0,IF(T745="GST on Income",ROUND(K745*0.1,2),ROUND(-K745*0.1,2)))</f>
        <v>0</v>
      </c>
    </row>
    <row r="746">
      <c r="A746" t="inlineStr">
        <is>
          <t>INV-5640-1</t>
        </is>
      </c>
      <c r="B746" t="inlineStr">
        <is>
          <t>INV-5640</t>
        </is>
      </c>
      <c r="C746" s="11" t="n">
        <v>45956</v>
      </c>
      <c r="D746" t="inlineStr">
        <is>
          <t>2025-10</t>
        </is>
      </c>
      <c r="E746" t="inlineStr">
        <is>
          <t>C0054</t>
        </is>
      </c>
      <c r="F746" t="inlineStr">
        <is>
          <t>C0054</t>
        </is>
      </c>
      <c r="G746" t="inlineStr">
        <is>
          <t>Westside Strata Management Pty Ltd</t>
        </is>
      </c>
      <c r="H746" t="inlineStr">
        <is>
          <t>S0402</t>
        </is>
      </c>
      <c r="I746" t="inlineStr">
        <is>
          <t>Emergency make safe call-out - after hours</t>
        </is>
      </c>
      <c r="J746" t="n">
        <v>1</v>
      </c>
      <c r="K746" s="9" t="n">
        <v>560</v>
      </c>
      <c r="L746" t="inlineStr">
        <is>
          <t>PAID</t>
        </is>
      </c>
      <c r="M746">
        <f>IF(L746="VOIDED",0,1)</f>
        <v>1</v>
      </c>
      <c r="N746" t="n">
        <v>200</v>
      </c>
      <c r="O746" t="inlineStr">
        <is>
          <t>GST on Income</t>
        </is>
      </c>
      <c r="P746" t="inlineStr">
        <is>
          <t>R09</t>
        </is>
      </c>
      <c r="Q746" t="inlineStr">
        <is>
          <t>MS</t>
        </is>
      </c>
      <c r="R746">
        <f>IF(OR(Q746="CONTEXT",Q746="REVIEW"),"",INDEX('Category Rules'!$D$5:$D$17,MATCH(P746,'Category Rules'!$A$5:$A$17,0)))</f>
        <v>4020</v>
      </c>
      <c r="S746" t="str">
        <f>IF(Q746="CONTEXT","Make-safe",IF(Q746="REVIEW","",INDEX('Category Rules'!$E$5:$E$17,MATCH(P746,'Category Rules'!$A$5:$A$17,0))))</f>
        <v>Make-safe</v>
      </c>
      <c r="T746" t="str">
        <f>IF(Q746="DEP","BAS Excluded","GST on Income")</f>
        <v>GST on Income</v>
      </c>
      <c r="U746">
        <f>IF(O746=T746,1,0)</f>
        <v>1</v>
      </c>
      <c r="V746" s="9">
        <f>IF(OR(M746=0,U746=1),0,IF(T746="GST on Income",ROUND(K746*0.1,2),ROUND(-K746*0.1,2)))</f>
        <v>0</v>
      </c>
    </row>
    <row r="747">
      <c r="A747" t="inlineStr">
        <is>
          <t>INV-5765-1</t>
        </is>
      </c>
      <c r="B747" t="inlineStr">
        <is>
          <t>INV-5765</t>
        </is>
      </c>
      <c r="C747" s="11" t="n">
        <v>45956</v>
      </c>
      <c r="D747" t="inlineStr">
        <is>
          <t>2025-10</t>
        </is>
      </c>
      <c r="E747" t="inlineStr">
        <is>
          <t>C0044</t>
        </is>
      </c>
      <c r="F747" t="inlineStr">
        <is>
          <t>C0044</t>
        </is>
      </c>
      <c r="G747" t="inlineStr">
        <is>
          <t>Granite Constructions</t>
        </is>
      </c>
      <c r="H747" t="inlineStr">
        <is>
          <t>S0469</t>
        </is>
      </c>
      <c r="I747" t="inlineStr">
        <is>
          <t>Roof repair labour - 3 hrs</t>
        </is>
      </c>
      <c r="J747" t="n">
        <v>3</v>
      </c>
      <c r="K747" s="9" t="n">
        <v>294</v>
      </c>
      <c r="L747" t="inlineStr">
        <is>
          <t>PAID</t>
        </is>
      </c>
      <c r="M747">
        <f>IF(L747="VOIDED",0,1)</f>
        <v>1</v>
      </c>
      <c r="N747" t="n">
        <v>200</v>
      </c>
      <c r="O747" t="inlineStr">
        <is>
          <t>GST on Income</t>
        </is>
      </c>
      <c r="P747" t="inlineStr">
        <is>
          <t>R10</t>
        </is>
      </c>
      <c r="Q747" t="inlineStr">
        <is>
          <t>LAB-RF</t>
        </is>
      </c>
      <c r="R747">
        <f>IF(OR(Q747="CONTEXT",Q747="REVIEW"),"",INDEX('Category Rules'!$D$5:$D$17,MATCH(P747,'Category Rules'!$A$5:$A$17,0)))</f>
        <v>4020</v>
      </c>
      <c r="S747" t="str">
        <f>IF(Q747="CONTEXT","Roofing",IF(Q747="REVIEW","",INDEX('Category Rules'!$E$5:$E$17,MATCH(P747,'Category Rules'!$A$5:$A$17,0))))</f>
        <v>Roofing</v>
      </c>
      <c r="T747" t="str">
        <f>IF(Q747="DEP","BAS Excluded","GST on Income")</f>
        <v>GST on Income</v>
      </c>
      <c r="U747">
        <f>IF(O747=T747,1,0)</f>
        <v>1</v>
      </c>
      <c r="V747" s="9">
        <f>IF(OR(M747=0,U747=1),0,IF(T747="GST on Income",ROUND(K747*0.1,2),ROUND(-K747*0.1,2)))</f>
        <v>0</v>
      </c>
    </row>
    <row r="748">
      <c r="A748" t="inlineStr">
        <is>
          <t>INV-5765-2</t>
        </is>
      </c>
      <c r="B748" t="inlineStr">
        <is>
          <t>INV-5765</t>
        </is>
      </c>
      <c r="C748" s="11" t="n">
        <v>45956</v>
      </c>
      <c r="D748" t="inlineStr">
        <is>
          <t>2025-10</t>
        </is>
      </c>
      <c r="E748" t="inlineStr">
        <is>
          <t>C0044</t>
        </is>
      </c>
      <c r="F748" t="inlineStr">
        <is>
          <t>C0044</t>
        </is>
      </c>
      <c r="G748" t="inlineStr">
        <is>
          <t>Granite Constructions</t>
        </is>
      </c>
      <c r="H748" t="inlineStr">
        <is>
          <t>S0469</t>
        </is>
      </c>
      <c r="I748" t="inlineStr">
        <is>
          <t>Materials - Colorbond sheet</t>
        </is>
      </c>
      <c r="J748" t="n">
        <v>1</v>
      </c>
      <c r="K748" s="9" t="n">
        <v>688.26</v>
      </c>
      <c r="L748" t="inlineStr">
        <is>
          <t>PAID</t>
        </is>
      </c>
      <c r="M748">
        <f>IF(L748="VOIDED",0,1)</f>
        <v>1</v>
      </c>
      <c r="N748" t="n">
        <v>200</v>
      </c>
      <c r="O748" t="inlineStr">
        <is>
          <t>GST on Income</t>
        </is>
      </c>
      <c r="P748" t="inlineStr">
        <is>
          <t>R11</t>
        </is>
      </c>
      <c r="Q748" t="inlineStr">
        <is>
          <t>MAT-RF</t>
        </is>
      </c>
      <c r="R748">
        <f>IF(OR(Q748="CONTEXT",Q748="REVIEW"),"",INDEX('Category Rules'!$D$5:$D$17,MATCH(P748,'Category Rules'!$A$5:$A$17,0)))</f>
        <v>4030</v>
      </c>
      <c r="S748" t="str">
        <f>IF(Q748="CONTEXT","Roofing",IF(Q748="REVIEW","",INDEX('Category Rules'!$E$5:$E$17,MATCH(P748,'Category Rules'!$A$5:$A$17,0))))</f>
        <v>Roofing</v>
      </c>
      <c r="T748" t="str">
        <f>IF(Q748="DEP","BAS Excluded","GST on Income")</f>
        <v>GST on Income</v>
      </c>
      <c r="U748">
        <f>IF(O748=T748,1,0)</f>
        <v>1</v>
      </c>
      <c r="V748" s="9">
        <f>IF(OR(M748=0,U748=1),0,IF(T748="GST on Income",ROUND(K748*0.1,2),ROUND(-K748*0.1,2)))</f>
        <v>0</v>
      </c>
    </row>
    <row r="749">
      <c r="A749" t="inlineStr">
        <is>
          <t>INV-4951-1</t>
        </is>
      </c>
      <c r="B749" t="inlineStr">
        <is>
          <t>INV-4951</t>
        </is>
      </c>
      <c r="C749" s="11" t="n">
        <v>45957</v>
      </c>
      <c r="D749" t="inlineStr">
        <is>
          <t>2025-10</t>
        </is>
      </c>
      <c r="E749" t="inlineStr">
        <is>
          <t>C0018</t>
        </is>
      </c>
      <c r="F749" t="inlineStr">
        <is>
          <t>C0018</t>
        </is>
      </c>
      <c r="G749" t="inlineStr">
        <is>
          <t>Wattle Constructions Pty Ltd</t>
        </is>
      </c>
      <c r="H749" t="inlineStr">
        <is>
          <t>S0181</t>
        </is>
      </c>
      <c r="I749" t="inlineStr">
        <is>
          <t>Temporary fence hire 4 wks (29/09/25-26/10/25) - 122 panels</t>
        </is>
      </c>
      <c r="J749" t="n">
        <v>488</v>
      </c>
      <c r="K749" s="9" t="n">
        <v>2196</v>
      </c>
      <c r="L749" t="inlineStr">
        <is>
          <t>PAID</t>
        </is>
      </c>
      <c r="M749">
        <f>IF(L749="VOIDED",0,1)</f>
        <v>1</v>
      </c>
      <c r="N749" t="n">
        <v>200</v>
      </c>
      <c r="O749" t="inlineStr">
        <is>
          <t>GST on Income</t>
        </is>
      </c>
      <c r="P749" t="inlineStr">
        <is>
          <t>R03</t>
        </is>
      </c>
      <c r="Q749" t="inlineStr">
        <is>
          <t>HIRE-FP</t>
        </is>
      </c>
      <c r="R749">
        <f>IF(OR(Q749="CONTEXT",Q749="REVIEW"),"",INDEX('Category Rules'!$D$5:$D$17,MATCH(P749,'Category Rules'!$A$5:$A$17,0)))</f>
        <v>4010</v>
      </c>
      <c r="S749" t="str">
        <f>IF(Q749="CONTEXT","Fencing",IF(Q749="REVIEW","",INDEX('Category Rules'!$E$5:$E$17,MATCH(P749,'Category Rules'!$A$5:$A$17,0))))</f>
        <v>Fencing</v>
      </c>
      <c r="T749" t="str">
        <f>IF(Q749="DEP","BAS Excluded","GST on Income")</f>
        <v>GST on Income</v>
      </c>
      <c r="U749">
        <f>IF(O749=T749,1,0)</f>
        <v>1</v>
      </c>
      <c r="V749" s="9">
        <f>IF(OR(M749=0,U749=1),0,IF(T749="GST on Income",ROUND(K749*0.1,2),ROUND(-K749*0.1,2)))</f>
        <v>0</v>
      </c>
    </row>
    <row r="750">
      <c r="A750" t="inlineStr">
        <is>
          <t>INV-5684-1</t>
        </is>
      </c>
      <c r="B750" t="inlineStr">
        <is>
          <t>INV-5684</t>
        </is>
      </c>
      <c r="C750" s="11" t="n">
        <v>45957</v>
      </c>
      <c r="D750" t="inlineStr">
        <is>
          <t>2025-10</t>
        </is>
      </c>
      <c r="E750" t="inlineStr">
        <is>
          <t>C0089</t>
        </is>
      </c>
      <c r="F750" t="inlineStr">
        <is>
          <t>C0089</t>
        </is>
      </c>
      <c r="G750" t="inlineStr">
        <is>
          <t>Leo Hughes</t>
        </is>
      </c>
      <c r="H750" t="inlineStr">
        <is>
          <t>S0425</t>
        </is>
      </c>
      <c r="I750" t="inlineStr">
        <is>
          <t>Roof repair labour - 6 hrs</t>
        </is>
      </c>
      <c r="J750" t="n">
        <v>6</v>
      </c>
      <c r="K750" s="9" t="n">
        <v>588</v>
      </c>
      <c r="L750" t="inlineStr">
        <is>
          <t>PAID</t>
        </is>
      </c>
      <c r="M750">
        <f>IF(L750="VOIDED",0,1)</f>
        <v>1</v>
      </c>
      <c r="N750" t="n">
        <v>200</v>
      </c>
      <c r="O750" t="inlineStr">
        <is>
          <t>GST on Income</t>
        </is>
      </c>
      <c r="P750" t="inlineStr">
        <is>
          <t>R10</t>
        </is>
      </c>
      <c r="Q750" t="inlineStr">
        <is>
          <t>LAB-RF</t>
        </is>
      </c>
      <c r="R750">
        <f>IF(OR(Q750="CONTEXT",Q750="REVIEW"),"",INDEX('Category Rules'!$D$5:$D$17,MATCH(P750,'Category Rules'!$A$5:$A$17,0)))</f>
        <v>4020</v>
      </c>
      <c r="S750" t="str">
        <f>IF(Q750="CONTEXT","Roofing",IF(Q750="REVIEW","",INDEX('Category Rules'!$E$5:$E$17,MATCH(P750,'Category Rules'!$A$5:$A$17,0))))</f>
        <v>Roofing</v>
      </c>
      <c r="T750" t="str">
        <f>IF(Q750="DEP","BAS Excluded","GST on Income")</f>
        <v>GST on Income</v>
      </c>
      <c r="U750">
        <f>IF(O750=T750,1,0)</f>
        <v>1</v>
      </c>
      <c r="V750" s="9">
        <f>IF(OR(M750=0,U750=1),0,IF(T750="GST on Income",ROUND(K750*0.1,2),ROUND(-K750*0.1,2)))</f>
        <v>0</v>
      </c>
    </row>
    <row r="751">
      <c r="A751" t="inlineStr">
        <is>
          <t>INV-5684-2</t>
        </is>
      </c>
      <c r="B751" t="inlineStr">
        <is>
          <t>INV-5684</t>
        </is>
      </c>
      <c r="C751" s="11" t="n">
        <v>45957</v>
      </c>
      <c r="D751" t="inlineStr">
        <is>
          <t>2025-10</t>
        </is>
      </c>
      <c r="E751" t="inlineStr">
        <is>
          <t>C0089</t>
        </is>
      </c>
      <c r="F751" t="inlineStr">
        <is>
          <t>C0089</t>
        </is>
      </c>
      <c r="G751" t="inlineStr">
        <is>
          <t>Leo Hughes</t>
        </is>
      </c>
      <c r="H751" t="inlineStr">
        <is>
          <t>S0425</t>
        </is>
      </c>
      <c r="I751" t="inlineStr">
        <is>
          <t>Materials - sealant and fixings</t>
        </is>
      </c>
      <c r="J751" t="n">
        <v>1</v>
      </c>
      <c r="K751" s="9" t="n">
        <v>1338.24</v>
      </c>
      <c r="L751" t="inlineStr">
        <is>
          <t>PAID</t>
        </is>
      </c>
      <c r="M751">
        <f>IF(L751="VOIDED",0,1)</f>
        <v>1</v>
      </c>
      <c r="N751" t="n">
        <v>200</v>
      </c>
      <c r="O751" t="inlineStr">
        <is>
          <t>GST on Income</t>
        </is>
      </c>
      <c r="P751" t="inlineStr">
        <is>
          <t>R11</t>
        </is>
      </c>
      <c r="Q751" t="inlineStr">
        <is>
          <t>MAT-RF</t>
        </is>
      </c>
      <c r="R751">
        <f>IF(OR(Q751="CONTEXT",Q751="REVIEW"),"",INDEX('Category Rules'!$D$5:$D$17,MATCH(P751,'Category Rules'!$A$5:$A$17,0)))</f>
        <v>4030</v>
      </c>
      <c r="S751" t="str">
        <f>IF(Q751="CONTEXT","Roofing",IF(Q751="REVIEW","",INDEX('Category Rules'!$E$5:$E$17,MATCH(P751,'Category Rules'!$A$5:$A$17,0))))</f>
        <v>Roofing</v>
      </c>
      <c r="T751" t="str">
        <f>IF(Q751="DEP","BAS Excluded","GST on Income")</f>
        <v>GST on Income</v>
      </c>
      <c r="U751">
        <f>IF(O751=T751,1,0)</f>
        <v>1</v>
      </c>
      <c r="V751" s="9">
        <f>IF(OR(M751=0,U751=1),0,IF(T751="GST on Income",ROUND(K751*0.1,2),ROUND(-K751*0.1,2)))</f>
        <v>0</v>
      </c>
    </row>
    <row r="752">
      <c r="A752" t="inlineStr">
        <is>
          <t>INV-4398-1</t>
        </is>
      </c>
      <c r="B752" t="inlineStr">
        <is>
          <t>INV-4398</t>
        </is>
      </c>
      <c r="C752" s="11" t="n">
        <v>45958</v>
      </c>
      <c r="D752" t="inlineStr">
        <is>
          <t>2025-10</t>
        </is>
      </c>
      <c r="E752" t="inlineStr">
        <is>
          <t>C0119</t>
        </is>
      </c>
      <c r="F752" t="inlineStr">
        <is>
          <t>C0119</t>
        </is>
      </c>
      <c r="G752" t="inlineStr">
        <is>
          <t>Northgate Builders Pty Ltd</t>
        </is>
      </c>
      <c r="H752" t="inlineStr">
        <is>
          <t>S0062</t>
        </is>
      </c>
      <c r="I752" t="inlineStr">
        <is>
          <t>Temporary fence hire 4 wks (30/09/25-27/10/25) - 135 panels</t>
        </is>
      </c>
      <c r="J752" t="n">
        <v>540</v>
      </c>
      <c r="K752" s="9" t="n">
        <v>2430</v>
      </c>
      <c r="L752" t="inlineStr">
        <is>
          <t>PAID</t>
        </is>
      </c>
      <c r="M752">
        <f>IF(L752="VOIDED",0,1)</f>
        <v>1</v>
      </c>
      <c r="N752" t="n">
        <v>200</v>
      </c>
      <c r="O752" t="inlineStr">
        <is>
          <t>GST on Income</t>
        </is>
      </c>
      <c r="P752" t="inlineStr">
        <is>
          <t>R03</t>
        </is>
      </c>
      <c r="Q752" t="inlineStr">
        <is>
          <t>HIRE-FP</t>
        </is>
      </c>
      <c r="R752">
        <f>IF(OR(Q752="CONTEXT",Q752="REVIEW"),"",INDEX('Category Rules'!$D$5:$D$17,MATCH(P752,'Category Rules'!$A$5:$A$17,0)))</f>
        <v>4010</v>
      </c>
      <c r="S752" t="str">
        <f>IF(Q752="CONTEXT","Fencing",IF(Q752="REVIEW","",INDEX('Category Rules'!$E$5:$E$17,MATCH(P752,'Category Rules'!$A$5:$A$17,0))))</f>
        <v>Fencing</v>
      </c>
      <c r="T752" t="str">
        <f>IF(Q752="DEP","BAS Excluded","GST on Income")</f>
        <v>GST on Income</v>
      </c>
      <c r="U752">
        <f>IF(O752=T752,1,0)</f>
        <v>1</v>
      </c>
      <c r="V752" s="9">
        <f>IF(OR(M752=0,U752=1),0,IF(T752="GST on Income",ROUND(K752*0.1,2),ROUND(-K752*0.1,2)))</f>
        <v>0</v>
      </c>
    </row>
    <row r="753">
      <c r="A753" t="inlineStr">
        <is>
          <t>INV-4407-1</t>
        </is>
      </c>
      <c r="B753" t="inlineStr">
        <is>
          <t>INV-4407</t>
        </is>
      </c>
      <c r="C753" s="11" t="n">
        <v>45958</v>
      </c>
      <c r="D753" t="inlineStr">
        <is>
          <t>2025-10</t>
        </is>
      </c>
      <c r="E753" t="inlineStr">
        <is>
          <t>C0119</t>
        </is>
      </c>
      <c r="F753" t="inlineStr">
        <is>
          <t>C0119</t>
        </is>
      </c>
      <c r="G753" t="inlineStr">
        <is>
          <t>Northgate Builders Pty Ltd</t>
        </is>
      </c>
      <c r="H753" t="inlineStr">
        <is>
          <t>S0062</t>
        </is>
      </c>
      <c r="I753" t="inlineStr">
        <is>
          <t>Pedestrian barrier hire 4 wks (30/09/25-27/10/25) - 19 barriers</t>
        </is>
      </c>
      <c r="J753" t="n">
        <v>76</v>
      </c>
      <c r="K753" s="9" t="n">
        <v>243.2</v>
      </c>
      <c r="L753" t="inlineStr">
        <is>
          <t>PAID</t>
        </is>
      </c>
      <c r="M753">
        <f>IF(L753="VOIDED",0,1)</f>
        <v>1</v>
      </c>
      <c r="N753" t="n">
        <v>200</v>
      </c>
      <c r="O753" t="inlineStr">
        <is>
          <t>GST on Income</t>
        </is>
      </c>
      <c r="P753" t="inlineStr">
        <is>
          <t>R04</t>
        </is>
      </c>
      <c r="Q753" t="inlineStr">
        <is>
          <t>HIRE-BR</t>
        </is>
      </c>
      <c r="R753">
        <f>IF(OR(Q753="CONTEXT",Q753="REVIEW"),"",INDEX('Category Rules'!$D$5:$D$17,MATCH(P753,'Category Rules'!$A$5:$A$17,0)))</f>
        <v>4010</v>
      </c>
      <c r="S753" t="str">
        <f>IF(Q753="CONTEXT","Fencing",IF(Q753="REVIEW","",INDEX('Category Rules'!$E$5:$E$17,MATCH(P753,'Category Rules'!$A$5:$A$17,0))))</f>
        <v>Fencing</v>
      </c>
      <c r="T753" t="str">
        <f>IF(Q753="DEP","BAS Excluded","GST on Income")</f>
        <v>GST on Income</v>
      </c>
      <c r="U753">
        <f>IF(O753=T753,1,0)</f>
        <v>1</v>
      </c>
      <c r="V753" s="9">
        <f>IF(OR(M753=0,U753=1),0,IF(T753="GST on Income",ROUND(K753*0.1,2),ROUND(-K753*0.1,2)))</f>
        <v>0</v>
      </c>
    </row>
    <row r="754">
      <c r="A754" t="inlineStr">
        <is>
          <t>INV-4801-1</t>
        </is>
      </c>
      <c r="B754" t="inlineStr">
        <is>
          <t>INV-4801</t>
        </is>
      </c>
      <c r="C754" s="11" t="n">
        <v>45958</v>
      </c>
      <c r="D754" t="inlineStr">
        <is>
          <t>2025-10</t>
        </is>
      </c>
      <c r="E754" t="inlineStr">
        <is>
          <t>C0042</t>
        </is>
      </c>
      <c r="F754" t="inlineStr">
        <is>
          <t>C0042</t>
        </is>
      </c>
      <c r="G754" t="inlineStr">
        <is>
          <t>Lakeside Constructions Pty Ltd</t>
        </is>
      </c>
      <c r="H754" t="inlineStr">
        <is>
          <t>S0149</t>
        </is>
      </c>
      <c r="I754" t="inlineStr">
        <is>
          <t>Delivery and installation - temporary fencing</t>
        </is>
      </c>
      <c r="J754" t="n">
        <v>1</v>
      </c>
      <c r="K754" s="9" t="n">
        <v>165</v>
      </c>
      <c r="L754" t="inlineStr">
        <is>
          <t>PAID</t>
        </is>
      </c>
      <c r="M754">
        <f>IF(L754="VOIDED",0,1)</f>
        <v>1</v>
      </c>
      <c r="N754" t="n">
        <v>200</v>
      </c>
      <c r="O754" t="inlineStr">
        <is>
          <t>GST on Income</t>
        </is>
      </c>
      <c r="P754" t="inlineStr">
        <is>
          <t>R07</t>
        </is>
      </c>
      <c r="Q754" t="inlineStr">
        <is>
          <t>DEL-FP</t>
        </is>
      </c>
      <c r="R754">
        <f>IF(OR(Q754="CONTEXT",Q754="REVIEW"),"",INDEX('Category Rules'!$D$5:$D$17,MATCH(P754,'Category Rules'!$A$5:$A$17,0)))</f>
        <v>4020</v>
      </c>
      <c r="S754" t="str">
        <f>IF(Q754="CONTEXT","Fencing",IF(Q754="REVIEW","",INDEX('Category Rules'!$E$5:$E$17,MATCH(P754,'Category Rules'!$A$5:$A$17,0))))</f>
        <v>Fencing</v>
      </c>
      <c r="T754" t="str">
        <f>IF(Q754="DEP","BAS Excluded","GST on Income")</f>
        <v>GST on Income</v>
      </c>
      <c r="U754">
        <f>IF(O754=T754,1,0)</f>
        <v>1</v>
      </c>
      <c r="V754" s="9">
        <f>IF(OR(M754=0,U754=1),0,IF(T754="GST on Income",ROUND(K754*0.1,2),ROUND(-K754*0.1,2)))</f>
        <v>0</v>
      </c>
    </row>
    <row r="755">
      <c r="A755" t="inlineStr">
        <is>
          <t>INV-4801-2</t>
        </is>
      </c>
      <c r="B755" t="inlineStr">
        <is>
          <t>INV-4801</t>
        </is>
      </c>
      <c r="C755" s="11" t="n">
        <v>45958</v>
      </c>
      <c r="D755" t="inlineStr">
        <is>
          <t>2025-10</t>
        </is>
      </c>
      <c r="E755" t="inlineStr">
        <is>
          <t>C0042</t>
        </is>
      </c>
      <c r="F755" t="inlineStr">
        <is>
          <t>C0042</t>
        </is>
      </c>
      <c r="G755" t="inlineStr">
        <is>
          <t>Lakeside Constructions Pty Ltd</t>
        </is>
      </c>
      <c r="H755" t="inlineStr">
        <is>
          <t>S0149</t>
        </is>
      </c>
      <c r="I755" t="inlineStr">
        <is>
          <t>Installation labour - 15 panels @ 2.20</t>
        </is>
      </c>
      <c r="J755" t="n">
        <v>15</v>
      </c>
      <c r="K755" s="9" t="n">
        <v>33</v>
      </c>
      <c r="L755" t="inlineStr">
        <is>
          <t>PAID</t>
        </is>
      </c>
      <c r="M755">
        <f>IF(L755="VOIDED",0,1)</f>
        <v>1</v>
      </c>
      <c r="N755" t="n">
        <v>200</v>
      </c>
      <c r="O755" t="inlineStr">
        <is>
          <t>GST on Income</t>
        </is>
      </c>
      <c r="P755" t="inlineStr">
        <is>
          <t>R07</t>
        </is>
      </c>
      <c r="Q755" t="inlineStr">
        <is>
          <t>DEL-FP</t>
        </is>
      </c>
      <c r="R755">
        <f>IF(OR(Q755="CONTEXT",Q755="REVIEW"),"",INDEX('Category Rules'!$D$5:$D$17,MATCH(P755,'Category Rules'!$A$5:$A$17,0)))</f>
        <v>4020</v>
      </c>
      <c r="S755" t="str">
        <f>IF(Q755="CONTEXT","Fencing",IF(Q755="REVIEW","",INDEX('Category Rules'!$E$5:$E$17,MATCH(P755,'Category Rules'!$A$5:$A$17,0))))</f>
        <v>Fencing</v>
      </c>
      <c r="T755" t="str">
        <f>IF(Q755="DEP","BAS Excluded","GST on Income")</f>
        <v>GST on Income</v>
      </c>
      <c r="U755">
        <f>IF(O755=T755,1,0)</f>
        <v>1</v>
      </c>
      <c r="V755" s="9">
        <f>IF(OR(M755=0,U755=1),0,IF(T755="GST on Income",ROUND(K755*0.1,2),ROUND(-K755*0.1,2)))</f>
        <v>0</v>
      </c>
    </row>
    <row r="756">
      <c r="A756" t="inlineStr">
        <is>
          <t>INV-5055-1</t>
        </is>
      </c>
      <c r="B756" t="inlineStr">
        <is>
          <t>INV-5055</t>
        </is>
      </c>
      <c r="C756" s="11" t="n">
        <v>45958</v>
      </c>
      <c r="D756" t="inlineStr">
        <is>
          <t>2025-10</t>
        </is>
      </c>
      <c r="E756" t="inlineStr">
        <is>
          <t>C0025</t>
        </is>
      </c>
      <c r="F756" t="inlineStr">
        <is>
          <t>C0025</t>
        </is>
      </c>
      <c r="G756" t="inlineStr">
        <is>
          <t>Silverleaf Building Group Pty Ltd</t>
        </is>
      </c>
      <c r="H756" t="inlineStr">
        <is>
          <t>S0205</t>
        </is>
      </c>
      <c r="I756" t="inlineStr">
        <is>
          <t>Temporary fence hire 4 wks (30/09/25-27/10/25) - 77 panels</t>
        </is>
      </c>
      <c r="J756" t="n">
        <v>308</v>
      </c>
      <c r="K756" s="9" t="n">
        <v>1386</v>
      </c>
      <c r="L756" t="inlineStr">
        <is>
          <t>PAID</t>
        </is>
      </c>
      <c r="M756">
        <f>IF(L756="VOIDED",0,1)</f>
        <v>1</v>
      </c>
      <c r="N756" t="n">
        <v>260</v>
      </c>
      <c r="O756" t="inlineStr">
        <is>
          <t>GST on Income</t>
        </is>
      </c>
      <c r="P756" t="inlineStr">
        <is>
          <t>R03</t>
        </is>
      </c>
      <c r="Q756" t="inlineStr">
        <is>
          <t>HIRE-FP</t>
        </is>
      </c>
      <c r="R756">
        <f>IF(OR(Q756="CONTEXT",Q756="REVIEW"),"",INDEX('Category Rules'!$D$5:$D$17,MATCH(P756,'Category Rules'!$A$5:$A$17,0)))</f>
        <v>4010</v>
      </c>
      <c r="S756" t="str">
        <f>IF(Q756="CONTEXT","Fencing",IF(Q756="REVIEW","",INDEX('Category Rules'!$E$5:$E$17,MATCH(P756,'Category Rules'!$A$5:$A$17,0))))</f>
        <v>Fencing</v>
      </c>
      <c r="T756" t="str">
        <f>IF(Q756="DEP","BAS Excluded","GST on Income")</f>
        <v>GST on Income</v>
      </c>
      <c r="U756">
        <f>IF(O756=T756,1,0)</f>
        <v>1</v>
      </c>
      <c r="V756" s="9">
        <f>IF(OR(M756=0,U756=1),0,IF(T756="GST on Income",ROUND(K756*0.1,2),ROUND(-K756*0.1,2)))</f>
        <v>0</v>
      </c>
    </row>
    <row r="757">
      <c r="A757" t="inlineStr">
        <is>
          <t>INV-5115-1</t>
        </is>
      </c>
      <c r="B757" t="inlineStr">
        <is>
          <t>INV-5115</t>
        </is>
      </c>
      <c r="C757" s="11" t="n">
        <v>45958</v>
      </c>
      <c r="D757" t="inlineStr">
        <is>
          <t>2025-10</t>
        </is>
      </c>
      <c r="E757" t="inlineStr">
        <is>
          <t>C0029</t>
        </is>
      </c>
      <c r="F757" t="inlineStr">
        <is>
          <t>C0029</t>
        </is>
      </c>
      <c r="G757" t="inlineStr">
        <is>
          <t>Ironbark Constructions</t>
        </is>
      </c>
      <c r="H757" t="inlineStr">
        <is>
          <t>S0216</t>
        </is>
      </c>
      <c r="I757" t="inlineStr">
        <is>
          <t>Temporary fence hire 4 wks (30/09/25-27/10/25) - 102 panels</t>
        </is>
      </c>
      <c r="J757" t="n">
        <v>408</v>
      </c>
      <c r="K757" s="9" t="n">
        <v>1836</v>
      </c>
      <c r="L757" t="inlineStr">
        <is>
          <t>PAID</t>
        </is>
      </c>
      <c r="M757">
        <f>IF(L757="VOIDED",0,1)</f>
        <v>1</v>
      </c>
      <c r="N757" t="n">
        <v>200</v>
      </c>
      <c r="O757" t="inlineStr">
        <is>
          <t>GST on Income</t>
        </is>
      </c>
      <c r="P757" t="inlineStr">
        <is>
          <t>R03</t>
        </is>
      </c>
      <c r="Q757" t="inlineStr">
        <is>
          <t>HIRE-FP</t>
        </is>
      </c>
      <c r="R757">
        <f>IF(OR(Q757="CONTEXT",Q757="REVIEW"),"",INDEX('Category Rules'!$D$5:$D$17,MATCH(P757,'Category Rules'!$A$5:$A$17,0)))</f>
        <v>4010</v>
      </c>
      <c r="S757" t="str">
        <f>IF(Q757="CONTEXT","Fencing",IF(Q757="REVIEW","",INDEX('Category Rules'!$E$5:$E$17,MATCH(P757,'Category Rules'!$A$5:$A$17,0))))</f>
        <v>Fencing</v>
      </c>
      <c r="T757" t="str">
        <f>IF(Q757="DEP","BAS Excluded","GST on Income")</f>
        <v>GST on Income</v>
      </c>
      <c r="U757">
        <f>IF(O757=T757,1,0)</f>
        <v>1</v>
      </c>
      <c r="V757" s="9">
        <f>IF(OR(M757=0,U757=1),0,IF(T757="GST on Income",ROUND(K757*0.1,2),ROUND(-K757*0.1,2)))</f>
        <v>0</v>
      </c>
    </row>
    <row r="758">
      <c r="A758" t="inlineStr">
        <is>
          <t>INV-5304-1</t>
        </is>
      </c>
      <c r="B758" t="inlineStr">
        <is>
          <t>INV-5304</t>
        </is>
      </c>
      <c r="C758" s="11" t="n">
        <v>45958</v>
      </c>
      <c r="D758" t="inlineStr">
        <is>
          <t>2025-10</t>
        </is>
      </c>
      <c r="E758" t="inlineStr">
        <is>
          <t>C0123</t>
        </is>
      </c>
      <c r="F758" t="inlineStr">
        <is>
          <t>C0123</t>
        </is>
      </c>
      <c r="G758" t="inlineStr">
        <is>
          <t>Harbour Strata Management</t>
        </is>
      </c>
      <c r="H758" t="inlineStr">
        <is>
          <t>S0261</t>
        </is>
      </c>
      <c r="I758" t="inlineStr">
        <is>
          <t>Scaffold tower hire 1 wks (27/10/25-27/10/25) - 4 towers</t>
        </is>
      </c>
      <c r="J758" t="n">
        <v>4</v>
      </c>
      <c r="K758" s="9" t="n">
        <v>380</v>
      </c>
      <c r="L758" t="inlineStr">
        <is>
          <t>PAID</t>
        </is>
      </c>
      <c r="M758">
        <f>IF(L758="VOIDED",0,1)</f>
        <v>1</v>
      </c>
      <c r="N758" t="n">
        <v>200</v>
      </c>
      <c r="O758" t="inlineStr">
        <is>
          <t>GST on Income</t>
        </is>
      </c>
      <c r="P758" t="inlineStr">
        <is>
          <t>R05</t>
        </is>
      </c>
      <c r="Q758" t="inlineStr">
        <is>
          <t>HIRE-ST</t>
        </is>
      </c>
      <c r="R758">
        <f>IF(OR(Q758="CONTEXT",Q758="REVIEW"),"",INDEX('Category Rules'!$D$5:$D$17,MATCH(P758,'Category Rules'!$A$5:$A$17,0)))</f>
        <v>4010</v>
      </c>
      <c r="S758" t="str">
        <f>IF(Q758="CONTEXT","Scaffolding",IF(Q758="REVIEW","",INDEX('Category Rules'!$E$5:$E$17,MATCH(P758,'Category Rules'!$A$5:$A$17,0))))</f>
        <v>Scaffolding</v>
      </c>
      <c r="T758" t="str">
        <f>IF(Q758="DEP","BAS Excluded","GST on Income")</f>
        <v>GST on Income</v>
      </c>
      <c r="U758">
        <f>IF(O758=T758,1,0)</f>
        <v>1</v>
      </c>
      <c r="V758" s="9">
        <f>IF(OR(M758=0,U758=1),0,IF(T758="GST on Income",ROUND(K758*0.1,2),ROUND(-K758*0.1,2)))</f>
        <v>0</v>
      </c>
    </row>
    <row r="759">
      <c r="A759" t="inlineStr">
        <is>
          <t>INV-5306-1</t>
        </is>
      </c>
      <c r="B759" t="inlineStr">
        <is>
          <t>INV-5306</t>
        </is>
      </c>
      <c r="C759" s="11" t="n">
        <v>45958</v>
      </c>
      <c r="D759" t="inlineStr">
        <is>
          <t>2025-10</t>
        </is>
      </c>
      <c r="E759" t="inlineStr">
        <is>
          <t>C0123</t>
        </is>
      </c>
      <c r="F759" t="inlineStr">
        <is>
          <t>C0123</t>
        </is>
      </c>
      <c r="G759" t="inlineStr">
        <is>
          <t>Harbour Strata Management</t>
        </is>
      </c>
      <c r="H759" t="inlineStr">
        <is>
          <t>S0261</t>
        </is>
      </c>
      <c r="I759" t="inlineStr">
        <is>
          <t>Scaffold dismantle - 4 tower(s)</t>
        </is>
      </c>
      <c r="J759" t="n">
        <v>4</v>
      </c>
      <c r="K759" s="9" t="n">
        <v>1280</v>
      </c>
      <c r="L759" t="inlineStr">
        <is>
          <t>PAID</t>
        </is>
      </c>
      <c r="M759">
        <f>IF(L759="VOIDED",0,1)</f>
        <v>1</v>
      </c>
      <c r="N759" t="n">
        <v>200</v>
      </c>
      <c r="O759" t="inlineStr">
        <is>
          <t>GST on Income</t>
        </is>
      </c>
      <c r="P759" t="inlineStr">
        <is>
          <t>R08</t>
        </is>
      </c>
      <c r="Q759" t="inlineStr">
        <is>
          <t>LAB-ST</t>
        </is>
      </c>
      <c r="R759">
        <f>IF(OR(Q759="CONTEXT",Q759="REVIEW"),"",INDEX('Category Rules'!$D$5:$D$17,MATCH(P759,'Category Rules'!$A$5:$A$17,0)))</f>
        <v>4020</v>
      </c>
      <c r="S759" t="str">
        <f>IF(Q759="CONTEXT","Scaffolding",IF(Q759="REVIEW","",INDEX('Category Rules'!$E$5:$E$17,MATCH(P759,'Category Rules'!$A$5:$A$17,0))))</f>
        <v>Scaffolding</v>
      </c>
      <c r="T759" t="str">
        <f>IF(Q759="DEP","BAS Excluded","GST on Income")</f>
        <v>GST on Income</v>
      </c>
      <c r="U759">
        <f>IF(O759=T759,1,0)</f>
        <v>1</v>
      </c>
      <c r="V759" s="9">
        <f>IF(OR(M759=0,U759=1),0,IF(T759="GST on Income",ROUND(K759*0.1,2),ROUND(-K759*0.1,2)))</f>
        <v>0</v>
      </c>
    </row>
    <row r="760">
      <c r="A760" t="inlineStr">
        <is>
          <t>INV-4362-1</t>
        </is>
      </c>
      <c r="B760" t="inlineStr">
        <is>
          <t>INV-4362</t>
        </is>
      </c>
      <c r="C760" s="11" t="n">
        <v>45959</v>
      </c>
      <c r="D760" t="inlineStr">
        <is>
          <t>2025-10</t>
        </is>
      </c>
      <c r="E760" t="inlineStr">
        <is>
          <t>C0022</t>
        </is>
      </c>
      <c r="F760" t="inlineStr">
        <is>
          <t>C0022</t>
        </is>
      </c>
      <c r="G760" t="inlineStr">
        <is>
          <t>Highpoint Projects</t>
        </is>
      </c>
      <c r="H760" t="inlineStr">
        <is>
          <t>S0054</t>
        </is>
      </c>
      <c r="I760" t="inlineStr">
        <is>
          <t>Temporary fence hire 4 wks (01/10/25-28/10/25) - 28 panels</t>
        </is>
      </c>
      <c r="J760" t="n">
        <v>112</v>
      </c>
      <c r="K760" s="9" t="n">
        <v>504</v>
      </c>
      <c r="L760" t="inlineStr">
        <is>
          <t>PAID</t>
        </is>
      </c>
      <c r="M760">
        <f>IF(L760="VOIDED",0,1)</f>
        <v>1</v>
      </c>
      <c r="N760" t="n">
        <v>200</v>
      </c>
      <c r="O760" t="inlineStr">
        <is>
          <t>GST on Income</t>
        </is>
      </c>
      <c r="P760" t="inlineStr">
        <is>
          <t>R03</t>
        </is>
      </c>
      <c r="Q760" t="inlineStr">
        <is>
          <t>HIRE-FP</t>
        </is>
      </c>
      <c r="R760">
        <f>IF(OR(Q760="CONTEXT",Q760="REVIEW"),"",INDEX('Category Rules'!$D$5:$D$17,MATCH(P760,'Category Rules'!$A$5:$A$17,0)))</f>
        <v>4010</v>
      </c>
      <c r="S760" t="str">
        <f>IF(Q760="CONTEXT","Fencing",IF(Q760="REVIEW","",INDEX('Category Rules'!$E$5:$E$17,MATCH(P760,'Category Rules'!$A$5:$A$17,0))))</f>
        <v>Fencing</v>
      </c>
      <c r="T760" t="str">
        <f>IF(Q760="DEP","BAS Excluded","GST on Income")</f>
        <v>GST on Income</v>
      </c>
      <c r="U760">
        <f>IF(O760=T760,1,0)</f>
        <v>1</v>
      </c>
      <c r="V760" s="9">
        <f>IF(OR(M760=0,U760=1),0,IF(T760="GST on Income",ROUND(K760*0.1,2),ROUND(-K760*0.1,2)))</f>
        <v>0</v>
      </c>
    </row>
    <row r="761">
      <c r="A761" t="inlineStr">
        <is>
          <t>INV-4365-1</t>
        </is>
      </c>
      <c r="B761" t="inlineStr">
        <is>
          <t>INV-4365</t>
        </is>
      </c>
      <c r="C761" s="11" t="n">
        <v>45959</v>
      </c>
      <c r="D761" t="inlineStr">
        <is>
          <t>2025-10</t>
        </is>
      </c>
      <c r="E761" t="inlineStr">
        <is>
          <t>C0022</t>
        </is>
      </c>
      <c r="F761" t="inlineStr">
        <is>
          <t>C0022</t>
        </is>
      </c>
      <c r="G761" t="inlineStr">
        <is>
          <t>Highpoint Projects</t>
        </is>
      </c>
      <c r="H761" t="inlineStr">
        <is>
          <t>S0054</t>
        </is>
      </c>
      <c r="I761" t="inlineStr">
        <is>
          <t>Pedestrian barrier hire 4 wks (01/10/25-28/10/25) - 23 barriers</t>
        </is>
      </c>
      <c r="J761" t="n">
        <v>92</v>
      </c>
      <c r="K761" s="9" t="n">
        <v>294.4</v>
      </c>
      <c r="L761" t="inlineStr">
        <is>
          <t>PAID</t>
        </is>
      </c>
      <c r="M761">
        <f>IF(L761="VOIDED",0,1)</f>
        <v>1</v>
      </c>
      <c r="N761" t="n">
        <v>200</v>
      </c>
      <c r="O761" t="inlineStr">
        <is>
          <t>GST on Income</t>
        </is>
      </c>
      <c r="P761" t="inlineStr">
        <is>
          <t>R04</t>
        </is>
      </c>
      <c r="Q761" t="inlineStr">
        <is>
          <t>HIRE-BR</t>
        </is>
      </c>
      <c r="R761">
        <f>IF(OR(Q761="CONTEXT",Q761="REVIEW"),"",INDEX('Category Rules'!$D$5:$D$17,MATCH(P761,'Category Rules'!$A$5:$A$17,0)))</f>
        <v>4010</v>
      </c>
      <c r="S761" t="str">
        <f>IF(Q761="CONTEXT","Fencing",IF(Q761="REVIEW","",INDEX('Category Rules'!$E$5:$E$17,MATCH(P761,'Category Rules'!$A$5:$A$17,0))))</f>
        <v>Fencing</v>
      </c>
      <c r="T761" t="str">
        <f>IF(Q761="DEP","BAS Excluded","GST on Income")</f>
        <v>GST on Income</v>
      </c>
      <c r="U761">
        <f>IF(O761=T761,1,0)</f>
        <v>1</v>
      </c>
      <c r="V761" s="9">
        <f>IF(OR(M761=0,U761=1),0,IF(T761="GST on Income",ROUND(K761*0.1,2),ROUND(-K761*0.1,2)))</f>
        <v>0</v>
      </c>
    </row>
    <row r="762">
      <c r="A762" t="inlineStr">
        <is>
          <t>INV-4367-1</t>
        </is>
      </c>
      <c r="B762" t="inlineStr">
        <is>
          <t>INV-4367</t>
        </is>
      </c>
      <c r="C762" s="11" t="n">
        <v>45959</v>
      </c>
      <c r="D762" t="inlineStr">
        <is>
          <t>2025-10</t>
        </is>
      </c>
      <c r="E762" t="inlineStr">
        <is>
          <t>C0022</t>
        </is>
      </c>
      <c r="F762" t="inlineStr">
        <is>
          <t>C0022</t>
        </is>
      </c>
      <c r="G762" t="inlineStr">
        <is>
          <t>Highpoint Projects</t>
        </is>
      </c>
      <c r="H762" t="inlineStr">
        <is>
          <t>S0054</t>
        </is>
      </c>
      <c r="I762" t="inlineStr">
        <is>
          <t>Collection and dismantle - temporary fencing</t>
        </is>
      </c>
      <c r="J762" t="n">
        <v>1</v>
      </c>
      <c r="K762" s="9" t="n">
        <v>165</v>
      </c>
      <c r="L762" t="inlineStr">
        <is>
          <t>PAID</t>
        </is>
      </c>
      <c r="M762">
        <f>IF(L762="VOIDED",0,1)</f>
        <v>1</v>
      </c>
      <c r="N762" t="n">
        <v>200</v>
      </c>
      <c r="O762" t="inlineStr">
        <is>
          <t>GST on Income</t>
        </is>
      </c>
      <c r="P762" t="inlineStr">
        <is>
          <t>R07</t>
        </is>
      </c>
      <c r="Q762" t="inlineStr">
        <is>
          <t>DEL-FP</t>
        </is>
      </c>
      <c r="R762">
        <f>IF(OR(Q762="CONTEXT",Q762="REVIEW"),"",INDEX('Category Rules'!$D$5:$D$17,MATCH(P762,'Category Rules'!$A$5:$A$17,0)))</f>
        <v>4020</v>
      </c>
      <c r="S762" t="str">
        <f>IF(Q762="CONTEXT","Fencing",IF(Q762="REVIEW","",INDEX('Category Rules'!$E$5:$E$17,MATCH(P762,'Category Rules'!$A$5:$A$17,0))))</f>
        <v>Fencing</v>
      </c>
      <c r="T762" t="str">
        <f>IF(Q762="DEP","BAS Excluded","GST on Income")</f>
        <v>GST on Income</v>
      </c>
      <c r="U762">
        <f>IF(O762=T762,1,0)</f>
        <v>1</v>
      </c>
      <c r="V762" s="9">
        <f>IF(OR(M762=0,U762=1),0,IF(T762="GST on Income",ROUND(K762*0.1,2),ROUND(-K762*0.1,2)))</f>
        <v>0</v>
      </c>
    </row>
    <row r="763">
      <c r="A763" t="inlineStr">
        <is>
          <t>INV-4943-1</t>
        </is>
      </c>
      <c r="B763" t="inlineStr">
        <is>
          <t>INV-4943</t>
        </is>
      </c>
      <c r="C763" s="11" t="n">
        <v>45959</v>
      </c>
      <c r="D763" t="inlineStr">
        <is>
          <t>2025-10</t>
        </is>
      </c>
      <c r="E763" t="inlineStr">
        <is>
          <t>C0014</t>
        </is>
      </c>
      <c r="F763" t="inlineStr">
        <is>
          <t>C0014</t>
        </is>
      </c>
      <c r="G763" t="inlineStr">
        <is>
          <t>Riverbend Homes Pty Ltd</t>
        </is>
      </c>
      <c r="H763" t="inlineStr">
        <is>
          <t>S0179</t>
        </is>
      </c>
      <c r="I763" t="inlineStr">
        <is>
          <t>Delivery and installation - temporary fencing</t>
        </is>
      </c>
      <c r="J763" t="n">
        <v>1</v>
      </c>
      <c r="K763" s="9" t="n">
        <v>165</v>
      </c>
      <c r="L763" t="inlineStr">
        <is>
          <t>PAID</t>
        </is>
      </c>
      <c r="M763">
        <f>IF(L763="VOIDED",0,1)</f>
        <v>1</v>
      </c>
      <c r="N763" t="n">
        <v>200</v>
      </c>
      <c r="O763" t="inlineStr">
        <is>
          <t>GST on Income</t>
        </is>
      </c>
      <c r="P763" t="inlineStr">
        <is>
          <t>R07</t>
        </is>
      </c>
      <c r="Q763" t="inlineStr">
        <is>
          <t>DEL-FP</t>
        </is>
      </c>
      <c r="R763">
        <f>IF(OR(Q763="CONTEXT",Q763="REVIEW"),"",INDEX('Category Rules'!$D$5:$D$17,MATCH(P763,'Category Rules'!$A$5:$A$17,0)))</f>
        <v>4020</v>
      </c>
      <c r="S763" t="str">
        <f>IF(Q763="CONTEXT","Fencing",IF(Q763="REVIEW","",INDEX('Category Rules'!$E$5:$E$17,MATCH(P763,'Category Rules'!$A$5:$A$17,0))))</f>
        <v>Fencing</v>
      </c>
      <c r="T763" t="str">
        <f>IF(Q763="DEP","BAS Excluded","GST on Income")</f>
        <v>GST on Income</v>
      </c>
      <c r="U763">
        <f>IF(O763=T763,1,0)</f>
        <v>1</v>
      </c>
      <c r="V763" s="9">
        <f>IF(OR(M763=0,U763=1),0,IF(T763="GST on Income",ROUND(K763*0.1,2),ROUND(-K763*0.1,2)))</f>
        <v>0</v>
      </c>
    </row>
    <row r="764">
      <c r="A764" t="inlineStr">
        <is>
          <t>INV-4943-2</t>
        </is>
      </c>
      <c r="B764" t="inlineStr">
        <is>
          <t>INV-4943</t>
        </is>
      </c>
      <c r="C764" s="11" t="n">
        <v>45959</v>
      </c>
      <c r="D764" t="inlineStr">
        <is>
          <t>2025-10</t>
        </is>
      </c>
      <c r="E764" t="inlineStr">
        <is>
          <t>C0014</t>
        </is>
      </c>
      <c r="F764" t="inlineStr">
        <is>
          <t>C0014</t>
        </is>
      </c>
      <c r="G764" t="inlineStr">
        <is>
          <t>Riverbend Homes Pty Ltd</t>
        </is>
      </c>
      <c r="H764" t="inlineStr">
        <is>
          <t>S0179</t>
        </is>
      </c>
      <c r="I764" t="inlineStr">
        <is>
          <t>Installation labour - 115 panels @ 2.20</t>
        </is>
      </c>
      <c r="J764" t="n">
        <v>115</v>
      </c>
      <c r="K764" s="9" t="n">
        <v>253</v>
      </c>
      <c r="L764" t="inlineStr">
        <is>
          <t>PAID</t>
        </is>
      </c>
      <c r="M764">
        <f>IF(L764="VOIDED",0,1)</f>
        <v>1</v>
      </c>
      <c r="N764" t="n">
        <v>200</v>
      </c>
      <c r="O764" t="inlineStr">
        <is>
          <t>GST on Income</t>
        </is>
      </c>
      <c r="P764" t="inlineStr">
        <is>
          <t>R07</t>
        </is>
      </c>
      <c r="Q764" t="inlineStr">
        <is>
          <t>DEL-FP</t>
        </is>
      </c>
      <c r="R764">
        <f>IF(OR(Q764="CONTEXT",Q764="REVIEW"),"",INDEX('Category Rules'!$D$5:$D$17,MATCH(P764,'Category Rules'!$A$5:$A$17,0)))</f>
        <v>4020</v>
      </c>
      <c r="S764" t="str">
        <f>IF(Q764="CONTEXT","Fencing",IF(Q764="REVIEW","",INDEX('Category Rules'!$E$5:$E$17,MATCH(P764,'Category Rules'!$A$5:$A$17,0))))</f>
        <v>Fencing</v>
      </c>
      <c r="T764" t="str">
        <f>IF(Q764="DEP","BAS Excluded","GST on Income")</f>
        <v>GST on Income</v>
      </c>
      <c r="U764">
        <f>IF(O764=T764,1,0)</f>
        <v>1</v>
      </c>
      <c r="V764" s="9">
        <f>IF(OR(M764=0,U764=1),0,IF(T764="GST on Income",ROUND(K764*0.1,2),ROUND(-K764*0.1,2)))</f>
        <v>0</v>
      </c>
    </row>
    <row r="765">
      <c r="A765" t="inlineStr">
        <is>
          <t>INV-4943-3</t>
        </is>
      </c>
      <c r="B765" t="inlineStr">
        <is>
          <t>INV-4943</t>
        </is>
      </c>
      <c r="C765" s="11" t="n">
        <v>45959</v>
      </c>
      <c r="D765" t="inlineStr">
        <is>
          <t>2025-10</t>
        </is>
      </c>
      <c r="E765" t="inlineStr">
        <is>
          <t>C0014</t>
        </is>
      </c>
      <c r="F765" t="inlineStr">
        <is>
          <t>C0014</t>
        </is>
      </c>
      <c r="G765" t="inlineStr">
        <is>
          <t>Riverbend Homes Pty Ltd</t>
        </is>
      </c>
      <c r="H765" t="inlineStr">
        <is>
          <t>S0179</t>
        </is>
      </c>
      <c r="I765" t="inlineStr">
        <is>
          <t>Security deposit - fence panels (refundable)</t>
        </is>
      </c>
      <c r="J765" t="n">
        <v>1</v>
      </c>
      <c r="K765" s="9" t="n">
        <v>920</v>
      </c>
      <c r="L765" t="inlineStr">
        <is>
          <t>PAID</t>
        </is>
      </c>
      <c r="M765">
        <f>IF(L765="VOIDED",0,1)</f>
        <v>1</v>
      </c>
      <c r="N765" t="n">
        <v>200</v>
      </c>
      <c r="O765" t="inlineStr">
        <is>
          <t>BAS Excluded</t>
        </is>
      </c>
      <c r="P765" t="inlineStr">
        <is>
          <t>R01</t>
        </is>
      </c>
      <c r="Q765" t="inlineStr">
        <is>
          <t>DEP</t>
        </is>
      </c>
      <c r="R765">
        <f>IF(OR(Q765="CONTEXT",Q765="REVIEW"),"",INDEX('Category Rules'!$D$5:$D$17,MATCH(P765,'Category Rules'!$A$5:$A$17,0)))</f>
        <v>835</v>
      </c>
      <c r="S765" t="str">
        <f>IF(Q765="CONTEXT","Fencing",IF(Q765="REVIEW","",INDEX('Category Rules'!$E$5:$E$17,MATCH(P765,'Category Rules'!$A$5:$A$17,0))))</f>
        <v>Fencing</v>
      </c>
      <c r="T765" t="str">
        <f>IF(Q765="DEP","BAS Excluded","GST on Income")</f>
        <v>BAS Excluded</v>
      </c>
      <c r="U765">
        <f>IF(O765=T765,1,0)</f>
        <v>1</v>
      </c>
      <c r="V765" s="9">
        <f>IF(OR(M765=0,U765=1),0,IF(T765="GST on Income",ROUND(K765*0.1,2),ROUND(-K765*0.1,2)))</f>
        <v>0</v>
      </c>
    </row>
    <row r="766">
      <c r="A766" t="inlineStr">
        <is>
          <t>INV-5139-1</t>
        </is>
      </c>
      <c r="B766" t="inlineStr">
        <is>
          <t>INV-5139</t>
        </is>
      </c>
      <c r="C766" s="11" t="n">
        <v>45959</v>
      </c>
      <c r="D766" t="inlineStr">
        <is>
          <t>2025-10</t>
        </is>
      </c>
      <c r="E766" t="inlineStr">
        <is>
          <t>C0020</t>
        </is>
      </c>
      <c r="F766" t="inlineStr">
        <is>
          <t>C0020</t>
        </is>
      </c>
      <c r="G766" t="inlineStr">
        <is>
          <t>Eastlink Constructions</t>
        </is>
      </c>
      <c r="H766" t="inlineStr">
        <is>
          <t>S0222</t>
        </is>
      </c>
      <c r="I766" t="inlineStr">
        <is>
          <t>Delivery and installation - temporary fencing</t>
        </is>
      </c>
      <c r="J766" t="n">
        <v>1</v>
      </c>
      <c r="K766" s="9" t="n">
        <v>165</v>
      </c>
      <c r="L766" t="inlineStr">
        <is>
          <t>PAID</t>
        </is>
      </c>
      <c r="M766">
        <f>IF(L766="VOIDED",0,1)</f>
        <v>1</v>
      </c>
      <c r="N766" t="n">
        <v>200</v>
      </c>
      <c r="O766" t="inlineStr">
        <is>
          <t>GST on Income</t>
        </is>
      </c>
      <c r="P766" t="inlineStr">
        <is>
          <t>R07</t>
        </is>
      </c>
      <c r="Q766" t="inlineStr">
        <is>
          <t>DEL-FP</t>
        </is>
      </c>
      <c r="R766">
        <f>IF(OR(Q766="CONTEXT",Q766="REVIEW"),"",INDEX('Category Rules'!$D$5:$D$17,MATCH(P766,'Category Rules'!$A$5:$A$17,0)))</f>
        <v>4020</v>
      </c>
      <c r="S766" t="str">
        <f>IF(Q766="CONTEXT","Fencing",IF(Q766="REVIEW","",INDEX('Category Rules'!$E$5:$E$17,MATCH(P766,'Category Rules'!$A$5:$A$17,0))))</f>
        <v>Fencing</v>
      </c>
      <c r="T766" t="str">
        <f>IF(Q766="DEP","BAS Excluded","GST on Income")</f>
        <v>GST on Income</v>
      </c>
      <c r="U766">
        <f>IF(O766=T766,1,0)</f>
        <v>1</v>
      </c>
      <c r="V766" s="9">
        <f>IF(OR(M766=0,U766=1),0,IF(T766="GST on Income",ROUND(K766*0.1,2),ROUND(-K766*0.1,2)))</f>
        <v>0</v>
      </c>
    </row>
    <row r="767">
      <c r="A767" t="inlineStr">
        <is>
          <t>INV-5139-2</t>
        </is>
      </c>
      <c r="B767" t="inlineStr">
        <is>
          <t>INV-5139</t>
        </is>
      </c>
      <c r="C767" s="11" t="n">
        <v>45959</v>
      </c>
      <c r="D767" t="inlineStr">
        <is>
          <t>2025-10</t>
        </is>
      </c>
      <c r="E767" t="inlineStr">
        <is>
          <t>C0020</t>
        </is>
      </c>
      <c r="F767" t="inlineStr">
        <is>
          <t>C0020</t>
        </is>
      </c>
      <c r="G767" t="inlineStr">
        <is>
          <t>Eastlink Constructions</t>
        </is>
      </c>
      <c r="H767" t="inlineStr">
        <is>
          <t>S0222</t>
        </is>
      </c>
      <c r="I767" t="inlineStr">
        <is>
          <t>Installation labour - 122 panels @ 2.20</t>
        </is>
      </c>
      <c r="J767" t="n">
        <v>122</v>
      </c>
      <c r="K767" s="9" t="n">
        <v>268.4</v>
      </c>
      <c r="L767" t="inlineStr">
        <is>
          <t>PAID</t>
        </is>
      </c>
      <c r="M767">
        <f>IF(L767="VOIDED",0,1)</f>
        <v>1</v>
      </c>
      <c r="N767" t="n">
        <v>200</v>
      </c>
      <c r="O767" t="inlineStr">
        <is>
          <t>GST on Income</t>
        </is>
      </c>
      <c r="P767" t="inlineStr">
        <is>
          <t>R07</t>
        </is>
      </c>
      <c r="Q767" t="inlineStr">
        <is>
          <t>DEL-FP</t>
        </is>
      </c>
      <c r="R767">
        <f>IF(OR(Q767="CONTEXT",Q767="REVIEW"),"",INDEX('Category Rules'!$D$5:$D$17,MATCH(P767,'Category Rules'!$A$5:$A$17,0)))</f>
        <v>4020</v>
      </c>
      <c r="S767" t="str">
        <f>IF(Q767="CONTEXT","Fencing",IF(Q767="REVIEW","",INDEX('Category Rules'!$E$5:$E$17,MATCH(P767,'Category Rules'!$A$5:$A$17,0))))</f>
        <v>Fencing</v>
      </c>
      <c r="T767" t="str">
        <f>IF(Q767="DEP","BAS Excluded","GST on Income")</f>
        <v>GST on Income</v>
      </c>
      <c r="U767">
        <f>IF(O767=T767,1,0)</f>
        <v>1</v>
      </c>
      <c r="V767" s="9">
        <f>IF(OR(M767=0,U767=1),0,IF(T767="GST on Income",ROUND(K767*0.1,2),ROUND(-K767*0.1,2)))</f>
        <v>0</v>
      </c>
    </row>
    <row r="768">
      <c r="A768" t="inlineStr">
        <is>
          <t>INV-5572-1</t>
        </is>
      </c>
      <c r="B768" t="inlineStr">
        <is>
          <t>INV-5572</t>
        </is>
      </c>
      <c r="C768" s="11" t="n">
        <v>45959</v>
      </c>
      <c r="D768" t="inlineStr">
        <is>
          <t>2025-10</t>
        </is>
      </c>
      <c r="E768" t="inlineStr">
        <is>
          <t>C0125</t>
        </is>
      </c>
      <c r="F768" t="inlineStr">
        <is>
          <t>C0064</t>
        </is>
      </c>
      <c r="G768" t="inlineStr">
        <is>
          <t>Lakeside Claims Services Pty Ltd</t>
        </is>
      </c>
      <c r="H768" t="inlineStr">
        <is>
          <t>S0364</t>
        </is>
      </c>
      <c r="I768" t="inlineStr">
        <is>
          <t>Roof repair labour - 6 hrs</t>
        </is>
      </c>
      <c r="J768" t="n">
        <v>6</v>
      </c>
      <c r="K768" s="9" t="n">
        <v>588</v>
      </c>
      <c r="L768" t="inlineStr">
        <is>
          <t>PAID</t>
        </is>
      </c>
      <c r="M768">
        <f>IF(L768="VOIDED",0,1)</f>
        <v>1</v>
      </c>
      <c r="N768" t="n">
        <v>200</v>
      </c>
      <c r="O768" t="inlineStr">
        <is>
          <t>GST on Income</t>
        </is>
      </c>
      <c r="P768" t="inlineStr">
        <is>
          <t>R10</t>
        </is>
      </c>
      <c r="Q768" t="inlineStr">
        <is>
          <t>LAB-RF</t>
        </is>
      </c>
      <c r="R768">
        <f>IF(OR(Q768="CONTEXT",Q768="REVIEW"),"",INDEX('Category Rules'!$D$5:$D$17,MATCH(P768,'Category Rules'!$A$5:$A$17,0)))</f>
        <v>4020</v>
      </c>
      <c r="S768" t="str">
        <f>IF(Q768="CONTEXT","Roofing",IF(Q768="REVIEW","",INDEX('Category Rules'!$E$5:$E$17,MATCH(P768,'Category Rules'!$A$5:$A$17,0))))</f>
        <v>Roofing</v>
      </c>
      <c r="T768" t="str">
        <f>IF(Q768="DEP","BAS Excluded","GST on Income")</f>
        <v>GST on Income</v>
      </c>
      <c r="U768">
        <f>IF(O768=T768,1,0)</f>
        <v>1</v>
      </c>
      <c r="V768" s="9">
        <f>IF(OR(M768=0,U768=1),0,IF(T768="GST on Income",ROUND(K768*0.1,2),ROUND(-K768*0.1,2)))</f>
        <v>0</v>
      </c>
    </row>
    <row r="769">
      <c r="A769" t="inlineStr">
        <is>
          <t>INV-5572-2</t>
        </is>
      </c>
      <c r="B769" t="inlineStr">
        <is>
          <t>INV-5572</t>
        </is>
      </c>
      <c r="C769" s="11" t="n">
        <v>45959</v>
      </c>
      <c r="D769" t="inlineStr">
        <is>
          <t>2025-10</t>
        </is>
      </c>
      <c r="E769" t="inlineStr">
        <is>
          <t>C0125</t>
        </is>
      </c>
      <c r="F769" t="inlineStr">
        <is>
          <t>C0064</t>
        </is>
      </c>
      <c r="G769" t="inlineStr">
        <is>
          <t>Lakeside Claims Services Pty Ltd</t>
        </is>
      </c>
      <c r="H769" t="inlineStr">
        <is>
          <t>S0364</t>
        </is>
      </c>
      <c r="I769" t="inlineStr">
        <is>
          <t>Materials - Colorbond sheet</t>
        </is>
      </c>
      <c r="J769" t="n">
        <v>1</v>
      </c>
      <c r="K769" s="9" t="n">
        <v>925.7</v>
      </c>
      <c r="L769" t="inlineStr">
        <is>
          <t>PAID</t>
        </is>
      </c>
      <c r="M769">
        <f>IF(L769="VOIDED",0,1)</f>
        <v>1</v>
      </c>
      <c r="N769" t="n">
        <v>200</v>
      </c>
      <c r="O769" t="inlineStr">
        <is>
          <t>GST on Income</t>
        </is>
      </c>
      <c r="P769" t="inlineStr">
        <is>
          <t>R11</t>
        </is>
      </c>
      <c r="Q769" t="inlineStr">
        <is>
          <t>MAT-RF</t>
        </is>
      </c>
      <c r="R769">
        <f>IF(OR(Q769="CONTEXT",Q769="REVIEW"),"",INDEX('Category Rules'!$D$5:$D$17,MATCH(P769,'Category Rules'!$A$5:$A$17,0)))</f>
        <v>4030</v>
      </c>
      <c r="S769" t="str">
        <f>IF(Q769="CONTEXT","Roofing",IF(Q769="REVIEW","",INDEX('Category Rules'!$E$5:$E$17,MATCH(P769,'Category Rules'!$A$5:$A$17,0))))</f>
        <v>Roofing</v>
      </c>
      <c r="T769" t="str">
        <f>IF(Q769="DEP","BAS Excluded","GST on Income")</f>
        <v>GST on Income</v>
      </c>
      <c r="U769">
        <f>IF(O769=T769,1,0)</f>
        <v>1</v>
      </c>
      <c r="V769" s="9">
        <f>IF(OR(M769=0,U769=1),0,IF(T769="GST on Income",ROUND(K769*0.1,2),ROUND(-K769*0.1,2)))</f>
        <v>0</v>
      </c>
    </row>
    <row r="770">
      <c r="A770" t="inlineStr">
        <is>
          <t>INV-5858-1</t>
        </is>
      </c>
      <c r="B770" t="inlineStr">
        <is>
          <t>INV-5858</t>
        </is>
      </c>
      <c r="C770" s="11" t="n">
        <v>45959</v>
      </c>
      <c r="D770" t="inlineStr">
        <is>
          <t>2025-10</t>
        </is>
      </c>
      <c r="E770" t="inlineStr">
        <is>
          <t>C0027</t>
        </is>
      </c>
      <c r="F770" t="inlineStr">
        <is>
          <t>C0027</t>
        </is>
      </c>
      <c r="G770" t="inlineStr">
        <is>
          <t>Metro Projects Pty Ltd</t>
        </is>
      </c>
      <c r="H770" t="inlineStr">
        <is>
          <t>S0524</t>
        </is>
      </c>
      <c r="I770" t="inlineStr">
        <is>
          <t>Make safe call-out</t>
        </is>
      </c>
      <c r="J770" t="n">
        <v>1</v>
      </c>
      <c r="K770" s="9" t="n">
        <v>385</v>
      </c>
      <c r="L770" t="inlineStr">
        <is>
          <t>PAID</t>
        </is>
      </c>
      <c r="M770">
        <f>IF(L770="VOIDED",0,1)</f>
        <v>1</v>
      </c>
      <c r="N770" t="n">
        <v>200</v>
      </c>
      <c r="O770" t="inlineStr">
        <is>
          <t>GST on Income</t>
        </is>
      </c>
      <c r="P770" t="inlineStr">
        <is>
          <t>R09</t>
        </is>
      </c>
      <c r="Q770" t="inlineStr">
        <is>
          <t>MS</t>
        </is>
      </c>
      <c r="R770">
        <f>IF(OR(Q770="CONTEXT",Q770="REVIEW"),"",INDEX('Category Rules'!$D$5:$D$17,MATCH(P770,'Category Rules'!$A$5:$A$17,0)))</f>
        <v>4020</v>
      </c>
      <c r="S770" t="str">
        <f>IF(Q770="CONTEXT","Make-safe",IF(Q770="REVIEW","",INDEX('Category Rules'!$E$5:$E$17,MATCH(P770,'Category Rules'!$A$5:$A$17,0))))</f>
        <v>Make-safe</v>
      </c>
      <c r="T770" t="str">
        <f>IF(Q770="DEP","BAS Excluded","GST on Income")</f>
        <v>GST on Income</v>
      </c>
      <c r="U770">
        <f>IF(O770=T770,1,0)</f>
        <v>1</v>
      </c>
      <c r="V770" s="9">
        <f>IF(OR(M770=0,U770=1),0,IF(T770="GST on Income",ROUND(K770*0.1,2),ROUND(-K770*0.1,2)))</f>
        <v>0</v>
      </c>
    </row>
    <row r="771">
      <c r="A771" t="inlineStr">
        <is>
          <t>INV-5858-2</t>
        </is>
      </c>
      <c r="B771" t="inlineStr">
        <is>
          <t>INV-5858</t>
        </is>
      </c>
      <c r="C771" s="11" t="n">
        <v>45959</v>
      </c>
      <c r="D771" t="inlineStr">
        <is>
          <t>2025-10</t>
        </is>
      </c>
      <c r="E771" t="inlineStr">
        <is>
          <t>C0027</t>
        </is>
      </c>
      <c r="F771" t="inlineStr">
        <is>
          <t>C0027</t>
        </is>
      </c>
      <c r="G771" t="inlineStr">
        <is>
          <t>Metro Projects Pty Ltd</t>
        </is>
      </c>
      <c r="H771" t="inlineStr">
        <is>
          <t>S0524</t>
        </is>
      </c>
      <c r="I771" t="inlineStr">
        <is>
          <t>Tarp supply and install - 3 tarp(s)</t>
        </is>
      </c>
      <c r="J771" t="n">
        <v>3</v>
      </c>
      <c r="K771" s="9" t="n">
        <v>720</v>
      </c>
      <c r="L771" t="inlineStr">
        <is>
          <t>PAID</t>
        </is>
      </c>
      <c r="M771">
        <f>IF(L771="VOIDED",0,1)</f>
        <v>1</v>
      </c>
      <c r="N771" t="n">
        <v>200</v>
      </c>
      <c r="O771" t="inlineStr">
        <is>
          <t>GST on Income</t>
        </is>
      </c>
      <c r="P771" t="inlineStr">
        <is>
          <t>R09</t>
        </is>
      </c>
      <c r="Q771" t="inlineStr">
        <is>
          <t>MS</t>
        </is>
      </c>
      <c r="R771">
        <f>IF(OR(Q771="CONTEXT",Q771="REVIEW"),"",INDEX('Category Rules'!$D$5:$D$17,MATCH(P771,'Category Rules'!$A$5:$A$17,0)))</f>
        <v>4020</v>
      </c>
      <c r="S771" t="str">
        <f>IF(Q771="CONTEXT","Make-safe",IF(Q771="REVIEW","",INDEX('Category Rules'!$E$5:$E$17,MATCH(P771,'Category Rules'!$A$5:$A$17,0))))</f>
        <v>Make-safe</v>
      </c>
      <c r="T771" t="str">
        <f>IF(Q771="DEP","BAS Excluded","GST on Income")</f>
        <v>GST on Income</v>
      </c>
      <c r="U771">
        <f>IF(O771=T771,1,0)</f>
        <v>1</v>
      </c>
      <c r="V771" s="9">
        <f>IF(OR(M771=0,U771=1),0,IF(T771="GST on Income",ROUND(K771*0.1,2),ROUND(-K771*0.1,2)))</f>
        <v>0</v>
      </c>
    </row>
    <row r="772">
      <c r="A772" t="inlineStr">
        <is>
          <t>INV-4128-1</t>
        </is>
      </c>
      <c r="B772" t="inlineStr">
        <is>
          <t>INV-4128</t>
        </is>
      </c>
      <c r="C772" s="11" t="n">
        <v>45960</v>
      </c>
      <c r="D772" t="inlineStr">
        <is>
          <t>2025-10</t>
        </is>
      </c>
      <c r="E772" t="inlineStr">
        <is>
          <t>C0030</t>
        </is>
      </c>
      <c r="F772" t="inlineStr">
        <is>
          <t>C0030</t>
        </is>
      </c>
      <c r="G772" t="inlineStr">
        <is>
          <t>Bluegum Developments</t>
        </is>
      </c>
      <c r="H772" t="inlineStr">
        <is>
          <t>S0007</t>
        </is>
      </c>
      <c r="I772" t="inlineStr">
        <is>
          <t>Temporary fence hire 4 wks (02/10/25-29/10/25) - 71 panels</t>
        </is>
      </c>
      <c r="J772" t="n">
        <v>284</v>
      </c>
      <c r="K772" s="9" t="n">
        <v>1278</v>
      </c>
      <c r="L772" t="inlineStr">
        <is>
          <t>PAID</t>
        </is>
      </c>
      <c r="M772">
        <f>IF(L772="VOIDED",0,1)</f>
        <v>1</v>
      </c>
      <c r="N772" t="n">
        <v>200</v>
      </c>
      <c r="O772" t="inlineStr">
        <is>
          <t>GST on Income</t>
        </is>
      </c>
      <c r="P772" t="inlineStr">
        <is>
          <t>R03</t>
        </is>
      </c>
      <c r="Q772" t="inlineStr">
        <is>
          <t>HIRE-FP</t>
        </is>
      </c>
      <c r="R772">
        <f>IF(OR(Q772="CONTEXT",Q772="REVIEW"),"",INDEX('Category Rules'!$D$5:$D$17,MATCH(P772,'Category Rules'!$A$5:$A$17,0)))</f>
        <v>4010</v>
      </c>
      <c r="S772" t="str">
        <f>IF(Q772="CONTEXT","Fencing",IF(Q772="REVIEW","",INDEX('Category Rules'!$E$5:$E$17,MATCH(P772,'Category Rules'!$A$5:$A$17,0))))</f>
        <v>Fencing</v>
      </c>
      <c r="T772" t="str">
        <f>IF(Q772="DEP","BAS Excluded","GST on Income")</f>
        <v>GST on Income</v>
      </c>
      <c r="U772">
        <f>IF(O772=T772,1,0)</f>
        <v>1</v>
      </c>
      <c r="V772" s="9">
        <f>IF(OR(M772=0,U772=1),0,IF(T772="GST on Income",ROUND(K772*0.1,2),ROUND(-K772*0.1,2)))</f>
        <v>0</v>
      </c>
    </row>
    <row r="773">
      <c r="A773" t="inlineStr">
        <is>
          <t>INV-5414-1</t>
        </is>
      </c>
      <c r="B773" t="inlineStr">
        <is>
          <t>INV-5414</t>
        </is>
      </c>
      <c r="C773" s="11" t="n">
        <v>45960</v>
      </c>
      <c r="D773" t="inlineStr">
        <is>
          <t>2025-10</t>
        </is>
      </c>
      <c r="E773" t="inlineStr">
        <is>
          <t>C0043</t>
        </is>
      </c>
      <c r="F773" t="inlineStr">
        <is>
          <t>C0043</t>
        </is>
      </c>
      <c r="G773" t="inlineStr">
        <is>
          <t>Banksia Projects Pty Ltd</t>
        </is>
      </c>
      <c r="H773" t="inlineStr">
        <is>
          <t>S0287</t>
        </is>
      </c>
      <c r="I773" t="inlineStr">
        <is>
          <t>Scaffold tower hire 2 wks (22/10/25-29/10/25) - 2 towers</t>
        </is>
      </c>
      <c r="J773" t="n">
        <v>4</v>
      </c>
      <c r="K773" s="9" t="n">
        <v>380</v>
      </c>
      <c r="L773" t="inlineStr">
        <is>
          <t>PAID</t>
        </is>
      </c>
      <c r="M773">
        <f>IF(L773="VOIDED",0,1)</f>
        <v>1</v>
      </c>
      <c r="N773" t="n">
        <v>200</v>
      </c>
      <c r="O773" t="inlineStr">
        <is>
          <t>GST on Income</t>
        </is>
      </c>
      <c r="P773" t="inlineStr">
        <is>
          <t>R05</t>
        </is>
      </c>
      <c r="Q773" t="inlineStr">
        <is>
          <t>HIRE-ST</t>
        </is>
      </c>
      <c r="R773">
        <f>IF(OR(Q773="CONTEXT",Q773="REVIEW"),"",INDEX('Category Rules'!$D$5:$D$17,MATCH(P773,'Category Rules'!$A$5:$A$17,0)))</f>
        <v>4010</v>
      </c>
      <c r="S773" t="str">
        <f>IF(Q773="CONTEXT","Scaffolding",IF(Q773="REVIEW","",INDEX('Category Rules'!$E$5:$E$17,MATCH(P773,'Category Rules'!$A$5:$A$17,0))))</f>
        <v>Scaffolding</v>
      </c>
      <c r="T773" t="str">
        <f>IF(Q773="DEP","BAS Excluded","GST on Income")</f>
        <v>GST on Income</v>
      </c>
      <c r="U773">
        <f>IF(O773=T773,1,0)</f>
        <v>1</v>
      </c>
      <c r="V773" s="9">
        <f>IF(OR(M773=0,U773=1),0,IF(T773="GST on Income",ROUND(K773*0.1,2),ROUND(-K773*0.1,2)))</f>
        <v>0</v>
      </c>
    </row>
    <row r="774">
      <c r="A774" t="inlineStr">
        <is>
          <t>INV-5416-1</t>
        </is>
      </c>
      <c r="B774" t="inlineStr">
        <is>
          <t>INV-5416</t>
        </is>
      </c>
      <c r="C774" s="11" t="n">
        <v>45960</v>
      </c>
      <c r="D774" t="inlineStr">
        <is>
          <t>2025-10</t>
        </is>
      </c>
      <c r="E774" t="inlineStr">
        <is>
          <t>C0143</t>
        </is>
      </c>
      <c r="F774" t="inlineStr">
        <is>
          <t>C0043</t>
        </is>
      </c>
      <c r="G774" t="inlineStr">
        <is>
          <t>Banksia Projects Pty Ltd</t>
        </is>
      </c>
      <c r="H774" t="inlineStr">
        <is>
          <t>S0287</t>
        </is>
      </c>
      <c r="I774" t="inlineStr">
        <is>
          <t>Scaffold dismantle - 2 tower(s)</t>
        </is>
      </c>
      <c r="J774" t="n">
        <v>2</v>
      </c>
      <c r="K774" s="9" t="n">
        <v>640</v>
      </c>
      <c r="L774" t="inlineStr">
        <is>
          <t>PAID</t>
        </is>
      </c>
      <c r="M774">
        <f>IF(L774="VOIDED",0,1)</f>
        <v>1</v>
      </c>
      <c r="N774" t="n">
        <v>200</v>
      </c>
      <c r="O774" t="inlineStr">
        <is>
          <t>GST on Income</t>
        </is>
      </c>
      <c r="P774" t="inlineStr">
        <is>
          <t>R08</t>
        </is>
      </c>
      <c r="Q774" t="inlineStr">
        <is>
          <t>LAB-ST</t>
        </is>
      </c>
      <c r="R774">
        <f>IF(OR(Q774="CONTEXT",Q774="REVIEW"),"",INDEX('Category Rules'!$D$5:$D$17,MATCH(P774,'Category Rules'!$A$5:$A$17,0)))</f>
        <v>4020</v>
      </c>
      <c r="S774" t="str">
        <f>IF(Q774="CONTEXT","Scaffolding",IF(Q774="REVIEW","",INDEX('Category Rules'!$E$5:$E$17,MATCH(P774,'Category Rules'!$A$5:$A$17,0))))</f>
        <v>Scaffolding</v>
      </c>
      <c r="T774" t="str">
        <f>IF(Q774="DEP","BAS Excluded","GST on Income")</f>
        <v>GST on Income</v>
      </c>
      <c r="U774">
        <f>IF(O774=T774,1,0)</f>
        <v>1</v>
      </c>
      <c r="V774" s="9">
        <f>IF(OR(M774=0,U774=1),0,IF(T774="GST on Income",ROUND(K774*0.1,2),ROUND(-K774*0.1,2)))</f>
        <v>0</v>
      </c>
    </row>
    <row r="775">
      <c r="A775" t="inlineStr">
        <is>
          <t>INV-4622-1</t>
        </is>
      </c>
      <c r="B775" t="inlineStr">
        <is>
          <t>INV-4622</t>
        </is>
      </c>
      <c r="C775" s="11" t="n">
        <v>45961</v>
      </c>
      <c r="D775" t="inlineStr">
        <is>
          <t>2025-10</t>
        </is>
      </c>
      <c r="E775" t="inlineStr">
        <is>
          <t>C0074</t>
        </is>
      </c>
      <c r="F775" t="inlineStr">
        <is>
          <t>C0074</t>
        </is>
      </c>
      <c r="G775" t="inlineStr">
        <is>
          <t>Ironbark Events Pty Ltd</t>
        </is>
      </c>
      <c r="H775" t="inlineStr">
        <is>
          <t>S0105</t>
        </is>
      </c>
      <c r="I775" t="inlineStr">
        <is>
          <t>Delivery and installation - temporary fencing</t>
        </is>
      </c>
      <c r="J775" t="n">
        <v>1</v>
      </c>
      <c r="K775" s="9" t="n">
        <v>165</v>
      </c>
      <c r="L775" t="inlineStr">
        <is>
          <t>PAID</t>
        </is>
      </c>
      <c r="M775">
        <f>IF(L775="VOIDED",0,1)</f>
        <v>1</v>
      </c>
      <c r="N775" t="n">
        <v>200</v>
      </c>
      <c r="O775" t="inlineStr">
        <is>
          <t>GST on Income</t>
        </is>
      </c>
      <c r="P775" t="inlineStr">
        <is>
          <t>R07</t>
        </is>
      </c>
      <c r="Q775" t="inlineStr">
        <is>
          <t>DEL-FP</t>
        </is>
      </c>
      <c r="R775">
        <f>IF(OR(Q775="CONTEXT",Q775="REVIEW"),"",INDEX('Category Rules'!$D$5:$D$17,MATCH(P775,'Category Rules'!$A$5:$A$17,0)))</f>
        <v>4020</v>
      </c>
      <c r="S775" t="str">
        <f>IF(Q775="CONTEXT","Fencing",IF(Q775="REVIEW","",INDEX('Category Rules'!$E$5:$E$17,MATCH(P775,'Category Rules'!$A$5:$A$17,0))))</f>
        <v>Fencing</v>
      </c>
      <c r="T775" t="str">
        <f>IF(Q775="DEP","BAS Excluded","GST on Income")</f>
        <v>GST on Income</v>
      </c>
      <c r="U775">
        <f>IF(O775=T775,1,0)</f>
        <v>1</v>
      </c>
      <c r="V775" s="9">
        <f>IF(OR(M775=0,U775=1),0,IF(T775="GST on Income",ROUND(K775*0.1,2),ROUND(-K775*0.1,2)))</f>
        <v>0</v>
      </c>
    </row>
    <row r="776">
      <c r="A776" t="inlineStr">
        <is>
          <t>INV-4622-2</t>
        </is>
      </c>
      <c r="B776" t="inlineStr">
        <is>
          <t>INV-4622</t>
        </is>
      </c>
      <c r="C776" s="11" t="n">
        <v>45961</v>
      </c>
      <c r="D776" t="inlineStr">
        <is>
          <t>2025-10</t>
        </is>
      </c>
      <c r="E776" t="inlineStr">
        <is>
          <t>C0074</t>
        </is>
      </c>
      <c r="F776" t="inlineStr">
        <is>
          <t>C0074</t>
        </is>
      </c>
      <c r="G776" t="inlineStr">
        <is>
          <t>Ironbark Events Pty Ltd</t>
        </is>
      </c>
      <c r="H776" t="inlineStr">
        <is>
          <t>S0105</t>
        </is>
      </c>
      <c r="I776" t="inlineStr">
        <is>
          <t>Installation labour - 59 panels @ 2.20</t>
        </is>
      </c>
      <c r="J776" t="n">
        <v>59</v>
      </c>
      <c r="K776" s="9" t="n">
        <v>129.8</v>
      </c>
      <c r="L776" t="inlineStr">
        <is>
          <t>PAID</t>
        </is>
      </c>
      <c r="M776">
        <f>IF(L776="VOIDED",0,1)</f>
        <v>1</v>
      </c>
      <c r="N776" t="n">
        <v>200</v>
      </c>
      <c r="O776" t="inlineStr">
        <is>
          <t>GST on Income</t>
        </is>
      </c>
      <c r="P776" t="inlineStr">
        <is>
          <t>R07</t>
        </is>
      </c>
      <c r="Q776" t="inlineStr">
        <is>
          <t>DEL-FP</t>
        </is>
      </c>
      <c r="R776">
        <f>IF(OR(Q776="CONTEXT",Q776="REVIEW"),"",INDEX('Category Rules'!$D$5:$D$17,MATCH(P776,'Category Rules'!$A$5:$A$17,0)))</f>
        <v>4020</v>
      </c>
      <c r="S776" t="str">
        <f>IF(Q776="CONTEXT","Fencing",IF(Q776="REVIEW","",INDEX('Category Rules'!$E$5:$E$17,MATCH(P776,'Category Rules'!$A$5:$A$17,0))))</f>
        <v>Fencing</v>
      </c>
      <c r="T776" t="str">
        <f>IF(Q776="DEP","BAS Excluded","GST on Income")</f>
        <v>GST on Income</v>
      </c>
      <c r="U776">
        <f>IF(O776=T776,1,0)</f>
        <v>1</v>
      </c>
      <c r="V776" s="9">
        <f>IF(OR(M776=0,U776=1),0,IF(T776="GST on Income",ROUND(K776*0.1,2),ROUND(-K776*0.1,2)))</f>
        <v>0</v>
      </c>
    </row>
    <row r="777">
      <c r="A777" t="inlineStr">
        <is>
          <t>INV-4695-1</t>
        </is>
      </c>
      <c r="B777" t="inlineStr">
        <is>
          <t>INV-4695</t>
        </is>
      </c>
      <c r="C777" s="11" t="n">
        <v>45961</v>
      </c>
      <c r="D777" t="inlineStr">
        <is>
          <t>2025-10</t>
        </is>
      </c>
      <c r="E777" t="inlineStr">
        <is>
          <t>C0024</t>
        </is>
      </c>
      <c r="F777" t="inlineStr">
        <is>
          <t>C0024</t>
        </is>
      </c>
      <c r="G777" t="inlineStr">
        <is>
          <t>Parkview Homes Pty Ltd</t>
        </is>
      </c>
      <c r="H777" t="inlineStr">
        <is>
          <t>S0124</t>
        </is>
      </c>
      <c r="I777" t="inlineStr">
        <is>
          <t>Temporary fence hire 4 wks (03/10/25-30/10/25) - 138 panels</t>
        </is>
      </c>
      <c r="J777" t="n">
        <v>552</v>
      </c>
      <c r="K777" s="9" t="n">
        <v>2484</v>
      </c>
      <c r="L777" t="inlineStr">
        <is>
          <t>PAID</t>
        </is>
      </c>
      <c r="M777">
        <f>IF(L777="VOIDED",0,1)</f>
        <v>1</v>
      </c>
      <c r="N777" t="n">
        <v>200</v>
      </c>
      <c r="O777" t="inlineStr">
        <is>
          <t>GST on Income</t>
        </is>
      </c>
      <c r="P777" t="inlineStr">
        <is>
          <t>R03</t>
        </is>
      </c>
      <c r="Q777" t="inlineStr">
        <is>
          <t>HIRE-FP</t>
        </is>
      </c>
      <c r="R777">
        <f>IF(OR(Q777="CONTEXT",Q777="REVIEW"),"",INDEX('Category Rules'!$D$5:$D$17,MATCH(P777,'Category Rules'!$A$5:$A$17,0)))</f>
        <v>4010</v>
      </c>
      <c r="S777" t="str">
        <f>IF(Q777="CONTEXT","Fencing",IF(Q777="REVIEW","",INDEX('Category Rules'!$E$5:$E$17,MATCH(P777,'Category Rules'!$A$5:$A$17,0))))</f>
        <v>Fencing</v>
      </c>
      <c r="T777" t="str">
        <f>IF(Q777="DEP","BAS Excluded","GST on Income")</f>
        <v>GST on Income</v>
      </c>
      <c r="U777">
        <f>IF(O777=T777,1,0)</f>
        <v>1</v>
      </c>
      <c r="V777" s="9">
        <f>IF(OR(M777=0,U777=1),0,IF(T777="GST on Income",ROUND(K777*0.1,2),ROUND(-K777*0.1,2)))</f>
        <v>0</v>
      </c>
    </row>
    <row r="778">
      <c r="A778" t="inlineStr">
        <is>
          <t>INV-4700-1</t>
        </is>
      </c>
      <c r="B778" t="inlineStr">
        <is>
          <t>INV-4700</t>
        </is>
      </c>
      <c r="C778" s="11" t="n">
        <v>45961</v>
      </c>
      <c r="D778" t="inlineStr">
        <is>
          <t>2025-10</t>
        </is>
      </c>
      <c r="E778" t="inlineStr">
        <is>
          <t>C0024</t>
        </is>
      </c>
      <c r="F778" t="inlineStr">
        <is>
          <t>C0024</t>
        </is>
      </c>
      <c r="G778" t="inlineStr">
        <is>
          <t>Parkview Homes Pty Ltd</t>
        </is>
      </c>
      <c r="H778" t="inlineStr">
        <is>
          <t>S0124</t>
        </is>
      </c>
      <c r="I778" t="inlineStr">
        <is>
          <t>Pedestrian barrier hire 4 wks (03/10/25-30/10/25) - 4 barriers</t>
        </is>
      </c>
      <c r="J778" t="n">
        <v>16</v>
      </c>
      <c r="K778" s="9" t="n">
        <v>51.2</v>
      </c>
      <c r="L778" t="inlineStr">
        <is>
          <t>PAID</t>
        </is>
      </c>
      <c r="M778">
        <f>IF(L778="VOIDED",0,1)</f>
        <v>1</v>
      </c>
      <c r="N778" t="n">
        <v>200</v>
      </c>
      <c r="O778" t="inlineStr">
        <is>
          <t>GST on Income</t>
        </is>
      </c>
      <c r="P778" t="inlineStr">
        <is>
          <t>R04</t>
        </is>
      </c>
      <c r="Q778" t="inlineStr">
        <is>
          <t>HIRE-BR</t>
        </is>
      </c>
      <c r="R778">
        <f>IF(OR(Q778="CONTEXT",Q778="REVIEW"),"",INDEX('Category Rules'!$D$5:$D$17,MATCH(P778,'Category Rules'!$A$5:$A$17,0)))</f>
        <v>4010</v>
      </c>
      <c r="S778" t="str">
        <f>IF(Q778="CONTEXT","Fencing",IF(Q778="REVIEW","",INDEX('Category Rules'!$E$5:$E$17,MATCH(P778,'Category Rules'!$A$5:$A$17,0))))</f>
        <v>Fencing</v>
      </c>
      <c r="T778" t="str">
        <f>IF(Q778="DEP","BAS Excluded","GST on Income")</f>
        <v>GST on Income</v>
      </c>
      <c r="U778">
        <f>IF(O778=T778,1,0)</f>
        <v>1</v>
      </c>
      <c r="V778" s="9">
        <f>IF(OR(M778=0,U778=1),0,IF(T778="GST on Income",ROUND(K778*0.1,2),ROUND(-K778*0.1,2)))</f>
        <v>0</v>
      </c>
    </row>
    <row r="779">
      <c r="A779" t="inlineStr">
        <is>
          <t>INV-4196-1</t>
        </is>
      </c>
      <c r="B779" t="inlineStr">
        <is>
          <t>INV-4196</t>
        </is>
      </c>
      <c r="C779" s="11" t="n">
        <v>45962</v>
      </c>
      <c r="D779" t="inlineStr">
        <is>
          <t>2025-11</t>
        </is>
      </c>
      <c r="E779" t="inlineStr">
        <is>
          <t>C0034</t>
        </is>
      </c>
      <c r="F779" t="inlineStr">
        <is>
          <t>C0034</t>
        </is>
      </c>
      <c r="G779" t="inlineStr">
        <is>
          <t>Norfolk Constructions Pty Ltd</t>
        </is>
      </c>
      <c r="H779" t="inlineStr">
        <is>
          <t>S0018</t>
        </is>
      </c>
      <c r="I779" t="inlineStr">
        <is>
          <t>Temporary fence hire 4 wks (04/10/25-31/10/25) - 44 panels</t>
        </is>
      </c>
      <c r="J779" t="n">
        <v>176</v>
      </c>
      <c r="K779" s="9" t="n">
        <v>792</v>
      </c>
      <c r="L779" t="inlineStr">
        <is>
          <t>PAID</t>
        </is>
      </c>
      <c r="M779">
        <f>IF(L779="VOIDED",0,1)</f>
        <v>1</v>
      </c>
      <c r="N779" t="n">
        <v>200</v>
      </c>
      <c r="O779" t="inlineStr">
        <is>
          <t>GST on Income</t>
        </is>
      </c>
      <c r="P779" t="inlineStr">
        <is>
          <t>R03</t>
        </is>
      </c>
      <c r="Q779" t="inlineStr">
        <is>
          <t>HIRE-FP</t>
        </is>
      </c>
      <c r="R779">
        <f>IF(OR(Q779="CONTEXT",Q779="REVIEW"),"",INDEX('Category Rules'!$D$5:$D$17,MATCH(P779,'Category Rules'!$A$5:$A$17,0)))</f>
        <v>4010</v>
      </c>
      <c r="S779" t="str">
        <f>IF(Q779="CONTEXT","Fencing",IF(Q779="REVIEW","",INDEX('Category Rules'!$E$5:$E$17,MATCH(P779,'Category Rules'!$A$5:$A$17,0))))</f>
        <v>Fencing</v>
      </c>
      <c r="T779" t="str">
        <f>IF(Q779="DEP","BAS Excluded","GST on Income")</f>
        <v>GST on Income</v>
      </c>
      <c r="U779">
        <f>IF(O779=T779,1,0)</f>
        <v>1</v>
      </c>
      <c r="V779" s="9">
        <f>IF(OR(M779=0,U779=1),0,IF(T779="GST on Income",ROUND(K779*0.1,2),ROUND(-K779*0.1,2)))</f>
        <v>0</v>
      </c>
    </row>
    <row r="780">
      <c r="A780" t="inlineStr">
        <is>
          <t>INV-4274-1</t>
        </is>
      </c>
      <c r="B780" t="inlineStr">
        <is>
          <t>INV-4274</t>
        </is>
      </c>
      <c r="C780" s="11" t="n">
        <v>45962</v>
      </c>
      <c r="D780" t="inlineStr">
        <is>
          <t>2025-11</t>
        </is>
      </c>
      <c r="E780" t="inlineStr">
        <is>
          <t>C0041</t>
        </is>
      </c>
      <c r="F780" t="inlineStr">
        <is>
          <t>C0041</t>
        </is>
      </c>
      <c r="G780" t="inlineStr">
        <is>
          <t>Summit Builders Pty Ltd</t>
        </is>
      </c>
      <c r="H780" t="inlineStr">
        <is>
          <t>S0036</t>
        </is>
      </c>
      <c r="I780" t="inlineStr">
        <is>
          <t>Delivery and installation - temporary fencing</t>
        </is>
      </c>
      <c r="J780" t="n">
        <v>1</v>
      </c>
      <c r="K780" s="9" t="n">
        <v>165</v>
      </c>
      <c r="L780" t="inlineStr">
        <is>
          <t>PAID</t>
        </is>
      </c>
      <c r="M780">
        <f>IF(L780="VOIDED",0,1)</f>
        <v>1</v>
      </c>
      <c r="N780" t="n">
        <v>260</v>
      </c>
      <c r="O780" t="inlineStr">
        <is>
          <t>GST on Income</t>
        </is>
      </c>
      <c r="P780" t="inlineStr">
        <is>
          <t>R07</t>
        </is>
      </c>
      <c r="Q780" t="inlineStr">
        <is>
          <t>DEL-FP</t>
        </is>
      </c>
      <c r="R780">
        <f>IF(OR(Q780="CONTEXT",Q780="REVIEW"),"",INDEX('Category Rules'!$D$5:$D$17,MATCH(P780,'Category Rules'!$A$5:$A$17,0)))</f>
        <v>4020</v>
      </c>
      <c r="S780" t="str">
        <f>IF(Q780="CONTEXT","Fencing",IF(Q780="REVIEW","",INDEX('Category Rules'!$E$5:$E$17,MATCH(P780,'Category Rules'!$A$5:$A$17,0))))</f>
        <v>Fencing</v>
      </c>
      <c r="T780" t="str">
        <f>IF(Q780="DEP","BAS Excluded","GST on Income")</f>
        <v>GST on Income</v>
      </c>
      <c r="U780">
        <f>IF(O780=T780,1,0)</f>
        <v>1</v>
      </c>
      <c r="V780" s="9">
        <f>IF(OR(M780=0,U780=1),0,IF(T780="GST on Income",ROUND(K780*0.1,2),ROUND(-K780*0.1,2)))</f>
        <v>0</v>
      </c>
    </row>
    <row r="781">
      <c r="A781" t="inlineStr">
        <is>
          <t>INV-4274-2</t>
        </is>
      </c>
      <c r="B781" t="inlineStr">
        <is>
          <t>INV-4274</t>
        </is>
      </c>
      <c r="C781" s="11" t="n">
        <v>45962</v>
      </c>
      <c r="D781" t="inlineStr">
        <is>
          <t>2025-11</t>
        </is>
      </c>
      <c r="E781" t="inlineStr">
        <is>
          <t>C0041</t>
        </is>
      </c>
      <c r="F781" t="inlineStr">
        <is>
          <t>C0041</t>
        </is>
      </c>
      <c r="G781" t="inlineStr">
        <is>
          <t>Summit Builders Pty Ltd</t>
        </is>
      </c>
      <c r="H781" t="inlineStr">
        <is>
          <t>S0036</t>
        </is>
      </c>
      <c r="I781" t="inlineStr">
        <is>
          <t>Installation labour - 143 panels @ 2.20</t>
        </is>
      </c>
      <c r="J781" t="n">
        <v>143</v>
      </c>
      <c r="K781" s="9" t="n">
        <v>314.6</v>
      </c>
      <c r="L781" t="inlineStr">
        <is>
          <t>PAID</t>
        </is>
      </c>
      <c r="M781">
        <f>IF(L781="VOIDED",0,1)</f>
        <v>1</v>
      </c>
      <c r="N781" t="n">
        <v>200</v>
      </c>
      <c r="O781" t="inlineStr">
        <is>
          <t>GST on Income</t>
        </is>
      </c>
      <c r="P781" t="inlineStr">
        <is>
          <t>R07</t>
        </is>
      </c>
      <c r="Q781" t="inlineStr">
        <is>
          <t>DEL-FP</t>
        </is>
      </c>
      <c r="R781">
        <f>IF(OR(Q781="CONTEXT",Q781="REVIEW"),"",INDEX('Category Rules'!$D$5:$D$17,MATCH(P781,'Category Rules'!$A$5:$A$17,0)))</f>
        <v>4020</v>
      </c>
      <c r="S781" t="str">
        <f>IF(Q781="CONTEXT","Fencing",IF(Q781="REVIEW","",INDEX('Category Rules'!$E$5:$E$17,MATCH(P781,'Category Rules'!$A$5:$A$17,0))))</f>
        <v>Fencing</v>
      </c>
      <c r="T781" t="str">
        <f>IF(Q781="DEP","BAS Excluded","GST on Income")</f>
        <v>GST on Income</v>
      </c>
      <c r="U781">
        <f>IF(O781=T781,1,0)</f>
        <v>1</v>
      </c>
      <c r="V781" s="9">
        <f>IF(OR(M781=0,U781=1),0,IF(T781="GST on Income",ROUND(K781*0.1,2),ROUND(-K781*0.1,2)))</f>
        <v>0</v>
      </c>
    </row>
    <row r="782">
      <c r="A782" t="inlineStr">
        <is>
          <t>INV-5543-1</t>
        </is>
      </c>
      <c r="B782" t="inlineStr">
        <is>
          <t>INV-5543</t>
        </is>
      </c>
      <c r="C782" s="11" t="n">
        <v>45962</v>
      </c>
      <c r="D782" t="inlineStr">
        <is>
          <t>2025-11</t>
        </is>
      </c>
      <c r="E782" t="inlineStr">
        <is>
          <t>C0084</t>
        </is>
      </c>
      <c r="F782" t="inlineStr">
        <is>
          <t>C0084</t>
        </is>
      </c>
      <c r="G782" t="inlineStr">
        <is>
          <t>Mia Walker</t>
        </is>
      </c>
      <c r="H782" t="inlineStr">
        <is>
          <t>S0346</t>
        </is>
      </c>
      <c r="I782" t="inlineStr">
        <is>
          <t>Tarp kit hire 4 wks (04/10/25-31/10/25) - 1 kits</t>
        </is>
      </c>
      <c r="J782" t="n">
        <v>4</v>
      </c>
      <c r="K782" s="9" t="n">
        <v>140</v>
      </c>
      <c r="L782" t="inlineStr">
        <is>
          <t>PAID</t>
        </is>
      </c>
      <c r="M782">
        <f>IF(L782="VOIDED",0,1)</f>
        <v>1</v>
      </c>
      <c r="N782" t="n">
        <v>200</v>
      </c>
      <c r="O782" t="inlineStr">
        <is>
          <t>GST on Income</t>
        </is>
      </c>
      <c r="P782" t="inlineStr">
        <is>
          <t>R06</t>
        </is>
      </c>
      <c r="Q782" t="inlineStr">
        <is>
          <t>HIRE-TK</t>
        </is>
      </c>
      <c r="R782">
        <f>IF(OR(Q782="CONTEXT",Q782="REVIEW"),"",INDEX('Category Rules'!$D$5:$D$17,MATCH(P782,'Category Rules'!$A$5:$A$17,0)))</f>
        <v>4010</v>
      </c>
      <c r="S782" t="str">
        <f>IF(Q782="CONTEXT","Make-safe",IF(Q782="REVIEW","",INDEX('Category Rules'!$E$5:$E$17,MATCH(P782,'Category Rules'!$A$5:$A$17,0))))</f>
        <v>Make-safe</v>
      </c>
      <c r="T782" t="str">
        <f>IF(Q782="DEP","BAS Excluded","GST on Income")</f>
        <v>GST on Income</v>
      </c>
      <c r="U782">
        <f>IF(O782=T782,1,0)</f>
        <v>1</v>
      </c>
      <c r="V782" s="9">
        <f>IF(OR(M782=0,U782=1),0,IF(T782="GST on Income",ROUND(K782*0.1,2),ROUND(-K782*0.1,2)))</f>
        <v>0</v>
      </c>
    </row>
    <row r="783">
      <c r="A783" t="inlineStr">
        <is>
          <t>INV-5099-1</t>
        </is>
      </c>
      <c r="B783" t="inlineStr">
        <is>
          <t>INV-5099</t>
        </is>
      </c>
      <c r="C783" s="11" t="n">
        <v>45963</v>
      </c>
      <c r="D783" t="inlineStr">
        <is>
          <t>2025-11</t>
        </is>
      </c>
      <c r="E783" t="inlineStr">
        <is>
          <t>C0002</t>
        </is>
      </c>
      <c r="F783" t="inlineStr">
        <is>
          <t>C0002</t>
        </is>
      </c>
      <c r="G783" t="inlineStr">
        <is>
          <t>Summit Building Group</t>
        </is>
      </c>
      <c r="H783" t="inlineStr">
        <is>
          <t>S0215</t>
        </is>
      </c>
      <c r="I783" t="inlineStr">
        <is>
          <t>Temporary fence hire 4 wks (05/10/25-01/11/25) - 91 panels</t>
        </is>
      </c>
      <c r="J783" t="n">
        <v>364</v>
      </c>
      <c r="K783" s="9" t="n">
        <v>1638</v>
      </c>
      <c r="L783" t="inlineStr">
        <is>
          <t>PAID</t>
        </is>
      </c>
      <c r="M783">
        <f>IF(L783="VOIDED",0,1)</f>
        <v>1</v>
      </c>
      <c r="N783" t="n">
        <v>200</v>
      </c>
      <c r="O783" t="inlineStr">
        <is>
          <t>GST on Income</t>
        </is>
      </c>
      <c r="P783" t="inlineStr">
        <is>
          <t>R03</t>
        </is>
      </c>
      <c r="Q783" t="inlineStr">
        <is>
          <t>HIRE-FP</t>
        </is>
      </c>
      <c r="R783">
        <f>IF(OR(Q783="CONTEXT",Q783="REVIEW"),"",INDEX('Category Rules'!$D$5:$D$17,MATCH(P783,'Category Rules'!$A$5:$A$17,0)))</f>
        <v>4010</v>
      </c>
      <c r="S783" t="str">
        <f>IF(Q783="CONTEXT","Fencing",IF(Q783="REVIEW","",INDEX('Category Rules'!$E$5:$E$17,MATCH(P783,'Category Rules'!$A$5:$A$17,0))))</f>
        <v>Fencing</v>
      </c>
      <c r="T783" t="str">
        <f>IF(Q783="DEP","BAS Excluded","GST on Income")</f>
        <v>GST on Income</v>
      </c>
      <c r="U783">
        <f>IF(O783=T783,1,0)</f>
        <v>1</v>
      </c>
      <c r="V783" s="9">
        <f>IF(OR(M783=0,U783=1),0,IF(T783="GST on Income",ROUND(K783*0.1,2),ROUND(-K783*0.1,2)))</f>
        <v>0</v>
      </c>
    </row>
    <row r="784">
      <c r="A784" t="inlineStr">
        <is>
          <t>INV-5172-1</t>
        </is>
      </c>
      <c r="B784" t="inlineStr">
        <is>
          <t>INV-5172</t>
        </is>
      </c>
      <c r="C784" s="11" t="n">
        <v>45963</v>
      </c>
      <c r="D784" t="inlineStr">
        <is>
          <t>2025-11</t>
        </is>
      </c>
      <c r="E784" t="inlineStr">
        <is>
          <t>C0042</t>
        </is>
      </c>
      <c r="F784" t="inlineStr">
        <is>
          <t>C0042</t>
        </is>
      </c>
      <c r="G784" t="inlineStr">
        <is>
          <t>Lakeside Constructions Pty Ltd</t>
        </is>
      </c>
      <c r="H784" t="inlineStr">
        <is>
          <t>S0231</t>
        </is>
      </c>
      <c r="I784" t="inlineStr">
        <is>
          <t>Temporary fence hire 4 wks (05/10/25-01/11/25) - 125 panels</t>
        </is>
      </c>
      <c r="J784" t="n">
        <v>500</v>
      </c>
      <c r="K784" s="9" t="n">
        <v>2250</v>
      </c>
      <c r="L784" t="inlineStr">
        <is>
          <t>PAID</t>
        </is>
      </c>
      <c r="M784">
        <f>IF(L784="VOIDED",0,1)</f>
        <v>1</v>
      </c>
      <c r="N784" t="n">
        <v>200</v>
      </c>
      <c r="O784" t="inlineStr">
        <is>
          <t>GST on Income</t>
        </is>
      </c>
      <c r="P784" t="inlineStr">
        <is>
          <t>R03</t>
        </is>
      </c>
      <c r="Q784" t="inlineStr">
        <is>
          <t>HIRE-FP</t>
        </is>
      </c>
      <c r="R784">
        <f>IF(OR(Q784="CONTEXT",Q784="REVIEW"),"",INDEX('Category Rules'!$D$5:$D$17,MATCH(P784,'Category Rules'!$A$5:$A$17,0)))</f>
        <v>4010</v>
      </c>
      <c r="S784" t="str">
        <f>IF(Q784="CONTEXT","Fencing",IF(Q784="REVIEW","",INDEX('Category Rules'!$E$5:$E$17,MATCH(P784,'Category Rules'!$A$5:$A$17,0))))</f>
        <v>Fencing</v>
      </c>
      <c r="T784" t="str">
        <f>IF(Q784="DEP","BAS Excluded","GST on Income")</f>
        <v>GST on Income</v>
      </c>
      <c r="U784">
        <f>IF(O784=T784,1,0)</f>
        <v>1</v>
      </c>
      <c r="V784" s="9">
        <f>IF(OR(M784=0,U784=1),0,IF(T784="GST on Income",ROUND(K784*0.1,2),ROUND(-K784*0.1,2)))</f>
        <v>0</v>
      </c>
    </row>
    <row r="785">
      <c r="A785" t="inlineStr">
        <is>
          <t>INV-5522-1</t>
        </is>
      </c>
      <c r="B785" t="inlineStr">
        <is>
          <t>INV-5522</t>
        </is>
      </c>
      <c r="C785" s="11" t="n">
        <v>45963</v>
      </c>
      <c r="D785" t="inlineStr">
        <is>
          <t>2025-11</t>
        </is>
      </c>
      <c r="E785" t="inlineStr">
        <is>
          <t>C0142</t>
        </is>
      </c>
      <c r="F785" t="inlineStr">
        <is>
          <t>C0039</t>
        </is>
      </c>
      <c r="G785" t="inlineStr">
        <is>
          <t>Coastline Developments Pty Ltd</t>
        </is>
      </c>
      <c r="H785" t="inlineStr">
        <is>
          <t>S0337</t>
        </is>
      </c>
      <c r="I785" t="inlineStr">
        <is>
          <t>Tarp kit hire 4 wks (05/10/25-01/11/25) - 2 kits</t>
        </is>
      </c>
      <c r="J785" t="n">
        <v>8</v>
      </c>
      <c r="K785" s="9" t="n">
        <v>280</v>
      </c>
      <c r="L785" t="inlineStr">
        <is>
          <t>PAID</t>
        </is>
      </c>
      <c r="M785">
        <f>IF(L785="VOIDED",0,1)</f>
        <v>1</v>
      </c>
      <c r="N785" t="n">
        <v>200</v>
      </c>
      <c r="O785" t="inlineStr">
        <is>
          <t>GST on Income</t>
        </is>
      </c>
      <c r="P785" t="inlineStr">
        <is>
          <t>R06</t>
        </is>
      </c>
      <c r="Q785" t="inlineStr">
        <is>
          <t>HIRE-TK</t>
        </is>
      </c>
      <c r="R785">
        <f>IF(OR(Q785="CONTEXT",Q785="REVIEW"),"",INDEX('Category Rules'!$D$5:$D$17,MATCH(P785,'Category Rules'!$A$5:$A$17,0)))</f>
        <v>4010</v>
      </c>
      <c r="S785" t="str">
        <f>IF(Q785="CONTEXT","Make-safe",IF(Q785="REVIEW","",INDEX('Category Rules'!$E$5:$E$17,MATCH(P785,'Category Rules'!$A$5:$A$17,0))))</f>
        <v>Make-safe</v>
      </c>
      <c r="T785" t="str">
        <f>IF(Q785="DEP","BAS Excluded","GST on Income")</f>
        <v>GST on Income</v>
      </c>
      <c r="U785">
        <f>IF(O785=T785,1,0)</f>
        <v>1</v>
      </c>
      <c r="V785" s="9">
        <f>IF(OR(M785=0,U785=1),0,IF(T785="GST on Income",ROUND(K785*0.1,2),ROUND(-K785*0.1,2)))</f>
        <v>0</v>
      </c>
    </row>
    <row r="786">
      <c r="A786" t="inlineStr">
        <is>
          <t>INV-4663-1</t>
        </is>
      </c>
      <c r="B786" t="inlineStr">
        <is>
          <t>INV-4663</t>
        </is>
      </c>
      <c r="C786" s="11" t="n">
        <v>45964</v>
      </c>
      <c r="D786" t="inlineStr">
        <is>
          <t>2025-11</t>
        </is>
      </c>
      <c r="E786" t="inlineStr">
        <is>
          <t>C0038</t>
        </is>
      </c>
      <c r="F786" t="inlineStr">
        <is>
          <t>C0038</t>
        </is>
      </c>
      <c r="G786" t="inlineStr">
        <is>
          <t>Cobalt Constructions Pty Ltd</t>
        </is>
      </c>
      <c r="H786" t="inlineStr">
        <is>
          <t>S0115</t>
        </is>
      </c>
      <c r="I786" t="inlineStr">
        <is>
          <t>Temporary fence hire 4 wks (06/10/25-02/11/25) - 81 panels</t>
        </is>
      </c>
      <c r="J786" t="n">
        <v>324</v>
      </c>
      <c r="K786" s="9" t="n">
        <v>1458</v>
      </c>
      <c r="L786" t="inlineStr">
        <is>
          <t>PAID</t>
        </is>
      </c>
      <c r="M786">
        <f>IF(L786="VOIDED",0,1)</f>
        <v>1</v>
      </c>
      <c r="N786" t="n">
        <v>200</v>
      </c>
      <c r="O786" t="inlineStr">
        <is>
          <t>GST on Income</t>
        </is>
      </c>
      <c r="P786" t="inlineStr">
        <is>
          <t>R03</t>
        </is>
      </c>
      <c r="Q786" t="inlineStr">
        <is>
          <t>HIRE-FP</t>
        </is>
      </c>
      <c r="R786">
        <f>IF(OR(Q786="CONTEXT",Q786="REVIEW"),"",INDEX('Category Rules'!$D$5:$D$17,MATCH(P786,'Category Rules'!$A$5:$A$17,0)))</f>
        <v>4010</v>
      </c>
      <c r="S786" t="str">
        <f>IF(Q786="CONTEXT","Fencing",IF(Q786="REVIEW","",INDEX('Category Rules'!$E$5:$E$17,MATCH(P786,'Category Rules'!$A$5:$A$17,0))))</f>
        <v>Fencing</v>
      </c>
      <c r="T786" t="str">
        <f>IF(Q786="DEP","BAS Excluded","GST on Income")</f>
        <v>GST on Income</v>
      </c>
      <c r="U786">
        <f>IF(O786=T786,1,0)</f>
        <v>1</v>
      </c>
      <c r="V786" s="9">
        <f>IF(OR(M786=0,U786=1),0,IF(T786="GST on Income",ROUND(K786*0.1,2),ROUND(-K786*0.1,2)))</f>
        <v>0</v>
      </c>
    </row>
    <row r="787">
      <c r="A787" t="inlineStr">
        <is>
          <t>INV-5218-1</t>
        </is>
      </c>
      <c r="B787" t="inlineStr">
        <is>
          <t>INV-5218</t>
        </is>
      </c>
      <c r="C787" s="11" t="n">
        <v>45964</v>
      </c>
      <c r="D787" t="inlineStr">
        <is>
          <t>2025-11</t>
        </is>
      </c>
      <c r="E787" t="inlineStr">
        <is>
          <t>C0103</t>
        </is>
      </c>
      <c r="F787" t="inlineStr">
        <is>
          <t>C0103</t>
        </is>
      </c>
      <c r="G787" t="inlineStr">
        <is>
          <t>Grace Martin</t>
        </is>
      </c>
      <c r="H787" t="inlineStr">
        <is>
          <t>S0240</t>
        </is>
      </c>
      <c r="I787" t="inlineStr">
        <is>
          <t>Scaffold tower hire 4 wks (06/10/25-02/11/25) - 1 towers</t>
        </is>
      </c>
      <c r="J787" t="n">
        <v>4</v>
      </c>
      <c r="K787" s="9" t="n">
        <v>380</v>
      </c>
      <c r="L787" t="inlineStr">
        <is>
          <t>PAID</t>
        </is>
      </c>
      <c r="M787">
        <f>IF(L787="VOIDED",0,1)</f>
        <v>1</v>
      </c>
      <c r="N787" t="n">
        <v>200</v>
      </c>
      <c r="O787" t="inlineStr">
        <is>
          <t>GST on Income</t>
        </is>
      </c>
      <c r="P787" t="inlineStr">
        <is>
          <t>R05</t>
        </is>
      </c>
      <c r="Q787" t="inlineStr">
        <is>
          <t>HIRE-ST</t>
        </is>
      </c>
      <c r="R787">
        <f>IF(OR(Q787="CONTEXT",Q787="REVIEW"),"",INDEX('Category Rules'!$D$5:$D$17,MATCH(P787,'Category Rules'!$A$5:$A$17,0)))</f>
        <v>4010</v>
      </c>
      <c r="S787" t="str">
        <f>IF(Q787="CONTEXT","Scaffolding",IF(Q787="REVIEW","",INDEX('Category Rules'!$E$5:$E$17,MATCH(P787,'Category Rules'!$A$5:$A$17,0))))</f>
        <v>Scaffolding</v>
      </c>
      <c r="T787" t="str">
        <f>IF(Q787="DEP","BAS Excluded","GST on Income")</f>
        <v>GST on Income</v>
      </c>
      <c r="U787">
        <f>IF(O787=T787,1,0)</f>
        <v>1</v>
      </c>
      <c r="V787" s="9">
        <f>IF(OR(M787=0,U787=1),0,IF(T787="GST on Income",ROUND(K787*0.1,2),ROUND(-K787*0.1,2)))</f>
        <v>0</v>
      </c>
    </row>
    <row r="788">
      <c r="A788" t="inlineStr">
        <is>
          <t>INV-5337-1</t>
        </is>
      </c>
      <c r="B788" t="inlineStr">
        <is>
          <t>INV-5337</t>
        </is>
      </c>
      <c r="C788" s="11" t="n">
        <v>45964</v>
      </c>
      <c r="D788" t="inlineStr">
        <is>
          <t>2025-11</t>
        </is>
      </c>
      <c r="E788" t="inlineStr">
        <is>
          <t>C0006</t>
        </is>
      </c>
      <c r="F788" t="inlineStr">
        <is>
          <t>C0006</t>
        </is>
      </c>
      <c r="G788" t="inlineStr">
        <is>
          <t>Harbour Homes</t>
        </is>
      </c>
      <c r="H788" t="inlineStr">
        <is>
          <t>S0268</t>
        </is>
      </c>
      <c r="I788" t="inlineStr">
        <is>
          <t>Scaffold tower hire 4 wks (06/10/25-02/11/25) - 6 towers</t>
        </is>
      </c>
      <c r="J788" t="n">
        <v>24</v>
      </c>
      <c r="K788" s="9" t="n">
        <v>2280</v>
      </c>
      <c r="L788" t="inlineStr">
        <is>
          <t>PAID</t>
        </is>
      </c>
      <c r="M788">
        <f>IF(L788="VOIDED",0,1)</f>
        <v>1</v>
      </c>
      <c r="N788" t="n">
        <v>200</v>
      </c>
      <c r="O788" t="inlineStr">
        <is>
          <t>GST on Income</t>
        </is>
      </c>
      <c r="P788" t="inlineStr">
        <is>
          <t>R05</t>
        </is>
      </c>
      <c r="Q788" t="inlineStr">
        <is>
          <t>HIRE-ST</t>
        </is>
      </c>
      <c r="R788">
        <f>IF(OR(Q788="CONTEXT",Q788="REVIEW"),"",INDEX('Category Rules'!$D$5:$D$17,MATCH(P788,'Category Rules'!$A$5:$A$17,0)))</f>
        <v>4010</v>
      </c>
      <c r="S788" t="str">
        <f>IF(Q788="CONTEXT","Scaffolding",IF(Q788="REVIEW","",INDEX('Category Rules'!$E$5:$E$17,MATCH(P788,'Category Rules'!$A$5:$A$17,0))))</f>
        <v>Scaffolding</v>
      </c>
      <c r="T788" t="str">
        <f>IF(Q788="DEP","BAS Excluded","GST on Income")</f>
        <v>GST on Income</v>
      </c>
      <c r="U788">
        <f>IF(O788=T788,1,0)</f>
        <v>1</v>
      </c>
      <c r="V788" s="9">
        <f>IF(OR(M788=0,U788=1),0,IF(T788="GST on Income",ROUND(K788*0.1,2),ROUND(-K788*0.1,2)))</f>
        <v>0</v>
      </c>
    </row>
    <row r="789">
      <c r="A789" t="inlineStr">
        <is>
          <t>INV-5900-1</t>
        </is>
      </c>
      <c r="B789" t="inlineStr">
        <is>
          <t>INV-5900</t>
        </is>
      </c>
      <c r="C789" s="11" t="n">
        <v>45964</v>
      </c>
      <c r="D789" t="inlineStr">
        <is>
          <t>2025-11</t>
        </is>
      </c>
      <c r="E789" t="inlineStr">
        <is>
          <t>C0137</t>
        </is>
      </c>
      <c r="F789" t="inlineStr">
        <is>
          <t>C0062</t>
        </is>
      </c>
      <c r="G789" t="inlineStr">
        <is>
          <t>Wattle Insurance Repairs Pty Ltd</t>
        </is>
      </c>
      <c r="H789" t="inlineStr">
        <is>
          <t>S0477</t>
        </is>
      </c>
      <c r="I789" t="inlineStr">
        <is>
          <t>As per quote Q-1582</t>
        </is>
      </c>
      <c r="J789" t="n">
        <v>1</v>
      </c>
      <c r="K789" s="9" t="n">
        <v>2723.82</v>
      </c>
      <c r="L789" t="inlineStr">
        <is>
          <t>PAID</t>
        </is>
      </c>
      <c r="M789">
        <f>IF(L789="VOIDED",0,1)</f>
        <v>1</v>
      </c>
      <c r="N789" t="n">
        <v>200</v>
      </c>
      <c r="O789" t="inlineStr">
        <is>
          <t>GST on Income</t>
        </is>
      </c>
      <c r="P789" t="inlineStr">
        <is>
          <t>R12</t>
        </is>
      </c>
      <c r="Q789" t="inlineStr">
        <is>
          <t>CONTEXT</t>
        </is>
      </c>
      <c r="R789">
        <f>IF(OR(Q789="CONTEXT",Q789="REVIEW"),"",INDEX('Category Rules'!$D$5:$D$17,MATCH(P789,'Category Rules'!$A$5:$A$17,0)))</f>
      </c>
      <c r="S789" t="str">
        <f>IF(Q789="CONTEXT","Make-safe",IF(Q789="REVIEW","",INDEX('Category Rules'!$E$5:$E$17,MATCH(P789,'Category Rules'!$A$5:$A$17,0))))</f>
        <v>Make-safe</v>
      </c>
      <c r="T789" t="str">
        <f>IF(Q789="DEP","BAS Excluded","GST on Income")</f>
        <v>GST on Income</v>
      </c>
      <c r="U789">
        <f>IF(O789=T789,1,0)</f>
        <v>1</v>
      </c>
      <c r="V789" s="9">
        <f>IF(OR(M789=0,U789=1),0,IF(T789="GST on Income",ROUND(K789*0.1,2),ROUND(-K789*0.1,2)))</f>
        <v>0</v>
      </c>
    </row>
    <row r="790">
      <c r="A790" t="inlineStr">
        <is>
          <t>CN-5951-1</t>
        </is>
      </c>
      <c r="B790" t="inlineStr">
        <is>
          <t>CN-5951</t>
        </is>
      </c>
      <c r="C790" s="11" t="n">
        <v>45965</v>
      </c>
      <c r="D790" t="inlineStr">
        <is>
          <t>2025-11</t>
        </is>
      </c>
      <c r="E790" t="inlineStr">
        <is>
          <t>C0033</t>
        </is>
      </c>
      <c r="F790" t="inlineStr">
        <is>
          <t>C0033</t>
        </is>
      </c>
      <c r="G790" t="inlineStr">
        <is>
          <t>Granite Projects Pty Ltd</t>
        </is>
      </c>
      <c r="H790" t="inlineStr">
        <is>
          <t>S0086</t>
        </is>
      </c>
      <c r="I790" t="inlineStr">
        <is>
          <t>Credit - temporary fence hire overcharge</t>
        </is>
      </c>
      <c r="J790" t="n">
        <v>1</v>
      </c>
      <c r="K790" s="9" t="n">
        <v>-257.61</v>
      </c>
      <c r="L790" t="inlineStr">
        <is>
          <t>PAID</t>
        </is>
      </c>
      <c r="M790">
        <f>IF(L790="VOIDED",0,1)</f>
        <v>1</v>
      </c>
      <c r="N790" t="n">
        <v>200</v>
      </c>
      <c r="O790" t="inlineStr">
        <is>
          <t>GST on Income</t>
        </is>
      </c>
      <c r="P790" t="inlineStr">
        <is>
          <t>R03</t>
        </is>
      </c>
      <c r="Q790" t="inlineStr">
        <is>
          <t>HIRE-FP</t>
        </is>
      </c>
      <c r="R790">
        <f>IF(OR(Q790="CONTEXT",Q790="REVIEW"),"",INDEX('Category Rules'!$D$5:$D$17,MATCH(P790,'Category Rules'!$A$5:$A$17,0)))</f>
        <v>4010</v>
      </c>
      <c r="S790" t="str">
        <f>IF(Q790="CONTEXT","Fencing",IF(Q790="REVIEW","",INDEX('Category Rules'!$E$5:$E$17,MATCH(P790,'Category Rules'!$A$5:$A$17,0))))</f>
        <v>Fencing</v>
      </c>
      <c r="T790" t="str">
        <f>IF(Q790="DEP","BAS Excluded","GST on Income")</f>
        <v>GST on Income</v>
      </c>
      <c r="U790">
        <f>IF(O790=T790,1,0)</f>
        <v>1</v>
      </c>
      <c r="V790" s="9">
        <f>IF(OR(M790=0,U790=1),0,IF(T790="GST on Income",ROUND(K790*0.1,2),ROUND(-K790*0.1,2)))</f>
        <v>0</v>
      </c>
    </row>
    <row r="791">
      <c r="A791" t="inlineStr">
        <is>
          <t>INV-5338-1</t>
        </is>
      </c>
      <c r="B791" t="inlineStr">
        <is>
          <t>INV-5338</t>
        </is>
      </c>
      <c r="C791" s="11" t="n">
        <v>45965</v>
      </c>
      <c r="D791" t="inlineStr">
        <is>
          <t>2025-11</t>
        </is>
      </c>
      <c r="E791" t="inlineStr">
        <is>
          <t>C0006</t>
        </is>
      </c>
      <c r="F791" t="inlineStr">
        <is>
          <t>C0006</t>
        </is>
      </c>
      <c r="G791" t="inlineStr">
        <is>
          <t>Harbour Homes</t>
        </is>
      </c>
      <c r="H791" t="inlineStr">
        <is>
          <t>S0268</t>
        </is>
      </c>
      <c r="I791" t="inlineStr">
        <is>
          <t>Scaffold tower hire 1 wks (03/11/25-03/11/25) - 6 towers</t>
        </is>
      </c>
      <c r="J791" t="n">
        <v>6</v>
      </c>
      <c r="K791" s="9" t="n">
        <v>570</v>
      </c>
      <c r="L791" t="inlineStr">
        <is>
          <t>PAID</t>
        </is>
      </c>
      <c r="M791">
        <f>IF(L791="VOIDED",0,1)</f>
        <v>1</v>
      </c>
      <c r="N791" t="n">
        <v>200</v>
      </c>
      <c r="O791" t="inlineStr">
        <is>
          <t>GST on Income</t>
        </is>
      </c>
      <c r="P791" t="inlineStr">
        <is>
          <t>R05</t>
        </is>
      </c>
      <c r="Q791" t="inlineStr">
        <is>
          <t>HIRE-ST</t>
        </is>
      </c>
      <c r="R791">
        <f>IF(OR(Q791="CONTEXT",Q791="REVIEW"),"",INDEX('Category Rules'!$D$5:$D$17,MATCH(P791,'Category Rules'!$A$5:$A$17,0)))</f>
        <v>4010</v>
      </c>
      <c r="S791" t="str">
        <f>IF(Q791="CONTEXT","Scaffolding",IF(Q791="REVIEW","",INDEX('Category Rules'!$E$5:$E$17,MATCH(P791,'Category Rules'!$A$5:$A$17,0))))</f>
        <v>Scaffolding</v>
      </c>
      <c r="T791" t="str">
        <f>IF(Q791="DEP","BAS Excluded","GST on Income")</f>
        <v>GST on Income</v>
      </c>
      <c r="U791">
        <f>IF(O791=T791,1,0)</f>
        <v>1</v>
      </c>
      <c r="V791" s="9">
        <f>IF(OR(M791=0,U791=1),0,IF(T791="GST on Income",ROUND(K791*0.1,2),ROUND(-K791*0.1,2)))</f>
        <v>0</v>
      </c>
    </row>
    <row r="792">
      <c r="A792" t="inlineStr">
        <is>
          <t>INV-5340-1</t>
        </is>
      </c>
      <c r="B792" t="inlineStr">
        <is>
          <t>INV-5340</t>
        </is>
      </c>
      <c r="C792" s="11" t="n">
        <v>45965</v>
      </c>
      <c r="D792" t="inlineStr">
        <is>
          <t>2025-11</t>
        </is>
      </c>
      <c r="E792" t="inlineStr">
        <is>
          <t>C0006</t>
        </is>
      </c>
      <c r="F792" t="inlineStr">
        <is>
          <t>C0006</t>
        </is>
      </c>
      <c r="G792" t="inlineStr">
        <is>
          <t>Harbour Homes</t>
        </is>
      </c>
      <c r="H792" t="inlineStr">
        <is>
          <t>S0268</t>
        </is>
      </c>
      <c r="I792" t="inlineStr">
        <is>
          <t>Scaffold dismantle - 6 tower(s)</t>
        </is>
      </c>
      <c r="J792" t="n">
        <v>6</v>
      </c>
      <c r="K792" s="9" t="n">
        <v>1920</v>
      </c>
      <c r="L792" t="inlineStr">
        <is>
          <t>PAID</t>
        </is>
      </c>
      <c r="M792">
        <f>IF(L792="VOIDED",0,1)</f>
        <v>1</v>
      </c>
      <c r="N792" t="n">
        <v>200</v>
      </c>
      <c r="O792" t="inlineStr">
        <is>
          <t>GST on Income</t>
        </is>
      </c>
      <c r="P792" t="inlineStr">
        <is>
          <t>R08</t>
        </is>
      </c>
      <c r="Q792" t="inlineStr">
        <is>
          <t>LAB-ST</t>
        </is>
      </c>
      <c r="R792">
        <f>IF(OR(Q792="CONTEXT",Q792="REVIEW"),"",INDEX('Category Rules'!$D$5:$D$17,MATCH(P792,'Category Rules'!$A$5:$A$17,0)))</f>
        <v>4020</v>
      </c>
      <c r="S792" t="str">
        <f>IF(Q792="CONTEXT","Scaffolding",IF(Q792="REVIEW","",INDEX('Category Rules'!$E$5:$E$17,MATCH(P792,'Category Rules'!$A$5:$A$17,0))))</f>
        <v>Scaffolding</v>
      </c>
      <c r="T792" t="str">
        <f>IF(Q792="DEP","BAS Excluded","GST on Income")</f>
        <v>GST on Income</v>
      </c>
      <c r="U792">
        <f>IF(O792=T792,1,0)</f>
        <v>1</v>
      </c>
      <c r="V792" s="9">
        <f>IF(OR(M792=0,U792=1),0,IF(T792="GST on Income",ROUND(K792*0.1,2),ROUND(-K792*0.1,2)))</f>
        <v>0</v>
      </c>
    </row>
    <row r="793">
      <c r="A793" t="inlineStr">
        <is>
          <t>INV-4778-1</t>
        </is>
      </c>
      <c r="B793" t="inlineStr">
        <is>
          <t>INV-4778</t>
        </is>
      </c>
      <c r="C793" s="11" t="n">
        <v>45966</v>
      </c>
      <c r="D793" t="inlineStr">
        <is>
          <t>2025-11</t>
        </is>
      </c>
      <c r="E793" t="inlineStr">
        <is>
          <t>C0017</t>
        </is>
      </c>
      <c r="F793" t="inlineStr">
        <is>
          <t>C0017</t>
        </is>
      </c>
      <c r="G793" t="inlineStr">
        <is>
          <t>Cobalt Developments Pty Ltd</t>
        </is>
      </c>
      <c r="H793" t="inlineStr">
        <is>
          <t>S0144</t>
        </is>
      </c>
      <c r="I793" t="inlineStr">
        <is>
          <t>Delivery and installation - temporary fencing</t>
        </is>
      </c>
      <c r="J793" t="n">
        <v>1</v>
      </c>
      <c r="K793" s="9" t="n">
        <v>165</v>
      </c>
      <c r="L793" t="inlineStr">
        <is>
          <t>PAID</t>
        </is>
      </c>
      <c r="M793">
        <f>IF(L793="VOIDED",0,1)</f>
        <v>1</v>
      </c>
      <c r="N793" t="n">
        <v>260</v>
      </c>
      <c r="O793" t="inlineStr">
        <is>
          <t>GST on Income</t>
        </is>
      </c>
      <c r="P793" t="inlineStr">
        <is>
          <t>R07</t>
        </is>
      </c>
      <c r="Q793" t="inlineStr">
        <is>
          <t>DEL-FP</t>
        </is>
      </c>
      <c r="R793">
        <f>IF(OR(Q793="CONTEXT",Q793="REVIEW"),"",INDEX('Category Rules'!$D$5:$D$17,MATCH(P793,'Category Rules'!$A$5:$A$17,0)))</f>
        <v>4020</v>
      </c>
      <c r="S793" t="str">
        <f>IF(Q793="CONTEXT","Fencing",IF(Q793="REVIEW","",INDEX('Category Rules'!$E$5:$E$17,MATCH(P793,'Category Rules'!$A$5:$A$17,0))))</f>
        <v>Fencing</v>
      </c>
      <c r="T793" t="str">
        <f>IF(Q793="DEP","BAS Excluded","GST on Income")</f>
        <v>GST on Income</v>
      </c>
      <c r="U793">
        <f>IF(O793=T793,1,0)</f>
        <v>1</v>
      </c>
      <c r="V793" s="9">
        <f>IF(OR(M793=0,U793=1),0,IF(T793="GST on Income",ROUND(K793*0.1,2),ROUND(-K793*0.1,2)))</f>
        <v>0</v>
      </c>
    </row>
    <row r="794">
      <c r="A794" t="inlineStr">
        <is>
          <t>INV-4778-2</t>
        </is>
      </c>
      <c r="B794" t="inlineStr">
        <is>
          <t>INV-4778</t>
        </is>
      </c>
      <c r="C794" s="11" t="n">
        <v>45966</v>
      </c>
      <c r="D794" t="inlineStr">
        <is>
          <t>2025-11</t>
        </is>
      </c>
      <c r="E794" t="inlineStr">
        <is>
          <t>C0017</t>
        </is>
      </c>
      <c r="F794" t="inlineStr">
        <is>
          <t>C0017</t>
        </is>
      </c>
      <c r="G794" t="inlineStr">
        <is>
          <t>Cobalt Developments Pty Ltd</t>
        </is>
      </c>
      <c r="H794" t="inlineStr">
        <is>
          <t>S0144</t>
        </is>
      </c>
      <c r="I794" t="inlineStr">
        <is>
          <t>Installation labour - 83 panels @ 2.20</t>
        </is>
      </c>
      <c r="J794" t="n">
        <v>83</v>
      </c>
      <c r="K794" s="9" t="n">
        <v>182.6</v>
      </c>
      <c r="L794" t="inlineStr">
        <is>
          <t>PAID</t>
        </is>
      </c>
      <c r="M794">
        <f>IF(L794="VOIDED",0,1)</f>
        <v>1</v>
      </c>
      <c r="N794" t="n">
        <v>200</v>
      </c>
      <c r="O794" t="inlineStr">
        <is>
          <t>GST on Income</t>
        </is>
      </c>
      <c r="P794" t="inlineStr">
        <is>
          <t>R07</t>
        </is>
      </c>
      <c r="Q794" t="inlineStr">
        <is>
          <t>DEL-FP</t>
        </is>
      </c>
      <c r="R794">
        <f>IF(OR(Q794="CONTEXT",Q794="REVIEW"),"",INDEX('Category Rules'!$D$5:$D$17,MATCH(P794,'Category Rules'!$A$5:$A$17,0)))</f>
        <v>4020</v>
      </c>
      <c r="S794" t="str">
        <f>IF(Q794="CONTEXT","Fencing",IF(Q794="REVIEW","",INDEX('Category Rules'!$E$5:$E$17,MATCH(P794,'Category Rules'!$A$5:$A$17,0))))</f>
        <v>Fencing</v>
      </c>
      <c r="T794" t="str">
        <f>IF(Q794="DEP","BAS Excluded","GST on Income")</f>
        <v>GST on Income</v>
      </c>
      <c r="U794">
        <f>IF(O794=T794,1,0)</f>
        <v>1</v>
      </c>
      <c r="V794" s="9">
        <f>IF(OR(M794=0,U794=1),0,IF(T794="GST on Income",ROUND(K794*0.1,2),ROUND(-K794*0.1,2)))</f>
        <v>0</v>
      </c>
    </row>
    <row r="795">
      <c r="A795" t="inlineStr">
        <is>
          <t>INV-5870-1</t>
        </is>
      </c>
      <c r="B795" t="inlineStr">
        <is>
          <t>INV-5870</t>
        </is>
      </c>
      <c r="C795" s="11" t="n">
        <v>45966</v>
      </c>
      <c r="D795" t="inlineStr">
        <is>
          <t>2025-11</t>
        </is>
      </c>
      <c r="E795" t="inlineStr">
        <is>
          <t>C0066</t>
        </is>
      </c>
      <c r="F795" t="inlineStr">
        <is>
          <t>C0066</t>
        </is>
      </c>
      <c r="G795" t="inlineStr">
        <is>
          <t>Northgate Insurance Repairs</t>
        </is>
      </c>
      <c r="H795" t="inlineStr">
        <is>
          <t>S0532</t>
        </is>
      </c>
      <c r="I795" t="inlineStr">
        <is>
          <t>Roof repair labour - 16 hrs</t>
        </is>
      </c>
      <c r="J795" t="n">
        <v>16</v>
      </c>
      <c r="K795" s="9" t="n">
        <v>1568</v>
      </c>
      <c r="L795" t="inlineStr">
        <is>
          <t>PAID</t>
        </is>
      </c>
      <c r="M795">
        <f>IF(L795="VOIDED",0,1)</f>
        <v>1</v>
      </c>
      <c r="N795" t="n">
        <v>200</v>
      </c>
      <c r="O795" t="inlineStr">
        <is>
          <t>GST on Income</t>
        </is>
      </c>
      <c r="P795" t="inlineStr">
        <is>
          <t>R10</t>
        </is>
      </c>
      <c r="Q795" t="inlineStr">
        <is>
          <t>LAB-RF</t>
        </is>
      </c>
      <c r="R795">
        <f>IF(OR(Q795="CONTEXT",Q795="REVIEW"),"",INDEX('Category Rules'!$D$5:$D$17,MATCH(P795,'Category Rules'!$A$5:$A$17,0)))</f>
        <v>4020</v>
      </c>
      <c r="S795" t="str">
        <f>IF(Q795="CONTEXT","Roofing",IF(Q795="REVIEW","",INDEX('Category Rules'!$E$5:$E$17,MATCH(P795,'Category Rules'!$A$5:$A$17,0))))</f>
        <v>Roofing</v>
      </c>
      <c r="T795" t="str">
        <f>IF(Q795="DEP","BAS Excluded","GST on Income")</f>
        <v>GST on Income</v>
      </c>
      <c r="U795">
        <f>IF(O795=T795,1,0)</f>
        <v>1</v>
      </c>
      <c r="V795" s="9">
        <f>IF(OR(M795=0,U795=1),0,IF(T795="GST on Income",ROUND(K795*0.1,2),ROUND(-K795*0.1,2)))</f>
        <v>0</v>
      </c>
    </row>
    <row r="796">
      <c r="A796" t="inlineStr">
        <is>
          <t>INV-5870-2</t>
        </is>
      </c>
      <c r="B796" t="inlineStr">
        <is>
          <t>INV-5870</t>
        </is>
      </c>
      <c r="C796" s="11" t="n">
        <v>45966</v>
      </c>
      <c r="D796" t="inlineStr">
        <is>
          <t>2025-11</t>
        </is>
      </c>
      <c r="E796" t="inlineStr">
        <is>
          <t>C0066</t>
        </is>
      </c>
      <c r="F796" t="inlineStr">
        <is>
          <t>C0066</t>
        </is>
      </c>
      <c r="G796" t="inlineStr">
        <is>
          <t>Northgate Insurance Repairs</t>
        </is>
      </c>
      <c r="H796" t="inlineStr">
        <is>
          <t>S0532</t>
        </is>
      </c>
      <c r="I796" t="inlineStr">
        <is>
          <t>Materials - roof tiles (matched)</t>
        </is>
      </c>
      <c r="J796" t="n">
        <v>1</v>
      </c>
      <c r="K796" s="9" t="n">
        <v>146.13</v>
      </c>
      <c r="L796" t="inlineStr">
        <is>
          <t>PAID</t>
        </is>
      </c>
      <c r="M796">
        <f>IF(L796="VOIDED",0,1)</f>
        <v>1</v>
      </c>
      <c r="N796" t="n">
        <v>200</v>
      </c>
      <c r="O796" t="inlineStr">
        <is>
          <t>GST on Income</t>
        </is>
      </c>
      <c r="P796" t="inlineStr">
        <is>
          <t>R11</t>
        </is>
      </c>
      <c r="Q796" t="inlineStr">
        <is>
          <t>MAT-RF</t>
        </is>
      </c>
      <c r="R796">
        <f>IF(OR(Q796="CONTEXT",Q796="REVIEW"),"",INDEX('Category Rules'!$D$5:$D$17,MATCH(P796,'Category Rules'!$A$5:$A$17,0)))</f>
        <v>4030</v>
      </c>
      <c r="S796" t="str">
        <f>IF(Q796="CONTEXT","Roofing",IF(Q796="REVIEW","",INDEX('Category Rules'!$E$5:$E$17,MATCH(P796,'Category Rules'!$A$5:$A$17,0))))</f>
        <v>Roofing</v>
      </c>
      <c r="T796" t="str">
        <f>IF(Q796="DEP","BAS Excluded","GST on Income")</f>
        <v>GST on Income</v>
      </c>
      <c r="U796">
        <f>IF(O796=T796,1,0)</f>
        <v>1</v>
      </c>
      <c r="V796" s="9">
        <f>IF(OR(M796=0,U796=1),0,IF(T796="GST on Income",ROUND(K796*0.1,2),ROUND(-K796*0.1,2)))</f>
        <v>0</v>
      </c>
    </row>
    <row r="797">
      <c r="A797" t="inlineStr">
        <is>
          <t>INV-5920-1</t>
        </is>
      </c>
      <c r="B797" t="inlineStr">
        <is>
          <t>INV-5920</t>
        </is>
      </c>
      <c r="C797" s="11" t="n">
        <v>45966</v>
      </c>
      <c r="D797" t="inlineStr">
        <is>
          <t>2025-11</t>
        </is>
      </c>
      <c r="E797" t="inlineStr">
        <is>
          <t>C0122</t>
        </is>
      </c>
      <c r="F797" t="inlineStr">
        <is>
          <t>C0122</t>
        </is>
      </c>
      <c r="G797" t="inlineStr">
        <is>
          <t>Bluegum Construction Pty Ltd</t>
        </is>
      </c>
      <c r="H797" t="inlineStr"/>
      <c r="I797" t="inlineStr">
        <is>
          <t>Site works</t>
        </is>
      </c>
      <c r="J797" t="n">
        <v>1</v>
      </c>
      <c r="K797" s="9" t="n">
        <v>959.58</v>
      </c>
      <c r="L797" t="inlineStr">
        <is>
          <t>PAID</t>
        </is>
      </c>
      <c r="M797">
        <f>IF(L797="VOIDED",0,1)</f>
        <v>1</v>
      </c>
      <c r="N797" t="n">
        <v>200</v>
      </c>
      <c r="O797" t="inlineStr">
        <is>
          <t>GST on Income</t>
        </is>
      </c>
      <c r="P797" t="inlineStr">
        <is>
          <t>--</t>
        </is>
      </c>
      <c r="Q797" t="inlineStr">
        <is>
          <t>REVIEW</t>
        </is>
      </c>
      <c r="R797">
        <f>IF(OR(Q797="CONTEXT",Q797="REVIEW"),"",INDEX('Category Rules'!$D$5:$D$17,MATCH(P797,'Category Rules'!$A$5:$A$17,0)))</f>
      </c>
      <c r="S797">
        <f>IF(Q797="CONTEXT","",IF(Q797="REVIEW","",INDEX('Category Rules'!$E$5:$E$17,MATCH(P797,'Category Rules'!$A$5:$A$17,0))))</f>
      </c>
      <c r="T797" t="str">
        <f>IF(Q797="DEP","BAS Excluded","GST on Income")</f>
        <v>GST on Income</v>
      </c>
      <c r="U797">
        <f>IF(O797=T797,1,0)</f>
        <v>1</v>
      </c>
      <c r="V797" s="9">
        <f>IF(OR(M797=0,U797=1),0,IF(T797="GST on Income",ROUND(K797*0.1,2),ROUND(-K797*0.1,2)))</f>
        <v>0</v>
      </c>
    </row>
    <row r="798">
      <c r="A798" t="inlineStr">
        <is>
          <t>INV-5020-1</t>
        </is>
      </c>
      <c r="B798" t="inlineStr">
        <is>
          <t>INV-5020</t>
        </is>
      </c>
      <c r="C798" s="11" t="n">
        <v>45967</v>
      </c>
      <c r="D798" t="inlineStr">
        <is>
          <t>2025-11</t>
        </is>
      </c>
      <c r="E798" t="inlineStr">
        <is>
          <t>C0071</t>
        </is>
      </c>
      <c r="F798" t="inlineStr">
        <is>
          <t>C0071</t>
        </is>
      </c>
      <c r="G798" t="inlineStr">
        <is>
          <t>Maribyrnong City Council</t>
        </is>
      </c>
      <c r="H798" t="inlineStr">
        <is>
          <t>S0199</t>
        </is>
      </c>
      <c r="I798" t="inlineStr">
        <is>
          <t>Temporary fence hire 4 wks (12/10/25-05/11/25) - 22 panels</t>
        </is>
      </c>
      <c r="J798" t="n">
        <v>88</v>
      </c>
      <c r="K798" s="9" t="n">
        <v>396</v>
      </c>
      <c r="L798" t="inlineStr">
        <is>
          <t>PAID</t>
        </is>
      </c>
      <c r="M798">
        <f>IF(L798="VOIDED",0,1)</f>
        <v>1</v>
      </c>
      <c r="N798" t="n">
        <v>200</v>
      </c>
      <c r="O798" t="inlineStr">
        <is>
          <t>GST on Income</t>
        </is>
      </c>
      <c r="P798" t="inlineStr">
        <is>
          <t>R03</t>
        </is>
      </c>
      <c r="Q798" t="inlineStr">
        <is>
          <t>HIRE-FP</t>
        </is>
      </c>
      <c r="R798">
        <f>IF(OR(Q798="CONTEXT",Q798="REVIEW"),"",INDEX('Category Rules'!$D$5:$D$17,MATCH(P798,'Category Rules'!$A$5:$A$17,0)))</f>
        <v>4010</v>
      </c>
      <c r="S798" t="str">
        <f>IF(Q798="CONTEXT","Fencing",IF(Q798="REVIEW","",INDEX('Category Rules'!$E$5:$E$17,MATCH(P798,'Category Rules'!$A$5:$A$17,0))))</f>
        <v>Fencing</v>
      </c>
      <c r="T798" t="str">
        <f>IF(Q798="DEP","BAS Excluded","GST on Income")</f>
        <v>GST on Income</v>
      </c>
      <c r="U798">
        <f>IF(O798=T798,1,0)</f>
        <v>1</v>
      </c>
      <c r="V798" s="9">
        <f>IF(OR(M798=0,U798=1),0,IF(T798="GST on Income",ROUND(K798*0.1,2),ROUND(-K798*0.1,2)))</f>
        <v>0</v>
      </c>
    </row>
    <row r="799">
      <c r="A799" t="inlineStr">
        <is>
          <t>INV-5022-1</t>
        </is>
      </c>
      <c r="B799" t="inlineStr">
        <is>
          <t>INV-5022</t>
        </is>
      </c>
      <c r="C799" s="11" t="n">
        <v>45967</v>
      </c>
      <c r="D799" t="inlineStr">
        <is>
          <t>2025-11</t>
        </is>
      </c>
      <c r="E799" t="inlineStr">
        <is>
          <t>C0071</t>
        </is>
      </c>
      <c r="F799" t="inlineStr">
        <is>
          <t>C0071</t>
        </is>
      </c>
      <c r="G799" t="inlineStr">
        <is>
          <t>Maribyrnong City Council</t>
        </is>
      </c>
      <c r="H799" t="inlineStr">
        <is>
          <t>S0199</t>
        </is>
      </c>
      <c r="I799" t="inlineStr">
        <is>
          <t>Collection and dismantle - temporary fencing</t>
        </is>
      </c>
      <c r="J799" t="n">
        <v>1</v>
      </c>
      <c r="K799" s="9" t="n">
        <v>165</v>
      </c>
      <c r="L799" t="inlineStr">
        <is>
          <t>PAID</t>
        </is>
      </c>
      <c r="M799">
        <f>IF(L799="VOIDED",0,1)</f>
        <v>1</v>
      </c>
      <c r="N799" t="n">
        <v>200</v>
      </c>
      <c r="O799" t="inlineStr">
        <is>
          <t>GST on Income</t>
        </is>
      </c>
      <c r="P799" t="inlineStr">
        <is>
          <t>R07</t>
        </is>
      </c>
      <c r="Q799" t="inlineStr">
        <is>
          <t>DEL-FP</t>
        </is>
      </c>
      <c r="R799">
        <f>IF(OR(Q799="CONTEXT",Q799="REVIEW"),"",INDEX('Category Rules'!$D$5:$D$17,MATCH(P799,'Category Rules'!$A$5:$A$17,0)))</f>
        <v>4020</v>
      </c>
      <c r="S799" t="str">
        <f>IF(Q799="CONTEXT","Fencing",IF(Q799="REVIEW","",INDEX('Category Rules'!$E$5:$E$17,MATCH(P799,'Category Rules'!$A$5:$A$17,0))))</f>
        <v>Fencing</v>
      </c>
      <c r="T799" t="str">
        <f>IF(Q799="DEP","BAS Excluded","GST on Income")</f>
        <v>GST on Income</v>
      </c>
      <c r="U799">
        <f>IF(O799=T799,1,0)</f>
        <v>1</v>
      </c>
      <c r="V799" s="9">
        <f>IF(OR(M799=0,U799=1),0,IF(T799="GST on Income",ROUND(K799*0.1,2),ROUND(-K799*0.1,2)))</f>
        <v>0</v>
      </c>
    </row>
    <row r="800">
      <c r="A800" t="inlineStr">
        <is>
          <t>INV-5189-1</t>
        </is>
      </c>
      <c r="B800" t="inlineStr">
        <is>
          <t>INV-5189</t>
        </is>
      </c>
      <c r="C800" s="11" t="n">
        <v>45967</v>
      </c>
      <c r="D800" t="inlineStr">
        <is>
          <t>2025-11</t>
        </is>
      </c>
      <c r="E800" t="inlineStr">
        <is>
          <t>C0042</t>
        </is>
      </c>
      <c r="F800" t="inlineStr">
        <is>
          <t>C0042</t>
        </is>
      </c>
      <c r="G800" t="inlineStr">
        <is>
          <t>Lakeside Constructions Pty Ltd</t>
        </is>
      </c>
      <c r="H800" t="inlineStr">
        <is>
          <t>S0233</t>
        </is>
      </c>
      <c r="I800" t="inlineStr">
        <is>
          <t>Scaffold tower hire 4 wks (09/10/25-05/11/25) - 2 towers</t>
        </is>
      </c>
      <c r="J800" t="n">
        <v>8</v>
      </c>
      <c r="K800" s="9" t="n">
        <v>760</v>
      </c>
      <c r="L800" t="inlineStr">
        <is>
          <t>PAID</t>
        </is>
      </c>
      <c r="M800">
        <f>IF(L800="VOIDED",0,1)</f>
        <v>1</v>
      </c>
      <c r="N800" t="n">
        <v>200</v>
      </c>
      <c r="O800" t="inlineStr">
        <is>
          <t>GST on Income</t>
        </is>
      </c>
      <c r="P800" t="inlineStr">
        <is>
          <t>R05</t>
        </is>
      </c>
      <c r="Q800" t="inlineStr">
        <is>
          <t>HIRE-ST</t>
        </is>
      </c>
      <c r="R800">
        <f>IF(OR(Q800="CONTEXT",Q800="REVIEW"),"",INDEX('Category Rules'!$D$5:$D$17,MATCH(P800,'Category Rules'!$A$5:$A$17,0)))</f>
        <v>4010</v>
      </c>
      <c r="S800" t="str">
        <f>IF(Q800="CONTEXT","Scaffolding",IF(Q800="REVIEW","",INDEX('Category Rules'!$E$5:$E$17,MATCH(P800,'Category Rules'!$A$5:$A$17,0))))</f>
        <v>Scaffolding</v>
      </c>
      <c r="T800" t="str">
        <f>IF(Q800="DEP","BAS Excluded","GST on Income")</f>
        <v>GST on Income</v>
      </c>
      <c r="U800">
        <f>IF(O800=T800,1,0)</f>
        <v>1</v>
      </c>
      <c r="V800" s="9">
        <f>IF(OR(M800=0,U800=1),0,IF(T800="GST on Income",ROUND(K800*0.1,2),ROUND(-K800*0.1,2)))</f>
        <v>0</v>
      </c>
    </row>
    <row r="801">
      <c r="A801" t="inlineStr">
        <is>
          <t>INV-5203-1</t>
        </is>
      </c>
      <c r="B801" t="inlineStr">
        <is>
          <t>INV-5203</t>
        </is>
      </c>
      <c r="C801" s="11" t="n">
        <v>45967</v>
      </c>
      <c r="D801" t="inlineStr">
        <is>
          <t>2025-11</t>
        </is>
      </c>
      <c r="E801" t="inlineStr">
        <is>
          <t>C0118</t>
        </is>
      </c>
      <c r="F801" t="inlineStr">
        <is>
          <t>C0118</t>
        </is>
      </c>
      <c r="G801" t="inlineStr">
        <is>
          <t>Sofia Singh</t>
        </is>
      </c>
      <c r="H801" t="inlineStr">
        <is>
          <t>S0236</t>
        </is>
      </c>
      <c r="I801" t="inlineStr">
        <is>
          <t>Scaffold erect - 2 tower(s)</t>
        </is>
      </c>
      <c r="J801" t="n">
        <v>2</v>
      </c>
      <c r="K801" s="9" t="n">
        <v>840</v>
      </c>
      <c r="L801" t="inlineStr">
        <is>
          <t>PAID</t>
        </is>
      </c>
      <c r="M801">
        <f>IF(L801="VOIDED",0,1)</f>
        <v>1</v>
      </c>
      <c r="N801" t="n">
        <v>200</v>
      </c>
      <c r="O801" t="inlineStr">
        <is>
          <t>GST on Income</t>
        </is>
      </c>
      <c r="P801" t="inlineStr">
        <is>
          <t>R08</t>
        </is>
      </c>
      <c r="Q801" t="inlineStr">
        <is>
          <t>LAB-ST</t>
        </is>
      </c>
      <c r="R801">
        <f>IF(OR(Q801="CONTEXT",Q801="REVIEW"),"",INDEX('Category Rules'!$D$5:$D$17,MATCH(P801,'Category Rules'!$A$5:$A$17,0)))</f>
        <v>4020</v>
      </c>
      <c r="S801" t="str">
        <f>IF(Q801="CONTEXT","Scaffolding",IF(Q801="REVIEW","",INDEX('Category Rules'!$E$5:$E$17,MATCH(P801,'Category Rules'!$A$5:$A$17,0))))</f>
        <v>Scaffolding</v>
      </c>
      <c r="T801" t="str">
        <f>IF(Q801="DEP","BAS Excluded","GST on Income")</f>
        <v>GST on Income</v>
      </c>
      <c r="U801">
        <f>IF(O801=T801,1,0)</f>
        <v>1</v>
      </c>
      <c r="V801" s="9">
        <f>IF(OR(M801=0,U801=1),0,IF(T801="GST on Income",ROUND(K801*0.1,2),ROUND(-K801*0.1,2)))</f>
        <v>0</v>
      </c>
    </row>
    <row r="802">
      <c r="A802" t="inlineStr">
        <is>
          <t>INV-5404-1</t>
        </is>
      </c>
      <c r="B802" t="inlineStr">
        <is>
          <t>INV-5404</t>
        </is>
      </c>
      <c r="C802" s="11" t="n">
        <v>45967</v>
      </c>
      <c r="D802" t="inlineStr">
        <is>
          <t>2025-11</t>
        </is>
      </c>
      <c r="E802" t="inlineStr">
        <is>
          <t>C0045</t>
        </is>
      </c>
      <c r="F802" t="inlineStr">
        <is>
          <t>C0045</t>
        </is>
      </c>
      <c r="G802" t="inlineStr">
        <is>
          <t>Westside Owners Corporation Services Pty Ltd</t>
        </is>
      </c>
      <c r="H802" t="inlineStr">
        <is>
          <t>S0284</t>
        </is>
      </c>
      <c r="I802" t="inlineStr">
        <is>
          <t>Scaffold tower hire 3 wks (22/10/25-05/11/25) - 6 towers</t>
        </is>
      </c>
      <c r="J802" t="n">
        <v>18</v>
      </c>
      <c r="K802" s="9" t="n">
        <v>1710</v>
      </c>
      <c r="L802" t="inlineStr">
        <is>
          <t>PAID</t>
        </is>
      </c>
      <c r="M802">
        <f>IF(L802="VOIDED",0,1)</f>
        <v>1</v>
      </c>
      <c r="N802" t="n">
        <v>200</v>
      </c>
      <c r="O802" t="inlineStr">
        <is>
          <t>GST on Income</t>
        </is>
      </c>
      <c r="P802" t="inlineStr">
        <is>
          <t>R05</t>
        </is>
      </c>
      <c r="Q802" t="inlineStr">
        <is>
          <t>HIRE-ST</t>
        </is>
      </c>
      <c r="R802">
        <f>IF(OR(Q802="CONTEXT",Q802="REVIEW"),"",INDEX('Category Rules'!$D$5:$D$17,MATCH(P802,'Category Rules'!$A$5:$A$17,0)))</f>
        <v>4010</v>
      </c>
      <c r="S802" t="str">
        <f>IF(Q802="CONTEXT","Scaffolding",IF(Q802="REVIEW","",INDEX('Category Rules'!$E$5:$E$17,MATCH(P802,'Category Rules'!$A$5:$A$17,0))))</f>
        <v>Scaffolding</v>
      </c>
      <c r="T802" t="str">
        <f>IF(Q802="DEP","BAS Excluded","GST on Income")</f>
        <v>GST on Income</v>
      </c>
      <c r="U802">
        <f>IF(O802=T802,1,0)</f>
        <v>1</v>
      </c>
      <c r="V802" s="9">
        <f>IF(OR(M802=0,U802=1),0,IF(T802="GST on Income",ROUND(K802*0.1,2),ROUND(-K802*0.1,2)))</f>
        <v>0</v>
      </c>
    </row>
    <row r="803">
      <c r="A803" t="inlineStr">
        <is>
          <t>INV-5406-1</t>
        </is>
      </c>
      <c r="B803" t="inlineStr">
        <is>
          <t>INV-5406</t>
        </is>
      </c>
      <c r="C803" s="11" t="n">
        <v>45967</v>
      </c>
      <c r="D803" t="inlineStr">
        <is>
          <t>2025-11</t>
        </is>
      </c>
      <c r="E803" t="inlineStr">
        <is>
          <t>C0045</t>
        </is>
      </c>
      <c r="F803" t="inlineStr">
        <is>
          <t>C0045</t>
        </is>
      </c>
      <c r="G803" t="inlineStr">
        <is>
          <t>Westside Owners Corporation Services Pty Ltd</t>
        </is>
      </c>
      <c r="H803" t="inlineStr">
        <is>
          <t>S0284</t>
        </is>
      </c>
      <c r="I803" t="inlineStr">
        <is>
          <t>Scaffold dismantle - 6 tower(s)</t>
        </is>
      </c>
      <c r="J803" t="n">
        <v>6</v>
      </c>
      <c r="K803" s="9" t="n">
        <v>1920</v>
      </c>
      <c r="L803" t="inlineStr">
        <is>
          <t>PAID</t>
        </is>
      </c>
      <c r="M803">
        <f>IF(L803="VOIDED",0,1)</f>
        <v>1</v>
      </c>
      <c r="N803" t="n">
        <v>200</v>
      </c>
      <c r="O803" t="inlineStr">
        <is>
          <t>GST on Income</t>
        </is>
      </c>
      <c r="P803" t="inlineStr">
        <is>
          <t>R08</t>
        </is>
      </c>
      <c r="Q803" t="inlineStr">
        <is>
          <t>LAB-ST</t>
        </is>
      </c>
      <c r="R803">
        <f>IF(OR(Q803="CONTEXT",Q803="REVIEW"),"",INDEX('Category Rules'!$D$5:$D$17,MATCH(P803,'Category Rules'!$A$5:$A$17,0)))</f>
        <v>4020</v>
      </c>
      <c r="S803" t="str">
        <f>IF(Q803="CONTEXT","Scaffolding",IF(Q803="REVIEW","",INDEX('Category Rules'!$E$5:$E$17,MATCH(P803,'Category Rules'!$A$5:$A$17,0))))</f>
        <v>Scaffolding</v>
      </c>
      <c r="T803" t="str">
        <f>IF(Q803="DEP","BAS Excluded","GST on Income")</f>
        <v>GST on Income</v>
      </c>
      <c r="U803">
        <f>IF(O803=T803,1,0)</f>
        <v>1</v>
      </c>
      <c r="V803" s="9">
        <f>IF(OR(M803=0,U803=1),0,IF(T803="GST on Income",ROUND(K803*0.1,2),ROUND(-K803*0.1,2)))</f>
        <v>0</v>
      </c>
    </row>
    <row r="804">
      <c r="A804" t="inlineStr">
        <is>
          <t>INV-5613-1</t>
        </is>
      </c>
      <c r="B804" t="inlineStr">
        <is>
          <t>INV-5613</t>
        </is>
      </c>
      <c r="C804" s="11" t="n">
        <v>45967</v>
      </c>
      <c r="D804" t="inlineStr">
        <is>
          <t>2025-11</t>
        </is>
      </c>
      <c r="E804" t="inlineStr">
        <is>
          <t>C0087</t>
        </is>
      </c>
      <c r="F804" t="inlineStr">
        <is>
          <t>C0087</t>
        </is>
      </c>
      <c r="G804" t="inlineStr">
        <is>
          <t>Amelia Brown</t>
        </is>
      </c>
      <c r="H804" t="inlineStr">
        <is>
          <t>S0386</t>
        </is>
      </c>
      <c r="I804" t="inlineStr">
        <is>
          <t>Emergency make safe call-out - after hours</t>
        </is>
      </c>
      <c r="J804" t="n">
        <v>1</v>
      </c>
      <c r="K804" s="9" t="n">
        <v>560</v>
      </c>
      <c r="L804" t="inlineStr">
        <is>
          <t>PAID</t>
        </is>
      </c>
      <c r="M804">
        <f>IF(L804="VOIDED",0,1)</f>
        <v>1</v>
      </c>
      <c r="N804" t="n">
        <v>200</v>
      </c>
      <c r="O804" t="inlineStr">
        <is>
          <t>GST on Income</t>
        </is>
      </c>
      <c r="P804" t="inlineStr">
        <is>
          <t>R09</t>
        </is>
      </c>
      <c r="Q804" t="inlineStr">
        <is>
          <t>MS</t>
        </is>
      </c>
      <c r="R804">
        <f>IF(OR(Q804="CONTEXT",Q804="REVIEW"),"",INDEX('Category Rules'!$D$5:$D$17,MATCH(P804,'Category Rules'!$A$5:$A$17,0)))</f>
        <v>4020</v>
      </c>
      <c r="S804" t="str">
        <f>IF(Q804="CONTEXT","Make-safe",IF(Q804="REVIEW","",INDEX('Category Rules'!$E$5:$E$17,MATCH(P804,'Category Rules'!$A$5:$A$17,0))))</f>
        <v>Make-safe</v>
      </c>
      <c r="T804" t="str">
        <f>IF(Q804="DEP","BAS Excluded","GST on Income")</f>
        <v>GST on Income</v>
      </c>
      <c r="U804">
        <f>IF(O804=T804,1,0)</f>
        <v>1</v>
      </c>
      <c r="V804" s="9">
        <f>IF(OR(M804=0,U804=1),0,IF(T804="GST on Income",ROUND(K804*0.1,2),ROUND(-K804*0.1,2)))</f>
        <v>0</v>
      </c>
    </row>
    <row r="805">
      <c r="A805" t="inlineStr">
        <is>
          <t>INV-5613-2</t>
        </is>
      </c>
      <c r="B805" t="inlineStr">
        <is>
          <t>INV-5613</t>
        </is>
      </c>
      <c r="C805" s="11" t="n">
        <v>45967</v>
      </c>
      <c r="D805" t="inlineStr">
        <is>
          <t>2025-11</t>
        </is>
      </c>
      <c r="E805" t="inlineStr">
        <is>
          <t>C0087</t>
        </is>
      </c>
      <c r="F805" t="inlineStr">
        <is>
          <t>C0087</t>
        </is>
      </c>
      <c r="G805" t="inlineStr">
        <is>
          <t>Amelia Brown</t>
        </is>
      </c>
      <c r="H805" t="inlineStr">
        <is>
          <t>S0386</t>
        </is>
      </c>
      <c r="I805" t="inlineStr">
        <is>
          <t>Tarp supply and install - 1 tarp(s)</t>
        </is>
      </c>
      <c r="J805" t="n">
        <v>1</v>
      </c>
      <c r="K805" s="9" t="n">
        <v>240</v>
      </c>
      <c r="L805" t="inlineStr">
        <is>
          <t>PAID</t>
        </is>
      </c>
      <c r="M805">
        <f>IF(L805="VOIDED",0,1)</f>
        <v>1</v>
      </c>
      <c r="N805" t="n">
        <v>200</v>
      </c>
      <c r="O805" t="inlineStr">
        <is>
          <t>GST on Income</t>
        </is>
      </c>
      <c r="P805" t="inlineStr">
        <is>
          <t>R09</t>
        </is>
      </c>
      <c r="Q805" t="inlineStr">
        <is>
          <t>MS</t>
        </is>
      </c>
      <c r="R805">
        <f>IF(OR(Q805="CONTEXT",Q805="REVIEW"),"",INDEX('Category Rules'!$D$5:$D$17,MATCH(P805,'Category Rules'!$A$5:$A$17,0)))</f>
        <v>4020</v>
      </c>
      <c r="S805" t="str">
        <f>IF(Q805="CONTEXT","Make-safe",IF(Q805="REVIEW","",INDEX('Category Rules'!$E$5:$E$17,MATCH(P805,'Category Rules'!$A$5:$A$17,0))))</f>
        <v>Make-safe</v>
      </c>
      <c r="T805" t="str">
        <f>IF(Q805="DEP","BAS Excluded","GST on Income")</f>
        <v>GST on Income</v>
      </c>
      <c r="U805">
        <f>IF(O805=T805,1,0)</f>
        <v>1</v>
      </c>
      <c r="V805" s="9">
        <f>IF(OR(M805=0,U805=1),0,IF(T805="GST on Income",ROUND(K805*0.1,2),ROUND(-K805*0.1,2)))</f>
        <v>0</v>
      </c>
    </row>
    <row r="806">
      <c r="A806" t="inlineStr">
        <is>
          <t>INV-4888-1</t>
        </is>
      </c>
      <c r="B806" t="inlineStr">
        <is>
          <t>INV-4888</t>
        </is>
      </c>
      <c r="C806" s="11" t="n">
        <v>45969</v>
      </c>
      <c r="D806" t="inlineStr">
        <is>
          <t>2025-11</t>
        </is>
      </c>
      <c r="E806" t="inlineStr">
        <is>
          <t>C0119</t>
        </is>
      </c>
      <c r="F806" t="inlineStr">
        <is>
          <t>C0119</t>
        </is>
      </c>
      <c r="G806" t="inlineStr">
        <is>
          <t>Northgate Builders Pty Ltd</t>
        </is>
      </c>
      <c r="H806" t="inlineStr">
        <is>
          <t>S0165</t>
        </is>
      </c>
      <c r="I806" t="inlineStr">
        <is>
          <t>Delivery and installation - temporary fencing</t>
        </is>
      </c>
      <c r="J806" t="n">
        <v>1</v>
      </c>
      <c r="K806" s="9" t="n">
        <v>165</v>
      </c>
      <c r="L806" t="inlineStr">
        <is>
          <t>PAID</t>
        </is>
      </c>
      <c r="M806">
        <f>IF(L806="VOIDED",0,1)</f>
        <v>1</v>
      </c>
      <c r="N806" t="n">
        <v>200</v>
      </c>
      <c r="O806" t="inlineStr">
        <is>
          <t>GST on Income</t>
        </is>
      </c>
      <c r="P806" t="inlineStr">
        <is>
          <t>R07</t>
        </is>
      </c>
      <c r="Q806" t="inlineStr">
        <is>
          <t>DEL-FP</t>
        </is>
      </c>
      <c r="R806">
        <f>IF(OR(Q806="CONTEXT",Q806="REVIEW"),"",INDEX('Category Rules'!$D$5:$D$17,MATCH(P806,'Category Rules'!$A$5:$A$17,0)))</f>
        <v>4020</v>
      </c>
      <c r="S806" t="str">
        <f>IF(Q806="CONTEXT","Fencing",IF(Q806="REVIEW","",INDEX('Category Rules'!$E$5:$E$17,MATCH(P806,'Category Rules'!$A$5:$A$17,0))))</f>
        <v>Fencing</v>
      </c>
      <c r="T806" t="str">
        <f>IF(Q806="DEP","BAS Excluded","GST on Income")</f>
        <v>GST on Income</v>
      </c>
      <c r="U806">
        <f>IF(O806=T806,1,0)</f>
        <v>1</v>
      </c>
      <c r="V806" s="9">
        <f>IF(OR(M806=0,U806=1),0,IF(T806="GST on Income",ROUND(K806*0.1,2),ROUND(-K806*0.1,2)))</f>
        <v>0</v>
      </c>
    </row>
    <row r="807">
      <c r="A807" t="inlineStr">
        <is>
          <t>INV-4888-2</t>
        </is>
      </c>
      <c r="B807" t="inlineStr">
        <is>
          <t>INV-4888</t>
        </is>
      </c>
      <c r="C807" s="11" t="n">
        <v>45969</v>
      </c>
      <c r="D807" t="inlineStr">
        <is>
          <t>2025-11</t>
        </is>
      </c>
      <c r="E807" t="inlineStr">
        <is>
          <t>C0119</t>
        </is>
      </c>
      <c r="F807" t="inlineStr">
        <is>
          <t>C0119</t>
        </is>
      </c>
      <c r="G807" t="inlineStr">
        <is>
          <t>Northgate Builders Pty Ltd</t>
        </is>
      </c>
      <c r="H807" t="inlineStr">
        <is>
          <t>S0165</t>
        </is>
      </c>
      <c r="I807" t="inlineStr">
        <is>
          <t>Installation labour - 140 panels @ 2.20</t>
        </is>
      </c>
      <c r="J807" t="n">
        <v>140</v>
      </c>
      <c r="K807" s="9" t="n">
        <v>308</v>
      </c>
      <c r="L807" t="inlineStr">
        <is>
          <t>PAID</t>
        </is>
      </c>
      <c r="M807">
        <f>IF(L807="VOIDED",0,1)</f>
        <v>1</v>
      </c>
      <c r="N807" t="n">
        <v>200</v>
      </c>
      <c r="O807" t="inlineStr">
        <is>
          <t>GST on Income</t>
        </is>
      </c>
      <c r="P807" t="inlineStr">
        <is>
          <t>R07</t>
        </is>
      </c>
      <c r="Q807" t="inlineStr">
        <is>
          <t>DEL-FP</t>
        </is>
      </c>
      <c r="R807">
        <f>IF(OR(Q807="CONTEXT",Q807="REVIEW"),"",INDEX('Category Rules'!$D$5:$D$17,MATCH(P807,'Category Rules'!$A$5:$A$17,0)))</f>
        <v>4020</v>
      </c>
      <c r="S807" t="str">
        <f>IF(Q807="CONTEXT","Fencing",IF(Q807="REVIEW","",INDEX('Category Rules'!$E$5:$E$17,MATCH(P807,'Category Rules'!$A$5:$A$17,0))))</f>
        <v>Fencing</v>
      </c>
      <c r="T807" t="str">
        <f>IF(Q807="DEP","BAS Excluded","GST on Income")</f>
        <v>GST on Income</v>
      </c>
      <c r="U807">
        <f>IF(O807=T807,1,0)</f>
        <v>1</v>
      </c>
      <c r="V807" s="9">
        <f>IF(OR(M807=0,U807=1),0,IF(T807="GST on Income",ROUND(K807*0.1,2),ROUND(-K807*0.1,2)))</f>
        <v>0</v>
      </c>
    </row>
    <row r="808">
      <c r="A808" t="inlineStr">
        <is>
          <t>INV-4949-1</t>
        </is>
      </c>
      <c r="B808" t="inlineStr">
        <is>
          <t>INV-4949</t>
        </is>
      </c>
      <c r="C808" s="11" t="n">
        <v>45969</v>
      </c>
      <c r="D808" t="inlineStr">
        <is>
          <t>2025-11</t>
        </is>
      </c>
      <c r="E808" t="inlineStr">
        <is>
          <t>C0015</t>
        </is>
      </c>
      <c r="F808" t="inlineStr">
        <is>
          <t>C0015</t>
        </is>
      </c>
      <c r="G808" t="inlineStr">
        <is>
          <t>Bluegum Building Group</t>
        </is>
      </c>
      <c r="H808" t="inlineStr">
        <is>
          <t>S0180</t>
        </is>
      </c>
      <c r="I808" t="inlineStr">
        <is>
          <t>Delivery and installation - temporary fencing</t>
        </is>
      </c>
      <c r="J808" t="n">
        <v>1</v>
      </c>
      <c r="K808" s="9" t="n">
        <v>165</v>
      </c>
      <c r="L808" t="inlineStr">
        <is>
          <t>PAID</t>
        </is>
      </c>
      <c r="M808">
        <f>IF(L808="VOIDED",0,1)</f>
        <v>1</v>
      </c>
      <c r="N808" t="n">
        <v>260</v>
      </c>
      <c r="O808" t="inlineStr">
        <is>
          <t>GST on Income</t>
        </is>
      </c>
      <c r="P808" t="inlineStr">
        <is>
          <t>R07</t>
        </is>
      </c>
      <c r="Q808" t="inlineStr">
        <is>
          <t>DEL-FP</t>
        </is>
      </c>
      <c r="R808">
        <f>IF(OR(Q808="CONTEXT",Q808="REVIEW"),"",INDEX('Category Rules'!$D$5:$D$17,MATCH(P808,'Category Rules'!$A$5:$A$17,0)))</f>
        <v>4020</v>
      </c>
      <c r="S808" t="str">
        <f>IF(Q808="CONTEXT","Fencing",IF(Q808="REVIEW","",INDEX('Category Rules'!$E$5:$E$17,MATCH(P808,'Category Rules'!$A$5:$A$17,0))))</f>
        <v>Fencing</v>
      </c>
      <c r="T808" t="str">
        <f>IF(Q808="DEP","BAS Excluded","GST on Income")</f>
        <v>GST on Income</v>
      </c>
      <c r="U808">
        <f>IF(O808=T808,1,0)</f>
        <v>1</v>
      </c>
      <c r="V808" s="9">
        <f>IF(OR(M808=0,U808=1),0,IF(T808="GST on Income",ROUND(K808*0.1,2),ROUND(-K808*0.1,2)))</f>
        <v>0</v>
      </c>
    </row>
    <row r="809">
      <c r="A809" t="inlineStr">
        <is>
          <t>INV-4949-2</t>
        </is>
      </c>
      <c r="B809" t="inlineStr">
        <is>
          <t>INV-4949</t>
        </is>
      </c>
      <c r="C809" s="11" t="n">
        <v>45969</v>
      </c>
      <c r="D809" t="inlineStr">
        <is>
          <t>2025-11</t>
        </is>
      </c>
      <c r="E809" t="inlineStr">
        <is>
          <t>C0015</t>
        </is>
      </c>
      <c r="F809" t="inlineStr">
        <is>
          <t>C0015</t>
        </is>
      </c>
      <c r="G809" t="inlineStr">
        <is>
          <t>Bluegum Building Group</t>
        </is>
      </c>
      <c r="H809" t="inlineStr">
        <is>
          <t>S0180</t>
        </is>
      </c>
      <c r="I809" t="inlineStr">
        <is>
          <t>Installation labour - 34 panels @ 2.20</t>
        </is>
      </c>
      <c r="J809" t="n">
        <v>34</v>
      </c>
      <c r="K809" s="9" t="n">
        <v>74.8</v>
      </c>
      <c r="L809" t="inlineStr">
        <is>
          <t>PAID</t>
        </is>
      </c>
      <c r="M809">
        <f>IF(L809="VOIDED",0,1)</f>
        <v>1</v>
      </c>
      <c r="N809" t="n">
        <v>200</v>
      </c>
      <c r="O809" t="inlineStr">
        <is>
          <t>GST on Income</t>
        </is>
      </c>
      <c r="P809" t="inlineStr">
        <is>
          <t>R07</t>
        </is>
      </c>
      <c r="Q809" t="inlineStr">
        <is>
          <t>DEL-FP</t>
        </is>
      </c>
      <c r="R809">
        <f>IF(OR(Q809="CONTEXT",Q809="REVIEW"),"",INDEX('Category Rules'!$D$5:$D$17,MATCH(P809,'Category Rules'!$A$5:$A$17,0)))</f>
        <v>4020</v>
      </c>
      <c r="S809" t="str">
        <f>IF(Q809="CONTEXT","Fencing",IF(Q809="REVIEW","",INDEX('Category Rules'!$E$5:$E$17,MATCH(P809,'Category Rules'!$A$5:$A$17,0))))</f>
        <v>Fencing</v>
      </c>
      <c r="T809" t="str">
        <f>IF(Q809="DEP","BAS Excluded","GST on Income")</f>
        <v>GST on Income</v>
      </c>
      <c r="U809">
        <f>IF(O809=T809,1,0)</f>
        <v>1</v>
      </c>
      <c r="V809" s="9">
        <f>IF(OR(M809=0,U809=1),0,IF(T809="GST on Income",ROUND(K809*0.1,2),ROUND(-K809*0.1,2)))</f>
        <v>0</v>
      </c>
    </row>
    <row r="810">
      <c r="A810" t="inlineStr">
        <is>
          <t>INV-5003-1</t>
        </is>
      </c>
      <c r="B810" t="inlineStr">
        <is>
          <t>INV-5003</t>
        </is>
      </c>
      <c r="C810" s="11" t="n">
        <v>45969</v>
      </c>
      <c r="D810" t="inlineStr">
        <is>
          <t>2025-11</t>
        </is>
      </c>
      <c r="E810" t="inlineStr">
        <is>
          <t>C0022</t>
        </is>
      </c>
      <c r="F810" t="inlineStr">
        <is>
          <t>C0022</t>
        </is>
      </c>
      <c r="G810" t="inlineStr">
        <is>
          <t>Highpoint Projects</t>
        </is>
      </c>
      <c r="H810" t="inlineStr">
        <is>
          <t>S0195</t>
        </is>
      </c>
      <c r="I810" t="inlineStr">
        <is>
          <t>Delivery and installation - temporary fencing</t>
        </is>
      </c>
      <c r="J810" t="n">
        <v>1</v>
      </c>
      <c r="K810" s="9" t="n">
        <v>165</v>
      </c>
      <c r="L810" t="inlineStr">
        <is>
          <t>PAID</t>
        </is>
      </c>
      <c r="M810">
        <f>IF(L810="VOIDED",0,1)</f>
        <v>1</v>
      </c>
      <c r="N810" t="n">
        <v>200</v>
      </c>
      <c r="O810" t="inlineStr">
        <is>
          <t>GST on Income</t>
        </is>
      </c>
      <c r="P810" t="inlineStr">
        <is>
          <t>R07</t>
        </is>
      </c>
      <c r="Q810" t="inlineStr">
        <is>
          <t>DEL-FP</t>
        </is>
      </c>
      <c r="R810">
        <f>IF(OR(Q810="CONTEXT",Q810="REVIEW"),"",INDEX('Category Rules'!$D$5:$D$17,MATCH(P810,'Category Rules'!$A$5:$A$17,0)))</f>
        <v>4020</v>
      </c>
      <c r="S810" t="str">
        <f>IF(Q810="CONTEXT","Fencing",IF(Q810="REVIEW","",INDEX('Category Rules'!$E$5:$E$17,MATCH(P810,'Category Rules'!$A$5:$A$17,0))))</f>
        <v>Fencing</v>
      </c>
      <c r="T810" t="str">
        <f>IF(Q810="DEP","BAS Excluded","GST on Income")</f>
        <v>GST on Income</v>
      </c>
      <c r="U810">
        <f>IF(O810=T810,1,0)</f>
        <v>1</v>
      </c>
      <c r="V810" s="9">
        <f>IF(OR(M810=0,U810=1),0,IF(T810="GST on Income",ROUND(K810*0.1,2),ROUND(-K810*0.1,2)))</f>
        <v>0</v>
      </c>
    </row>
    <row r="811">
      <c r="A811" t="inlineStr">
        <is>
          <t>INV-5003-2</t>
        </is>
      </c>
      <c r="B811" t="inlineStr">
        <is>
          <t>INV-5003</t>
        </is>
      </c>
      <c r="C811" s="11" t="n">
        <v>45969</v>
      </c>
      <c r="D811" t="inlineStr">
        <is>
          <t>2025-11</t>
        </is>
      </c>
      <c r="E811" t="inlineStr">
        <is>
          <t>C0022</t>
        </is>
      </c>
      <c r="F811" t="inlineStr">
        <is>
          <t>C0022</t>
        </is>
      </c>
      <c r="G811" t="inlineStr">
        <is>
          <t>Highpoint Projects</t>
        </is>
      </c>
      <c r="H811" t="inlineStr">
        <is>
          <t>S0195</t>
        </is>
      </c>
      <c r="I811" t="inlineStr">
        <is>
          <t>Installation labour - 16 panels @ 2.20</t>
        </is>
      </c>
      <c r="J811" t="n">
        <v>16</v>
      </c>
      <c r="K811" s="9" t="n">
        <v>35.2</v>
      </c>
      <c r="L811" t="inlineStr">
        <is>
          <t>PAID</t>
        </is>
      </c>
      <c r="M811">
        <f>IF(L811="VOIDED",0,1)</f>
        <v>1</v>
      </c>
      <c r="N811" t="n">
        <v>200</v>
      </c>
      <c r="O811" t="inlineStr">
        <is>
          <t>GST on Income</t>
        </is>
      </c>
      <c r="P811" t="inlineStr">
        <is>
          <t>R07</t>
        </is>
      </c>
      <c r="Q811" t="inlineStr">
        <is>
          <t>DEL-FP</t>
        </is>
      </c>
      <c r="R811">
        <f>IF(OR(Q811="CONTEXT",Q811="REVIEW"),"",INDEX('Category Rules'!$D$5:$D$17,MATCH(P811,'Category Rules'!$A$5:$A$17,0)))</f>
        <v>4020</v>
      </c>
      <c r="S811" t="str">
        <f>IF(Q811="CONTEXT","Fencing",IF(Q811="REVIEW","",INDEX('Category Rules'!$E$5:$E$17,MATCH(P811,'Category Rules'!$A$5:$A$17,0))))</f>
        <v>Fencing</v>
      </c>
      <c r="T811" t="str">
        <f>IF(Q811="DEP","BAS Excluded","GST on Income")</f>
        <v>GST on Income</v>
      </c>
      <c r="U811">
        <f>IF(O811=T811,1,0)</f>
        <v>1</v>
      </c>
      <c r="V811" s="9">
        <f>IF(OR(M811=0,U811=1),0,IF(T811="GST on Income",ROUND(K811*0.1,2),ROUND(-K811*0.1,2)))</f>
        <v>0</v>
      </c>
    </row>
    <row r="812">
      <c r="A812" t="inlineStr">
        <is>
          <t>INV-5091-1</t>
        </is>
      </c>
      <c r="B812" t="inlineStr">
        <is>
          <t>INV-5091</t>
        </is>
      </c>
      <c r="C812" s="11" t="n">
        <v>45969</v>
      </c>
      <c r="D812" t="inlineStr">
        <is>
          <t>2025-11</t>
        </is>
      </c>
      <c r="E812" t="inlineStr">
        <is>
          <t>C0086</t>
        </is>
      </c>
      <c r="F812" t="inlineStr">
        <is>
          <t>C0086</t>
        </is>
      </c>
      <c r="G812" t="inlineStr">
        <is>
          <t>Mei Ali</t>
        </is>
      </c>
      <c r="H812" t="inlineStr">
        <is>
          <t>S0212</t>
        </is>
      </c>
      <c r="I812" t="inlineStr">
        <is>
          <t>Delivery and installation - temporary fencing</t>
        </is>
      </c>
      <c r="J812" t="n">
        <v>1</v>
      </c>
      <c r="K812" s="9" t="n">
        <v>165</v>
      </c>
      <c r="L812" t="inlineStr">
        <is>
          <t>PAID</t>
        </is>
      </c>
      <c r="M812">
        <f>IF(L812="VOIDED",0,1)</f>
        <v>1</v>
      </c>
      <c r="N812" t="n">
        <v>200</v>
      </c>
      <c r="O812" t="inlineStr">
        <is>
          <t>GST on Income</t>
        </is>
      </c>
      <c r="P812" t="inlineStr">
        <is>
          <t>R07</t>
        </is>
      </c>
      <c r="Q812" t="inlineStr">
        <is>
          <t>DEL-FP</t>
        </is>
      </c>
      <c r="R812">
        <f>IF(OR(Q812="CONTEXT",Q812="REVIEW"),"",INDEX('Category Rules'!$D$5:$D$17,MATCH(P812,'Category Rules'!$A$5:$A$17,0)))</f>
        <v>4020</v>
      </c>
      <c r="S812" t="str">
        <f>IF(Q812="CONTEXT","Fencing",IF(Q812="REVIEW","",INDEX('Category Rules'!$E$5:$E$17,MATCH(P812,'Category Rules'!$A$5:$A$17,0))))</f>
        <v>Fencing</v>
      </c>
      <c r="T812" t="str">
        <f>IF(Q812="DEP","BAS Excluded","GST on Income")</f>
        <v>GST on Income</v>
      </c>
      <c r="U812">
        <f>IF(O812=T812,1,0)</f>
        <v>1</v>
      </c>
      <c r="V812" s="9">
        <f>IF(OR(M812=0,U812=1),0,IF(T812="GST on Income",ROUND(K812*0.1,2),ROUND(-K812*0.1,2)))</f>
        <v>0</v>
      </c>
    </row>
    <row r="813">
      <c r="A813" t="inlineStr">
        <is>
          <t>INV-5091-2</t>
        </is>
      </c>
      <c r="B813" t="inlineStr">
        <is>
          <t>INV-5091</t>
        </is>
      </c>
      <c r="C813" s="11" t="n">
        <v>45969</v>
      </c>
      <c r="D813" t="inlineStr">
        <is>
          <t>2025-11</t>
        </is>
      </c>
      <c r="E813" t="inlineStr">
        <is>
          <t>C0086</t>
        </is>
      </c>
      <c r="F813" t="inlineStr">
        <is>
          <t>C0086</t>
        </is>
      </c>
      <c r="G813" t="inlineStr">
        <is>
          <t>Mei Ali</t>
        </is>
      </c>
      <c r="H813" t="inlineStr">
        <is>
          <t>S0212</t>
        </is>
      </c>
      <c r="I813" t="inlineStr">
        <is>
          <t>Installation labour - 93 panels @ 2.20</t>
        </is>
      </c>
      <c r="J813" t="n">
        <v>93</v>
      </c>
      <c r="K813" s="9" t="n">
        <v>204.6</v>
      </c>
      <c r="L813" t="inlineStr">
        <is>
          <t>PAID</t>
        </is>
      </c>
      <c r="M813">
        <f>IF(L813="VOIDED",0,1)</f>
        <v>1</v>
      </c>
      <c r="N813" t="n">
        <v>200</v>
      </c>
      <c r="O813" t="inlineStr">
        <is>
          <t>GST on Income</t>
        </is>
      </c>
      <c r="P813" t="inlineStr">
        <is>
          <t>R07</t>
        </is>
      </c>
      <c r="Q813" t="inlineStr">
        <is>
          <t>DEL-FP</t>
        </is>
      </c>
      <c r="R813">
        <f>IF(OR(Q813="CONTEXT",Q813="REVIEW"),"",INDEX('Category Rules'!$D$5:$D$17,MATCH(P813,'Category Rules'!$A$5:$A$17,0)))</f>
        <v>4020</v>
      </c>
      <c r="S813" t="str">
        <f>IF(Q813="CONTEXT","Fencing",IF(Q813="REVIEW","",INDEX('Category Rules'!$E$5:$E$17,MATCH(P813,'Category Rules'!$A$5:$A$17,0))))</f>
        <v>Fencing</v>
      </c>
      <c r="T813" t="str">
        <f>IF(Q813="DEP","BAS Excluded","GST on Income")</f>
        <v>GST on Income</v>
      </c>
      <c r="U813">
        <f>IF(O813=T813,1,0)</f>
        <v>1</v>
      </c>
      <c r="V813" s="9">
        <f>IF(OR(M813=0,U813=1),0,IF(T813="GST on Income",ROUND(K813*0.1,2),ROUND(-K813*0.1,2)))</f>
        <v>0</v>
      </c>
    </row>
    <row r="814">
      <c r="A814" t="inlineStr">
        <is>
          <t>INV-5091-3</t>
        </is>
      </c>
      <c r="B814" t="inlineStr">
        <is>
          <t>INV-5091</t>
        </is>
      </c>
      <c r="C814" s="11" t="n">
        <v>45969</v>
      </c>
      <c r="D814" t="inlineStr">
        <is>
          <t>2025-11</t>
        </is>
      </c>
      <c r="E814" t="inlineStr">
        <is>
          <t>C0086</t>
        </is>
      </c>
      <c r="F814" t="inlineStr">
        <is>
          <t>C0086</t>
        </is>
      </c>
      <c r="G814" t="inlineStr">
        <is>
          <t>Mei Ali</t>
        </is>
      </c>
      <c r="H814" t="inlineStr">
        <is>
          <t>S0212</t>
        </is>
      </c>
      <c r="I814" t="inlineStr">
        <is>
          <t>Security deposit - fence panels (refundable)</t>
        </is>
      </c>
      <c r="J814" t="n">
        <v>1</v>
      </c>
      <c r="K814" s="9" t="n">
        <v>740</v>
      </c>
      <c r="L814" t="inlineStr">
        <is>
          <t>PAID</t>
        </is>
      </c>
      <c r="M814">
        <f>IF(L814="VOIDED",0,1)</f>
        <v>1</v>
      </c>
      <c r="N814" t="n">
        <v>200</v>
      </c>
      <c r="O814" t="inlineStr">
        <is>
          <t>GST on Income</t>
        </is>
      </c>
      <c r="P814" t="inlineStr">
        <is>
          <t>R01</t>
        </is>
      </c>
      <c r="Q814" t="inlineStr">
        <is>
          <t>DEP</t>
        </is>
      </c>
      <c r="R814">
        <f>IF(OR(Q814="CONTEXT",Q814="REVIEW"),"",INDEX('Category Rules'!$D$5:$D$17,MATCH(P814,'Category Rules'!$A$5:$A$17,0)))</f>
        <v>835</v>
      </c>
      <c r="S814" t="str">
        <f>IF(Q814="CONTEXT","Fencing",IF(Q814="REVIEW","",INDEX('Category Rules'!$E$5:$E$17,MATCH(P814,'Category Rules'!$A$5:$A$17,0))))</f>
        <v>Fencing</v>
      </c>
      <c r="T814" t="str">
        <f>IF(Q814="DEP","BAS Excluded","GST on Income")</f>
        <v>BAS Excluded</v>
      </c>
      <c r="U814">
        <f>IF(O814=T814,1,0)</f>
        <v>0</v>
      </c>
      <c r="V814" s="9">
        <f>IF(OR(M814=0,U814=1),0,IF(T814="GST on Income",ROUND(K814*0.1,2),ROUND(-K814*0.1,2)))</f>
        <v>-74</v>
      </c>
    </row>
    <row r="815">
      <c r="A815" t="inlineStr">
        <is>
          <t>INV-5486-1</t>
        </is>
      </c>
      <c r="B815" t="inlineStr">
        <is>
          <t>INV-5486</t>
        </is>
      </c>
      <c r="C815" s="11" t="n">
        <v>45969</v>
      </c>
      <c r="D815" t="inlineStr">
        <is>
          <t>2025-11</t>
        </is>
      </c>
      <c r="E815" t="inlineStr">
        <is>
          <t>C0038</t>
        </is>
      </c>
      <c r="F815" t="inlineStr">
        <is>
          <t>C0038</t>
        </is>
      </c>
      <c r="G815" t="inlineStr">
        <is>
          <t>Cobalt Constructions Pty Ltd</t>
        </is>
      </c>
      <c r="H815" t="inlineStr">
        <is>
          <t>S0319</t>
        </is>
      </c>
      <c r="I815" t="inlineStr">
        <is>
          <t>Roof repair labour - 6 hrs</t>
        </is>
      </c>
      <c r="J815" t="n">
        <v>6</v>
      </c>
      <c r="K815" s="9" t="n">
        <v>588</v>
      </c>
      <c r="L815" t="inlineStr">
        <is>
          <t>PAID</t>
        </is>
      </c>
      <c r="M815">
        <f>IF(L815="VOIDED",0,1)</f>
        <v>1</v>
      </c>
      <c r="N815" t="n">
        <v>200</v>
      </c>
      <c r="O815" t="inlineStr">
        <is>
          <t>GST on Income</t>
        </is>
      </c>
      <c r="P815" t="inlineStr">
        <is>
          <t>R10</t>
        </is>
      </c>
      <c r="Q815" t="inlineStr">
        <is>
          <t>LAB-RF</t>
        </is>
      </c>
      <c r="R815">
        <f>IF(OR(Q815="CONTEXT",Q815="REVIEW"),"",INDEX('Category Rules'!$D$5:$D$17,MATCH(P815,'Category Rules'!$A$5:$A$17,0)))</f>
        <v>4020</v>
      </c>
      <c r="S815" t="str">
        <f>IF(Q815="CONTEXT","Roofing",IF(Q815="REVIEW","",INDEX('Category Rules'!$E$5:$E$17,MATCH(P815,'Category Rules'!$A$5:$A$17,0))))</f>
        <v>Roofing</v>
      </c>
      <c r="T815" t="str">
        <f>IF(Q815="DEP","BAS Excluded","GST on Income")</f>
        <v>GST on Income</v>
      </c>
      <c r="U815">
        <f>IF(O815=T815,1,0)</f>
        <v>1</v>
      </c>
      <c r="V815" s="9">
        <f>IF(OR(M815=0,U815=1),0,IF(T815="GST on Income",ROUND(K815*0.1,2),ROUND(-K815*0.1,2)))</f>
        <v>0</v>
      </c>
    </row>
    <row r="816">
      <c r="A816" t="inlineStr">
        <is>
          <t>INV-5486-2</t>
        </is>
      </c>
      <c r="B816" t="inlineStr">
        <is>
          <t>INV-5486</t>
        </is>
      </c>
      <c r="C816" s="11" t="n">
        <v>45969</v>
      </c>
      <c r="D816" t="inlineStr">
        <is>
          <t>2025-11</t>
        </is>
      </c>
      <c r="E816" t="inlineStr">
        <is>
          <t>C0038</t>
        </is>
      </c>
      <c r="F816" t="inlineStr">
        <is>
          <t>C0038</t>
        </is>
      </c>
      <c r="G816" t="inlineStr">
        <is>
          <t>Cobalt Constructions Pty Ltd</t>
        </is>
      </c>
      <c r="H816" t="inlineStr">
        <is>
          <t>S0319</t>
        </is>
      </c>
      <c r="I816" t="inlineStr">
        <is>
          <t>Materials - roof tiles (matched)</t>
        </is>
      </c>
      <c r="J816" t="n">
        <v>1</v>
      </c>
      <c r="K816" s="9" t="n">
        <v>994.11</v>
      </c>
      <c r="L816" t="inlineStr">
        <is>
          <t>PAID</t>
        </is>
      </c>
      <c r="M816">
        <f>IF(L816="VOIDED",0,1)</f>
        <v>1</v>
      </c>
      <c r="N816" t="n">
        <v>200</v>
      </c>
      <c r="O816" t="inlineStr">
        <is>
          <t>GST on Income</t>
        </is>
      </c>
      <c r="P816" t="inlineStr">
        <is>
          <t>R11</t>
        </is>
      </c>
      <c r="Q816" t="inlineStr">
        <is>
          <t>MAT-RF</t>
        </is>
      </c>
      <c r="R816">
        <f>IF(OR(Q816="CONTEXT",Q816="REVIEW"),"",INDEX('Category Rules'!$D$5:$D$17,MATCH(P816,'Category Rules'!$A$5:$A$17,0)))</f>
        <v>4030</v>
      </c>
      <c r="S816" t="str">
        <f>IF(Q816="CONTEXT","Roofing",IF(Q816="REVIEW","",INDEX('Category Rules'!$E$5:$E$17,MATCH(P816,'Category Rules'!$A$5:$A$17,0))))</f>
        <v>Roofing</v>
      </c>
      <c r="T816" t="str">
        <f>IF(Q816="DEP","BAS Excluded","GST on Income")</f>
        <v>GST on Income</v>
      </c>
      <c r="U816">
        <f>IF(O816=T816,1,0)</f>
        <v>1</v>
      </c>
      <c r="V816" s="9">
        <f>IF(OR(M816=0,U816=1),0,IF(T816="GST on Income",ROUND(K816*0.1,2),ROUND(-K816*0.1,2)))</f>
        <v>0</v>
      </c>
    </row>
    <row r="817">
      <c r="A817" t="inlineStr">
        <is>
          <t>INV-5486-3</t>
        </is>
      </c>
      <c r="B817" t="inlineStr">
        <is>
          <t>INV-5486</t>
        </is>
      </c>
      <c r="C817" s="11" t="n">
        <v>45969</v>
      </c>
      <c r="D817" t="inlineStr">
        <is>
          <t>2025-11</t>
        </is>
      </c>
      <c r="E817" t="inlineStr">
        <is>
          <t>C0038</t>
        </is>
      </c>
      <c r="F817" t="inlineStr">
        <is>
          <t>C0038</t>
        </is>
      </c>
      <c r="G817" t="inlineStr">
        <is>
          <t>Cobalt Constructions Pty Ltd</t>
        </is>
      </c>
      <c r="H817" t="inlineStr">
        <is>
          <t>S0319</t>
        </is>
      </c>
      <c r="I817" t="inlineStr">
        <is>
          <t>Materials - sealant and fixings</t>
        </is>
      </c>
      <c r="J817" t="n">
        <v>1</v>
      </c>
      <c r="K817" s="9" t="n">
        <v>339.54</v>
      </c>
      <c r="L817" t="inlineStr">
        <is>
          <t>PAID</t>
        </is>
      </c>
      <c r="M817">
        <f>IF(L817="VOIDED",0,1)</f>
        <v>1</v>
      </c>
      <c r="N817" t="n">
        <v>200</v>
      </c>
      <c r="O817" t="inlineStr">
        <is>
          <t>GST on Income</t>
        </is>
      </c>
      <c r="P817" t="inlineStr">
        <is>
          <t>R11</t>
        </is>
      </c>
      <c r="Q817" t="inlineStr">
        <is>
          <t>MAT-RF</t>
        </is>
      </c>
      <c r="R817">
        <f>IF(OR(Q817="CONTEXT",Q817="REVIEW"),"",INDEX('Category Rules'!$D$5:$D$17,MATCH(P817,'Category Rules'!$A$5:$A$17,0)))</f>
        <v>4030</v>
      </c>
      <c r="S817" t="str">
        <f>IF(Q817="CONTEXT","Roofing",IF(Q817="REVIEW","",INDEX('Category Rules'!$E$5:$E$17,MATCH(P817,'Category Rules'!$A$5:$A$17,0))))</f>
        <v>Roofing</v>
      </c>
      <c r="T817" t="str">
        <f>IF(Q817="DEP","BAS Excluded","GST on Income")</f>
        <v>GST on Income</v>
      </c>
      <c r="U817">
        <f>IF(O817=T817,1,0)</f>
        <v>1</v>
      </c>
      <c r="V817" s="9">
        <f>IF(OR(M817=0,U817=1),0,IF(T817="GST on Income",ROUND(K817*0.1,2),ROUND(-K817*0.1,2)))</f>
        <v>0</v>
      </c>
    </row>
    <row r="818">
      <c r="A818" t="inlineStr">
        <is>
          <t>INV-4723-1</t>
        </is>
      </c>
      <c r="B818" t="inlineStr">
        <is>
          <t>INV-4723</t>
        </is>
      </c>
      <c r="C818" s="11" t="n">
        <v>45970</v>
      </c>
      <c r="D818" t="inlineStr">
        <is>
          <t>2025-11</t>
        </is>
      </c>
      <c r="E818" t="inlineStr">
        <is>
          <t>C0116</t>
        </is>
      </c>
      <c r="F818" t="inlineStr">
        <is>
          <t>C0116</t>
        </is>
      </c>
      <c r="G818" t="inlineStr">
        <is>
          <t>Lucas Patel</t>
        </is>
      </c>
      <c r="H818" t="inlineStr">
        <is>
          <t>S0130</t>
        </is>
      </c>
      <c r="I818" t="inlineStr">
        <is>
          <t>Temporary fence hire 4 wks (13/10/25-08/11/25) - 106 panels</t>
        </is>
      </c>
      <c r="J818" t="n">
        <v>424</v>
      </c>
      <c r="K818" s="9" t="n">
        <v>1908</v>
      </c>
      <c r="L818" t="inlineStr">
        <is>
          <t>PAID</t>
        </is>
      </c>
      <c r="M818">
        <f>IF(L818="VOIDED",0,1)</f>
        <v>1</v>
      </c>
      <c r="N818" t="n">
        <v>200</v>
      </c>
      <c r="O818" t="inlineStr">
        <is>
          <t>GST on Income</t>
        </is>
      </c>
      <c r="P818" t="inlineStr">
        <is>
          <t>R03</t>
        </is>
      </c>
      <c r="Q818" t="inlineStr">
        <is>
          <t>HIRE-FP</t>
        </is>
      </c>
      <c r="R818">
        <f>IF(OR(Q818="CONTEXT",Q818="REVIEW"),"",INDEX('Category Rules'!$D$5:$D$17,MATCH(P818,'Category Rules'!$A$5:$A$17,0)))</f>
        <v>4010</v>
      </c>
      <c r="S818" t="str">
        <f>IF(Q818="CONTEXT","Fencing",IF(Q818="REVIEW","",INDEX('Category Rules'!$E$5:$E$17,MATCH(P818,'Category Rules'!$A$5:$A$17,0))))</f>
        <v>Fencing</v>
      </c>
      <c r="T818" t="str">
        <f>IF(Q818="DEP","BAS Excluded","GST on Income")</f>
        <v>GST on Income</v>
      </c>
      <c r="U818">
        <f>IF(O818=T818,1,0)</f>
        <v>1</v>
      </c>
      <c r="V818" s="9">
        <f>IF(OR(M818=0,U818=1),0,IF(T818="GST on Income",ROUND(K818*0.1,2),ROUND(-K818*0.1,2)))</f>
        <v>0</v>
      </c>
    </row>
    <row r="819">
      <c r="A819" t="inlineStr">
        <is>
          <t>INV-4725-1</t>
        </is>
      </c>
      <c r="B819" t="inlineStr">
        <is>
          <t>INV-4725</t>
        </is>
      </c>
      <c r="C819" s="11" t="n">
        <v>45970</v>
      </c>
      <c r="D819" t="inlineStr">
        <is>
          <t>2025-11</t>
        </is>
      </c>
      <c r="E819" t="inlineStr">
        <is>
          <t>C0116</t>
        </is>
      </c>
      <c r="F819" t="inlineStr">
        <is>
          <t>C0116</t>
        </is>
      </c>
      <c r="G819" t="inlineStr">
        <is>
          <t>Lucas Patel</t>
        </is>
      </c>
      <c r="H819" t="inlineStr">
        <is>
          <t>S0130</t>
        </is>
      </c>
      <c r="I819" t="inlineStr">
        <is>
          <t>Collection and dismantle - temporary fencing</t>
        </is>
      </c>
      <c r="J819" t="n">
        <v>1</v>
      </c>
      <c r="K819" s="9" t="n">
        <v>165</v>
      </c>
      <c r="L819" t="inlineStr">
        <is>
          <t>PAID</t>
        </is>
      </c>
      <c r="M819">
        <f>IF(L819="VOIDED",0,1)</f>
        <v>1</v>
      </c>
      <c r="N819" t="n">
        <v>200</v>
      </c>
      <c r="O819" t="inlineStr">
        <is>
          <t>GST on Income</t>
        </is>
      </c>
      <c r="P819" t="inlineStr">
        <is>
          <t>R07</t>
        </is>
      </c>
      <c r="Q819" t="inlineStr">
        <is>
          <t>DEL-FP</t>
        </is>
      </c>
      <c r="R819">
        <f>IF(OR(Q819="CONTEXT",Q819="REVIEW"),"",INDEX('Category Rules'!$D$5:$D$17,MATCH(P819,'Category Rules'!$A$5:$A$17,0)))</f>
        <v>4020</v>
      </c>
      <c r="S819" t="str">
        <f>IF(Q819="CONTEXT","Fencing",IF(Q819="REVIEW","",INDEX('Category Rules'!$E$5:$E$17,MATCH(P819,'Category Rules'!$A$5:$A$17,0))))</f>
        <v>Fencing</v>
      </c>
      <c r="T819" t="str">
        <f>IF(Q819="DEP","BAS Excluded","GST on Income")</f>
        <v>GST on Income</v>
      </c>
      <c r="U819">
        <f>IF(O819=T819,1,0)</f>
        <v>1</v>
      </c>
      <c r="V819" s="9">
        <f>IF(OR(M819=0,U819=1),0,IF(T819="GST on Income",ROUND(K819*0.1,2),ROUND(-K819*0.1,2)))</f>
        <v>0</v>
      </c>
    </row>
    <row r="820">
      <c r="A820" t="inlineStr">
        <is>
          <t>INV-5535-1</t>
        </is>
      </c>
      <c r="B820" t="inlineStr">
        <is>
          <t>INV-5535</t>
        </is>
      </c>
      <c r="C820" s="11" t="n">
        <v>45970</v>
      </c>
      <c r="D820" t="inlineStr">
        <is>
          <t>2025-11</t>
        </is>
      </c>
      <c r="E820" t="inlineStr">
        <is>
          <t>C0107</t>
        </is>
      </c>
      <c r="F820" t="inlineStr">
        <is>
          <t>C0107</t>
        </is>
      </c>
      <c r="G820" t="inlineStr">
        <is>
          <t>Sofia Hughes</t>
        </is>
      </c>
      <c r="H820" t="inlineStr">
        <is>
          <t>S0341</t>
        </is>
      </c>
      <c r="I820" t="inlineStr">
        <is>
          <t>Roof repair labour - 6 hrs</t>
        </is>
      </c>
      <c r="J820" t="n">
        <v>6</v>
      </c>
      <c r="K820" s="9" t="n">
        <v>588</v>
      </c>
      <c r="L820" t="inlineStr">
        <is>
          <t>PAID</t>
        </is>
      </c>
      <c r="M820">
        <f>IF(L820="VOIDED",0,1)</f>
        <v>1</v>
      </c>
      <c r="N820" t="n">
        <v>200</v>
      </c>
      <c r="O820" t="inlineStr">
        <is>
          <t>GST on Income</t>
        </is>
      </c>
      <c r="P820" t="inlineStr">
        <is>
          <t>R10</t>
        </is>
      </c>
      <c r="Q820" t="inlineStr">
        <is>
          <t>LAB-RF</t>
        </is>
      </c>
      <c r="R820">
        <f>IF(OR(Q820="CONTEXT",Q820="REVIEW"),"",INDEX('Category Rules'!$D$5:$D$17,MATCH(P820,'Category Rules'!$A$5:$A$17,0)))</f>
        <v>4020</v>
      </c>
      <c r="S820" t="str">
        <f>IF(Q820="CONTEXT","Roofing",IF(Q820="REVIEW","",INDEX('Category Rules'!$E$5:$E$17,MATCH(P820,'Category Rules'!$A$5:$A$17,0))))</f>
        <v>Roofing</v>
      </c>
      <c r="T820" t="str">
        <f>IF(Q820="DEP","BAS Excluded","GST on Income")</f>
        <v>GST on Income</v>
      </c>
      <c r="U820">
        <f>IF(O820=T820,1,0)</f>
        <v>1</v>
      </c>
      <c r="V820" s="9">
        <f>IF(OR(M820=0,U820=1),0,IF(T820="GST on Income",ROUND(K820*0.1,2),ROUND(-K820*0.1,2)))</f>
        <v>0</v>
      </c>
    </row>
    <row r="821">
      <c r="A821" t="inlineStr">
        <is>
          <t>INV-5535-2</t>
        </is>
      </c>
      <c r="B821" t="inlineStr">
        <is>
          <t>INV-5535</t>
        </is>
      </c>
      <c r="C821" s="11" t="n">
        <v>45970</v>
      </c>
      <c r="D821" t="inlineStr">
        <is>
          <t>2025-11</t>
        </is>
      </c>
      <c r="E821" t="inlineStr">
        <is>
          <t>C0107</t>
        </is>
      </c>
      <c r="F821" t="inlineStr">
        <is>
          <t>C0107</t>
        </is>
      </c>
      <c r="G821" t="inlineStr">
        <is>
          <t>Sofia Hughes</t>
        </is>
      </c>
      <c r="H821" t="inlineStr">
        <is>
          <t>S0341</t>
        </is>
      </c>
      <c r="I821" t="inlineStr">
        <is>
          <t>Materials - gutter and downpipe</t>
        </is>
      </c>
      <c r="J821" t="n">
        <v>1</v>
      </c>
      <c r="K821" s="9" t="n">
        <v>943.13</v>
      </c>
      <c r="L821" t="inlineStr">
        <is>
          <t>PAID</t>
        </is>
      </c>
      <c r="M821">
        <f>IF(L821="VOIDED",0,1)</f>
        <v>1</v>
      </c>
      <c r="N821" t="n">
        <v>200</v>
      </c>
      <c r="O821" t="inlineStr">
        <is>
          <t>GST on Income</t>
        </is>
      </c>
      <c r="P821" t="inlineStr">
        <is>
          <t>R11</t>
        </is>
      </c>
      <c r="Q821" t="inlineStr">
        <is>
          <t>MAT-RF</t>
        </is>
      </c>
      <c r="R821">
        <f>IF(OR(Q821="CONTEXT",Q821="REVIEW"),"",INDEX('Category Rules'!$D$5:$D$17,MATCH(P821,'Category Rules'!$A$5:$A$17,0)))</f>
        <v>4030</v>
      </c>
      <c r="S821" t="str">
        <f>IF(Q821="CONTEXT","Roofing",IF(Q821="REVIEW","",INDEX('Category Rules'!$E$5:$E$17,MATCH(P821,'Category Rules'!$A$5:$A$17,0))))</f>
        <v>Roofing</v>
      </c>
      <c r="T821" t="str">
        <f>IF(Q821="DEP","BAS Excluded","GST on Income")</f>
        <v>GST on Income</v>
      </c>
      <c r="U821">
        <f>IF(O821=T821,1,0)</f>
        <v>1</v>
      </c>
      <c r="V821" s="9">
        <f>IF(OR(M821=0,U821=1),0,IF(T821="GST on Income",ROUND(K821*0.1,2),ROUND(-K821*0.1,2)))</f>
        <v>0</v>
      </c>
    </row>
    <row r="822">
      <c r="A822" t="inlineStr">
        <is>
          <t>INV-5544-1</t>
        </is>
      </c>
      <c r="B822" t="inlineStr">
        <is>
          <t>INV-5544</t>
        </is>
      </c>
      <c r="C822" s="11" t="n">
        <v>45970</v>
      </c>
      <c r="D822" t="inlineStr">
        <is>
          <t>2025-11</t>
        </is>
      </c>
      <c r="E822" t="inlineStr">
        <is>
          <t>C0084</t>
        </is>
      </c>
      <c r="F822" t="inlineStr">
        <is>
          <t>C0084</t>
        </is>
      </c>
      <c r="G822" t="inlineStr">
        <is>
          <t>Mia Walker</t>
        </is>
      </c>
      <c r="H822" t="inlineStr">
        <is>
          <t>S0346</t>
        </is>
      </c>
      <c r="I822" t="inlineStr">
        <is>
          <t>Tarp kit hire 2 wks (01/11/25-08/11/25) - 1 kits</t>
        </is>
      </c>
      <c r="J822" t="n">
        <v>2</v>
      </c>
      <c r="K822" s="9" t="n">
        <v>70</v>
      </c>
      <c r="L822" t="inlineStr">
        <is>
          <t>PAID</t>
        </is>
      </c>
      <c r="M822">
        <f>IF(L822="VOIDED",0,1)</f>
        <v>1</v>
      </c>
      <c r="N822" t="n">
        <v>200</v>
      </c>
      <c r="O822" t="inlineStr">
        <is>
          <t>GST on Income</t>
        </is>
      </c>
      <c r="P822" t="inlineStr">
        <is>
          <t>R06</t>
        </is>
      </c>
      <c r="Q822" t="inlineStr">
        <is>
          <t>HIRE-TK</t>
        </is>
      </c>
      <c r="R822">
        <f>IF(OR(Q822="CONTEXT",Q822="REVIEW"),"",INDEX('Category Rules'!$D$5:$D$17,MATCH(P822,'Category Rules'!$A$5:$A$17,0)))</f>
        <v>4010</v>
      </c>
      <c r="S822" t="str">
        <f>IF(Q822="CONTEXT","Make-safe",IF(Q822="REVIEW","",INDEX('Category Rules'!$E$5:$E$17,MATCH(P822,'Category Rules'!$A$5:$A$17,0))))</f>
        <v>Make-safe</v>
      </c>
      <c r="T822" t="str">
        <f>IF(Q822="DEP","BAS Excluded","GST on Income")</f>
        <v>GST on Income</v>
      </c>
      <c r="U822">
        <f>IF(O822=T822,1,0)</f>
        <v>1</v>
      </c>
      <c r="V822" s="9">
        <f>IF(OR(M822=0,U822=1),0,IF(T822="GST on Income",ROUND(K822*0.1,2),ROUND(-K822*0.1,2)))</f>
        <v>0</v>
      </c>
    </row>
    <row r="823">
      <c r="A823" t="inlineStr">
        <is>
          <t>INV-5546-1</t>
        </is>
      </c>
      <c r="B823" t="inlineStr">
        <is>
          <t>INV-5546</t>
        </is>
      </c>
      <c r="C823" s="11" t="n">
        <v>45970</v>
      </c>
      <c r="D823" t="inlineStr">
        <is>
          <t>2025-11</t>
        </is>
      </c>
      <c r="E823" t="inlineStr">
        <is>
          <t>C0084</t>
        </is>
      </c>
      <c r="F823" t="inlineStr">
        <is>
          <t>C0084</t>
        </is>
      </c>
      <c r="G823" t="inlineStr">
        <is>
          <t>Mia Walker</t>
        </is>
      </c>
      <c r="H823" t="inlineStr">
        <is>
          <t>S0346</t>
        </is>
      </c>
      <c r="I823" t="inlineStr">
        <is>
          <t>Roof repair labour - 3 hrs</t>
        </is>
      </c>
      <c r="J823" t="n">
        <v>3</v>
      </c>
      <c r="K823" s="9" t="n">
        <v>294</v>
      </c>
      <c r="L823" t="inlineStr">
        <is>
          <t>PAID</t>
        </is>
      </c>
      <c r="M823">
        <f>IF(L823="VOIDED",0,1)</f>
        <v>1</v>
      </c>
      <c r="N823" t="n">
        <v>200</v>
      </c>
      <c r="O823" t="inlineStr">
        <is>
          <t>GST on Income</t>
        </is>
      </c>
      <c r="P823" t="inlineStr">
        <is>
          <t>R10</t>
        </is>
      </c>
      <c r="Q823" t="inlineStr">
        <is>
          <t>LAB-RF</t>
        </is>
      </c>
      <c r="R823">
        <f>IF(OR(Q823="CONTEXT",Q823="REVIEW"),"",INDEX('Category Rules'!$D$5:$D$17,MATCH(P823,'Category Rules'!$A$5:$A$17,0)))</f>
        <v>4020</v>
      </c>
      <c r="S823" t="str">
        <f>IF(Q823="CONTEXT","Roofing",IF(Q823="REVIEW","",INDEX('Category Rules'!$E$5:$E$17,MATCH(P823,'Category Rules'!$A$5:$A$17,0))))</f>
        <v>Roofing</v>
      </c>
      <c r="T823" t="str">
        <f>IF(Q823="DEP","BAS Excluded","GST on Income")</f>
        <v>GST on Income</v>
      </c>
      <c r="U823">
        <f>IF(O823=T823,1,0)</f>
        <v>1</v>
      </c>
      <c r="V823" s="9">
        <f>IF(OR(M823=0,U823=1),0,IF(T823="GST on Income",ROUND(K823*0.1,2),ROUND(-K823*0.1,2)))</f>
        <v>0</v>
      </c>
    </row>
    <row r="824">
      <c r="A824" t="inlineStr">
        <is>
          <t>INV-5546-2</t>
        </is>
      </c>
      <c r="B824" t="inlineStr">
        <is>
          <t>INV-5546</t>
        </is>
      </c>
      <c r="C824" s="11" t="n">
        <v>45970</v>
      </c>
      <c r="D824" t="inlineStr">
        <is>
          <t>2025-11</t>
        </is>
      </c>
      <c r="E824" t="inlineStr">
        <is>
          <t>C0084</t>
        </is>
      </c>
      <c r="F824" t="inlineStr">
        <is>
          <t>C0084</t>
        </is>
      </c>
      <c r="G824" t="inlineStr">
        <is>
          <t>Mia Walker</t>
        </is>
      </c>
      <c r="H824" t="inlineStr">
        <is>
          <t>S0346</t>
        </is>
      </c>
      <c r="I824" t="inlineStr">
        <is>
          <t>Materials - Colorbond sheet</t>
        </is>
      </c>
      <c r="J824" t="n">
        <v>1</v>
      </c>
      <c r="K824" s="9" t="n">
        <v>837.98</v>
      </c>
      <c r="L824" t="inlineStr">
        <is>
          <t>PAID</t>
        </is>
      </c>
      <c r="M824">
        <f>IF(L824="VOIDED",0,1)</f>
        <v>1</v>
      </c>
      <c r="N824" t="n">
        <v>200</v>
      </c>
      <c r="O824" t="inlineStr">
        <is>
          <t>GST on Income</t>
        </is>
      </c>
      <c r="P824" t="inlineStr">
        <is>
          <t>R11</t>
        </is>
      </c>
      <c r="Q824" t="inlineStr">
        <is>
          <t>MAT-RF</t>
        </is>
      </c>
      <c r="R824">
        <f>IF(OR(Q824="CONTEXT",Q824="REVIEW"),"",INDEX('Category Rules'!$D$5:$D$17,MATCH(P824,'Category Rules'!$A$5:$A$17,0)))</f>
        <v>4030</v>
      </c>
      <c r="S824" t="str">
        <f>IF(Q824="CONTEXT","Roofing",IF(Q824="REVIEW","",INDEX('Category Rules'!$E$5:$E$17,MATCH(P824,'Category Rules'!$A$5:$A$17,0))))</f>
        <v>Roofing</v>
      </c>
      <c r="T824" t="str">
        <f>IF(Q824="DEP","BAS Excluded","GST on Income")</f>
        <v>GST on Income</v>
      </c>
      <c r="U824">
        <f>IF(O824=T824,1,0)</f>
        <v>1</v>
      </c>
      <c r="V824" s="9">
        <f>IF(OR(M824=0,U824=1),0,IF(T824="GST on Income",ROUND(K824*0.1,2),ROUND(-K824*0.1,2)))</f>
        <v>0</v>
      </c>
    </row>
    <row r="825">
      <c r="A825" t="inlineStr">
        <is>
          <t>INV-5546-3</t>
        </is>
      </c>
      <c r="B825" t="inlineStr">
        <is>
          <t>INV-5546</t>
        </is>
      </c>
      <c r="C825" s="11" t="n">
        <v>45970</v>
      </c>
      <c r="D825" t="inlineStr">
        <is>
          <t>2025-11</t>
        </is>
      </c>
      <c r="E825" t="inlineStr">
        <is>
          <t>C0084</t>
        </is>
      </c>
      <c r="F825" t="inlineStr">
        <is>
          <t>C0084</t>
        </is>
      </c>
      <c r="G825" t="inlineStr">
        <is>
          <t>Mia Walker</t>
        </is>
      </c>
      <c r="H825" t="inlineStr">
        <is>
          <t>S0346</t>
        </is>
      </c>
      <c r="I825" t="inlineStr">
        <is>
          <t>Materials - roof tiles (matched)</t>
        </is>
      </c>
      <c r="J825" t="n">
        <v>1</v>
      </c>
      <c r="K825" s="9" t="n">
        <v>582.84</v>
      </c>
      <c r="L825" t="inlineStr">
        <is>
          <t>PAID</t>
        </is>
      </c>
      <c r="M825">
        <f>IF(L825="VOIDED",0,1)</f>
        <v>1</v>
      </c>
      <c r="N825" t="n">
        <v>200</v>
      </c>
      <c r="O825" t="inlineStr">
        <is>
          <t>GST on Income</t>
        </is>
      </c>
      <c r="P825" t="inlineStr">
        <is>
          <t>R11</t>
        </is>
      </c>
      <c r="Q825" t="inlineStr">
        <is>
          <t>MAT-RF</t>
        </is>
      </c>
      <c r="R825">
        <f>IF(OR(Q825="CONTEXT",Q825="REVIEW"),"",INDEX('Category Rules'!$D$5:$D$17,MATCH(P825,'Category Rules'!$A$5:$A$17,0)))</f>
        <v>4030</v>
      </c>
      <c r="S825" t="str">
        <f>IF(Q825="CONTEXT","Roofing",IF(Q825="REVIEW","",INDEX('Category Rules'!$E$5:$E$17,MATCH(P825,'Category Rules'!$A$5:$A$17,0))))</f>
        <v>Roofing</v>
      </c>
      <c r="T825" t="str">
        <f>IF(Q825="DEP","BAS Excluded","GST on Income")</f>
        <v>GST on Income</v>
      </c>
      <c r="U825">
        <f>IF(O825=T825,1,0)</f>
        <v>1</v>
      </c>
      <c r="V825" s="9">
        <f>IF(OR(M825=0,U825=1),0,IF(T825="GST on Income",ROUND(K825*0.1,2),ROUND(-K825*0.1,2)))</f>
        <v>0</v>
      </c>
    </row>
    <row r="826">
      <c r="A826" t="inlineStr">
        <is>
          <t>CN-5940-1</t>
        </is>
      </c>
      <c r="B826" t="inlineStr">
        <is>
          <t>CN-5940</t>
        </is>
      </c>
      <c r="C826" s="11" t="n">
        <v>45971</v>
      </c>
      <c r="D826" t="inlineStr">
        <is>
          <t>2025-11</t>
        </is>
      </c>
      <c r="E826" t="inlineStr">
        <is>
          <t>C0086</t>
        </is>
      </c>
      <c r="F826" t="inlineStr">
        <is>
          <t>C0086</t>
        </is>
      </c>
      <c r="G826" t="inlineStr">
        <is>
          <t>Mei Ali</t>
        </is>
      </c>
      <c r="H826" t="inlineStr">
        <is>
          <t>S0212</t>
        </is>
      </c>
      <c r="I826" t="inlineStr">
        <is>
          <t>Credit - temporary fence hire overcharge</t>
        </is>
      </c>
      <c r="J826" t="n">
        <v>1</v>
      </c>
      <c r="K826" s="9" t="n">
        <v>-683.9299999999999</v>
      </c>
      <c r="L826" t="inlineStr">
        <is>
          <t>PAID</t>
        </is>
      </c>
      <c r="M826">
        <f>IF(L826="VOIDED",0,1)</f>
        <v>1</v>
      </c>
      <c r="N826" t="n">
        <v>200</v>
      </c>
      <c r="O826" t="inlineStr">
        <is>
          <t>GST on Income</t>
        </is>
      </c>
      <c r="P826" t="inlineStr">
        <is>
          <t>R03</t>
        </is>
      </c>
      <c r="Q826" t="inlineStr">
        <is>
          <t>HIRE-FP</t>
        </is>
      </c>
      <c r="R826">
        <f>IF(OR(Q826="CONTEXT",Q826="REVIEW"),"",INDEX('Category Rules'!$D$5:$D$17,MATCH(P826,'Category Rules'!$A$5:$A$17,0)))</f>
        <v>4010</v>
      </c>
      <c r="S826" t="str">
        <f>IF(Q826="CONTEXT","Fencing",IF(Q826="REVIEW","",INDEX('Category Rules'!$E$5:$E$17,MATCH(P826,'Category Rules'!$A$5:$A$17,0))))</f>
        <v>Fencing</v>
      </c>
      <c r="T826" t="str">
        <f>IF(Q826="DEP","BAS Excluded","GST on Income")</f>
        <v>GST on Income</v>
      </c>
      <c r="U826">
        <f>IF(O826=T826,1,0)</f>
        <v>1</v>
      </c>
      <c r="V826" s="9">
        <f>IF(OR(M826=0,U826=1),0,IF(T826="GST on Income",ROUND(K826*0.1,2),ROUND(-K826*0.1,2)))</f>
        <v>0</v>
      </c>
    </row>
    <row r="827">
      <c r="A827" t="inlineStr">
        <is>
          <t>INV-5195-1</t>
        </is>
      </c>
      <c r="B827" t="inlineStr">
        <is>
          <t>INV-5195</t>
        </is>
      </c>
      <c r="C827" s="11" t="n">
        <v>45971</v>
      </c>
      <c r="D827" t="inlineStr">
        <is>
          <t>2025-11</t>
        </is>
      </c>
      <c r="E827" t="inlineStr">
        <is>
          <t>C0018</t>
        </is>
      </c>
      <c r="F827" t="inlineStr">
        <is>
          <t>C0018</t>
        </is>
      </c>
      <c r="G827" t="inlineStr">
        <is>
          <t>Wattle Constructions Pty Ltd</t>
        </is>
      </c>
      <c r="H827" t="inlineStr">
        <is>
          <t>S0234</t>
        </is>
      </c>
      <c r="I827" t="inlineStr">
        <is>
          <t>Scaffold tower hire 4 wks (13/10/25-09/11/25) - 1 towers</t>
        </is>
      </c>
      <c r="J827" t="n">
        <v>4</v>
      </c>
      <c r="K827" s="9" t="n">
        <v>380</v>
      </c>
      <c r="L827" t="inlineStr">
        <is>
          <t>PAID</t>
        </is>
      </c>
      <c r="M827">
        <f>IF(L827="VOIDED",0,1)</f>
        <v>1</v>
      </c>
      <c r="N827" t="n">
        <v>200</v>
      </c>
      <c r="O827" t="inlineStr">
        <is>
          <t>GST on Income</t>
        </is>
      </c>
      <c r="P827" t="inlineStr">
        <is>
          <t>R05</t>
        </is>
      </c>
      <c r="Q827" t="inlineStr">
        <is>
          <t>HIRE-ST</t>
        </is>
      </c>
      <c r="R827">
        <f>IF(OR(Q827="CONTEXT",Q827="REVIEW"),"",INDEX('Category Rules'!$D$5:$D$17,MATCH(P827,'Category Rules'!$A$5:$A$17,0)))</f>
        <v>4010</v>
      </c>
      <c r="S827" t="str">
        <f>IF(Q827="CONTEXT","Scaffolding",IF(Q827="REVIEW","",INDEX('Category Rules'!$E$5:$E$17,MATCH(P827,'Category Rules'!$A$5:$A$17,0))))</f>
        <v>Scaffolding</v>
      </c>
      <c r="T827" t="str">
        <f>IF(Q827="DEP","BAS Excluded","GST on Income")</f>
        <v>GST on Income</v>
      </c>
      <c r="U827">
        <f>IF(O827=T827,1,0)</f>
        <v>1</v>
      </c>
      <c r="V827" s="9">
        <f>IF(OR(M827=0,U827=1),0,IF(T827="GST on Income",ROUND(K827*0.1,2),ROUND(-K827*0.1,2)))</f>
        <v>0</v>
      </c>
    </row>
    <row r="828">
      <c r="A828" t="inlineStr">
        <is>
          <t>INV-5508-1</t>
        </is>
      </c>
      <c r="B828" t="inlineStr">
        <is>
          <t>INV-5508</t>
        </is>
      </c>
      <c r="C828" s="11" t="n">
        <v>45971</v>
      </c>
      <c r="D828" t="inlineStr">
        <is>
          <t>2025-11</t>
        </is>
      </c>
      <c r="E828" t="inlineStr">
        <is>
          <t>C0060</t>
        </is>
      </c>
      <c r="F828" t="inlineStr">
        <is>
          <t>C0060</t>
        </is>
      </c>
      <c r="G828" t="inlineStr">
        <is>
          <t>Redline Claims Services</t>
        </is>
      </c>
      <c r="H828" t="inlineStr">
        <is>
          <t>S0331</t>
        </is>
      </c>
      <c r="I828" t="inlineStr">
        <is>
          <t>Make safe call-out</t>
        </is>
      </c>
      <c r="J828" t="n">
        <v>1</v>
      </c>
      <c r="K828" s="9" t="n">
        <v>385</v>
      </c>
      <c r="L828" t="inlineStr">
        <is>
          <t>PAID</t>
        </is>
      </c>
      <c r="M828">
        <f>IF(L828="VOIDED",0,1)</f>
        <v>1</v>
      </c>
      <c r="N828" t="n">
        <v>200</v>
      </c>
      <c r="O828" t="inlineStr">
        <is>
          <t>GST on Income</t>
        </is>
      </c>
      <c r="P828" t="inlineStr">
        <is>
          <t>R09</t>
        </is>
      </c>
      <c r="Q828" t="inlineStr">
        <is>
          <t>MS</t>
        </is>
      </c>
      <c r="R828">
        <f>IF(OR(Q828="CONTEXT",Q828="REVIEW"),"",INDEX('Category Rules'!$D$5:$D$17,MATCH(P828,'Category Rules'!$A$5:$A$17,0)))</f>
        <v>4020</v>
      </c>
      <c r="S828" t="str">
        <f>IF(Q828="CONTEXT","Make-safe",IF(Q828="REVIEW","",INDEX('Category Rules'!$E$5:$E$17,MATCH(P828,'Category Rules'!$A$5:$A$17,0))))</f>
        <v>Make-safe</v>
      </c>
      <c r="T828" t="str">
        <f>IF(Q828="DEP","BAS Excluded","GST on Income")</f>
        <v>GST on Income</v>
      </c>
      <c r="U828">
        <f>IF(O828=T828,1,0)</f>
        <v>1</v>
      </c>
      <c r="V828" s="9">
        <f>IF(OR(M828=0,U828=1),0,IF(T828="GST on Income",ROUND(K828*0.1,2),ROUND(-K828*0.1,2)))</f>
        <v>0</v>
      </c>
    </row>
    <row r="829">
      <c r="A829" t="inlineStr">
        <is>
          <t>INV-5508-2</t>
        </is>
      </c>
      <c r="B829" t="inlineStr">
        <is>
          <t>INV-5508</t>
        </is>
      </c>
      <c r="C829" s="11" t="n">
        <v>45971</v>
      </c>
      <c r="D829" t="inlineStr">
        <is>
          <t>2025-11</t>
        </is>
      </c>
      <c r="E829" t="inlineStr">
        <is>
          <t>C0060</t>
        </is>
      </c>
      <c r="F829" t="inlineStr">
        <is>
          <t>C0060</t>
        </is>
      </c>
      <c r="G829" t="inlineStr">
        <is>
          <t>Redline Claims Services</t>
        </is>
      </c>
      <c r="H829" t="inlineStr">
        <is>
          <t>S0331</t>
        </is>
      </c>
      <c r="I829" t="inlineStr">
        <is>
          <t>Tarp supply and install - 1 tarp(s)</t>
        </is>
      </c>
      <c r="J829" t="n">
        <v>1</v>
      </c>
      <c r="K829" s="9" t="n">
        <v>240</v>
      </c>
      <c r="L829" t="inlineStr">
        <is>
          <t>PAID</t>
        </is>
      </c>
      <c r="M829">
        <f>IF(L829="VOIDED",0,1)</f>
        <v>1</v>
      </c>
      <c r="N829" t="n">
        <v>200</v>
      </c>
      <c r="O829" t="inlineStr">
        <is>
          <t>GST Free Income</t>
        </is>
      </c>
      <c r="P829" t="inlineStr">
        <is>
          <t>R09</t>
        </is>
      </c>
      <c r="Q829" t="inlineStr">
        <is>
          <t>MS</t>
        </is>
      </c>
      <c r="R829">
        <f>IF(OR(Q829="CONTEXT",Q829="REVIEW"),"",INDEX('Category Rules'!$D$5:$D$17,MATCH(P829,'Category Rules'!$A$5:$A$17,0)))</f>
        <v>4020</v>
      </c>
      <c r="S829" t="str">
        <f>IF(Q829="CONTEXT","Make-safe",IF(Q829="REVIEW","",INDEX('Category Rules'!$E$5:$E$17,MATCH(P829,'Category Rules'!$A$5:$A$17,0))))</f>
        <v>Make-safe</v>
      </c>
      <c r="T829" t="str">
        <f>IF(Q829="DEP","BAS Excluded","GST on Income")</f>
        <v>GST on Income</v>
      </c>
      <c r="U829">
        <f>IF(O829=T829,1,0)</f>
        <v>0</v>
      </c>
      <c r="V829" s="9">
        <f>IF(OR(M829=0,U829=1),0,IF(T829="GST on Income",ROUND(K829*0.1,2),ROUND(-K829*0.1,2)))</f>
        <v>24</v>
      </c>
    </row>
    <row r="830">
      <c r="A830" t="inlineStr">
        <is>
          <t>INV-5523-1</t>
        </is>
      </c>
      <c r="B830" t="inlineStr">
        <is>
          <t>INV-5523</t>
        </is>
      </c>
      <c r="C830" s="11" t="n">
        <v>45971</v>
      </c>
      <c r="D830" t="inlineStr">
        <is>
          <t>2025-11</t>
        </is>
      </c>
      <c r="E830" t="inlineStr">
        <is>
          <t>C0039</t>
        </is>
      </c>
      <c r="F830" t="inlineStr">
        <is>
          <t>C0039</t>
        </is>
      </c>
      <c r="G830" t="inlineStr">
        <is>
          <t>Coastline Developments Pty Ltd</t>
        </is>
      </c>
      <c r="H830" t="inlineStr">
        <is>
          <t>S0337</t>
        </is>
      </c>
      <c r="I830" t="inlineStr">
        <is>
          <t>Tarp kit hire 2 wks (02/11/25-09/11/25) - 2 kits</t>
        </is>
      </c>
      <c r="J830" t="n">
        <v>4</v>
      </c>
      <c r="K830" s="9" t="n">
        <v>140</v>
      </c>
      <c r="L830" t="inlineStr">
        <is>
          <t>PAID</t>
        </is>
      </c>
      <c r="M830">
        <f>IF(L830="VOIDED",0,1)</f>
        <v>1</v>
      </c>
      <c r="N830" t="n">
        <v>200</v>
      </c>
      <c r="O830" t="inlineStr">
        <is>
          <t>GST on Income</t>
        </is>
      </c>
      <c r="P830" t="inlineStr">
        <is>
          <t>R06</t>
        </is>
      </c>
      <c r="Q830" t="inlineStr">
        <is>
          <t>HIRE-TK</t>
        </is>
      </c>
      <c r="R830">
        <f>IF(OR(Q830="CONTEXT",Q830="REVIEW"),"",INDEX('Category Rules'!$D$5:$D$17,MATCH(P830,'Category Rules'!$A$5:$A$17,0)))</f>
        <v>4010</v>
      </c>
      <c r="S830" t="str">
        <f>IF(Q830="CONTEXT","Make-safe",IF(Q830="REVIEW","",INDEX('Category Rules'!$E$5:$E$17,MATCH(P830,'Category Rules'!$A$5:$A$17,0))))</f>
        <v>Make-safe</v>
      </c>
      <c r="T830" t="str">
        <f>IF(Q830="DEP","BAS Excluded","GST on Income")</f>
        <v>GST on Income</v>
      </c>
      <c r="U830">
        <f>IF(O830=T830,1,0)</f>
        <v>1</v>
      </c>
      <c r="V830" s="9">
        <f>IF(OR(M830=0,U830=1),0,IF(T830="GST on Income",ROUND(K830*0.1,2),ROUND(-K830*0.1,2)))</f>
        <v>0</v>
      </c>
    </row>
    <row r="831">
      <c r="A831" t="inlineStr">
        <is>
          <t>INV-5533-1</t>
        </is>
      </c>
      <c r="B831" t="inlineStr">
        <is>
          <t>INV-5533</t>
        </is>
      </c>
      <c r="C831" s="11" t="n">
        <v>45971</v>
      </c>
      <c r="D831" t="inlineStr">
        <is>
          <t>2025-11</t>
        </is>
      </c>
      <c r="E831" t="inlineStr">
        <is>
          <t>C0144</t>
        </is>
      </c>
      <c r="F831" t="inlineStr">
        <is>
          <t>C0001</t>
        </is>
      </c>
      <c r="G831" t="inlineStr">
        <is>
          <t>Parkview Projects Pty Ltd</t>
        </is>
      </c>
      <c r="H831" t="inlineStr">
        <is>
          <t>S0340</t>
        </is>
      </c>
      <c r="I831" t="inlineStr">
        <is>
          <t>Roof repair labour - 3 hrs</t>
        </is>
      </c>
      <c r="J831" t="n">
        <v>3</v>
      </c>
      <c r="K831" s="9" t="n">
        <v>294</v>
      </c>
      <c r="L831" t="inlineStr">
        <is>
          <t>PAID</t>
        </is>
      </c>
      <c r="M831">
        <f>IF(L831="VOIDED",0,1)</f>
        <v>1</v>
      </c>
      <c r="N831" t="n">
        <v>200</v>
      </c>
      <c r="O831" t="inlineStr">
        <is>
          <t>GST on Income</t>
        </is>
      </c>
      <c r="P831" t="inlineStr">
        <is>
          <t>R10</t>
        </is>
      </c>
      <c r="Q831" t="inlineStr">
        <is>
          <t>LAB-RF</t>
        </is>
      </c>
      <c r="R831">
        <f>IF(OR(Q831="CONTEXT",Q831="REVIEW"),"",INDEX('Category Rules'!$D$5:$D$17,MATCH(P831,'Category Rules'!$A$5:$A$17,0)))</f>
        <v>4020</v>
      </c>
      <c r="S831" t="str">
        <f>IF(Q831="CONTEXT","Roofing",IF(Q831="REVIEW","",INDEX('Category Rules'!$E$5:$E$17,MATCH(P831,'Category Rules'!$A$5:$A$17,0))))</f>
        <v>Roofing</v>
      </c>
      <c r="T831" t="str">
        <f>IF(Q831="DEP","BAS Excluded","GST on Income")</f>
        <v>GST on Income</v>
      </c>
      <c r="U831">
        <f>IF(O831=T831,1,0)</f>
        <v>1</v>
      </c>
      <c r="V831" s="9">
        <f>IF(OR(M831=0,U831=1),0,IF(T831="GST on Income",ROUND(K831*0.1,2),ROUND(-K831*0.1,2)))</f>
        <v>0</v>
      </c>
    </row>
    <row r="832">
      <c r="A832" t="inlineStr">
        <is>
          <t>INV-5533-2</t>
        </is>
      </c>
      <c r="B832" t="inlineStr">
        <is>
          <t>INV-5533</t>
        </is>
      </c>
      <c r="C832" s="11" t="n">
        <v>45971</v>
      </c>
      <c r="D832" t="inlineStr">
        <is>
          <t>2025-11</t>
        </is>
      </c>
      <c r="E832" t="inlineStr">
        <is>
          <t>C0144</t>
        </is>
      </c>
      <c r="F832" t="inlineStr">
        <is>
          <t>C0001</t>
        </is>
      </c>
      <c r="G832" t="inlineStr">
        <is>
          <t>Parkview Projects Pty Ltd</t>
        </is>
      </c>
      <c r="H832" t="inlineStr">
        <is>
          <t>S0340</t>
        </is>
      </c>
      <c r="I832" t="inlineStr">
        <is>
          <t>Materials - roof tiles (matched)</t>
        </is>
      </c>
      <c r="J832" t="n">
        <v>1</v>
      </c>
      <c r="K832" s="9" t="n">
        <v>282.67</v>
      </c>
      <c r="L832" t="inlineStr">
        <is>
          <t>PAID</t>
        </is>
      </c>
      <c r="M832">
        <f>IF(L832="VOIDED",0,1)</f>
        <v>1</v>
      </c>
      <c r="N832" t="n">
        <v>200</v>
      </c>
      <c r="O832" t="inlineStr">
        <is>
          <t>GST on Income</t>
        </is>
      </c>
      <c r="P832" t="inlineStr">
        <is>
          <t>R11</t>
        </is>
      </c>
      <c r="Q832" t="inlineStr">
        <is>
          <t>MAT-RF</t>
        </is>
      </c>
      <c r="R832">
        <f>IF(OR(Q832="CONTEXT",Q832="REVIEW"),"",INDEX('Category Rules'!$D$5:$D$17,MATCH(P832,'Category Rules'!$A$5:$A$17,0)))</f>
        <v>4030</v>
      </c>
      <c r="S832" t="str">
        <f>IF(Q832="CONTEXT","Roofing",IF(Q832="REVIEW","",INDEX('Category Rules'!$E$5:$E$17,MATCH(P832,'Category Rules'!$A$5:$A$17,0))))</f>
        <v>Roofing</v>
      </c>
      <c r="T832" t="str">
        <f>IF(Q832="DEP","BAS Excluded","GST on Income")</f>
        <v>GST on Income</v>
      </c>
      <c r="U832">
        <f>IF(O832=T832,1,0)</f>
        <v>1</v>
      </c>
      <c r="V832" s="9">
        <f>IF(OR(M832=0,U832=1),0,IF(T832="GST on Income",ROUND(K832*0.1,2),ROUND(-K832*0.1,2)))</f>
        <v>0</v>
      </c>
    </row>
    <row r="833">
      <c r="A833" t="inlineStr">
        <is>
          <t>INV-5533-3</t>
        </is>
      </c>
      <c r="B833" t="inlineStr">
        <is>
          <t>INV-5533</t>
        </is>
      </c>
      <c r="C833" s="11" t="n">
        <v>45971</v>
      </c>
      <c r="D833" t="inlineStr">
        <is>
          <t>2025-11</t>
        </is>
      </c>
      <c r="E833" t="inlineStr">
        <is>
          <t>C0144</t>
        </is>
      </c>
      <c r="F833" t="inlineStr">
        <is>
          <t>C0001</t>
        </is>
      </c>
      <c r="G833" t="inlineStr">
        <is>
          <t>Parkview Projects Pty Ltd</t>
        </is>
      </c>
      <c r="H833" t="inlineStr">
        <is>
          <t>S0340</t>
        </is>
      </c>
      <c r="I833" t="inlineStr">
        <is>
          <t>Materials - ridge capping</t>
        </is>
      </c>
      <c r="J833" t="n">
        <v>1</v>
      </c>
      <c r="K833" s="9" t="n">
        <v>234.76</v>
      </c>
      <c r="L833" t="inlineStr">
        <is>
          <t>PAID</t>
        </is>
      </c>
      <c r="M833">
        <f>IF(L833="VOIDED",0,1)</f>
        <v>1</v>
      </c>
      <c r="N833" t="n">
        <v>200</v>
      </c>
      <c r="O833" t="inlineStr">
        <is>
          <t>GST on Income</t>
        </is>
      </c>
      <c r="P833" t="inlineStr">
        <is>
          <t>R11</t>
        </is>
      </c>
      <c r="Q833" t="inlineStr">
        <is>
          <t>MAT-RF</t>
        </is>
      </c>
      <c r="R833">
        <f>IF(OR(Q833="CONTEXT",Q833="REVIEW"),"",INDEX('Category Rules'!$D$5:$D$17,MATCH(P833,'Category Rules'!$A$5:$A$17,0)))</f>
        <v>4030</v>
      </c>
      <c r="S833" t="str">
        <f>IF(Q833="CONTEXT","Roofing",IF(Q833="REVIEW","",INDEX('Category Rules'!$E$5:$E$17,MATCH(P833,'Category Rules'!$A$5:$A$17,0))))</f>
        <v>Roofing</v>
      </c>
      <c r="T833" t="str">
        <f>IF(Q833="DEP","BAS Excluded","GST on Income")</f>
        <v>GST on Income</v>
      </c>
      <c r="U833">
        <f>IF(O833=T833,1,0)</f>
        <v>1</v>
      </c>
      <c r="V833" s="9">
        <f>IF(OR(M833=0,U833=1),0,IF(T833="GST on Income",ROUND(K833*0.1,2),ROUND(-K833*0.1,2)))</f>
        <v>0</v>
      </c>
    </row>
    <row r="834">
      <c r="A834" t="inlineStr">
        <is>
          <t>INV-5533-4</t>
        </is>
      </c>
      <c r="B834" t="inlineStr">
        <is>
          <t>INV-5533</t>
        </is>
      </c>
      <c r="C834" s="11" t="n">
        <v>45971</v>
      </c>
      <c r="D834" t="inlineStr">
        <is>
          <t>2025-11</t>
        </is>
      </c>
      <c r="E834" t="inlineStr">
        <is>
          <t>C0144</t>
        </is>
      </c>
      <c r="F834" t="inlineStr">
        <is>
          <t>C0001</t>
        </is>
      </c>
      <c r="G834" t="inlineStr">
        <is>
          <t>Parkview Projects Pty Ltd</t>
        </is>
      </c>
      <c r="H834" t="inlineStr">
        <is>
          <t>S0340</t>
        </is>
      </c>
      <c r="I834" t="inlineStr">
        <is>
          <t>Materials - flashing</t>
        </is>
      </c>
      <c r="J834" t="n">
        <v>1</v>
      </c>
      <c r="K834" s="9" t="n">
        <v>355.3</v>
      </c>
      <c r="L834" t="inlineStr">
        <is>
          <t>PAID</t>
        </is>
      </c>
      <c r="M834">
        <f>IF(L834="VOIDED",0,1)</f>
        <v>1</v>
      </c>
      <c r="N834" t="n">
        <v>200</v>
      </c>
      <c r="O834" t="inlineStr">
        <is>
          <t>GST on Income</t>
        </is>
      </c>
      <c r="P834" t="inlineStr">
        <is>
          <t>R11</t>
        </is>
      </c>
      <c r="Q834" t="inlineStr">
        <is>
          <t>MAT-RF</t>
        </is>
      </c>
      <c r="R834">
        <f>IF(OR(Q834="CONTEXT",Q834="REVIEW"),"",INDEX('Category Rules'!$D$5:$D$17,MATCH(P834,'Category Rules'!$A$5:$A$17,0)))</f>
        <v>4030</v>
      </c>
      <c r="S834" t="str">
        <f>IF(Q834="CONTEXT","Roofing",IF(Q834="REVIEW","",INDEX('Category Rules'!$E$5:$E$17,MATCH(P834,'Category Rules'!$A$5:$A$17,0))))</f>
        <v>Roofing</v>
      </c>
      <c r="T834" t="str">
        <f>IF(Q834="DEP","BAS Excluded","GST on Income")</f>
        <v>GST on Income</v>
      </c>
      <c r="U834">
        <f>IF(O834=T834,1,0)</f>
        <v>1</v>
      </c>
      <c r="V834" s="9">
        <f>IF(OR(M834=0,U834=1),0,IF(T834="GST on Income",ROUND(K834*0.1,2),ROUND(-K834*0.1,2)))</f>
        <v>0</v>
      </c>
    </row>
    <row r="835">
      <c r="A835" t="inlineStr">
        <is>
          <t>INV-5533-5</t>
        </is>
      </c>
      <c r="B835" t="inlineStr">
        <is>
          <t>INV-5533</t>
        </is>
      </c>
      <c r="C835" s="11" t="n">
        <v>45971</v>
      </c>
      <c r="D835" t="inlineStr">
        <is>
          <t>2025-11</t>
        </is>
      </c>
      <c r="E835" t="inlineStr">
        <is>
          <t>C0144</t>
        </is>
      </c>
      <c r="F835" t="inlineStr">
        <is>
          <t>C0001</t>
        </is>
      </c>
      <c r="G835" t="inlineStr">
        <is>
          <t>Parkview Projects Pty Ltd</t>
        </is>
      </c>
      <c r="H835" t="inlineStr">
        <is>
          <t>S0340</t>
        </is>
      </c>
      <c r="I835" t="inlineStr">
        <is>
          <t>Waste removal and tip fees</t>
        </is>
      </c>
      <c r="J835" t="n">
        <v>1</v>
      </c>
      <c r="K835" s="9" t="n">
        <v>120</v>
      </c>
      <c r="L835" t="inlineStr">
        <is>
          <t>PAID</t>
        </is>
      </c>
      <c r="M835">
        <f>IF(L835="VOIDED",0,1)</f>
        <v>1</v>
      </c>
      <c r="N835" t="n">
        <v>200</v>
      </c>
      <c r="O835" t="inlineStr">
        <is>
          <t>GST on Income</t>
        </is>
      </c>
      <c r="P835" t="inlineStr">
        <is>
          <t>R11</t>
        </is>
      </c>
      <c r="Q835" t="inlineStr">
        <is>
          <t>MAT-RF</t>
        </is>
      </c>
      <c r="R835">
        <f>IF(OR(Q835="CONTEXT",Q835="REVIEW"),"",INDEX('Category Rules'!$D$5:$D$17,MATCH(P835,'Category Rules'!$A$5:$A$17,0)))</f>
        <v>4030</v>
      </c>
      <c r="S835" t="str">
        <f>IF(Q835="CONTEXT","Roofing",IF(Q835="REVIEW","",INDEX('Category Rules'!$E$5:$E$17,MATCH(P835,'Category Rules'!$A$5:$A$17,0))))</f>
        <v>Roofing</v>
      </c>
      <c r="T835" t="str">
        <f>IF(Q835="DEP","BAS Excluded","GST on Income")</f>
        <v>GST on Income</v>
      </c>
      <c r="U835">
        <f>IF(O835=T835,1,0)</f>
        <v>1</v>
      </c>
      <c r="V835" s="9">
        <f>IF(OR(M835=0,U835=1),0,IF(T835="GST on Income",ROUND(K835*0.1,2),ROUND(-K835*0.1,2)))</f>
        <v>0</v>
      </c>
    </row>
    <row r="836">
      <c r="A836" t="inlineStr">
        <is>
          <t>CN-5947-1</t>
        </is>
      </c>
      <c r="B836" t="inlineStr">
        <is>
          <t>CN-5947</t>
        </is>
      </c>
      <c r="C836" s="11" t="n">
        <v>45972</v>
      </c>
      <c r="D836" t="inlineStr">
        <is>
          <t>2025-11</t>
        </is>
      </c>
      <c r="E836" t="inlineStr">
        <is>
          <t>C0122</t>
        </is>
      </c>
      <c r="F836" t="inlineStr">
        <is>
          <t>C0122</t>
        </is>
      </c>
      <c r="G836" t="inlineStr">
        <is>
          <t>Bluegum Construction Pty Ltd</t>
        </is>
      </c>
      <c r="H836" t="inlineStr">
        <is>
          <t>S0027</t>
        </is>
      </c>
      <c r="I836" t="inlineStr">
        <is>
          <t>Refund of security deposit - fence panels</t>
        </is>
      </c>
      <c r="J836" t="n">
        <v>1</v>
      </c>
      <c r="K836" s="9" t="n">
        <v>-480</v>
      </c>
      <c r="L836" t="inlineStr">
        <is>
          <t>PAID</t>
        </is>
      </c>
      <c r="M836">
        <f>IF(L836="VOIDED",0,1)</f>
        <v>1</v>
      </c>
      <c r="N836" t="n">
        <v>200</v>
      </c>
      <c r="O836" t="inlineStr">
        <is>
          <t>GST on Income</t>
        </is>
      </c>
      <c r="P836" t="inlineStr">
        <is>
          <t>R01</t>
        </is>
      </c>
      <c r="Q836" t="inlineStr">
        <is>
          <t>DEP</t>
        </is>
      </c>
      <c r="R836">
        <f>IF(OR(Q836="CONTEXT",Q836="REVIEW"),"",INDEX('Category Rules'!$D$5:$D$17,MATCH(P836,'Category Rules'!$A$5:$A$17,0)))</f>
        <v>835</v>
      </c>
      <c r="S836" t="str">
        <f>IF(Q836="CONTEXT","Fencing",IF(Q836="REVIEW","",INDEX('Category Rules'!$E$5:$E$17,MATCH(P836,'Category Rules'!$A$5:$A$17,0))))</f>
        <v>Fencing</v>
      </c>
      <c r="T836" t="str">
        <f>IF(Q836="DEP","BAS Excluded","GST on Income")</f>
        <v>BAS Excluded</v>
      </c>
      <c r="U836">
        <f>IF(O836=T836,1,0)</f>
        <v>0</v>
      </c>
      <c r="V836" s="9">
        <f>IF(OR(M836=0,U836=1),0,IF(T836="GST on Income",ROUND(K836*0.1,2),ROUND(-K836*0.1,2)))</f>
        <v>48</v>
      </c>
    </row>
    <row r="837">
      <c r="A837" t="inlineStr">
        <is>
          <t>INV-4636-1</t>
        </is>
      </c>
      <c r="B837" t="inlineStr">
        <is>
          <t>INV-4636</t>
        </is>
      </c>
      <c r="C837" s="11" t="n">
        <v>45972</v>
      </c>
      <c r="D837" t="inlineStr">
        <is>
          <t>2025-11</t>
        </is>
      </c>
      <c r="E837" t="inlineStr">
        <is>
          <t>C0014</t>
        </is>
      </c>
      <c r="F837" t="inlineStr">
        <is>
          <t>C0014</t>
        </is>
      </c>
      <c r="G837" t="inlineStr">
        <is>
          <t>Riverbend Homes Pty Ltd</t>
        </is>
      </c>
      <c r="H837" t="inlineStr">
        <is>
          <t>S0109</t>
        </is>
      </c>
      <c r="I837" t="inlineStr">
        <is>
          <t>Temporary fence hire 4 wks (14/10/25-10/11/25) - 66 panels</t>
        </is>
      </c>
      <c r="J837" t="n">
        <v>264</v>
      </c>
      <c r="K837" s="9" t="n">
        <v>1188</v>
      </c>
      <c r="L837" t="inlineStr">
        <is>
          <t>PAID</t>
        </is>
      </c>
      <c r="M837">
        <f>IF(L837="VOIDED",0,1)</f>
        <v>1</v>
      </c>
      <c r="N837" t="n">
        <v>200</v>
      </c>
      <c r="O837" t="inlineStr">
        <is>
          <t>GST on Income</t>
        </is>
      </c>
      <c r="P837" t="inlineStr">
        <is>
          <t>R03</t>
        </is>
      </c>
      <c r="Q837" t="inlineStr">
        <is>
          <t>HIRE-FP</t>
        </is>
      </c>
      <c r="R837">
        <f>IF(OR(Q837="CONTEXT",Q837="REVIEW"),"",INDEX('Category Rules'!$D$5:$D$17,MATCH(P837,'Category Rules'!$A$5:$A$17,0)))</f>
        <v>4010</v>
      </c>
      <c r="S837" t="str">
        <f>IF(Q837="CONTEXT","Fencing",IF(Q837="REVIEW","",INDEX('Category Rules'!$E$5:$E$17,MATCH(P837,'Category Rules'!$A$5:$A$17,0))))</f>
        <v>Fencing</v>
      </c>
      <c r="T837" t="str">
        <f>IF(Q837="DEP","BAS Excluded","GST on Income")</f>
        <v>GST on Income</v>
      </c>
      <c r="U837">
        <f>IF(O837=T837,1,0)</f>
        <v>1</v>
      </c>
      <c r="V837" s="9">
        <f>IF(OR(M837=0,U837=1),0,IF(T837="GST on Income",ROUND(K837*0.1,2),ROUND(-K837*0.1,2)))</f>
        <v>0</v>
      </c>
    </row>
    <row r="838">
      <c r="A838" t="inlineStr">
        <is>
          <t>INV-5184-1</t>
        </is>
      </c>
      <c r="B838" t="inlineStr">
        <is>
          <t>INV-5184</t>
        </is>
      </c>
      <c r="C838" s="11" t="n">
        <v>45972</v>
      </c>
      <c r="D838" t="inlineStr">
        <is>
          <t>2025-11</t>
        </is>
      </c>
      <c r="E838" t="inlineStr">
        <is>
          <t>C0029</t>
        </is>
      </c>
      <c r="F838" t="inlineStr">
        <is>
          <t>C0029</t>
        </is>
      </c>
      <c r="G838" t="inlineStr">
        <is>
          <t>Ironbark Constructions</t>
        </is>
      </c>
      <c r="H838" t="inlineStr">
        <is>
          <t>S0232</t>
        </is>
      </c>
      <c r="I838" t="inlineStr">
        <is>
          <t>Temporary fence hire 4 wks (14/10/25-10/11/25) - 93 panels</t>
        </is>
      </c>
      <c r="J838" t="n">
        <v>372</v>
      </c>
      <c r="K838" s="9" t="n">
        <v>1674</v>
      </c>
      <c r="L838" t="inlineStr">
        <is>
          <t>PAID</t>
        </is>
      </c>
      <c r="M838">
        <f>IF(L838="VOIDED",0,1)</f>
        <v>1</v>
      </c>
      <c r="N838" t="n">
        <v>200</v>
      </c>
      <c r="O838" t="inlineStr">
        <is>
          <t>GST on Income</t>
        </is>
      </c>
      <c r="P838" t="inlineStr">
        <is>
          <t>R03</t>
        </is>
      </c>
      <c r="Q838" t="inlineStr">
        <is>
          <t>HIRE-FP</t>
        </is>
      </c>
      <c r="R838">
        <f>IF(OR(Q838="CONTEXT",Q838="REVIEW"),"",INDEX('Category Rules'!$D$5:$D$17,MATCH(P838,'Category Rules'!$A$5:$A$17,0)))</f>
        <v>4010</v>
      </c>
      <c r="S838" t="str">
        <f>IF(Q838="CONTEXT","Fencing",IF(Q838="REVIEW","",INDEX('Category Rules'!$E$5:$E$17,MATCH(P838,'Category Rules'!$A$5:$A$17,0))))</f>
        <v>Fencing</v>
      </c>
      <c r="T838" t="str">
        <f>IF(Q838="DEP","BAS Excluded","GST on Income")</f>
        <v>GST on Income</v>
      </c>
      <c r="U838">
        <f>IF(O838=T838,1,0)</f>
        <v>1</v>
      </c>
      <c r="V838" s="9">
        <f>IF(OR(M838=0,U838=1),0,IF(T838="GST on Income",ROUND(K838*0.1,2),ROUND(-K838*0.1,2)))</f>
        <v>0</v>
      </c>
    </row>
    <row r="839">
      <c r="A839" t="inlineStr">
        <is>
          <t>INV-5196-1</t>
        </is>
      </c>
      <c r="B839" t="inlineStr">
        <is>
          <t>INV-5196</t>
        </is>
      </c>
      <c r="C839" s="11" t="n">
        <v>45972</v>
      </c>
      <c r="D839" t="inlineStr">
        <is>
          <t>2025-11</t>
        </is>
      </c>
      <c r="E839" t="inlineStr">
        <is>
          <t>C0018</t>
        </is>
      </c>
      <c r="F839" t="inlineStr">
        <is>
          <t>C0018</t>
        </is>
      </c>
      <c r="G839" t="inlineStr">
        <is>
          <t>Wattle Constructions Pty Ltd</t>
        </is>
      </c>
      <c r="H839" t="inlineStr">
        <is>
          <t>S0234</t>
        </is>
      </c>
      <c r="I839" t="inlineStr">
        <is>
          <t>Scaffold tower hire 1 wks (10/11/25-10/11/25) - 1 towers</t>
        </is>
      </c>
      <c r="J839" t="n">
        <v>1</v>
      </c>
      <c r="K839" s="9" t="n">
        <v>95</v>
      </c>
      <c r="L839" t="inlineStr">
        <is>
          <t>PAID</t>
        </is>
      </c>
      <c r="M839">
        <f>IF(L839="VOIDED",0,1)</f>
        <v>1</v>
      </c>
      <c r="N839" t="n">
        <v>200</v>
      </c>
      <c r="O839" t="inlineStr">
        <is>
          <t>GST on Income</t>
        </is>
      </c>
      <c r="P839" t="inlineStr">
        <is>
          <t>R05</t>
        </is>
      </c>
      <c r="Q839" t="inlineStr">
        <is>
          <t>HIRE-ST</t>
        </is>
      </c>
      <c r="R839">
        <f>IF(OR(Q839="CONTEXT",Q839="REVIEW"),"",INDEX('Category Rules'!$D$5:$D$17,MATCH(P839,'Category Rules'!$A$5:$A$17,0)))</f>
        <v>4010</v>
      </c>
      <c r="S839" t="str">
        <f>IF(Q839="CONTEXT","Scaffolding",IF(Q839="REVIEW","",INDEX('Category Rules'!$E$5:$E$17,MATCH(P839,'Category Rules'!$A$5:$A$17,0))))</f>
        <v>Scaffolding</v>
      </c>
      <c r="T839" t="str">
        <f>IF(Q839="DEP","BAS Excluded","GST on Income")</f>
        <v>GST on Income</v>
      </c>
      <c r="U839">
        <f>IF(O839=T839,1,0)</f>
        <v>1</v>
      </c>
      <c r="V839" s="9">
        <f>IF(OR(M839=0,U839=1),0,IF(T839="GST on Income",ROUND(K839*0.1,2),ROUND(-K839*0.1,2)))</f>
        <v>0</v>
      </c>
    </row>
    <row r="840">
      <c r="A840" t="inlineStr">
        <is>
          <t>INV-5198-1</t>
        </is>
      </c>
      <c r="B840" t="inlineStr">
        <is>
          <t>INV-5198</t>
        </is>
      </c>
      <c r="C840" s="11" t="n">
        <v>45972</v>
      </c>
      <c r="D840" t="inlineStr">
        <is>
          <t>2025-11</t>
        </is>
      </c>
      <c r="E840" t="inlineStr">
        <is>
          <t>C0018</t>
        </is>
      </c>
      <c r="F840" t="inlineStr">
        <is>
          <t>C0018</t>
        </is>
      </c>
      <c r="G840" t="inlineStr">
        <is>
          <t>Wattle Constructions Pty Ltd</t>
        </is>
      </c>
      <c r="H840" t="inlineStr">
        <is>
          <t>S0234</t>
        </is>
      </c>
      <c r="I840" t="inlineStr">
        <is>
          <t>Scaffold dismantle - 1 tower(s)</t>
        </is>
      </c>
      <c r="J840" t="n">
        <v>1</v>
      </c>
      <c r="K840" s="9" t="n">
        <v>320</v>
      </c>
      <c r="L840" t="inlineStr">
        <is>
          <t>PAID</t>
        </is>
      </c>
      <c r="M840">
        <f>IF(L840="VOIDED",0,1)</f>
        <v>1</v>
      </c>
      <c r="N840" t="n">
        <v>200</v>
      </c>
      <c r="O840" t="inlineStr">
        <is>
          <t>GST on Income</t>
        </is>
      </c>
      <c r="P840" t="inlineStr">
        <is>
          <t>R08</t>
        </is>
      </c>
      <c r="Q840" t="inlineStr">
        <is>
          <t>LAB-ST</t>
        </is>
      </c>
      <c r="R840">
        <f>IF(OR(Q840="CONTEXT",Q840="REVIEW"),"",INDEX('Category Rules'!$D$5:$D$17,MATCH(P840,'Category Rules'!$A$5:$A$17,0)))</f>
        <v>4020</v>
      </c>
      <c r="S840" t="str">
        <f>IF(Q840="CONTEXT","Scaffolding",IF(Q840="REVIEW","",INDEX('Category Rules'!$E$5:$E$17,MATCH(P840,'Category Rules'!$A$5:$A$17,0))))</f>
        <v>Scaffolding</v>
      </c>
      <c r="T840" t="str">
        <f>IF(Q840="DEP","BAS Excluded","GST on Income")</f>
        <v>GST on Income</v>
      </c>
      <c r="U840">
        <f>IF(O840=T840,1,0)</f>
        <v>1</v>
      </c>
      <c r="V840" s="9">
        <f>IF(OR(M840=0,U840=1),0,IF(T840="GST on Income",ROUND(K840*0.1,2),ROUND(-K840*0.1,2)))</f>
        <v>0</v>
      </c>
    </row>
    <row r="841">
      <c r="A841" t="inlineStr">
        <is>
          <t>INV-5895-1</t>
        </is>
      </c>
      <c r="B841" t="inlineStr">
        <is>
          <t>INV-5895</t>
        </is>
      </c>
      <c r="C841" s="11" t="n">
        <v>45972</v>
      </c>
      <c r="D841" t="inlineStr">
        <is>
          <t>2025-11</t>
        </is>
      </c>
      <c r="E841" t="inlineStr">
        <is>
          <t>C0044</t>
        </is>
      </c>
      <c r="F841" t="inlineStr">
        <is>
          <t>C0044</t>
        </is>
      </c>
      <c r="G841" t="inlineStr">
        <is>
          <t>Granite Constructions</t>
        </is>
      </c>
      <c r="H841" t="inlineStr">
        <is>
          <t>S0471</t>
        </is>
      </c>
      <c r="I841" t="inlineStr">
        <is>
          <t>Job 1496 - progress claim</t>
        </is>
      </c>
      <c r="J841" t="n">
        <v>1</v>
      </c>
      <c r="K841" s="9" t="n">
        <v>503.14</v>
      </c>
      <c r="L841" t="inlineStr">
        <is>
          <t>PAID</t>
        </is>
      </c>
      <c r="M841">
        <f>IF(L841="VOIDED",0,1)</f>
        <v>1</v>
      </c>
      <c r="N841" t="n">
        <v>200</v>
      </c>
      <c r="O841" t="inlineStr">
        <is>
          <t>GST on Income</t>
        </is>
      </c>
      <c r="P841" t="inlineStr">
        <is>
          <t>R12</t>
        </is>
      </c>
      <c r="Q841" t="inlineStr">
        <is>
          <t>CONTEXT</t>
        </is>
      </c>
      <c r="R841">
        <f>IF(OR(Q841="CONTEXT",Q841="REVIEW"),"",INDEX('Category Rules'!$D$5:$D$17,MATCH(P841,'Category Rules'!$A$5:$A$17,0)))</f>
      </c>
      <c r="S841" t="str">
        <f>IF(Q841="CONTEXT","Make-safe",IF(Q841="REVIEW","",INDEX('Category Rules'!$E$5:$E$17,MATCH(P841,'Category Rules'!$A$5:$A$17,0))))</f>
        <v>Make-safe</v>
      </c>
      <c r="T841" t="str">
        <f>IF(Q841="DEP","BAS Excluded","GST on Income")</f>
        <v>GST on Income</v>
      </c>
      <c r="U841">
        <f>IF(O841=T841,1,0)</f>
        <v>1</v>
      </c>
      <c r="V841" s="9">
        <f>IF(OR(M841=0,U841=1),0,IF(T841="GST on Income",ROUND(K841*0.1,2),ROUND(-K841*0.1,2)))</f>
        <v>0</v>
      </c>
    </row>
    <row r="842">
      <c r="A842" t="inlineStr">
        <is>
          <t>INV-4627-1</t>
        </is>
      </c>
      <c r="B842" t="inlineStr">
        <is>
          <t>INV-4627</t>
        </is>
      </c>
      <c r="C842" s="11" t="n">
        <v>45973</v>
      </c>
      <c r="D842" t="inlineStr">
        <is>
          <t>2025-11</t>
        </is>
      </c>
      <c r="E842" t="inlineStr">
        <is>
          <t>C0080</t>
        </is>
      </c>
      <c r="F842" t="inlineStr">
        <is>
          <t>C0080</t>
        </is>
      </c>
      <c r="G842" t="inlineStr">
        <is>
          <t>Ember Productions Pty Ltd</t>
        </is>
      </c>
      <c r="H842" t="inlineStr">
        <is>
          <t>S0107</t>
        </is>
      </c>
      <c r="I842" t="inlineStr">
        <is>
          <t>Temporary fence hire 4 wks (21/10/25-11/11/25) - 106 panels</t>
        </is>
      </c>
      <c r="J842" t="n">
        <v>424</v>
      </c>
      <c r="K842" s="9" t="n">
        <v>1908</v>
      </c>
      <c r="L842" t="inlineStr">
        <is>
          <t>PAID</t>
        </is>
      </c>
      <c r="M842">
        <f>IF(L842="VOIDED",0,1)</f>
        <v>1</v>
      </c>
      <c r="N842" t="n">
        <v>200</v>
      </c>
      <c r="O842" t="inlineStr">
        <is>
          <t>GST Free Income</t>
        </is>
      </c>
      <c r="P842" t="inlineStr">
        <is>
          <t>R03</t>
        </is>
      </c>
      <c r="Q842" t="inlineStr">
        <is>
          <t>HIRE-FP</t>
        </is>
      </c>
      <c r="R842">
        <f>IF(OR(Q842="CONTEXT",Q842="REVIEW"),"",INDEX('Category Rules'!$D$5:$D$17,MATCH(P842,'Category Rules'!$A$5:$A$17,0)))</f>
        <v>4010</v>
      </c>
      <c r="S842" t="str">
        <f>IF(Q842="CONTEXT","Fencing",IF(Q842="REVIEW","",INDEX('Category Rules'!$E$5:$E$17,MATCH(P842,'Category Rules'!$A$5:$A$17,0))))</f>
        <v>Fencing</v>
      </c>
      <c r="T842" t="str">
        <f>IF(Q842="DEP","BAS Excluded","GST on Income")</f>
        <v>GST on Income</v>
      </c>
      <c r="U842">
        <f>IF(O842=T842,1,0)</f>
        <v>0</v>
      </c>
      <c r="V842" s="9">
        <f>IF(OR(M842=0,U842=1),0,IF(T842="GST on Income",ROUND(K842*0.1,2),ROUND(-K842*0.1,2)))</f>
        <v>190.8</v>
      </c>
    </row>
    <row r="843">
      <c r="A843" t="inlineStr">
        <is>
          <t>INV-4629-1</t>
        </is>
      </c>
      <c r="B843" t="inlineStr">
        <is>
          <t>INV-4629</t>
        </is>
      </c>
      <c r="C843" s="11" t="n">
        <v>45973</v>
      </c>
      <c r="D843" t="inlineStr">
        <is>
          <t>2025-11</t>
        </is>
      </c>
      <c r="E843" t="inlineStr">
        <is>
          <t>C0080</t>
        </is>
      </c>
      <c r="F843" t="inlineStr">
        <is>
          <t>C0080</t>
        </is>
      </c>
      <c r="G843" t="inlineStr">
        <is>
          <t>Ember Productions Pty Ltd</t>
        </is>
      </c>
      <c r="H843" t="inlineStr">
        <is>
          <t>S0107</t>
        </is>
      </c>
      <c r="I843" t="inlineStr">
        <is>
          <t>Collection and dismantle - temporary fencing</t>
        </is>
      </c>
      <c r="J843" t="n">
        <v>1</v>
      </c>
      <c r="K843" s="9" t="n">
        <v>165</v>
      </c>
      <c r="L843" t="inlineStr">
        <is>
          <t>PAID</t>
        </is>
      </c>
      <c r="M843">
        <f>IF(L843="VOIDED",0,1)</f>
        <v>1</v>
      </c>
      <c r="N843" t="n">
        <v>200</v>
      </c>
      <c r="O843" t="inlineStr">
        <is>
          <t>GST on Income</t>
        </is>
      </c>
      <c r="P843" t="inlineStr">
        <is>
          <t>R07</t>
        </is>
      </c>
      <c r="Q843" t="inlineStr">
        <is>
          <t>DEL-FP</t>
        </is>
      </c>
      <c r="R843">
        <f>IF(OR(Q843="CONTEXT",Q843="REVIEW"),"",INDEX('Category Rules'!$D$5:$D$17,MATCH(P843,'Category Rules'!$A$5:$A$17,0)))</f>
        <v>4020</v>
      </c>
      <c r="S843" t="str">
        <f>IF(Q843="CONTEXT","Fencing",IF(Q843="REVIEW","",INDEX('Category Rules'!$E$5:$E$17,MATCH(P843,'Category Rules'!$A$5:$A$17,0))))</f>
        <v>Fencing</v>
      </c>
      <c r="T843" t="str">
        <f>IF(Q843="DEP","BAS Excluded","GST on Income")</f>
        <v>GST on Income</v>
      </c>
      <c r="U843">
        <f>IF(O843=T843,1,0)</f>
        <v>1</v>
      </c>
      <c r="V843" s="9">
        <f>IF(OR(M843=0,U843=1),0,IF(T843="GST on Income",ROUND(K843*0.1,2),ROUND(-K843*0.1,2)))</f>
        <v>0</v>
      </c>
    </row>
    <row r="844">
      <c r="A844" t="inlineStr">
        <is>
          <t>INV-4685-1</t>
        </is>
      </c>
      <c r="B844" t="inlineStr">
        <is>
          <t>INV-4685</t>
        </is>
      </c>
      <c r="C844" s="11" t="n">
        <v>45973</v>
      </c>
      <c r="D844" t="inlineStr">
        <is>
          <t>2025-11</t>
        </is>
      </c>
      <c r="E844" t="inlineStr">
        <is>
          <t>C0033</t>
        </is>
      </c>
      <c r="F844" t="inlineStr">
        <is>
          <t>C0033</t>
        </is>
      </c>
      <c r="G844" t="inlineStr">
        <is>
          <t>Granite Projects Pty Ltd</t>
        </is>
      </c>
      <c r="H844" t="inlineStr">
        <is>
          <t>S0123</t>
        </is>
      </c>
      <c r="I844" t="inlineStr">
        <is>
          <t>Temporary fence hire 4 wks (15/10/25-11/11/25) - 135 panels</t>
        </is>
      </c>
      <c r="J844" t="n">
        <v>540</v>
      </c>
      <c r="K844" s="9" t="n">
        <v>2430</v>
      </c>
      <c r="L844" t="inlineStr">
        <is>
          <t>PAID</t>
        </is>
      </c>
      <c r="M844">
        <f>IF(L844="VOIDED",0,1)</f>
        <v>1</v>
      </c>
      <c r="N844" t="n">
        <v>200</v>
      </c>
      <c r="O844" t="inlineStr">
        <is>
          <t>GST on Income</t>
        </is>
      </c>
      <c r="P844" t="inlineStr">
        <is>
          <t>R03</t>
        </is>
      </c>
      <c r="Q844" t="inlineStr">
        <is>
          <t>HIRE-FP</t>
        </is>
      </c>
      <c r="R844">
        <f>IF(OR(Q844="CONTEXT",Q844="REVIEW"),"",INDEX('Category Rules'!$D$5:$D$17,MATCH(P844,'Category Rules'!$A$5:$A$17,0)))</f>
        <v>4010</v>
      </c>
      <c r="S844" t="str">
        <f>IF(Q844="CONTEXT","Fencing",IF(Q844="REVIEW","",INDEX('Category Rules'!$E$5:$E$17,MATCH(P844,'Category Rules'!$A$5:$A$17,0))))</f>
        <v>Fencing</v>
      </c>
      <c r="T844" t="str">
        <f>IF(Q844="DEP","BAS Excluded","GST on Income")</f>
        <v>GST on Income</v>
      </c>
      <c r="U844">
        <f>IF(O844=T844,1,0)</f>
        <v>1</v>
      </c>
      <c r="V844" s="9">
        <f>IF(OR(M844=0,U844=1),0,IF(T844="GST on Income",ROUND(K844*0.1,2),ROUND(-K844*0.1,2)))</f>
        <v>0</v>
      </c>
    </row>
    <row r="845">
      <c r="A845" t="inlineStr">
        <is>
          <t>INV-4761-1</t>
        </is>
      </c>
      <c r="B845" t="inlineStr">
        <is>
          <t>INV-4761</t>
        </is>
      </c>
      <c r="C845" s="11" t="n">
        <v>45973</v>
      </c>
      <c r="D845" t="inlineStr">
        <is>
          <t>2025-11</t>
        </is>
      </c>
      <c r="E845" t="inlineStr">
        <is>
          <t>C0012</t>
        </is>
      </c>
      <c r="F845" t="inlineStr">
        <is>
          <t>C0012</t>
        </is>
      </c>
      <c r="G845" t="inlineStr">
        <is>
          <t>Kestrel Constructions Pty Ltd</t>
        </is>
      </c>
      <c r="H845" t="inlineStr">
        <is>
          <t>S0138</t>
        </is>
      </c>
      <c r="I845" t="inlineStr">
        <is>
          <t>Temporary fence hire 3 wks (23/10/25-11/11/25) - 22 panels</t>
        </is>
      </c>
      <c r="J845" t="n">
        <v>66</v>
      </c>
      <c r="K845" s="9" t="n">
        <v>297</v>
      </c>
      <c r="L845" t="inlineStr">
        <is>
          <t>PAID</t>
        </is>
      </c>
      <c r="M845">
        <f>IF(L845="VOIDED",0,1)</f>
        <v>1</v>
      </c>
      <c r="N845" t="n">
        <v>200</v>
      </c>
      <c r="O845" t="inlineStr">
        <is>
          <t>GST on Income</t>
        </is>
      </c>
      <c r="P845" t="inlineStr">
        <is>
          <t>R03</t>
        </is>
      </c>
      <c r="Q845" t="inlineStr">
        <is>
          <t>HIRE-FP</t>
        </is>
      </c>
      <c r="R845">
        <f>IF(OR(Q845="CONTEXT",Q845="REVIEW"),"",INDEX('Category Rules'!$D$5:$D$17,MATCH(P845,'Category Rules'!$A$5:$A$17,0)))</f>
        <v>4010</v>
      </c>
      <c r="S845" t="str">
        <f>IF(Q845="CONTEXT","Fencing",IF(Q845="REVIEW","",INDEX('Category Rules'!$E$5:$E$17,MATCH(P845,'Category Rules'!$A$5:$A$17,0))))</f>
        <v>Fencing</v>
      </c>
      <c r="T845" t="str">
        <f>IF(Q845="DEP","BAS Excluded","GST on Income")</f>
        <v>GST on Income</v>
      </c>
      <c r="U845">
        <f>IF(O845=T845,1,0)</f>
        <v>1</v>
      </c>
      <c r="V845" s="9">
        <f>IF(OR(M845=0,U845=1),0,IF(T845="GST on Income",ROUND(K845*0.1,2),ROUND(-K845*0.1,2)))</f>
        <v>0</v>
      </c>
    </row>
    <row r="846">
      <c r="A846" t="inlineStr">
        <is>
          <t>INV-4763-1</t>
        </is>
      </c>
      <c r="B846" t="inlineStr">
        <is>
          <t>INV-4763</t>
        </is>
      </c>
      <c r="C846" s="11" t="n">
        <v>45973</v>
      </c>
      <c r="D846" t="inlineStr">
        <is>
          <t>2025-11</t>
        </is>
      </c>
      <c r="E846" t="inlineStr">
        <is>
          <t>C0012</t>
        </is>
      </c>
      <c r="F846" t="inlineStr">
        <is>
          <t>C0012</t>
        </is>
      </c>
      <c r="G846" t="inlineStr">
        <is>
          <t>Kestrel Constructions Pty Ltd</t>
        </is>
      </c>
      <c r="H846" t="inlineStr">
        <is>
          <t>S0138</t>
        </is>
      </c>
      <c r="I846" t="inlineStr">
        <is>
          <t>Collection and dismantle - temporary fencing</t>
        </is>
      </c>
      <c r="J846" t="n">
        <v>1</v>
      </c>
      <c r="K846" s="9" t="n">
        <v>165</v>
      </c>
      <c r="L846" t="inlineStr">
        <is>
          <t>PAID</t>
        </is>
      </c>
      <c r="M846">
        <f>IF(L846="VOIDED",0,1)</f>
        <v>1</v>
      </c>
      <c r="N846" t="n">
        <v>200</v>
      </c>
      <c r="O846" t="inlineStr">
        <is>
          <t>GST on Income</t>
        </is>
      </c>
      <c r="P846" t="inlineStr">
        <is>
          <t>R07</t>
        </is>
      </c>
      <c r="Q846" t="inlineStr">
        <is>
          <t>DEL-FP</t>
        </is>
      </c>
      <c r="R846">
        <f>IF(OR(Q846="CONTEXT",Q846="REVIEW"),"",INDEX('Category Rules'!$D$5:$D$17,MATCH(P846,'Category Rules'!$A$5:$A$17,0)))</f>
        <v>4020</v>
      </c>
      <c r="S846" t="str">
        <f>IF(Q846="CONTEXT","Fencing",IF(Q846="REVIEW","",INDEX('Category Rules'!$E$5:$E$17,MATCH(P846,'Category Rules'!$A$5:$A$17,0))))</f>
        <v>Fencing</v>
      </c>
      <c r="T846" t="str">
        <f>IF(Q846="DEP","BAS Excluded","GST on Income")</f>
        <v>GST on Income</v>
      </c>
      <c r="U846">
        <f>IF(O846=T846,1,0)</f>
        <v>1</v>
      </c>
      <c r="V846" s="9">
        <f>IF(OR(M846=0,U846=1),0,IF(T846="GST on Income",ROUND(K846*0.1,2),ROUND(-K846*0.1,2)))</f>
        <v>0</v>
      </c>
    </row>
    <row r="847">
      <c r="A847" t="inlineStr">
        <is>
          <t>INV-4799-1</t>
        </is>
      </c>
      <c r="B847" t="inlineStr">
        <is>
          <t>INV-4799</t>
        </is>
      </c>
      <c r="C847" s="11" t="n">
        <v>45973</v>
      </c>
      <c r="D847" t="inlineStr">
        <is>
          <t>2025-11</t>
        </is>
      </c>
      <c r="E847" t="inlineStr">
        <is>
          <t>C0042</t>
        </is>
      </c>
      <c r="F847" t="inlineStr">
        <is>
          <t>C0042</t>
        </is>
      </c>
      <c r="G847" t="inlineStr">
        <is>
          <t>Lakeside Constructions Pty Ltd</t>
        </is>
      </c>
      <c r="H847" t="inlineStr">
        <is>
          <t>S0149</t>
        </is>
      </c>
      <c r="I847" t="inlineStr">
        <is>
          <t>Temporary fence hire 3 wks (28/10/25-11/11/25) - 15 panels</t>
        </is>
      </c>
      <c r="J847" t="n">
        <v>45</v>
      </c>
      <c r="K847" s="9" t="n">
        <v>202.5</v>
      </c>
      <c r="L847" t="inlineStr">
        <is>
          <t>PAID</t>
        </is>
      </c>
      <c r="M847">
        <f>IF(L847="VOIDED",0,1)</f>
        <v>1</v>
      </c>
      <c r="N847" t="n">
        <v>200</v>
      </c>
      <c r="O847" t="inlineStr">
        <is>
          <t>GST on Income</t>
        </is>
      </c>
      <c r="P847" t="inlineStr">
        <is>
          <t>R03</t>
        </is>
      </c>
      <c r="Q847" t="inlineStr">
        <is>
          <t>HIRE-FP</t>
        </is>
      </c>
      <c r="R847">
        <f>IF(OR(Q847="CONTEXT",Q847="REVIEW"),"",INDEX('Category Rules'!$D$5:$D$17,MATCH(P847,'Category Rules'!$A$5:$A$17,0)))</f>
        <v>4010</v>
      </c>
      <c r="S847" t="str">
        <f>IF(Q847="CONTEXT","Fencing",IF(Q847="REVIEW","",INDEX('Category Rules'!$E$5:$E$17,MATCH(P847,'Category Rules'!$A$5:$A$17,0))))</f>
        <v>Fencing</v>
      </c>
      <c r="T847" t="str">
        <f>IF(Q847="DEP","BAS Excluded","GST on Income")</f>
        <v>GST on Income</v>
      </c>
      <c r="U847">
        <f>IF(O847=T847,1,0)</f>
        <v>1</v>
      </c>
      <c r="V847" s="9">
        <f>IF(OR(M847=0,U847=1),0,IF(T847="GST on Income",ROUND(K847*0.1,2),ROUND(-K847*0.1,2)))</f>
        <v>0</v>
      </c>
    </row>
    <row r="848">
      <c r="A848" t="inlineStr">
        <is>
          <t>INV-4800-1</t>
        </is>
      </c>
      <c r="B848" t="inlineStr">
        <is>
          <t>INV-4800</t>
        </is>
      </c>
      <c r="C848" s="11" t="n">
        <v>45973</v>
      </c>
      <c r="D848" t="inlineStr">
        <is>
          <t>2025-11</t>
        </is>
      </c>
      <c r="E848" t="inlineStr">
        <is>
          <t>C0042</t>
        </is>
      </c>
      <c r="F848" t="inlineStr">
        <is>
          <t>C0042</t>
        </is>
      </c>
      <c r="G848" t="inlineStr">
        <is>
          <t>Lakeside Constructions Pty Ltd</t>
        </is>
      </c>
      <c r="H848" t="inlineStr">
        <is>
          <t>S0149</t>
        </is>
      </c>
      <c r="I848" t="inlineStr">
        <is>
          <t>Pedestrian barrier hire 3 wks (28/10/25-11/11/25) - 22 barriers</t>
        </is>
      </c>
      <c r="J848" t="n">
        <v>66</v>
      </c>
      <c r="K848" s="9" t="n">
        <v>211.2</v>
      </c>
      <c r="L848" t="inlineStr">
        <is>
          <t>PAID</t>
        </is>
      </c>
      <c r="M848">
        <f>IF(L848="VOIDED",0,1)</f>
        <v>1</v>
      </c>
      <c r="N848" t="n">
        <v>200</v>
      </c>
      <c r="O848" t="inlineStr">
        <is>
          <t>GST on Income</t>
        </is>
      </c>
      <c r="P848" t="inlineStr">
        <is>
          <t>R04</t>
        </is>
      </c>
      <c r="Q848" t="inlineStr">
        <is>
          <t>HIRE-BR</t>
        </is>
      </c>
      <c r="R848">
        <f>IF(OR(Q848="CONTEXT",Q848="REVIEW"),"",INDEX('Category Rules'!$D$5:$D$17,MATCH(P848,'Category Rules'!$A$5:$A$17,0)))</f>
        <v>4010</v>
      </c>
      <c r="S848" t="str">
        <f>IF(Q848="CONTEXT","Fencing",IF(Q848="REVIEW","",INDEX('Category Rules'!$E$5:$E$17,MATCH(P848,'Category Rules'!$A$5:$A$17,0))))</f>
        <v>Fencing</v>
      </c>
      <c r="T848" t="str">
        <f>IF(Q848="DEP","BAS Excluded","GST on Income")</f>
        <v>GST on Income</v>
      </c>
      <c r="U848">
        <f>IF(O848=T848,1,0)</f>
        <v>1</v>
      </c>
      <c r="V848" s="9">
        <f>IF(OR(M848=0,U848=1),0,IF(T848="GST on Income",ROUND(K848*0.1,2),ROUND(-K848*0.1,2)))</f>
        <v>0</v>
      </c>
    </row>
    <row r="849">
      <c r="A849" t="inlineStr">
        <is>
          <t>INV-4802-1</t>
        </is>
      </c>
      <c r="B849" t="inlineStr">
        <is>
          <t>INV-4802</t>
        </is>
      </c>
      <c r="C849" s="11" t="n">
        <v>45973</v>
      </c>
      <c r="D849" t="inlineStr">
        <is>
          <t>2025-11</t>
        </is>
      </c>
      <c r="E849" t="inlineStr">
        <is>
          <t>C0148</t>
        </is>
      </c>
      <c r="F849" t="inlineStr">
        <is>
          <t>C0042</t>
        </is>
      </c>
      <c r="G849" t="inlineStr">
        <is>
          <t>Lakeside Constructions Pty Ltd</t>
        </is>
      </c>
      <c r="H849" t="inlineStr">
        <is>
          <t>S0149</t>
        </is>
      </c>
      <c r="I849" t="inlineStr">
        <is>
          <t>Collection and dismantle - temporary fencing</t>
        </is>
      </c>
      <c r="J849" t="n">
        <v>1</v>
      </c>
      <c r="K849" s="9" t="n">
        <v>165</v>
      </c>
      <c r="L849" t="inlineStr">
        <is>
          <t>PAID</t>
        </is>
      </c>
      <c r="M849">
        <f>IF(L849="VOIDED",0,1)</f>
        <v>1</v>
      </c>
      <c r="N849" t="n">
        <v>200</v>
      </c>
      <c r="O849" t="inlineStr">
        <is>
          <t>GST on Income</t>
        </is>
      </c>
      <c r="P849" t="inlineStr">
        <is>
          <t>R07</t>
        </is>
      </c>
      <c r="Q849" t="inlineStr">
        <is>
          <t>DEL-FP</t>
        </is>
      </c>
      <c r="R849">
        <f>IF(OR(Q849="CONTEXT",Q849="REVIEW"),"",INDEX('Category Rules'!$D$5:$D$17,MATCH(P849,'Category Rules'!$A$5:$A$17,0)))</f>
        <v>4020</v>
      </c>
      <c r="S849" t="str">
        <f>IF(Q849="CONTEXT","Fencing",IF(Q849="REVIEW","",INDEX('Category Rules'!$E$5:$E$17,MATCH(P849,'Category Rules'!$A$5:$A$17,0))))</f>
        <v>Fencing</v>
      </c>
      <c r="T849" t="str">
        <f>IF(Q849="DEP","BAS Excluded","GST on Income")</f>
        <v>GST on Income</v>
      </c>
      <c r="U849">
        <f>IF(O849=T849,1,0)</f>
        <v>1</v>
      </c>
      <c r="V849" s="9">
        <f>IF(OR(M849=0,U849=1),0,IF(T849="GST on Income",ROUND(K849*0.1,2),ROUND(-K849*0.1,2)))</f>
        <v>0</v>
      </c>
    </row>
    <row r="850">
      <c r="A850" t="inlineStr">
        <is>
          <t>INV-4849-1</t>
        </is>
      </c>
      <c r="B850" t="inlineStr">
        <is>
          <t>INV-4849</t>
        </is>
      </c>
      <c r="C850" s="11" t="n">
        <v>45973</v>
      </c>
      <c r="D850" t="inlineStr">
        <is>
          <t>2025-11</t>
        </is>
      </c>
      <c r="E850" t="inlineStr">
        <is>
          <t>C0035</t>
        </is>
      </c>
      <c r="F850" t="inlineStr">
        <is>
          <t>C0035</t>
        </is>
      </c>
      <c r="G850" t="inlineStr">
        <is>
          <t>Bayside Homes Pty Ltd</t>
        </is>
      </c>
      <c r="H850" t="inlineStr">
        <is>
          <t>S0159</t>
        </is>
      </c>
      <c r="I850" t="inlineStr">
        <is>
          <t>Delivery and installation - temporary fencing</t>
        </is>
      </c>
      <c r="J850" t="n">
        <v>1</v>
      </c>
      <c r="K850" s="9" t="n">
        <v>165</v>
      </c>
      <c r="L850" t="inlineStr">
        <is>
          <t>PAID</t>
        </is>
      </c>
      <c r="M850">
        <f>IF(L850="VOIDED",0,1)</f>
        <v>1</v>
      </c>
      <c r="N850" t="n">
        <v>200</v>
      </c>
      <c r="O850" t="inlineStr">
        <is>
          <t>BAS Excluded</t>
        </is>
      </c>
      <c r="P850" t="inlineStr">
        <is>
          <t>R07</t>
        </is>
      </c>
      <c r="Q850" t="inlineStr">
        <is>
          <t>DEL-FP</t>
        </is>
      </c>
      <c r="R850">
        <f>IF(OR(Q850="CONTEXT",Q850="REVIEW"),"",INDEX('Category Rules'!$D$5:$D$17,MATCH(P850,'Category Rules'!$A$5:$A$17,0)))</f>
        <v>4020</v>
      </c>
      <c r="S850" t="str">
        <f>IF(Q850="CONTEXT","Fencing",IF(Q850="REVIEW","",INDEX('Category Rules'!$E$5:$E$17,MATCH(P850,'Category Rules'!$A$5:$A$17,0))))</f>
        <v>Fencing</v>
      </c>
      <c r="T850" t="str">
        <f>IF(Q850="DEP","BAS Excluded","GST on Income")</f>
        <v>GST on Income</v>
      </c>
      <c r="U850">
        <f>IF(O850=T850,1,0)</f>
        <v>0</v>
      </c>
      <c r="V850" s="9">
        <f>IF(OR(M850=0,U850=1),0,IF(T850="GST on Income",ROUND(K850*0.1,2),ROUND(-K850*0.1,2)))</f>
        <v>16.5</v>
      </c>
    </row>
    <row r="851">
      <c r="A851" t="inlineStr">
        <is>
          <t>INV-4849-2</t>
        </is>
      </c>
      <c r="B851" t="inlineStr">
        <is>
          <t>INV-4849</t>
        </is>
      </c>
      <c r="C851" s="11" t="n">
        <v>45973</v>
      </c>
      <c r="D851" t="inlineStr">
        <is>
          <t>2025-11</t>
        </is>
      </c>
      <c r="E851" t="inlineStr">
        <is>
          <t>C0035</t>
        </is>
      </c>
      <c r="F851" t="inlineStr">
        <is>
          <t>C0035</t>
        </is>
      </c>
      <c r="G851" t="inlineStr">
        <is>
          <t>Bayside Homes Pty Ltd</t>
        </is>
      </c>
      <c r="H851" t="inlineStr">
        <is>
          <t>S0159</t>
        </is>
      </c>
      <c r="I851" t="inlineStr">
        <is>
          <t>Installation labour - 37 panels @ 2.20</t>
        </is>
      </c>
      <c r="J851" t="n">
        <v>37</v>
      </c>
      <c r="K851" s="9" t="n">
        <v>81.40000000000001</v>
      </c>
      <c r="L851" t="inlineStr">
        <is>
          <t>PAID</t>
        </is>
      </c>
      <c r="M851">
        <f>IF(L851="VOIDED",0,1)</f>
        <v>1</v>
      </c>
      <c r="N851" t="n">
        <v>200</v>
      </c>
      <c r="O851" t="inlineStr">
        <is>
          <t>GST on Income</t>
        </is>
      </c>
      <c r="P851" t="inlineStr">
        <is>
          <t>R07</t>
        </is>
      </c>
      <c r="Q851" t="inlineStr">
        <is>
          <t>DEL-FP</t>
        </is>
      </c>
      <c r="R851">
        <f>IF(OR(Q851="CONTEXT",Q851="REVIEW"),"",INDEX('Category Rules'!$D$5:$D$17,MATCH(P851,'Category Rules'!$A$5:$A$17,0)))</f>
        <v>4020</v>
      </c>
      <c r="S851" t="str">
        <f>IF(Q851="CONTEXT","Fencing",IF(Q851="REVIEW","",INDEX('Category Rules'!$E$5:$E$17,MATCH(P851,'Category Rules'!$A$5:$A$17,0))))</f>
        <v>Fencing</v>
      </c>
      <c r="T851" t="str">
        <f>IF(Q851="DEP","BAS Excluded","GST on Income")</f>
        <v>GST on Income</v>
      </c>
      <c r="U851">
        <f>IF(O851=T851,1,0)</f>
        <v>1</v>
      </c>
      <c r="V851" s="9">
        <f>IF(OR(M851=0,U851=1),0,IF(T851="GST on Income",ROUND(K851*0.1,2),ROUND(-K851*0.1,2)))</f>
        <v>0</v>
      </c>
    </row>
    <row r="852">
      <c r="A852" t="inlineStr">
        <is>
          <t>INV-5529-1</t>
        </is>
      </c>
      <c r="B852" t="inlineStr">
        <is>
          <t>INV-5529</t>
        </is>
      </c>
      <c r="C852" s="11" t="n">
        <v>45973</v>
      </c>
      <c r="D852" t="inlineStr">
        <is>
          <t>2025-11</t>
        </is>
      </c>
      <c r="E852" t="inlineStr">
        <is>
          <t>C0068</t>
        </is>
      </c>
      <c r="F852" t="inlineStr">
        <is>
          <t>C0068</t>
        </is>
      </c>
      <c r="G852" t="inlineStr">
        <is>
          <t>Coastline Claims Services</t>
        </is>
      </c>
      <c r="H852" t="inlineStr">
        <is>
          <t>S0339</t>
        </is>
      </c>
      <c r="I852" t="inlineStr">
        <is>
          <t>Roof repair labour - 12 hrs</t>
        </is>
      </c>
      <c r="J852" t="n">
        <v>12</v>
      </c>
      <c r="K852" s="9" t="n">
        <v>1176</v>
      </c>
      <c r="L852" t="inlineStr">
        <is>
          <t>PAID</t>
        </is>
      </c>
      <c r="M852">
        <f>IF(L852="VOIDED",0,1)</f>
        <v>1</v>
      </c>
      <c r="N852" t="n">
        <v>200</v>
      </c>
      <c r="O852" t="inlineStr">
        <is>
          <t>GST on Income</t>
        </is>
      </c>
      <c r="P852" t="inlineStr">
        <is>
          <t>R10</t>
        </is>
      </c>
      <c r="Q852" t="inlineStr">
        <is>
          <t>LAB-RF</t>
        </is>
      </c>
      <c r="R852">
        <f>IF(OR(Q852="CONTEXT",Q852="REVIEW"),"",INDEX('Category Rules'!$D$5:$D$17,MATCH(P852,'Category Rules'!$A$5:$A$17,0)))</f>
        <v>4020</v>
      </c>
      <c r="S852" t="str">
        <f>IF(Q852="CONTEXT","Roofing",IF(Q852="REVIEW","",INDEX('Category Rules'!$E$5:$E$17,MATCH(P852,'Category Rules'!$A$5:$A$17,0))))</f>
        <v>Roofing</v>
      </c>
      <c r="T852" t="str">
        <f>IF(Q852="DEP","BAS Excluded","GST on Income")</f>
        <v>GST on Income</v>
      </c>
      <c r="U852">
        <f>IF(O852=T852,1,0)</f>
        <v>1</v>
      </c>
      <c r="V852" s="9">
        <f>IF(OR(M852=0,U852=1),0,IF(T852="GST on Income",ROUND(K852*0.1,2),ROUND(-K852*0.1,2)))</f>
        <v>0</v>
      </c>
    </row>
    <row r="853">
      <c r="A853" t="inlineStr">
        <is>
          <t>INV-5529-2</t>
        </is>
      </c>
      <c r="B853" t="inlineStr">
        <is>
          <t>INV-5529</t>
        </is>
      </c>
      <c r="C853" s="11" t="n">
        <v>45973</v>
      </c>
      <c r="D853" t="inlineStr">
        <is>
          <t>2025-11</t>
        </is>
      </c>
      <c r="E853" t="inlineStr">
        <is>
          <t>C0068</t>
        </is>
      </c>
      <c r="F853" t="inlineStr">
        <is>
          <t>C0068</t>
        </is>
      </c>
      <c r="G853" t="inlineStr">
        <is>
          <t>Coastline Claims Services</t>
        </is>
      </c>
      <c r="H853" t="inlineStr">
        <is>
          <t>S0339</t>
        </is>
      </c>
      <c r="I853" t="inlineStr">
        <is>
          <t>Materials - gutter and downpipe</t>
        </is>
      </c>
      <c r="J853" t="n">
        <v>1</v>
      </c>
      <c r="K853" s="9" t="n">
        <v>669.89</v>
      </c>
      <c r="L853" t="inlineStr">
        <is>
          <t>PAID</t>
        </is>
      </c>
      <c r="M853">
        <f>IF(L853="VOIDED",0,1)</f>
        <v>1</v>
      </c>
      <c r="N853" t="n">
        <v>200</v>
      </c>
      <c r="O853" t="inlineStr">
        <is>
          <t>GST on Income</t>
        </is>
      </c>
      <c r="P853" t="inlineStr">
        <is>
          <t>R11</t>
        </is>
      </c>
      <c r="Q853" t="inlineStr">
        <is>
          <t>MAT-RF</t>
        </is>
      </c>
      <c r="R853">
        <f>IF(OR(Q853="CONTEXT",Q853="REVIEW"),"",INDEX('Category Rules'!$D$5:$D$17,MATCH(P853,'Category Rules'!$A$5:$A$17,0)))</f>
        <v>4030</v>
      </c>
      <c r="S853" t="str">
        <f>IF(Q853="CONTEXT","Roofing",IF(Q853="REVIEW","",INDEX('Category Rules'!$E$5:$E$17,MATCH(P853,'Category Rules'!$A$5:$A$17,0))))</f>
        <v>Roofing</v>
      </c>
      <c r="T853" t="str">
        <f>IF(Q853="DEP","BAS Excluded","GST on Income")</f>
        <v>GST on Income</v>
      </c>
      <c r="U853">
        <f>IF(O853=T853,1,0)</f>
        <v>1</v>
      </c>
      <c r="V853" s="9">
        <f>IF(OR(M853=0,U853=1),0,IF(T853="GST on Income",ROUND(K853*0.1,2),ROUND(-K853*0.1,2)))</f>
        <v>0</v>
      </c>
    </row>
    <row r="854">
      <c r="A854" t="inlineStr">
        <is>
          <t>INV-4351-1</t>
        </is>
      </c>
      <c r="B854" t="inlineStr">
        <is>
          <t>INV-4351</t>
        </is>
      </c>
      <c r="C854" s="11" t="n">
        <v>45974</v>
      </c>
      <c r="D854" t="inlineStr">
        <is>
          <t>2025-11</t>
        </is>
      </c>
      <c r="E854" t="inlineStr">
        <is>
          <t>C0144</t>
        </is>
      </c>
      <c r="F854" t="inlineStr">
        <is>
          <t>C0001</t>
        </is>
      </c>
      <c r="G854" t="inlineStr">
        <is>
          <t>Parkview Projects Pty Ltd</t>
        </is>
      </c>
      <c r="H854" t="inlineStr">
        <is>
          <t>S0053</t>
        </is>
      </c>
      <c r="I854" t="inlineStr">
        <is>
          <t>Temporary fence hire 4 wks (16/10/25-12/11/25) - 143 panels</t>
        </is>
      </c>
      <c r="J854" t="n">
        <v>572</v>
      </c>
      <c r="K854" s="9" t="n">
        <v>2574</v>
      </c>
      <c r="L854" t="inlineStr">
        <is>
          <t>PAID</t>
        </is>
      </c>
      <c r="M854">
        <f>IF(L854="VOIDED",0,1)</f>
        <v>1</v>
      </c>
      <c r="N854" t="n">
        <v>200</v>
      </c>
      <c r="O854" t="inlineStr">
        <is>
          <t>GST on Income</t>
        </is>
      </c>
      <c r="P854" t="inlineStr">
        <is>
          <t>R03</t>
        </is>
      </c>
      <c r="Q854" t="inlineStr">
        <is>
          <t>HIRE-FP</t>
        </is>
      </c>
      <c r="R854">
        <f>IF(OR(Q854="CONTEXT",Q854="REVIEW"),"",INDEX('Category Rules'!$D$5:$D$17,MATCH(P854,'Category Rules'!$A$5:$A$17,0)))</f>
        <v>4010</v>
      </c>
      <c r="S854" t="str">
        <f>IF(Q854="CONTEXT","Fencing",IF(Q854="REVIEW","",INDEX('Category Rules'!$E$5:$E$17,MATCH(P854,'Category Rules'!$A$5:$A$17,0))))</f>
        <v>Fencing</v>
      </c>
      <c r="T854" t="str">
        <f>IF(Q854="DEP","BAS Excluded","GST on Income")</f>
        <v>GST on Income</v>
      </c>
      <c r="U854">
        <f>IF(O854=T854,1,0)</f>
        <v>1</v>
      </c>
      <c r="V854" s="9">
        <f>IF(OR(M854=0,U854=1),0,IF(T854="GST on Income",ROUND(K854*0.1,2),ROUND(-K854*0.1,2)))</f>
        <v>0</v>
      </c>
    </row>
    <row r="855">
      <c r="A855" t="inlineStr">
        <is>
          <t>INV-4395-1</t>
        </is>
      </c>
      <c r="B855" t="inlineStr">
        <is>
          <t>INV-4395</t>
        </is>
      </c>
      <c r="C855" s="11" t="n">
        <v>45974</v>
      </c>
      <c r="D855" t="inlineStr">
        <is>
          <t>2025-11</t>
        </is>
      </c>
      <c r="E855" t="inlineStr">
        <is>
          <t>C0038</t>
        </is>
      </c>
      <c r="F855" t="inlineStr">
        <is>
          <t>C0038</t>
        </is>
      </c>
      <c r="G855" t="inlineStr">
        <is>
          <t>Cobalt Constructions Pty Ltd</t>
        </is>
      </c>
      <c r="H855" t="inlineStr">
        <is>
          <t>S0061</t>
        </is>
      </c>
      <c r="I855" t="inlineStr">
        <is>
          <t>Delivery and installation - temporary fencing</t>
        </is>
      </c>
      <c r="J855" t="n">
        <v>1</v>
      </c>
      <c r="K855" s="9" t="n">
        <v>165</v>
      </c>
      <c r="L855" t="inlineStr">
        <is>
          <t>PAID</t>
        </is>
      </c>
      <c r="M855">
        <f>IF(L855="VOIDED",0,1)</f>
        <v>1</v>
      </c>
      <c r="N855" t="n">
        <v>200</v>
      </c>
      <c r="O855" t="inlineStr">
        <is>
          <t>GST on Income</t>
        </is>
      </c>
      <c r="P855" t="inlineStr">
        <is>
          <t>R07</t>
        </is>
      </c>
      <c r="Q855" t="inlineStr">
        <is>
          <t>DEL-FP</t>
        </is>
      </c>
      <c r="R855">
        <f>IF(OR(Q855="CONTEXT",Q855="REVIEW"),"",INDEX('Category Rules'!$D$5:$D$17,MATCH(P855,'Category Rules'!$A$5:$A$17,0)))</f>
        <v>4020</v>
      </c>
      <c r="S855" t="str">
        <f>IF(Q855="CONTEXT","Fencing",IF(Q855="REVIEW","",INDEX('Category Rules'!$E$5:$E$17,MATCH(P855,'Category Rules'!$A$5:$A$17,0))))</f>
        <v>Fencing</v>
      </c>
      <c r="T855" t="str">
        <f>IF(Q855="DEP","BAS Excluded","GST on Income")</f>
        <v>GST on Income</v>
      </c>
      <c r="U855">
        <f>IF(O855=T855,1,0)</f>
        <v>1</v>
      </c>
      <c r="V855" s="9">
        <f>IF(OR(M855=0,U855=1),0,IF(T855="GST on Income",ROUND(K855*0.1,2),ROUND(-K855*0.1,2)))</f>
        <v>0</v>
      </c>
    </row>
    <row r="856">
      <c r="A856" t="inlineStr">
        <is>
          <t>INV-4395-2</t>
        </is>
      </c>
      <c r="B856" t="inlineStr">
        <is>
          <t>INV-4395</t>
        </is>
      </c>
      <c r="C856" s="11" t="n">
        <v>45974</v>
      </c>
      <c r="D856" t="inlineStr">
        <is>
          <t>2025-11</t>
        </is>
      </c>
      <c r="E856" t="inlineStr">
        <is>
          <t>C0038</t>
        </is>
      </c>
      <c r="F856" t="inlineStr">
        <is>
          <t>C0038</t>
        </is>
      </c>
      <c r="G856" t="inlineStr">
        <is>
          <t>Cobalt Constructions Pty Ltd</t>
        </is>
      </c>
      <c r="H856" t="inlineStr">
        <is>
          <t>S0061</t>
        </is>
      </c>
      <c r="I856" t="inlineStr">
        <is>
          <t>Installation labour - 127 panels @ 2.20</t>
        </is>
      </c>
      <c r="J856" t="n">
        <v>127</v>
      </c>
      <c r="K856" s="9" t="n">
        <v>279.4</v>
      </c>
      <c r="L856" t="inlineStr">
        <is>
          <t>PAID</t>
        </is>
      </c>
      <c r="M856">
        <f>IF(L856="VOIDED",0,1)</f>
        <v>1</v>
      </c>
      <c r="N856" t="n">
        <v>200</v>
      </c>
      <c r="O856" t="inlineStr">
        <is>
          <t>GST on Income</t>
        </is>
      </c>
      <c r="P856" t="inlineStr">
        <is>
          <t>R07</t>
        </is>
      </c>
      <c r="Q856" t="inlineStr">
        <is>
          <t>DEL-FP</t>
        </is>
      </c>
      <c r="R856">
        <f>IF(OR(Q856="CONTEXT",Q856="REVIEW"),"",INDEX('Category Rules'!$D$5:$D$17,MATCH(P856,'Category Rules'!$A$5:$A$17,0)))</f>
        <v>4020</v>
      </c>
      <c r="S856" t="str">
        <f>IF(Q856="CONTEXT","Fencing",IF(Q856="REVIEW","",INDEX('Category Rules'!$E$5:$E$17,MATCH(P856,'Category Rules'!$A$5:$A$17,0))))</f>
        <v>Fencing</v>
      </c>
      <c r="T856" t="str">
        <f>IF(Q856="DEP","BAS Excluded","GST on Income")</f>
        <v>GST on Income</v>
      </c>
      <c r="U856">
        <f>IF(O856=T856,1,0)</f>
        <v>1</v>
      </c>
      <c r="V856" s="9">
        <f>IF(OR(M856=0,U856=1),0,IF(T856="GST on Income",ROUND(K856*0.1,2),ROUND(-K856*0.1,2)))</f>
        <v>0</v>
      </c>
    </row>
    <row r="857">
      <c r="A857" t="inlineStr">
        <is>
          <t>INV-4733-1</t>
        </is>
      </c>
      <c r="B857" t="inlineStr">
        <is>
          <t>INV-4733</t>
        </is>
      </c>
      <c r="C857" s="11" t="n">
        <v>45974</v>
      </c>
      <c r="D857" t="inlineStr">
        <is>
          <t>2025-11</t>
        </is>
      </c>
      <c r="E857" t="inlineStr">
        <is>
          <t>C0040</t>
        </is>
      </c>
      <c r="F857" t="inlineStr">
        <is>
          <t>C0040</t>
        </is>
      </c>
      <c r="G857" t="inlineStr">
        <is>
          <t>Coastline Projects Pty Ltd</t>
        </is>
      </c>
      <c r="H857" t="inlineStr">
        <is>
          <t>S0132</t>
        </is>
      </c>
      <c r="I857" t="inlineStr">
        <is>
          <t>Delivery and installation - temporary fencing</t>
        </is>
      </c>
      <c r="J857" t="n">
        <v>1</v>
      </c>
      <c r="K857" s="9" t="n">
        <v>165</v>
      </c>
      <c r="L857" t="inlineStr">
        <is>
          <t>PAID</t>
        </is>
      </c>
      <c r="M857">
        <f>IF(L857="VOIDED",0,1)</f>
        <v>1</v>
      </c>
      <c r="N857" t="n">
        <v>200</v>
      </c>
      <c r="O857" t="inlineStr">
        <is>
          <t>GST on Income</t>
        </is>
      </c>
      <c r="P857" t="inlineStr">
        <is>
          <t>R07</t>
        </is>
      </c>
      <c r="Q857" t="inlineStr">
        <is>
          <t>DEL-FP</t>
        </is>
      </c>
      <c r="R857">
        <f>IF(OR(Q857="CONTEXT",Q857="REVIEW"),"",INDEX('Category Rules'!$D$5:$D$17,MATCH(P857,'Category Rules'!$A$5:$A$17,0)))</f>
        <v>4020</v>
      </c>
      <c r="S857" t="str">
        <f>IF(Q857="CONTEXT","Fencing",IF(Q857="REVIEW","",INDEX('Category Rules'!$E$5:$E$17,MATCH(P857,'Category Rules'!$A$5:$A$17,0))))</f>
        <v>Fencing</v>
      </c>
      <c r="T857" t="str">
        <f>IF(Q857="DEP","BAS Excluded","GST on Income")</f>
        <v>GST on Income</v>
      </c>
      <c r="U857">
        <f>IF(O857=T857,1,0)</f>
        <v>1</v>
      </c>
      <c r="V857" s="9">
        <f>IF(OR(M857=0,U857=1),0,IF(T857="GST on Income",ROUND(K857*0.1,2),ROUND(-K857*0.1,2)))</f>
        <v>0</v>
      </c>
    </row>
    <row r="858">
      <c r="A858" t="inlineStr">
        <is>
          <t>INV-4733-2</t>
        </is>
      </c>
      <c r="B858" t="inlineStr">
        <is>
          <t>INV-4733</t>
        </is>
      </c>
      <c r="C858" s="11" t="n">
        <v>45974</v>
      </c>
      <c r="D858" t="inlineStr">
        <is>
          <t>2025-11</t>
        </is>
      </c>
      <c r="E858" t="inlineStr">
        <is>
          <t>C0040</t>
        </is>
      </c>
      <c r="F858" t="inlineStr">
        <is>
          <t>C0040</t>
        </is>
      </c>
      <c r="G858" t="inlineStr">
        <is>
          <t>Coastline Projects Pty Ltd</t>
        </is>
      </c>
      <c r="H858" t="inlineStr">
        <is>
          <t>S0132</t>
        </is>
      </c>
      <c r="I858" t="inlineStr">
        <is>
          <t>Installation labour - 146 panels @ 2.20</t>
        </is>
      </c>
      <c r="J858" t="n">
        <v>146</v>
      </c>
      <c r="K858" s="9" t="n">
        <v>321.2</v>
      </c>
      <c r="L858" t="inlineStr">
        <is>
          <t>PAID</t>
        </is>
      </c>
      <c r="M858">
        <f>IF(L858="VOIDED",0,1)</f>
        <v>1</v>
      </c>
      <c r="N858" t="n">
        <v>200</v>
      </c>
      <c r="O858" t="inlineStr">
        <is>
          <t>GST on Income</t>
        </is>
      </c>
      <c r="P858" t="inlineStr">
        <is>
          <t>R07</t>
        </is>
      </c>
      <c r="Q858" t="inlineStr">
        <is>
          <t>DEL-FP</t>
        </is>
      </c>
      <c r="R858">
        <f>IF(OR(Q858="CONTEXT",Q858="REVIEW"),"",INDEX('Category Rules'!$D$5:$D$17,MATCH(P858,'Category Rules'!$A$5:$A$17,0)))</f>
        <v>4020</v>
      </c>
      <c r="S858" t="str">
        <f>IF(Q858="CONTEXT","Fencing",IF(Q858="REVIEW","",INDEX('Category Rules'!$E$5:$E$17,MATCH(P858,'Category Rules'!$A$5:$A$17,0))))</f>
        <v>Fencing</v>
      </c>
      <c r="T858" t="str">
        <f>IF(Q858="DEP","BAS Excluded","GST on Income")</f>
        <v>GST on Income</v>
      </c>
      <c r="U858">
        <f>IF(O858=T858,1,0)</f>
        <v>1</v>
      </c>
      <c r="V858" s="9">
        <f>IF(OR(M858=0,U858=1),0,IF(T858="GST on Income",ROUND(K858*0.1,2),ROUND(-K858*0.1,2)))</f>
        <v>0</v>
      </c>
    </row>
    <row r="859">
      <c r="A859" t="inlineStr">
        <is>
          <t>INV-4991-1</t>
        </is>
      </c>
      <c r="B859" t="inlineStr">
        <is>
          <t>INV-4991</t>
        </is>
      </c>
      <c r="C859" s="11" t="n">
        <v>45974</v>
      </c>
      <c r="D859" t="inlineStr">
        <is>
          <t>2025-11</t>
        </is>
      </c>
      <c r="E859" t="inlineStr">
        <is>
          <t>C0136</t>
        </is>
      </c>
      <c r="F859" t="inlineStr">
        <is>
          <t>C0036</t>
        </is>
      </c>
      <c r="G859" t="inlineStr">
        <is>
          <t>Summit Homes Pty Ltd</t>
        </is>
      </c>
      <c r="H859" t="inlineStr">
        <is>
          <t>S0192</t>
        </is>
      </c>
      <c r="I859" t="inlineStr">
        <is>
          <t>Delivery and installation - temporary fencing</t>
        </is>
      </c>
      <c r="J859" t="n">
        <v>1</v>
      </c>
      <c r="K859" s="9" t="n">
        <v>165</v>
      </c>
      <c r="L859" t="inlineStr">
        <is>
          <t>PAID</t>
        </is>
      </c>
      <c r="M859">
        <f>IF(L859="VOIDED",0,1)</f>
        <v>1</v>
      </c>
      <c r="N859" t="n">
        <v>200</v>
      </c>
      <c r="O859" t="inlineStr">
        <is>
          <t>GST on Income</t>
        </is>
      </c>
      <c r="P859" t="inlineStr">
        <is>
          <t>R07</t>
        </is>
      </c>
      <c r="Q859" t="inlineStr">
        <is>
          <t>DEL-FP</t>
        </is>
      </c>
      <c r="R859">
        <f>IF(OR(Q859="CONTEXT",Q859="REVIEW"),"",INDEX('Category Rules'!$D$5:$D$17,MATCH(P859,'Category Rules'!$A$5:$A$17,0)))</f>
        <v>4020</v>
      </c>
      <c r="S859" t="str">
        <f>IF(Q859="CONTEXT","Fencing",IF(Q859="REVIEW","",INDEX('Category Rules'!$E$5:$E$17,MATCH(P859,'Category Rules'!$A$5:$A$17,0))))</f>
        <v>Fencing</v>
      </c>
      <c r="T859" t="str">
        <f>IF(Q859="DEP","BAS Excluded","GST on Income")</f>
        <v>GST on Income</v>
      </c>
      <c r="U859">
        <f>IF(O859=T859,1,0)</f>
        <v>1</v>
      </c>
      <c r="V859" s="9">
        <f>IF(OR(M859=0,U859=1),0,IF(T859="GST on Income",ROUND(K859*0.1,2),ROUND(-K859*0.1,2)))</f>
        <v>0</v>
      </c>
    </row>
    <row r="860">
      <c r="A860" t="inlineStr">
        <is>
          <t>INV-4991-2</t>
        </is>
      </c>
      <c r="B860" t="inlineStr">
        <is>
          <t>INV-4991</t>
        </is>
      </c>
      <c r="C860" s="11" t="n">
        <v>45974</v>
      </c>
      <c r="D860" t="inlineStr">
        <is>
          <t>2025-11</t>
        </is>
      </c>
      <c r="E860" t="inlineStr">
        <is>
          <t>C0136</t>
        </is>
      </c>
      <c r="F860" t="inlineStr">
        <is>
          <t>C0036</t>
        </is>
      </c>
      <c r="G860" t="inlineStr">
        <is>
          <t>Summit Homes Pty Ltd</t>
        </is>
      </c>
      <c r="H860" t="inlineStr">
        <is>
          <t>S0192</t>
        </is>
      </c>
      <c r="I860" t="inlineStr">
        <is>
          <t>Installation labour - 149 panels @ 2.20</t>
        </is>
      </c>
      <c r="J860" t="n">
        <v>149</v>
      </c>
      <c r="K860" s="9" t="n">
        <v>327.8</v>
      </c>
      <c r="L860" t="inlineStr">
        <is>
          <t>PAID</t>
        </is>
      </c>
      <c r="M860">
        <f>IF(L860="VOIDED",0,1)</f>
        <v>1</v>
      </c>
      <c r="N860" t="n">
        <v>200</v>
      </c>
      <c r="O860" t="inlineStr">
        <is>
          <t>GST on Income</t>
        </is>
      </c>
      <c r="P860" t="inlineStr">
        <is>
          <t>R07</t>
        </is>
      </c>
      <c r="Q860" t="inlineStr">
        <is>
          <t>DEL-FP</t>
        </is>
      </c>
      <c r="R860">
        <f>IF(OR(Q860="CONTEXT",Q860="REVIEW"),"",INDEX('Category Rules'!$D$5:$D$17,MATCH(P860,'Category Rules'!$A$5:$A$17,0)))</f>
        <v>4020</v>
      </c>
      <c r="S860" t="str">
        <f>IF(Q860="CONTEXT","Fencing",IF(Q860="REVIEW","",INDEX('Category Rules'!$E$5:$E$17,MATCH(P860,'Category Rules'!$A$5:$A$17,0))))</f>
        <v>Fencing</v>
      </c>
      <c r="T860" t="str">
        <f>IF(Q860="DEP","BAS Excluded","GST on Income")</f>
        <v>GST on Income</v>
      </c>
      <c r="U860">
        <f>IF(O860=T860,1,0)</f>
        <v>1</v>
      </c>
      <c r="V860" s="9">
        <f>IF(OR(M860=0,U860=1),0,IF(T860="GST on Income",ROUND(K860*0.1,2),ROUND(-K860*0.1,2)))</f>
        <v>0</v>
      </c>
    </row>
    <row r="861">
      <c r="A861" t="inlineStr">
        <is>
          <t>INV-5249-1</t>
        </is>
      </c>
      <c r="B861" t="inlineStr">
        <is>
          <t>INV-5249</t>
        </is>
      </c>
      <c r="C861" s="11" t="n">
        <v>45974</v>
      </c>
      <c r="D861" t="inlineStr">
        <is>
          <t>2025-11</t>
        </is>
      </c>
      <c r="E861" t="inlineStr">
        <is>
          <t>C0124</t>
        </is>
      </c>
      <c r="F861" t="inlineStr">
        <is>
          <t>C0124</t>
        </is>
      </c>
      <c r="G861" t="inlineStr">
        <is>
          <t>Harbor Strata Management</t>
        </is>
      </c>
      <c r="H861" t="inlineStr">
        <is>
          <t>S0247</t>
        </is>
      </c>
      <c r="I861" t="inlineStr">
        <is>
          <t>Scaffold tower hire 4 wks (16/10/25-12/11/25) - 2 towers</t>
        </is>
      </c>
      <c r="J861" t="n">
        <v>8</v>
      </c>
      <c r="K861" s="9" t="n">
        <v>760</v>
      </c>
      <c r="L861" t="inlineStr">
        <is>
          <t>PAID</t>
        </is>
      </c>
      <c r="M861">
        <f>IF(L861="VOIDED",0,1)</f>
        <v>1</v>
      </c>
      <c r="N861" t="n">
        <v>200</v>
      </c>
      <c r="O861" t="inlineStr">
        <is>
          <t>GST on Income</t>
        </is>
      </c>
      <c r="P861" t="inlineStr">
        <is>
          <t>R05</t>
        </is>
      </c>
      <c r="Q861" t="inlineStr">
        <is>
          <t>HIRE-ST</t>
        </is>
      </c>
      <c r="R861">
        <f>IF(OR(Q861="CONTEXT",Q861="REVIEW"),"",INDEX('Category Rules'!$D$5:$D$17,MATCH(P861,'Category Rules'!$A$5:$A$17,0)))</f>
        <v>4010</v>
      </c>
      <c r="S861" t="str">
        <f>IF(Q861="CONTEXT","Scaffolding",IF(Q861="REVIEW","",INDEX('Category Rules'!$E$5:$E$17,MATCH(P861,'Category Rules'!$A$5:$A$17,0))))</f>
        <v>Scaffolding</v>
      </c>
      <c r="T861" t="str">
        <f>IF(Q861="DEP","BAS Excluded","GST on Income")</f>
        <v>GST on Income</v>
      </c>
      <c r="U861">
        <f>IF(O861=T861,1,0)</f>
        <v>1</v>
      </c>
      <c r="V861" s="9">
        <f>IF(OR(M861=0,U861=1),0,IF(T861="GST on Income",ROUND(K861*0.1,2),ROUND(-K861*0.1,2)))</f>
        <v>0</v>
      </c>
    </row>
    <row r="862">
      <c r="A862" t="inlineStr">
        <is>
          <t>INV-5521-1</t>
        </is>
      </c>
      <c r="B862" t="inlineStr">
        <is>
          <t>INV-5521</t>
        </is>
      </c>
      <c r="C862" s="11" t="n">
        <v>45974</v>
      </c>
      <c r="D862" t="inlineStr">
        <is>
          <t>2025-11</t>
        </is>
      </c>
      <c r="E862" t="inlineStr">
        <is>
          <t>C0065</t>
        </is>
      </c>
      <c r="F862" t="inlineStr">
        <is>
          <t>C0065</t>
        </is>
      </c>
      <c r="G862" t="inlineStr">
        <is>
          <t>Stonebridge Claims Services</t>
        </is>
      </c>
      <c r="H862" t="inlineStr">
        <is>
          <t>S0336</t>
        </is>
      </c>
      <c r="I862" t="inlineStr">
        <is>
          <t>Make safe call-out</t>
        </is>
      </c>
      <c r="J862" t="n">
        <v>1</v>
      </c>
      <c r="K862" s="9" t="n">
        <v>385</v>
      </c>
      <c r="L862" t="inlineStr">
        <is>
          <t>PAID</t>
        </is>
      </c>
      <c r="M862">
        <f>IF(L862="VOIDED",0,1)</f>
        <v>1</v>
      </c>
      <c r="N862" t="n">
        <v>200</v>
      </c>
      <c r="O862" t="inlineStr">
        <is>
          <t>GST on Income</t>
        </is>
      </c>
      <c r="P862" t="inlineStr">
        <is>
          <t>R09</t>
        </is>
      </c>
      <c r="Q862" t="inlineStr">
        <is>
          <t>MS</t>
        </is>
      </c>
      <c r="R862">
        <f>IF(OR(Q862="CONTEXT",Q862="REVIEW"),"",INDEX('Category Rules'!$D$5:$D$17,MATCH(P862,'Category Rules'!$A$5:$A$17,0)))</f>
        <v>4020</v>
      </c>
      <c r="S862" t="str">
        <f>IF(Q862="CONTEXT","Make-safe",IF(Q862="REVIEW","",INDEX('Category Rules'!$E$5:$E$17,MATCH(P862,'Category Rules'!$A$5:$A$17,0))))</f>
        <v>Make-safe</v>
      </c>
      <c r="T862" t="str">
        <f>IF(Q862="DEP","BAS Excluded","GST on Income")</f>
        <v>GST on Income</v>
      </c>
      <c r="U862">
        <f>IF(O862=T862,1,0)</f>
        <v>1</v>
      </c>
      <c r="V862" s="9">
        <f>IF(OR(M862=0,U862=1),0,IF(T862="GST on Income",ROUND(K862*0.1,2),ROUND(-K862*0.1,2)))</f>
        <v>0</v>
      </c>
    </row>
    <row r="863">
      <c r="A863" t="inlineStr">
        <is>
          <t>INV-5521-2</t>
        </is>
      </c>
      <c r="B863" t="inlineStr">
        <is>
          <t>INV-5521</t>
        </is>
      </c>
      <c r="C863" s="11" t="n">
        <v>45974</v>
      </c>
      <c r="D863" t="inlineStr">
        <is>
          <t>2025-11</t>
        </is>
      </c>
      <c r="E863" t="inlineStr">
        <is>
          <t>C0065</t>
        </is>
      </c>
      <c r="F863" t="inlineStr">
        <is>
          <t>C0065</t>
        </is>
      </c>
      <c r="G863" t="inlineStr">
        <is>
          <t>Stonebridge Claims Services</t>
        </is>
      </c>
      <c r="H863" t="inlineStr">
        <is>
          <t>S0336</t>
        </is>
      </c>
      <c r="I863" t="inlineStr">
        <is>
          <t>Tarp supply and install - 1 tarp(s)</t>
        </is>
      </c>
      <c r="J863" t="n">
        <v>1</v>
      </c>
      <c r="K863" s="9" t="n">
        <v>240</v>
      </c>
      <c r="L863" t="inlineStr">
        <is>
          <t>PAID</t>
        </is>
      </c>
      <c r="M863">
        <f>IF(L863="VOIDED",0,1)</f>
        <v>1</v>
      </c>
      <c r="N863" t="n">
        <v>200</v>
      </c>
      <c r="O863" t="inlineStr">
        <is>
          <t>GST on Income</t>
        </is>
      </c>
      <c r="P863" t="inlineStr">
        <is>
          <t>R09</t>
        </is>
      </c>
      <c r="Q863" t="inlineStr">
        <is>
          <t>MS</t>
        </is>
      </c>
      <c r="R863">
        <f>IF(OR(Q863="CONTEXT",Q863="REVIEW"),"",INDEX('Category Rules'!$D$5:$D$17,MATCH(P863,'Category Rules'!$A$5:$A$17,0)))</f>
        <v>4020</v>
      </c>
      <c r="S863" t="str">
        <f>IF(Q863="CONTEXT","Make-safe",IF(Q863="REVIEW","",INDEX('Category Rules'!$E$5:$E$17,MATCH(P863,'Category Rules'!$A$5:$A$17,0))))</f>
        <v>Make-safe</v>
      </c>
      <c r="T863" t="str">
        <f>IF(Q863="DEP","BAS Excluded","GST on Income")</f>
        <v>GST on Income</v>
      </c>
      <c r="U863">
        <f>IF(O863=T863,1,0)</f>
        <v>1</v>
      </c>
      <c r="V863" s="9">
        <f>IF(OR(M863=0,U863=1),0,IF(T863="GST on Income",ROUND(K863*0.1,2),ROUND(-K863*0.1,2)))</f>
        <v>0</v>
      </c>
    </row>
    <row r="864">
      <c r="A864" t="inlineStr">
        <is>
          <t>INV-5530-1</t>
        </is>
      </c>
      <c r="B864" t="inlineStr">
        <is>
          <t>INV-5530</t>
        </is>
      </c>
      <c r="C864" s="11" t="n">
        <v>45974</v>
      </c>
      <c r="D864" t="inlineStr">
        <is>
          <t>2025-11</t>
        </is>
      </c>
      <c r="E864" t="inlineStr">
        <is>
          <t>C0144</t>
        </is>
      </c>
      <c r="F864" t="inlineStr">
        <is>
          <t>C0001</t>
        </is>
      </c>
      <c r="G864" t="inlineStr">
        <is>
          <t>Parkview Projects Pty Ltd</t>
        </is>
      </c>
      <c r="H864" t="inlineStr">
        <is>
          <t>S0340</t>
        </is>
      </c>
      <c r="I864" t="inlineStr">
        <is>
          <t>Tarp kit hire 4 wks (16/10/25-12/11/25) - 3 kits</t>
        </is>
      </c>
      <c r="J864" t="n">
        <v>12</v>
      </c>
      <c r="K864" s="9" t="n">
        <v>420</v>
      </c>
      <c r="L864" t="inlineStr">
        <is>
          <t>PAID</t>
        </is>
      </c>
      <c r="M864">
        <f>IF(L864="VOIDED",0,1)</f>
        <v>1</v>
      </c>
      <c r="N864" t="n">
        <v>200</v>
      </c>
      <c r="O864" t="inlineStr">
        <is>
          <t>GST on Income</t>
        </is>
      </c>
      <c r="P864" t="inlineStr">
        <is>
          <t>R06</t>
        </is>
      </c>
      <c r="Q864" t="inlineStr">
        <is>
          <t>HIRE-TK</t>
        </is>
      </c>
      <c r="R864">
        <f>IF(OR(Q864="CONTEXT",Q864="REVIEW"),"",INDEX('Category Rules'!$D$5:$D$17,MATCH(P864,'Category Rules'!$A$5:$A$17,0)))</f>
        <v>4010</v>
      </c>
      <c r="S864" t="str">
        <f>IF(Q864="CONTEXT","Make-safe",IF(Q864="REVIEW","",INDEX('Category Rules'!$E$5:$E$17,MATCH(P864,'Category Rules'!$A$5:$A$17,0))))</f>
        <v>Make-safe</v>
      </c>
      <c r="T864" t="str">
        <f>IF(Q864="DEP","BAS Excluded","GST on Income")</f>
        <v>GST on Income</v>
      </c>
      <c r="U864">
        <f>IF(O864=T864,1,0)</f>
        <v>1</v>
      </c>
      <c r="V864" s="9">
        <f>IF(OR(M864=0,U864=1),0,IF(T864="GST on Income",ROUND(K864*0.1,2),ROUND(-K864*0.1,2)))</f>
        <v>0</v>
      </c>
    </row>
    <row r="865">
      <c r="A865" t="inlineStr">
        <is>
          <t>INV-5809-1</t>
        </is>
      </c>
      <c r="B865" t="inlineStr">
        <is>
          <t>INV-5809</t>
        </is>
      </c>
      <c r="C865" s="11" t="n">
        <v>45974</v>
      </c>
      <c r="D865" t="inlineStr">
        <is>
          <t>2025-11</t>
        </is>
      </c>
      <c r="E865" t="inlineStr">
        <is>
          <t>C0011</t>
        </is>
      </c>
      <c r="F865" t="inlineStr">
        <is>
          <t>C0011</t>
        </is>
      </c>
      <c r="G865" t="inlineStr">
        <is>
          <t>Wattle Homes Pty Ltd</t>
        </is>
      </c>
      <c r="H865" t="inlineStr">
        <is>
          <t>S0495</t>
        </is>
      </c>
      <c r="I865" t="inlineStr">
        <is>
          <t>Make safe call-out</t>
        </is>
      </c>
      <c r="J865" t="n">
        <v>1</v>
      </c>
      <c r="K865" s="9" t="n">
        <v>385</v>
      </c>
      <c r="L865" t="inlineStr">
        <is>
          <t>PAID</t>
        </is>
      </c>
      <c r="M865">
        <f>IF(L865="VOIDED",0,1)</f>
        <v>1</v>
      </c>
      <c r="N865" t="n">
        <v>200</v>
      </c>
      <c r="O865" t="inlineStr">
        <is>
          <t>GST on Income</t>
        </is>
      </c>
      <c r="P865" t="inlineStr">
        <is>
          <t>R09</t>
        </is>
      </c>
      <c r="Q865" t="inlineStr">
        <is>
          <t>MS</t>
        </is>
      </c>
      <c r="R865">
        <f>IF(OR(Q865="CONTEXT",Q865="REVIEW"),"",INDEX('Category Rules'!$D$5:$D$17,MATCH(P865,'Category Rules'!$A$5:$A$17,0)))</f>
        <v>4020</v>
      </c>
      <c r="S865" t="str">
        <f>IF(Q865="CONTEXT","Make-safe",IF(Q865="REVIEW","",INDEX('Category Rules'!$E$5:$E$17,MATCH(P865,'Category Rules'!$A$5:$A$17,0))))</f>
        <v>Make-safe</v>
      </c>
      <c r="T865" t="str">
        <f>IF(Q865="DEP","BAS Excluded","GST on Income")</f>
        <v>GST on Income</v>
      </c>
      <c r="U865">
        <f>IF(O865=T865,1,0)</f>
        <v>1</v>
      </c>
      <c r="V865" s="9">
        <f>IF(OR(M865=0,U865=1),0,IF(T865="GST on Income",ROUND(K865*0.1,2),ROUND(-K865*0.1,2)))</f>
        <v>0</v>
      </c>
    </row>
    <row r="866">
      <c r="A866" t="inlineStr">
        <is>
          <t>INV-5857-1</t>
        </is>
      </c>
      <c r="B866" t="inlineStr">
        <is>
          <t>INV-5857</t>
        </is>
      </c>
      <c r="C866" s="11" t="n">
        <v>45974</v>
      </c>
      <c r="D866" t="inlineStr">
        <is>
          <t>2025-11</t>
        </is>
      </c>
      <c r="E866" t="inlineStr">
        <is>
          <t>C0027</t>
        </is>
      </c>
      <c r="F866" t="inlineStr">
        <is>
          <t>C0027</t>
        </is>
      </c>
      <c r="G866" t="inlineStr">
        <is>
          <t>Metro Projects Pty Ltd</t>
        </is>
      </c>
      <c r="H866" t="inlineStr">
        <is>
          <t>S0524</t>
        </is>
      </c>
      <c r="I866" t="inlineStr">
        <is>
          <t>Tarp kit hire 3 wks (29/10/25-12/11/25) - 3 kits</t>
        </is>
      </c>
      <c r="J866" t="n">
        <v>9</v>
      </c>
      <c r="K866" s="9" t="n">
        <v>315</v>
      </c>
      <c r="L866" t="inlineStr">
        <is>
          <t>PAID</t>
        </is>
      </c>
      <c r="M866">
        <f>IF(L866="VOIDED",0,1)</f>
        <v>1</v>
      </c>
      <c r="N866" t="n">
        <v>200</v>
      </c>
      <c r="O866" t="inlineStr">
        <is>
          <t>GST on Income</t>
        </is>
      </c>
      <c r="P866" t="inlineStr">
        <is>
          <t>R06</t>
        </is>
      </c>
      <c r="Q866" t="inlineStr">
        <is>
          <t>HIRE-TK</t>
        </is>
      </c>
      <c r="R866">
        <f>IF(OR(Q866="CONTEXT",Q866="REVIEW"),"",INDEX('Category Rules'!$D$5:$D$17,MATCH(P866,'Category Rules'!$A$5:$A$17,0)))</f>
        <v>4010</v>
      </c>
      <c r="S866" t="str">
        <f>IF(Q866="CONTEXT","Make-safe",IF(Q866="REVIEW","",INDEX('Category Rules'!$E$5:$E$17,MATCH(P866,'Category Rules'!$A$5:$A$17,0))))</f>
        <v>Make-safe</v>
      </c>
      <c r="T866" t="str">
        <f>IF(Q866="DEP","BAS Excluded","GST on Income")</f>
        <v>GST on Income</v>
      </c>
      <c r="U866">
        <f>IF(O866=T866,1,0)</f>
        <v>1</v>
      </c>
      <c r="V866" s="9">
        <f>IF(OR(M866=0,U866=1),0,IF(T866="GST on Income",ROUND(K866*0.1,2),ROUND(-K866*0.1,2)))</f>
        <v>0</v>
      </c>
    </row>
    <row r="867">
      <c r="A867" t="inlineStr">
        <is>
          <t>INV-4329-1</t>
        </is>
      </c>
      <c r="B867" t="inlineStr">
        <is>
          <t>INV-4329</t>
        </is>
      </c>
      <c r="C867" s="11" t="n">
        <v>45975</v>
      </c>
      <c r="D867" t="inlineStr">
        <is>
          <t>2025-11</t>
        </is>
      </c>
      <c r="E867" t="inlineStr">
        <is>
          <t>C0148</t>
        </is>
      </c>
      <c r="F867" t="inlineStr">
        <is>
          <t>C0042</t>
        </is>
      </c>
      <c r="G867" t="inlineStr">
        <is>
          <t>Lakeside Constructions Pty Ltd</t>
        </is>
      </c>
      <c r="H867" t="inlineStr">
        <is>
          <t>S0049</t>
        </is>
      </c>
      <c r="I867" t="inlineStr">
        <is>
          <t>Temporary fence hire 4 wks (17/10/25-13/11/25) - 27 panels</t>
        </is>
      </c>
      <c r="J867" t="n">
        <v>108</v>
      </c>
      <c r="K867" s="9" t="n">
        <v>486</v>
      </c>
      <c r="L867" t="inlineStr">
        <is>
          <t>PAID</t>
        </is>
      </c>
      <c r="M867">
        <f>IF(L867="VOIDED",0,1)</f>
        <v>1</v>
      </c>
      <c r="N867" t="n">
        <v>200</v>
      </c>
      <c r="O867" t="inlineStr">
        <is>
          <t>GST on Income</t>
        </is>
      </c>
      <c r="P867" t="inlineStr">
        <is>
          <t>R03</t>
        </is>
      </c>
      <c r="Q867" t="inlineStr">
        <is>
          <t>HIRE-FP</t>
        </is>
      </c>
      <c r="R867">
        <f>IF(OR(Q867="CONTEXT",Q867="REVIEW"),"",INDEX('Category Rules'!$D$5:$D$17,MATCH(P867,'Category Rules'!$A$5:$A$17,0)))</f>
        <v>4010</v>
      </c>
      <c r="S867" t="str">
        <f>IF(Q867="CONTEXT","Fencing",IF(Q867="REVIEW","",INDEX('Category Rules'!$E$5:$E$17,MATCH(P867,'Category Rules'!$A$5:$A$17,0))))</f>
        <v>Fencing</v>
      </c>
      <c r="T867" t="str">
        <f>IF(Q867="DEP","BAS Excluded","GST on Income")</f>
        <v>GST on Income</v>
      </c>
      <c r="U867">
        <f>IF(O867=T867,1,0)</f>
        <v>1</v>
      </c>
      <c r="V867" s="9">
        <f>IF(OR(M867=0,U867=1),0,IF(T867="GST on Income",ROUND(K867*0.1,2),ROUND(-K867*0.1,2)))</f>
        <v>0</v>
      </c>
    </row>
    <row r="868">
      <c r="A868" t="inlineStr">
        <is>
          <t>INV-4651-1</t>
        </is>
      </c>
      <c r="B868" t="inlineStr">
        <is>
          <t>INV-4651</t>
        </is>
      </c>
      <c r="C868" s="11" t="n">
        <v>45975</v>
      </c>
      <c r="D868" t="inlineStr">
        <is>
          <t>2025-11</t>
        </is>
      </c>
      <c r="E868" t="inlineStr">
        <is>
          <t>C0151</t>
        </is>
      </c>
      <c r="F868" t="inlineStr">
        <is>
          <t>C0040</t>
        </is>
      </c>
      <c r="G868" t="inlineStr">
        <is>
          <t>Coastline Projects Pty Ltd</t>
        </is>
      </c>
      <c r="H868" t="inlineStr">
        <is>
          <t>S0111</t>
        </is>
      </c>
      <c r="I868" t="inlineStr">
        <is>
          <t>Delivery and installation - temporary fencing</t>
        </is>
      </c>
      <c r="J868" t="n">
        <v>1</v>
      </c>
      <c r="K868" s="9" t="n">
        <v>165</v>
      </c>
      <c r="L868" t="inlineStr">
        <is>
          <t>PAID</t>
        </is>
      </c>
      <c r="M868">
        <f>IF(L868="VOIDED",0,1)</f>
        <v>1</v>
      </c>
      <c r="N868" t="n">
        <v>200</v>
      </c>
      <c r="O868" t="inlineStr">
        <is>
          <t>GST on Income</t>
        </is>
      </c>
      <c r="P868" t="inlineStr">
        <is>
          <t>R07</t>
        </is>
      </c>
      <c r="Q868" t="inlineStr">
        <is>
          <t>DEL-FP</t>
        </is>
      </c>
      <c r="R868">
        <f>IF(OR(Q868="CONTEXT",Q868="REVIEW"),"",INDEX('Category Rules'!$D$5:$D$17,MATCH(P868,'Category Rules'!$A$5:$A$17,0)))</f>
        <v>4020</v>
      </c>
      <c r="S868" t="str">
        <f>IF(Q868="CONTEXT","Fencing",IF(Q868="REVIEW","",INDEX('Category Rules'!$E$5:$E$17,MATCH(P868,'Category Rules'!$A$5:$A$17,0))))</f>
        <v>Fencing</v>
      </c>
      <c r="T868" t="str">
        <f>IF(Q868="DEP","BAS Excluded","GST on Income")</f>
        <v>GST on Income</v>
      </c>
      <c r="U868">
        <f>IF(O868=T868,1,0)</f>
        <v>1</v>
      </c>
      <c r="V868" s="9">
        <f>IF(OR(M868=0,U868=1),0,IF(T868="GST on Income",ROUND(K868*0.1,2),ROUND(-K868*0.1,2)))</f>
        <v>0</v>
      </c>
    </row>
    <row r="869">
      <c r="A869" t="inlineStr">
        <is>
          <t>INV-4651-2</t>
        </is>
      </c>
      <c r="B869" t="inlineStr">
        <is>
          <t>INV-4651</t>
        </is>
      </c>
      <c r="C869" s="11" t="n">
        <v>45975</v>
      </c>
      <c r="D869" t="inlineStr">
        <is>
          <t>2025-11</t>
        </is>
      </c>
      <c r="E869" t="inlineStr">
        <is>
          <t>C0151</t>
        </is>
      </c>
      <c r="F869" t="inlineStr">
        <is>
          <t>C0040</t>
        </is>
      </c>
      <c r="G869" t="inlineStr">
        <is>
          <t>Coastline Projects Pty Ltd</t>
        </is>
      </c>
      <c r="H869" t="inlineStr">
        <is>
          <t>S0111</t>
        </is>
      </c>
      <c r="I869" t="inlineStr">
        <is>
          <t>Installation labour - 35 panels @ 2.20</t>
        </is>
      </c>
      <c r="J869" t="n">
        <v>35</v>
      </c>
      <c r="K869" s="9" t="n">
        <v>77</v>
      </c>
      <c r="L869" t="inlineStr">
        <is>
          <t>PAID</t>
        </is>
      </c>
      <c r="M869">
        <f>IF(L869="VOIDED",0,1)</f>
        <v>1</v>
      </c>
      <c r="N869" t="n">
        <v>200</v>
      </c>
      <c r="O869" t="inlineStr">
        <is>
          <t>GST on Income</t>
        </is>
      </c>
      <c r="P869" t="inlineStr">
        <is>
          <t>R07</t>
        </is>
      </c>
      <c r="Q869" t="inlineStr">
        <is>
          <t>DEL-FP</t>
        </is>
      </c>
      <c r="R869">
        <f>IF(OR(Q869="CONTEXT",Q869="REVIEW"),"",INDEX('Category Rules'!$D$5:$D$17,MATCH(P869,'Category Rules'!$A$5:$A$17,0)))</f>
        <v>4020</v>
      </c>
      <c r="S869" t="str">
        <f>IF(Q869="CONTEXT","Fencing",IF(Q869="REVIEW","",INDEX('Category Rules'!$E$5:$E$17,MATCH(P869,'Category Rules'!$A$5:$A$17,0))))</f>
        <v>Fencing</v>
      </c>
      <c r="T869" t="str">
        <f>IF(Q869="DEP","BAS Excluded","GST on Income")</f>
        <v>GST on Income</v>
      </c>
      <c r="U869">
        <f>IF(O869=T869,1,0)</f>
        <v>1</v>
      </c>
      <c r="V869" s="9">
        <f>IF(OR(M869=0,U869=1),0,IF(T869="GST on Income",ROUND(K869*0.1,2),ROUND(-K869*0.1,2)))</f>
        <v>0</v>
      </c>
    </row>
    <row r="870">
      <c r="A870" t="inlineStr">
        <is>
          <t>INV-4816-1</t>
        </is>
      </c>
      <c r="B870" t="inlineStr">
        <is>
          <t>INV-4816</t>
        </is>
      </c>
      <c r="C870" s="11" t="n">
        <v>45975</v>
      </c>
      <c r="D870" t="inlineStr">
        <is>
          <t>2025-11</t>
        </is>
      </c>
      <c r="E870" t="inlineStr">
        <is>
          <t>C0102</t>
        </is>
      </c>
      <c r="F870" t="inlineStr">
        <is>
          <t>C0102</t>
        </is>
      </c>
      <c r="G870" t="inlineStr">
        <is>
          <t>Arjun Doyle</t>
        </is>
      </c>
      <c r="H870" t="inlineStr">
        <is>
          <t>S0153</t>
        </is>
      </c>
      <c r="I870" t="inlineStr">
        <is>
          <t>Delivery and installation - temporary fencing</t>
        </is>
      </c>
      <c r="J870" t="n">
        <v>1</v>
      </c>
      <c r="K870" s="9" t="n">
        <v>165</v>
      </c>
      <c r="L870" t="inlineStr">
        <is>
          <t>PAID</t>
        </is>
      </c>
      <c r="M870">
        <f>IF(L870="VOIDED",0,1)</f>
        <v>1</v>
      </c>
      <c r="N870" t="n">
        <v>200</v>
      </c>
      <c r="O870" t="inlineStr">
        <is>
          <t>GST on Income</t>
        </is>
      </c>
      <c r="P870" t="inlineStr">
        <is>
          <t>R07</t>
        </is>
      </c>
      <c r="Q870" t="inlineStr">
        <is>
          <t>DEL-FP</t>
        </is>
      </c>
      <c r="R870">
        <f>IF(OR(Q870="CONTEXT",Q870="REVIEW"),"",INDEX('Category Rules'!$D$5:$D$17,MATCH(P870,'Category Rules'!$A$5:$A$17,0)))</f>
        <v>4020</v>
      </c>
      <c r="S870" t="str">
        <f>IF(Q870="CONTEXT","Fencing",IF(Q870="REVIEW","",INDEX('Category Rules'!$E$5:$E$17,MATCH(P870,'Category Rules'!$A$5:$A$17,0))))</f>
        <v>Fencing</v>
      </c>
      <c r="T870" t="str">
        <f>IF(Q870="DEP","BAS Excluded","GST on Income")</f>
        <v>GST on Income</v>
      </c>
      <c r="U870">
        <f>IF(O870=T870,1,0)</f>
        <v>1</v>
      </c>
      <c r="V870" s="9">
        <f>IF(OR(M870=0,U870=1),0,IF(T870="GST on Income",ROUND(K870*0.1,2),ROUND(-K870*0.1,2)))</f>
        <v>0</v>
      </c>
    </row>
    <row r="871">
      <c r="A871" t="inlineStr">
        <is>
          <t>INV-4816-2</t>
        </is>
      </c>
      <c r="B871" t="inlineStr">
        <is>
          <t>INV-4816</t>
        </is>
      </c>
      <c r="C871" s="11" t="n">
        <v>45975</v>
      </c>
      <c r="D871" t="inlineStr">
        <is>
          <t>2025-11</t>
        </is>
      </c>
      <c r="E871" t="inlineStr">
        <is>
          <t>C0102</t>
        </is>
      </c>
      <c r="F871" t="inlineStr">
        <is>
          <t>C0102</t>
        </is>
      </c>
      <c r="G871" t="inlineStr">
        <is>
          <t>Arjun Doyle</t>
        </is>
      </c>
      <c r="H871" t="inlineStr">
        <is>
          <t>S0153</t>
        </is>
      </c>
      <c r="I871" t="inlineStr">
        <is>
          <t>Installation labour - 40 panels @ 2.20</t>
        </is>
      </c>
      <c r="J871" t="n">
        <v>40</v>
      </c>
      <c r="K871" s="9" t="n">
        <v>88</v>
      </c>
      <c r="L871" t="inlineStr">
        <is>
          <t>PAID</t>
        </is>
      </c>
      <c r="M871">
        <f>IF(L871="VOIDED",0,1)</f>
        <v>1</v>
      </c>
      <c r="N871" t="n">
        <v>200</v>
      </c>
      <c r="O871" t="inlineStr">
        <is>
          <t>GST on Income</t>
        </is>
      </c>
      <c r="P871" t="inlineStr">
        <is>
          <t>R07</t>
        </is>
      </c>
      <c r="Q871" t="inlineStr">
        <is>
          <t>DEL-FP</t>
        </is>
      </c>
      <c r="R871">
        <f>IF(OR(Q871="CONTEXT",Q871="REVIEW"),"",INDEX('Category Rules'!$D$5:$D$17,MATCH(P871,'Category Rules'!$A$5:$A$17,0)))</f>
        <v>4020</v>
      </c>
      <c r="S871" t="str">
        <f>IF(Q871="CONTEXT","Fencing",IF(Q871="REVIEW","",INDEX('Category Rules'!$E$5:$E$17,MATCH(P871,'Category Rules'!$A$5:$A$17,0))))</f>
        <v>Fencing</v>
      </c>
      <c r="T871" t="str">
        <f>IF(Q871="DEP","BAS Excluded","GST on Income")</f>
        <v>GST on Income</v>
      </c>
      <c r="U871">
        <f>IF(O871=T871,1,0)</f>
        <v>1</v>
      </c>
      <c r="V871" s="9">
        <f>IF(OR(M871=0,U871=1),0,IF(T871="GST on Income",ROUND(K871*0.1,2),ROUND(-K871*0.1,2)))</f>
        <v>0</v>
      </c>
    </row>
    <row r="872">
      <c r="A872" t="inlineStr">
        <is>
          <t>INV-4816-3</t>
        </is>
      </c>
      <c r="B872" t="inlineStr">
        <is>
          <t>INV-4816</t>
        </is>
      </c>
      <c r="C872" s="11" t="n">
        <v>45975</v>
      </c>
      <c r="D872" t="inlineStr">
        <is>
          <t>2025-11</t>
        </is>
      </c>
      <c r="E872" t="inlineStr">
        <is>
          <t>C0102</t>
        </is>
      </c>
      <c r="F872" t="inlineStr">
        <is>
          <t>C0102</t>
        </is>
      </c>
      <c r="G872" t="inlineStr">
        <is>
          <t>Arjun Doyle</t>
        </is>
      </c>
      <c r="H872" t="inlineStr">
        <is>
          <t>S0153</t>
        </is>
      </c>
      <c r="I872" t="inlineStr">
        <is>
          <t>Security deposit - fence panels (refundable)</t>
        </is>
      </c>
      <c r="J872" t="n">
        <v>1</v>
      </c>
      <c r="K872" s="9" t="n">
        <v>320</v>
      </c>
      <c r="L872" t="inlineStr">
        <is>
          <t>PAID</t>
        </is>
      </c>
      <c r="M872">
        <f>IF(L872="VOIDED",0,1)</f>
        <v>1</v>
      </c>
      <c r="N872" t="n">
        <v>200</v>
      </c>
      <c r="O872" t="inlineStr">
        <is>
          <t>GST on Income</t>
        </is>
      </c>
      <c r="P872" t="inlineStr">
        <is>
          <t>R01</t>
        </is>
      </c>
      <c r="Q872" t="inlineStr">
        <is>
          <t>DEP</t>
        </is>
      </c>
      <c r="R872">
        <f>IF(OR(Q872="CONTEXT",Q872="REVIEW"),"",INDEX('Category Rules'!$D$5:$D$17,MATCH(P872,'Category Rules'!$A$5:$A$17,0)))</f>
        <v>835</v>
      </c>
      <c r="S872" t="str">
        <f>IF(Q872="CONTEXT","Fencing",IF(Q872="REVIEW","",INDEX('Category Rules'!$E$5:$E$17,MATCH(P872,'Category Rules'!$A$5:$A$17,0))))</f>
        <v>Fencing</v>
      </c>
      <c r="T872" t="str">
        <f>IF(Q872="DEP","BAS Excluded","GST on Income")</f>
        <v>BAS Excluded</v>
      </c>
      <c r="U872">
        <f>IF(O872=T872,1,0)</f>
        <v>0</v>
      </c>
      <c r="V872" s="9">
        <f>IF(OR(M872=0,U872=1),0,IF(T872="GST on Income",ROUND(K872*0.1,2),ROUND(-K872*0.1,2)))</f>
        <v>-32</v>
      </c>
    </row>
    <row r="873">
      <c r="A873" t="inlineStr">
        <is>
          <t>INV-5116-1</t>
        </is>
      </c>
      <c r="B873" t="inlineStr">
        <is>
          <t>INV-5116</t>
        </is>
      </c>
      <c r="C873" s="11" t="n">
        <v>45975</v>
      </c>
      <c r="D873" t="inlineStr">
        <is>
          <t>2025-11</t>
        </is>
      </c>
      <c r="E873" t="inlineStr">
        <is>
          <t>C0029</t>
        </is>
      </c>
      <c r="F873" t="inlineStr">
        <is>
          <t>C0029</t>
        </is>
      </c>
      <c r="G873" t="inlineStr">
        <is>
          <t>Ironbark Constructions</t>
        </is>
      </c>
      <c r="H873" t="inlineStr">
        <is>
          <t>S0216</t>
        </is>
      </c>
      <c r="I873" t="inlineStr">
        <is>
          <t>Temporary fence hire 3 wks (28/10/25-13/11/25) - 102 panels</t>
        </is>
      </c>
      <c r="J873" t="n">
        <v>306</v>
      </c>
      <c r="K873" s="9" t="n">
        <v>1377</v>
      </c>
      <c r="L873" t="inlineStr">
        <is>
          <t>PAID</t>
        </is>
      </c>
      <c r="M873">
        <f>IF(L873="VOIDED",0,1)</f>
        <v>1</v>
      </c>
      <c r="N873" t="n">
        <v>200</v>
      </c>
      <c r="O873" t="inlineStr">
        <is>
          <t>GST on Income</t>
        </is>
      </c>
      <c r="P873" t="inlineStr">
        <is>
          <t>R03</t>
        </is>
      </c>
      <c r="Q873" t="inlineStr">
        <is>
          <t>HIRE-FP</t>
        </is>
      </c>
      <c r="R873">
        <f>IF(OR(Q873="CONTEXT",Q873="REVIEW"),"",INDEX('Category Rules'!$D$5:$D$17,MATCH(P873,'Category Rules'!$A$5:$A$17,0)))</f>
        <v>4010</v>
      </c>
      <c r="S873" t="str">
        <f>IF(Q873="CONTEXT","Fencing",IF(Q873="REVIEW","",INDEX('Category Rules'!$E$5:$E$17,MATCH(P873,'Category Rules'!$A$5:$A$17,0))))</f>
        <v>Fencing</v>
      </c>
      <c r="T873" t="str">
        <f>IF(Q873="DEP","BAS Excluded","GST on Income")</f>
        <v>GST on Income</v>
      </c>
      <c r="U873">
        <f>IF(O873=T873,1,0)</f>
        <v>1</v>
      </c>
      <c r="V873" s="9">
        <f>IF(OR(M873=0,U873=1),0,IF(T873="GST on Income",ROUND(K873*0.1,2),ROUND(-K873*0.1,2)))</f>
        <v>0</v>
      </c>
    </row>
    <row r="874">
      <c r="A874" t="inlineStr">
        <is>
          <t>INV-5117-1</t>
        </is>
      </c>
      <c r="B874" t="inlineStr">
        <is>
          <t>INV-5117</t>
        </is>
      </c>
      <c r="C874" s="11" t="n">
        <v>45975</v>
      </c>
      <c r="D874" t="inlineStr">
        <is>
          <t>2025-11</t>
        </is>
      </c>
      <c r="E874" t="inlineStr">
        <is>
          <t>C0029</t>
        </is>
      </c>
      <c r="F874" t="inlineStr">
        <is>
          <t>C0029</t>
        </is>
      </c>
      <c r="G874" t="inlineStr">
        <is>
          <t>Ironbark Constructions</t>
        </is>
      </c>
      <c r="H874" t="inlineStr">
        <is>
          <t>S0216</t>
        </is>
      </c>
      <c r="I874" t="inlineStr">
        <is>
          <t>Collection and dismantle - temporary fencing</t>
        </is>
      </c>
      <c r="J874" t="n">
        <v>1</v>
      </c>
      <c r="K874" s="9" t="n">
        <v>165</v>
      </c>
      <c r="L874" t="inlineStr">
        <is>
          <t>PAID</t>
        </is>
      </c>
      <c r="M874">
        <f>IF(L874="VOIDED",0,1)</f>
        <v>1</v>
      </c>
      <c r="N874" t="n">
        <v>200</v>
      </c>
      <c r="O874" t="inlineStr">
        <is>
          <t>GST on Income</t>
        </is>
      </c>
      <c r="P874" t="inlineStr">
        <is>
          <t>R07</t>
        </is>
      </c>
      <c r="Q874" t="inlineStr">
        <is>
          <t>DEL-FP</t>
        </is>
      </c>
      <c r="R874">
        <f>IF(OR(Q874="CONTEXT",Q874="REVIEW"),"",INDEX('Category Rules'!$D$5:$D$17,MATCH(P874,'Category Rules'!$A$5:$A$17,0)))</f>
        <v>4020</v>
      </c>
      <c r="S874" t="str">
        <f>IF(Q874="CONTEXT","Fencing",IF(Q874="REVIEW","",INDEX('Category Rules'!$E$5:$E$17,MATCH(P874,'Category Rules'!$A$5:$A$17,0))))</f>
        <v>Fencing</v>
      </c>
      <c r="T874" t="str">
        <f>IF(Q874="DEP","BAS Excluded","GST on Income")</f>
        <v>GST on Income</v>
      </c>
      <c r="U874">
        <f>IF(O874=T874,1,0)</f>
        <v>1</v>
      </c>
      <c r="V874" s="9">
        <f>IF(OR(M874=0,U874=1),0,IF(T874="GST on Income",ROUND(K874*0.1,2),ROUND(-K874*0.1,2)))</f>
        <v>0</v>
      </c>
    </row>
    <row r="875">
      <c r="A875" t="inlineStr">
        <is>
          <t>INV-5250-1</t>
        </is>
      </c>
      <c r="B875" t="inlineStr">
        <is>
          <t>INV-5250</t>
        </is>
      </c>
      <c r="C875" s="11" t="n">
        <v>45975</v>
      </c>
      <c r="D875" t="inlineStr">
        <is>
          <t>2025-11</t>
        </is>
      </c>
      <c r="E875" t="inlineStr">
        <is>
          <t>C0124</t>
        </is>
      </c>
      <c r="F875" t="inlineStr">
        <is>
          <t>C0124</t>
        </is>
      </c>
      <c r="G875" t="inlineStr">
        <is>
          <t>Harbor Strata Management</t>
        </is>
      </c>
      <c r="H875" t="inlineStr">
        <is>
          <t>S0247</t>
        </is>
      </c>
      <c r="I875" t="inlineStr">
        <is>
          <t>Scaffold tower hire 1 wks (13/11/25-13/11/25) - 2 towers</t>
        </is>
      </c>
      <c r="J875" t="n">
        <v>2</v>
      </c>
      <c r="K875" s="9" t="n">
        <v>190</v>
      </c>
      <c r="L875" t="inlineStr">
        <is>
          <t>PAID</t>
        </is>
      </c>
      <c r="M875">
        <f>IF(L875="VOIDED",0,1)</f>
        <v>1</v>
      </c>
      <c r="N875" t="n">
        <v>200</v>
      </c>
      <c r="O875" t="inlineStr">
        <is>
          <t>GST on Income</t>
        </is>
      </c>
      <c r="P875" t="inlineStr">
        <is>
          <t>R05</t>
        </is>
      </c>
      <c r="Q875" t="inlineStr">
        <is>
          <t>HIRE-ST</t>
        </is>
      </c>
      <c r="R875">
        <f>IF(OR(Q875="CONTEXT",Q875="REVIEW"),"",INDEX('Category Rules'!$D$5:$D$17,MATCH(P875,'Category Rules'!$A$5:$A$17,0)))</f>
        <v>4010</v>
      </c>
      <c r="S875" t="str">
        <f>IF(Q875="CONTEXT","Scaffolding",IF(Q875="REVIEW","",INDEX('Category Rules'!$E$5:$E$17,MATCH(P875,'Category Rules'!$A$5:$A$17,0))))</f>
        <v>Scaffolding</v>
      </c>
      <c r="T875" t="str">
        <f>IF(Q875="DEP","BAS Excluded","GST on Income")</f>
        <v>GST on Income</v>
      </c>
      <c r="U875">
        <f>IF(O875=T875,1,0)</f>
        <v>1</v>
      </c>
      <c r="V875" s="9">
        <f>IF(OR(M875=0,U875=1),0,IF(T875="GST on Income",ROUND(K875*0.1,2),ROUND(-K875*0.1,2)))</f>
        <v>0</v>
      </c>
    </row>
    <row r="876">
      <c r="A876" t="inlineStr">
        <is>
          <t>INV-5252-1</t>
        </is>
      </c>
      <c r="B876" t="inlineStr">
        <is>
          <t>INV-5252</t>
        </is>
      </c>
      <c r="C876" s="11" t="n">
        <v>45975</v>
      </c>
      <c r="D876" t="inlineStr">
        <is>
          <t>2025-11</t>
        </is>
      </c>
      <c r="E876" t="inlineStr">
        <is>
          <t>C0124</t>
        </is>
      </c>
      <c r="F876" t="inlineStr">
        <is>
          <t>C0124</t>
        </is>
      </c>
      <c r="G876" t="inlineStr">
        <is>
          <t>Harbor Strata Management</t>
        </is>
      </c>
      <c r="H876" t="inlineStr">
        <is>
          <t>S0247</t>
        </is>
      </c>
      <c r="I876" t="inlineStr">
        <is>
          <t>Scaffold dismantle - 2 tower(s)</t>
        </is>
      </c>
      <c r="J876" t="n">
        <v>2</v>
      </c>
      <c r="K876" s="9" t="n">
        <v>640</v>
      </c>
      <c r="L876" t="inlineStr">
        <is>
          <t>PAID</t>
        </is>
      </c>
      <c r="M876">
        <f>IF(L876="VOIDED",0,1)</f>
        <v>1</v>
      </c>
      <c r="N876" t="n">
        <v>200</v>
      </c>
      <c r="O876" t="inlineStr">
        <is>
          <t>GST on Income</t>
        </is>
      </c>
      <c r="P876" t="inlineStr">
        <is>
          <t>R08</t>
        </is>
      </c>
      <c r="Q876" t="inlineStr">
        <is>
          <t>LAB-ST</t>
        </is>
      </c>
      <c r="R876">
        <f>IF(OR(Q876="CONTEXT",Q876="REVIEW"),"",INDEX('Category Rules'!$D$5:$D$17,MATCH(P876,'Category Rules'!$A$5:$A$17,0)))</f>
        <v>4020</v>
      </c>
      <c r="S876" t="str">
        <f>IF(Q876="CONTEXT","Scaffolding",IF(Q876="REVIEW","",INDEX('Category Rules'!$E$5:$E$17,MATCH(P876,'Category Rules'!$A$5:$A$17,0))))</f>
        <v>Scaffolding</v>
      </c>
      <c r="T876" t="str">
        <f>IF(Q876="DEP","BAS Excluded","GST on Income")</f>
        <v>GST on Income</v>
      </c>
      <c r="U876">
        <f>IF(O876=T876,1,0)</f>
        <v>1</v>
      </c>
      <c r="V876" s="9">
        <f>IF(OR(M876=0,U876=1),0,IF(T876="GST on Income",ROUND(K876*0.1,2),ROUND(-K876*0.1,2)))</f>
        <v>0</v>
      </c>
    </row>
    <row r="877">
      <c r="A877" t="inlineStr">
        <is>
          <t>INV-5395-1</t>
        </is>
      </c>
      <c r="B877" t="inlineStr">
        <is>
          <t>INV-5395</t>
        </is>
      </c>
      <c r="C877" s="11" t="n">
        <v>45975</v>
      </c>
      <c r="D877" t="inlineStr">
        <is>
          <t>2025-11</t>
        </is>
      </c>
      <c r="E877" t="inlineStr">
        <is>
          <t>C0005</t>
        </is>
      </c>
      <c r="F877" t="inlineStr">
        <is>
          <t>C0005</t>
        </is>
      </c>
      <c r="G877" t="inlineStr">
        <is>
          <t>Fairway Developments</t>
        </is>
      </c>
      <c r="H877" t="inlineStr">
        <is>
          <t>S0282</t>
        </is>
      </c>
      <c r="I877" t="inlineStr">
        <is>
          <t>Scaffold tower hire 4 wks (17/10/25-13/11/25) - 1 towers</t>
        </is>
      </c>
      <c r="J877" t="n">
        <v>4</v>
      </c>
      <c r="K877" s="9" t="n">
        <v>380</v>
      </c>
      <c r="L877" t="inlineStr">
        <is>
          <t>PAID</t>
        </is>
      </c>
      <c r="M877">
        <f>IF(L877="VOIDED",0,1)</f>
        <v>1</v>
      </c>
      <c r="N877" t="n">
        <v>200</v>
      </c>
      <c r="O877" t="inlineStr">
        <is>
          <t>GST on Income</t>
        </is>
      </c>
      <c r="P877" t="inlineStr">
        <is>
          <t>R05</t>
        </is>
      </c>
      <c r="Q877" t="inlineStr">
        <is>
          <t>HIRE-ST</t>
        </is>
      </c>
      <c r="R877">
        <f>IF(OR(Q877="CONTEXT",Q877="REVIEW"),"",INDEX('Category Rules'!$D$5:$D$17,MATCH(P877,'Category Rules'!$A$5:$A$17,0)))</f>
        <v>4010</v>
      </c>
      <c r="S877" t="str">
        <f>IF(Q877="CONTEXT","Scaffolding",IF(Q877="REVIEW","",INDEX('Category Rules'!$E$5:$E$17,MATCH(P877,'Category Rules'!$A$5:$A$17,0))))</f>
        <v>Scaffolding</v>
      </c>
      <c r="T877" t="str">
        <f>IF(Q877="DEP","BAS Excluded","GST on Income")</f>
        <v>GST on Income</v>
      </c>
      <c r="U877">
        <f>IF(O877=T877,1,0)</f>
        <v>1</v>
      </c>
      <c r="V877" s="9">
        <f>IF(OR(M877=0,U877=1),0,IF(T877="GST on Income",ROUND(K877*0.1,2),ROUND(-K877*0.1,2)))</f>
        <v>0</v>
      </c>
    </row>
    <row r="878">
      <c r="A878" t="inlineStr">
        <is>
          <t>INV-5435-1</t>
        </is>
      </c>
      <c r="B878" t="inlineStr">
        <is>
          <t>INV-5435</t>
        </is>
      </c>
      <c r="C878" s="11" t="n">
        <v>45975</v>
      </c>
      <c r="D878" t="inlineStr">
        <is>
          <t>2025-11</t>
        </is>
      </c>
      <c r="E878" t="inlineStr">
        <is>
          <t>C0092</t>
        </is>
      </c>
      <c r="F878" t="inlineStr">
        <is>
          <t>C0092</t>
        </is>
      </c>
      <c r="G878" t="inlineStr">
        <is>
          <t>Leo Jones</t>
        </is>
      </c>
      <c r="H878" t="inlineStr">
        <is>
          <t>S0293</t>
        </is>
      </c>
      <c r="I878" t="inlineStr">
        <is>
          <t>Scaffold erect - 6 tower(s)</t>
        </is>
      </c>
      <c r="J878" t="n">
        <v>6</v>
      </c>
      <c r="K878" s="9" t="n">
        <v>2520</v>
      </c>
      <c r="L878" t="inlineStr">
        <is>
          <t>PAID</t>
        </is>
      </c>
      <c r="M878">
        <f>IF(L878="VOIDED",0,1)</f>
        <v>1</v>
      </c>
      <c r="N878" t="n">
        <v>200</v>
      </c>
      <c r="O878" t="inlineStr">
        <is>
          <t>GST on Income</t>
        </is>
      </c>
      <c r="P878" t="inlineStr">
        <is>
          <t>R08</t>
        </is>
      </c>
      <c r="Q878" t="inlineStr">
        <is>
          <t>LAB-ST</t>
        </is>
      </c>
      <c r="R878">
        <f>IF(OR(Q878="CONTEXT",Q878="REVIEW"),"",INDEX('Category Rules'!$D$5:$D$17,MATCH(P878,'Category Rules'!$A$5:$A$17,0)))</f>
        <v>4020</v>
      </c>
      <c r="S878" t="str">
        <f>IF(Q878="CONTEXT","Scaffolding",IF(Q878="REVIEW","",INDEX('Category Rules'!$E$5:$E$17,MATCH(P878,'Category Rules'!$A$5:$A$17,0))))</f>
        <v>Scaffolding</v>
      </c>
      <c r="T878" t="str">
        <f>IF(Q878="DEP","BAS Excluded","GST on Income")</f>
        <v>GST on Income</v>
      </c>
      <c r="U878">
        <f>IF(O878=T878,1,0)</f>
        <v>1</v>
      </c>
      <c r="V878" s="9">
        <f>IF(OR(M878=0,U878=1),0,IF(T878="GST on Income",ROUND(K878*0.1,2),ROUND(-K878*0.1,2)))</f>
        <v>0</v>
      </c>
    </row>
    <row r="879">
      <c r="A879" t="inlineStr">
        <is>
          <t>INV-5531-1</t>
        </is>
      </c>
      <c r="B879" t="inlineStr">
        <is>
          <t>INV-5531</t>
        </is>
      </c>
      <c r="C879" s="11" t="n">
        <v>45975</v>
      </c>
      <c r="D879" t="inlineStr">
        <is>
          <t>2025-11</t>
        </is>
      </c>
      <c r="E879" t="inlineStr">
        <is>
          <t>C0144</t>
        </is>
      </c>
      <c r="F879" t="inlineStr">
        <is>
          <t>C0001</t>
        </is>
      </c>
      <c r="G879" t="inlineStr">
        <is>
          <t>Parkview Projects Pty Ltd</t>
        </is>
      </c>
      <c r="H879" t="inlineStr">
        <is>
          <t>S0340</t>
        </is>
      </c>
      <c r="I879" t="inlineStr">
        <is>
          <t>Tarp kit hire 1 wks (13/11/25-13/11/25) - 3 kits</t>
        </is>
      </c>
      <c r="J879" t="n">
        <v>3</v>
      </c>
      <c r="K879" s="9" t="n">
        <v>105</v>
      </c>
      <c r="L879" t="inlineStr">
        <is>
          <t>PAID</t>
        </is>
      </c>
      <c r="M879">
        <f>IF(L879="VOIDED",0,1)</f>
        <v>1</v>
      </c>
      <c r="N879" t="n">
        <v>200</v>
      </c>
      <c r="O879" t="inlineStr">
        <is>
          <t>GST on Income</t>
        </is>
      </c>
      <c r="P879" t="inlineStr">
        <is>
          <t>R06</t>
        </is>
      </c>
      <c r="Q879" t="inlineStr">
        <is>
          <t>HIRE-TK</t>
        </is>
      </c>
      <c r="R879">
        <f>IF(OR(Q879="CONTEXT",Q879="REVIEW"),"",INDEX('Category Rules'!$D$5:$D$17,MATCH(P879,'Category Rules'!$A$5:$A$17,0)))</f>
        <v>4010</v>
      </c>
      <c r="S879" t="str">
        <f>IF(Q879="CONTEXT","Make-safe",IF(Q879="REVIEW","",INDEX('Category Rules'!$E$5:$E$17,MATCH(P879,'Category Rules'!$A$5:$A$17,0))))</f>
        <v>Make-safe</v>
      </c>
      <c r="T879" t="str">
        <f>IF(Q879="DEP","BAS Excluded","GST on Income")</f>
        <v>GST on Income</v>
      </c>
      <c r="U879">
        <f>IF(O879=T879,1,0)</f>
        <v>1</v>
      </c>
      <c r="V879" s="9">
        <f>IF(OR(M879=0,U879=1),0,IF(T879="GST on Income",ROUND(K879*0.1,2),ROUND(-K879*0.1,2)))</f>
        <v>0</v>
      </c>
    </row>
    <row r="880">
      <c r="A880" t="inlineStr">
        <is>
          <t>INV-5653-1</t>
        </is>
      </c>
      <c r="B880" t="inlineStr">
        <is>
          <t>INV-5653</t>
        </is>
      </c>
      <c r="C880" s="11" t="n">
        <v>45975</v>
      </c>
      <c r="D880" t="inlineStr">
        <is>
          <t>2025-11</t>
        </is>
      </c>
      <c r="E880" t="inlineStr">
        <is>
          <t>C0008</t>
        </is>
      </c>
      <c r="F880" t="inlineStr">
        <is>
          <t>C0008</t>
        </is>
      </c>
      <c r="G880" t="inlineStr">
        <is>
          <t>Redline Builders Pty Ltd</t>
        </is>
      </c>
      <c r="H880" t="inlineStr">
        <is>
          <t>S0408</t>
        </is>
      </c>
      <c r="I880" t="inlineStr">
        <is>
          <t>Emergency make safe call-out - after hours</t>
        </is>
      </c>
      <c r="J880" t="n">
        <v>1</v>
      </c>
      <c r="K880" s="9" t="n">
        <v>560</v>
      </c>
      <c r="L880" t="inlineStr">
        <is>
          <t>PAID</t>
        </is>
      </c>
      <c r="M880">
        <f>IF(L880="VOIDED",0,1)</f>
        <v>1</v>
      </c>
      <c r="N880" t="n">
        <v>200</v>
      </c>
      <c r="O880" t="inlineStr">
        <is>
          <t>GST on Income</t>
        </is>
      </c>
      <c r="P880" t="inlineStr">
        <is>
          <t>R09</t>
        </is>
      </c>
      <c r="Q880" t="inlineStr">
        <is>
          <t>MS</t>
        </is>
      </c>
      <c r="R880">
        <f>IF(OR(Q880="CONTEXT",Q880="REVIEW"),"",INDEX('Category Rules'!$D$5:$D$17,MATCH(P880,'Category Rules'!$A$5:$A$17,0)))</f>
        <v>4020</v>
      </c>
      <c r="S880" t="str">
        <f>IF(Q880="CONTEXT","Make-safe",IF(Q880="REVIEW","",INDEX('Category Rules'!$E$5:$E$17,MATCH(P880,'Category Rules'!$A$5:$A$17,0))))</f>
        <v>Make-safe</v>
      </c>
      <c r="T880" t="str">
        <f>IF(Q880="DEP","BAS Excluded","GST on Income")</f>
        <v>GST on Income</v>
      </c>
      <c r="U880">
        <f>IF(O880=T880,1,0)</f>
        <v>1</v>
      </c>
      <c r="V880" s="9">
        <f>IF(OR(M880=0,U880=1),0,IF(T880="GST on Income",ROUND(K880*0.1,2),ROUND(-K880*0.1,2)))</f>
        <v>0</v>
      </c>
    </row>
    <row r="881">
      <c r="A881" t="inlineStr">
        <is>
          <t>INV-5653-2</t>
        </is>
      </c>
      <c r="B881" t="inlineStr">
        <is>
          <t>INV-5653</t>
        </is>
      </c>
      <c r="C881" s="11" t="n">
        <v>45975</v>
      </c>
      <c r="D881" t="inlineStr">
        <is>
          <t>2025-11</t>
        </is>
      </c>
      <c r="E881" t="inlineStr">
        <is>
          <t>C0008</t>
        </is>
      </c>
      <c r="F881" t="inlineStr">
        <is>
          <t>C0008</t>
        </is>
      </c>
      <c r="G881" t="inlineStr">
        <is>
          <t>Redline Builders Pty Ltd</t>
        </is>
      </c>
      <c r="H881" t="inlineStr">
        <is>
          <t>S0408</t>
        </is>
      </c>
      <c r="I881" t="inlineStr">
        <is>
          <t>Tarp supply and install - 3 tarp(s)</t>
        </is>
      </c>
      <c r="J881" t="n">
        <v>3</v>
      </c>
      <c r="K881" s="9" t="n">
        <v>720</v>
      </c>
      <c r="L881" t="inlineStr">
        <is>
          <t>PAID</t>
        </is>
      </c>
      <c r="M881">
        <f>IF(L881="VOIDED",0,1)</f>
        <v>1</v>
      </c>
      <c r="N881" t="n">
        <v>200</v>
      </c>
      <c r="O881" t="inlineStr">
        <is>
          <t>GST on Income</t>
        </is>
      </c>
      <c r="P881" t="inlineStr">
        <is>
          <t>R09</t>
        </is>
      </c>
      <c r="Q881" t="inlineStr">
        <is>
          <t>MS</t>
        </is>
      </c>
      <c r="R881">
        <f>IF(OR(Q881="CONTEXT",Q881="REVIEW"),"",INDEX('Category Rules'!$D$5:$D$17,MATCH(P881,'Category Rules'!$A$5:$A$17,0)))</f>
        <v>4020</v>
      </c>
      <c r="S881" t="str">
        <f>IF(Q881="CONTEXT","Make-safe",IF(Q881="REVIEW","",INDEX('Category Rules'!$E$5:$E$17,MATCH(P881,'Category Rules'!$A$5:$A$17,0))))</f>
        <v>Make-safe</v>
      </c>
      <c r="T881" t="str">
        <f>IF(Q881="DEP","BAS Excluded","GST on Income")</f>
        <v>GST on Income</v>
      </c>
      <c r="U881">
        <f>IF(O881=T881,1,0)</f>
        <v>1</v>
      </c>
      <c r="V881" s="9">
        <f>IF(OR(M881=0,U881=1),0,IF(T881="GST on Income",ROUND(K881*0.1,2),ROUND(-K881*0.1,2)))</f>
        <v>0</v>
      </c>
    </row>
    <row r="882">
      <c r="A882" t="inlineStr">
        <is>
          <t>INV-5774-1</t>
        </is>
      </c>
      <c r="B882" t="inlineStr">
        <is>
          <t>INV-5774</t>
        </is>
      </c>
      <c r="C882" s="11" t="n">
        <v>45975</v>
      </c>
      <c r="D882" t="inlineStr">
        <is>
          <t>2025-11</t>
        </is>
      </c>
      <c r="E882" t="inlineStr">
        <is>
          <t>C0099</t>
        </is>
      </c>
      <c r="F882" t="inlineStr">
        <is>
          <t>C0099</t>
        </is>
      </c>
      <c r="G882" t="inlineStr">
        <is>
          <t>Ruby Rossi</t>
        </is>
      </c>
      <c r="H882" t="inlineStr">
        <is>
          <t>S0476</t>
        </is>
      </c>
      <c r="I882" t="inlineStr">
        <is>
          <t>Roof repair labour - 4 hrs</t>
        </is>
      </c>
      <c r="J882" t="n">
        <v>4</v>
      </c>
      <c r="K882" s="9" t="n">
        <v>392</v>
      </c>
      <c r="L882" t="inlineStr">
        <is>
          <t>PAID</t>
        </is>
      </c>
      <c r="M882">
        <f>IF(L882="VOIDED",0,1)</f>
        <v>1</v>
      </c>
      <c r="N882" t="n">
        <v>200</v>
      </c>
      <c r="O882" t="inlineStr">
        <is>
          <t>GST on Income</t>
        </is>
      </c>
      <c r="P882" t="inlineStr">
        <is>
          <t>R10</t>
        </is>
      </c>
      <c r="Q882" t="inlineStr">
        <is>
          <t>LAB-RF</t>
        </is>
      </c>
      <c r="R882">
        <f>IF(OR(Q882="CONTEXT",Q882="REVIEW"),"",INDEX('Category Rules'!$D$5:$D$17,MATCH(P882,'Category Rules'!$A$5:$A$17,0)))</f>
        <v>4020</v>
      </c>
      <c r="S882" t="str">
        <f>IF(Q882="CONTEXT","Roofing",IF(Q882="REVIEW","",INDEX('Category Rules'!$E$5:$E$17,MATCH(P882,'Category Rules'!$A$5:$A$17,0))))</f>
        <v>Roofing</v>
      </c>
      <c r="T882" t="str">
        <f>IF(Q882="DEP","BAS Excluded","GST on Income")</f>
        <v>GST on Income</v>
      </c>
      <c r="U882">
        <f>IF(O882=T882,1,0)</f>
        <v>1</v>
      </c>
      <c r="V882" s="9">
        <f>IF(OR(M882=0,U882=1),0,IF(T882="GST on Income",ROUND(K882*0.1,2),ROUND(-K882*0.1,2)))</f>
        <v>0</v>
      </c>
    </row>
    <row r="883">
      <c r="A883" t="inlineStr">
        <is>
          <t>INV-5774-2</t>
        </is>
      </c>
      <c r="B883" t="inlineStr">
        <is>
          <t>INV-5774</t>
        </is>
      </c>
      <c r="C883" s="11" t="n">
        <v>45975</v>
      </c>
      <c r="D883" t="inlineStr">
        <is>
          <t>2025-11</t>
        </is>
      </c>
      <c r="E883" t="inlineStr">
        <is>
          <t>C0099</t>
        </is>
      </c>
      <c r="F883" t="inlineStr">
        <is>
          <t>C0099</t>
        </is>
      </c>
      <c r="G883" t="inlineStr">
        <is>
          <t>Ruby Rossi</t>
        </is>
      </c>
      <c r="H883" t="inlineStr">
        <is>
          <t>S0476</t>
        </is>
      </c>
      <c r="I883" t="inlineStr">
        <is>
          <t>Materials - sealant and fixings</t>
        </is>
      </c>
      <c r="J883" t="n">
        <v>1</v>
      </c>
      <c r="K883" s="9" t="n">
        <v>92.41</v>
      </c>
      <c r="L883" t="inlineStr">
        <is>
          <t>PAID</t>
        </is>
      </c>
      <c r="M883">
        <f>IF(L883="VOIDED",0,1)</f>
        <v>1</v>
      </c>
      <c r="N883" t="n">
        <v>200</v>
      </c>
      <c r="O883" t="inlineStr">
        <is>
          <t>GST on Income</t>
        </is>
      </c>
      <c r="P883" t="inlineStr">
        <is>
          <t>R11</t>
        </is>
      </c>
      <c r="Q883" t="inlineStr">
        <is>
          <t>MAT-RF</t>
        </is>
      </c>
      <c r="R883">
        <f>IF(OR(Q883="CONTEXT",Q883="REVIEW"),"",INDEX('Category Rules'!$D$5:$D$17,MATCH(P883,'Category Rules'!$A$5:$A$17,0)))</f>
        <v>4030</v>
      </c>
      <c r="S883" t="str">
        <f>IF(Q883="CONTEXT","Roofing",IF(Q883="REVIEW","",INDEX('Category Rules'!$E$5:$E$17,MATCH(P883,'Category Rules'!$A$5:$A$17,0))))</f>
        <v>Roofing</v>
      </c>
      <c r="T883" t="str">
        <f>IF(Q883="DEP","BAS Excluded","GST on Income")</f>
        <v>GST on Income</v>
      </c>
      <c r="U883">
        <f>IF(O883=T883,1,0)</f>
        <v>1</v>
      </c>
      <c r="V883" s="9">
        <f>IF(OR(M883=0,U883=1),0,IF(T883="GST on Income",ROUND(K883*0.1,2),ROUND(-K883*0.1,2)))</f>
        <v>0</v>
      </c>
    </row>
    <row r="884">
      <c r="A884" t="inlineStr">
        <is>
          <t>INV-5774-3</t>
        </is>
      </c>
      <c r="B884" t="inlineStr">
        <is>
          <t>INV-5774</t>
        </is>
      </c>
      <c r="C884" s="11" t="n">
        <v>45975</v>
      </c>
      <c r="D884" t="inlineStr">
        <is>
          <t>2025-11</t>
        </is>
      </c>
      <c r="E884" t="inlineStr">
        <is>
          <t>C0099</t>
        </is>
      </c>
      <c r="F884" t="inlineStr">
        <is>
          <t>C0099</t>
        </is>
      </c>
      <c r="G884" t="inlineStr">
        <is>
          <t>Ruby Rossi</t>
        </is>
      </c>
      <c r="H884" t="inlineStr">
        <is>
          <t>S0476</t>
        </is>
      </c>
      <c r="I884" t="inlineStr">
        <is>
          <t>Materials - ridge capping</t>
        </is>
      </c>
      <c r="J884" t="n">
        <v>1</v>
      </c>
      <c r="K884" s="9" t="n">
        <v>950.17</v>
      </c>
      <c r="L884" t="inlineStr">
        <is>
          <t>PAID</t>
        </is>
      </c>
      <c r="M884">
        <f>IF(L884="VOIDED",0,1)</f>
        <v>1</v>
      </c>
      <c r="N884" t="n">
        <v>200</v>
      </c>
      <c r="O884" t="inlineStr">
        <is>
          <t>GST on Income</t>
        </is>
      </c>
      <c r="P884" t="inlineStr">
        <is>
          <t>R11</t>
        </is>
      </c>
      <c r="Q884" t="inlineStr">
        <is>
          <t>MAT-RF</t>
        </is>
      </c>
      <c r="R884">
        <f>IF(OR(Q884="CONTEXT",Q884="REVIEW"),"",INDEX('Category Rules'!$D$5:$D$17,MATCH(P884,'Category Rules'!$A$5:$A$17,0)))</f>
        <v>4030</v>
      </c>
      <c r="S884" t="str">
        <f>IF(Q884="CONTEXT","Roofing",IF(Q884="REVIEW","",INDEX('Category Rules'!$E$5:$E$17,MATCH(P884,'Category Rules'!$A$5:$A$17,0))))</f>
        <v>Roofing</v>
      </c>
      <c r="T884" t="str">
        <f>IF(Q884="DEP","BAS Excluded","GST on Income")</f>
        <v>GST on Income</v>
      </c>
      <c r="U884">
        <f>IF(O884=T884,1,0)</f>
        <v>1</v>
      </c>
      <c r="V884" s="9">
        <f>IF(OR(M884=0,U884=1),0,IF(T884="GST on Income",ROUND(K884*0.1,2),ROUND(-K884*0.1,2)))</f>
        <v>0</v>
      </c>
    </row>
    <row r="885">
      <c r="A885" t="inlineStr">
        <is>
          <t>INV-4426-1</t>
        </is>
      </c>
      <c r="B885" t="inlineStr">
        <is>
          <t>INV-4426</t>
        </is>
      </c>
      <c r="C885" s="11" t="n">
        <v>45976</v>
      </c>
      <c r="D885" t="inlineStr">
        <is>
          <t>2025-11</t>
        </is>
      </c>
      <c r="E885" t="inlineStr">
        <is>
          <t>C0061</t>
        </is>
      </c>
      <c r="F885" t="inlineStr">
        <is>
          <t>C0061</t>
        </is>
      </c>
      <c r="G885" t="inlineStr">
        <is>
          <t>Southbank Claims Services Pty Ltd</t>
        </is>
      </c>
      <c r="H885" t="inlineStr">
        <is>
          <t>S0065</t>
        </is>
      </c>
      <c r="I885" t="inlineStr">
        <is>
          <t>Temporary fence hire 4 wks (18/10/25-14/11/25) - 130 panels</t>
        </is>
      </c>
      <c r="J885" t="n">
        <v>520</v>
      </c>
      <c r="K885" s="9" t="n">
        <v>2340</v>
      </c>
      <c r="L885" t="inlineStr">
        <is>
          <t>PAID</t>
        </is>
      </c>
      <c r="M885">
        <f>IF(L885="VOIDED",0,1)</f>
        <v>1</v>
      </c>
      <c r="N885" t="n">
        <v>200</v>
      </c>
      <c r="O885" t="inlineStr">
        <is>
          <t>GST on Income</t>
        </is>
      </c>
      <c r="P885" t="inlineStr">
        <is>
          <t>R03</t>
        </is>
      </c>
      <c r="Q885" t="inlineStr">
        <is>
          <t>HIRE-FP</t>
        </is>
      </c>
      <c r="R885">
        <f>IF(OR(Q885="CONTEXT",Q885="REVIEW"),"",INDEX('Category Rules'!$D$5:$D$17,MATCH(P885,'Category Rules'!$A$5:$A$17,0)))</f>
        <v>4010</v>
      </c>
      <c r="S885" t="str">
        <f>IF(Q885="CONTEXT","Fencing",IF(Q885="REVIEW","",INDEX('Category Rules'!$E$5:$E$17,MATCH(P885,'Category Rules'!$A$5:$A$17,0))))</f>
        <v>Fencing</v>
      </c>
      <c r="T885" t="str">
        <f>IF(Q885="DEP","BAS Excluded","GST on Income")</f>
        <v>GST on Income</v>
      </c>
      <c r="U885">
        <f>IF(O885=T885,1,0)</f>
        <v>1</v>
      </c>
      <c r="V885" s="9">
        <f>IF(OR(M885=0,U885=1),0,IF(T885="GST on Income",ROUND(K885*0.1,2),ROUND(-K885*0.1,2)))</f>
        <v>0</v>
      </c>
    </row>
    <row r="886">
      <c r="A886" t="inlineStr">
        <is>
          <t>INV-4621-1</t>
        </is>
      </c>
      <c r="B886" t="inlineStr">
        <is>
          <t>INV-4621</t>
        </is>
      </c>
      <c r="C886" s="11" t="n">
        <v>45976</v>
      </c>
      <c r="D886" t="inlineStr">
        <is>
          <t>2025-11</t>
        </is>
      </c>
      <c r="E886" t="inlineStr">
        <is>
          <t>C0074</t>
        </is>
      </c>
      <c r="F886" t="inlineStr">
        <is>
          <t>C0074</t>
        </is>
      </c>
      <c r="G886" t="inlineStr">
        <is>
          <t>Ironbark Events Pty Ltd</t>
        </is>
      </c>
      <c r="H886" t="inlineStr">
        <is>
          <t>S0105</t>
        </is>
      </c>
      <c r="I886" t="inlineStr">
        <is>
          <t>Temporary fence hire 3 wks (31/10/25-14/11/25) - 59 panels</t>
        </is>
      </c>
      <c r="J886" t="n">
        <v>177</v>
      </c>
      <c r="K886" s="9" t="n">
        <v>796.5</v>
      </c>
      <c r="L886" t="inlineStr">
        <is>
          <t>PAID</t>
        </is>
      </c>
      <c r="M886">
        <f>IF(L886="VOIDED",0,1)</f>
        <v>1</v>
      </c>
      <c r="N886" t="n">
        <v>200</v>
      </c>
      <c r="O886" t="inlineStr">
        <is>
          <t>GST on Income</t>
        </is>
      </c>
      <c r="P886" t="inlineStr">
        <is>
          <t>R03</t>
        </is>
      </c>
      <c r="Q886" t="inlineStr">
        <is>
          <t>HIRE-FP</t>
        </is>
      </c>
      <c r="R886">
        <f>IF(OR(Q886="CONTEXT",Q886="REVIEW"),"",INDEX('Category Rules'!$D$5:$D$17,MATCH(P886,'Category Rules'!$A$5:$A$17,0)))</f>
        <v>4010</v>
      </c>
      <c r="S886" t="str">
        <f>IF(Q886="CONTEXT","Fencing",IF(Q886="REVIEW","",INDEX('Category Rules'!$E$5:$E$17,MATCH(P886,'Category Rules'!$A$5:$A$17,0))))</f>
        <v>Fencing</v>
      </c>
      <c r="T886" t="str">
        <f>IF(Q886="DEP","BAS Excluded","GST on Income")</f>
        <v>GST on Income</v>
      </c>
      <c r="U886">
        <f>IF(O886=T886,1,0)</f>
        <v>1</v>
      </c>
      <c r="V886" s="9">
        <f>IF(OR(M886=0,U886=1),0,IF(T886="GST on Income",ROUND(K886*0.1,2),ROUND(-K886*0.1,2)))</f>
        <v>0</v>
      </c>
    </row>
    <row r="887">
      <c r="A887" t="inlineStr">
        <is>
          <t>INV-4623-1</t>
        </is>
      </c>
      <c r="B887" t="inlineStr">
        <is>
          <t>INV-4623</t>
        </is>
      </c>
      <c r="C887" s="11" t="n">
        <v>45976</v>
      </c>
      <c r="D887" t="inlineStr">
        <is>
          <t>2025-11</t>
        </is>
      </c>
      <c r="E887" t="inlineStr">
        <is>
          <t>C0074</t>
        </is>
      </c>
      <c r="F887" t="inlineStr">
        <is>
          <t>C0074</t>
        </is>
      </c>
      <c r="G887" t="inlineStr">
        <is>
          <t>Ironbark Events Pty Ltd</t>
        </is>
      </c>
      <c r="H887" t="inlineStr">
        <is>
          <t>S0105</t>
        </is>
      </c>
      <c r="I887" t="inlineStr">
        <is>
          <t>Collection and dismantle - temporary fencing</t>
        </is>
      </c>
      <c r="J887" t="n">
        <v>1</v>
      </c>
      <c r="K887" s="9" t="n">
        <v>165</v>
      </c>
      <c r="L887" t="inlineStr">
        <is>
          <t>PAID</t>
        </is>
      </c>
      <c r="M887">
        <f>IF(L887="VOIDED",0,1)</f>
        <v>1</v>
      </c>
      <c r="N887" t="n">
        <v>200</v>
      </c>
      <c r="O887" t="inlineStr">
        <is>
          <t>GST on Income</t>
        </is>
      </c>
      <c r="P887" t="inlineStr">
        <is>
          <t>R07</t>
        </is>
      </c>
      <c r="Q887" t="inlineStr">
        <is>
          <t>DEL-FP</t>
        </is>
      </c>
      <c r="R887">
        <f>IF(OR(Q887="CONTEXT",Q887="REVIEW"),"",INDEX('Category Rules'!$D$5:$D$17,MATCH(P887,'Category Rules'!$A$5:$A$17,0)))</f>
        <v>4020</v>
      </c>
      <c r="S887" t="str">
        <f>IF(Q887="CONTEXT","Fencing",IF(Q887="REVIEW","",INDEX('Category Rules'!$E$5:$E$17,MATCH(P887,'Category Rules'!$A$5:$A$17,0))))</f>
        <v>Fencing</v>
      </c>
      <c r="T887" t="str">
        <f>IF(Q887="DEP","BAS Excluded","GST on Income")</f>
        <v>GST on Income</v>
      </c>
      <c r="U887">
        <f>IF(O887=T887,1,0)</f>
        <v>1</v>
      </c>
      <c r="V887" s="9">
        <f>IF(OR(M887=0,U887=1),0,IF(T887="GST on Income",ROUND(K887*0.1,2),ROUND(-K887*0.1,2)))</f>
        <v>0</v>
      </c>
    </row>
    <row r="888">
      <c r="A888" t="inlineStr">
        <is>
          <t>INV-4862-1</t>
        </is>
      </c>
      <c r="B888" t="inlineStr">
        <is>
          <t>INV-4862</t>
        </is>
      </c>
      <c r="C888" s="11" t="n">
        <v>45976</v>
      </c>
      <c r="D888" t="inlineStr">
        <is>
          <t>2025-11</t>
        </is>
      </c>
      <c r="E888" t="inlineStr">
        <is>
          <t>C0007</t>
        </is>
      </c>
      <c r="F888" t="inlineStr">
        <is>
          <t>C0007</t>
        </is>
      </c>
      <c r="G888" t="inlineStr">
        <is>
          <t>Eastlink Projects</t>
        </is>
      </c>
      <c r="H888" t="inlineStr">
        <is>
          <t>S0161</t>
        </is>
      </c>
      <c r="I888" t="inlineStr">
        <is>
          <t>Temporary fence hire 4 wks (18/10/25-14/11/25) - 131 panels</t>
        </is>
      </c>
      <c r="J888" t="n">
        <v>524</v>
      </c>
      <c r="K888" s="9" t="n">
        <v>2358</v>
      </c>
      <c r="L888" t="inlineStr">
        <is>
          <t>PAID</t>
        </is>
      </c>
      <c r="M888">
        <f>IF(L888="VOIDED",0,1)</f>
        <v>1</v>
      </c>
      <c r="N888" t="n">
        <v>200</v>
      </c>
      <c r="O888" t="inlineStr">
        <is>
          <t>GST on Income</t>
        </is>
      </c>
      <c r="P888" t="inlineStr">
        <is>
          <t>R03</t>
        </is>
      </c>
      <c r="Q888" t="inlineStr">
        <is>
          <t>HIRE-FP</t>
        </is>
      </c>
      <c r="R888">
        <f>IF(OR(Q888="CONTEXT",Q888="REVIEW"),"",INDEX('Category Rules'!$D$5:$D$17,MATCH(P888,'Category Rules'!$A$5:$A$17,0)))</f>
        <v>4010</v>
      </c>
      <c r="S888" t="str">
        <f>IF(Q888="CONTEXT","Fencing",IF(Q888="REVIEW","",INDEX('Category Rules'!$E$5:$E$17,MATCH(P888,'Category Rules'!$A$5:$A$17,0))))</f>
        <v>Fencing</v>
      </c>
      <c r="T888" t="str">
        <f>IF(Q888="DEP","BAS Excluded","GST on Income")</f>
        <v>GST on Income</v>
      </c>
      <c r="U888">
        <f>IF(O888=T888,1,0)</f>
        <v>1</v>
      </c>
      <c r="V888" s="9">
        <f>IF(OR(M888=0,U888=1),0,IF(T888="GST on Income",ROUND(K888*0.1,2),ROUND(-K888*0.1,2)))</f>
        <v>0</v>
      </c>
    </row>
    <row r="889">
      <c r="A889" t="inlineStr">
        <is>
          <t>INV-5144-1</t>
        </is>
      </c>
      <c r="B889" t="inlineStr">
        <is>
          <t>INV-5144</t>
        </is>
      </c>
      <c r="C889" s="11" t="n">
        <v>45976</v>
      </c>
      <c r="D889" t="inlineStr">
        <is>
          <t>2025-11</t>
        </is>
      </c>
      <c r="E889" t="inlineStr">
        <is>
          <t>C0102</t>
        </is>
      </c>
      <c r="F889" t="inlineStr">
        <is>
          <t>C0102</t>
        </is>
      </c>
      <c r="G889" t="inlineStr">
        <is>
          <t>Arjun Doyle</t>
        </is>
      </c>
      <c r="H889" t="inlineStr">
        <is>
          <t>S0223</t>
        </is>
      </c>
      <c r="I889" t="inlineStr">
        <is>
          <t>Delivery and installation - temporary fencing</t>
        </is>
      </c>
      <c r="J889" t="n">
        <v>1</v>
      </c>
      <c r="K889" s="9" t="n">
        <v>165</v>
      </c>
      <c r="L889" t="inlineStr">
        <is>
          <t>PAID</t>
        </is>
      </c>
      <c r="M889">
        <f>IF(L889="VOIDED",0,1)</f>
        <v>1</v>
      </c>
      <c r="N889" t="n">
        <v>200</v>
      </c>
      <c r="O889" t="inlineStr">
        <is>
          <t>GST on Income</t>
        </is>
      </c>
      <c r="P889" t="inlineStr">
        <is>
          <t>R07</t>
        </is>
      </c>
      <c r="Q889" t="inlineStr">
        <is>
          <t>DEL-FP</t>
        </is>
      </c>
      <c r="R889">
        <f>IF(OR(Q889="CONTEXT",Q889="REVIEW"),"",INDEX('Category Rules'!$D$5:$D$17,MATCH(P889,'Category Rules'!$A$5:$A$17,0)))</f>
        <v>4020</v>
      </c>
      <c r="S889" t="str">
        <f>IF(Q889="CONTEXT","Fencing",IF(Q889="REVIEW","",INDEX('Category Rules'!$E$5:$E$17,MATCH(P889,'Category Rules'!$A$5:$A$17,0))))</f>
        <v>Fencing</v>
      </c>
      <c r="T889" t="str">
        <f>IF(Q889="DEP","BAS Excluded","GST on Income")</f>
        <v>GST on Income</v>
      </c>
      <c r="U889">
        <f>IF(O889=T889,1,0)</f>
        <v>1</v>
      </c>
      <c r="V889" s="9">
        <f>IF(OR(M889=0,U889=1),0,IF(T889="GST on Income",ROUND(K889*0.1,2),ROUND(-K889*0.1,2)))</f>
        <v>0</v>
      </c>
    </row>
    <row r="890">
      <c r="A890" t="inlineStr">
        <is>
          <t>INV-5144-2</t>
        </is>
      </c>
      <c r="B890" t="inlineStr">
        <is>
          <t>INV-5144</t>
        </is>
      </c>
      <c r="C890" s="11" t="n">
        <v>45976</v>
      </c>
      <c r="D890" t="inlineStr">
        <is>
          <t>2025-11</t>
        </is>
      </c>
      <c r="E890" t="inlineStr">
        <is>
          <t>C0102</t>
        </is>
      </c>
      <c r="F890" t="inlineStr">
        <is>
          <t>C0102</t>
        </is>
      </c>
      <c r="G890" t="inlineStr">
        <is>
          <t>Arjun Doyle</t>
        </is>
      </c>
      <c r="H890" t="inlineStr">
        <is>
          <t>S0223</t>
        </is>
      </c>
      <c r="I890" t="inlineStr">
        <is>
          <t>Installation labour - 25 panels @ 2.20</t>
        </is>
      </c>
      <c r="J890" t="n">
        <v>25</v>
      </c>
      <c r="K890" s="9" t="n">
        <v>55</v>
      </c>
      <c r="L890" t="inlineStr">
        <is>
          <t>PAID</t>
        </is>
      </c>
      <c r="M890">
        <f>IF(L890="VOIDED",0,1)</f>
        <v>1</v>
      </c>
      <c r="N890" t="n">
        <v>200</v>
      </c>
      <c r="O890" t="inlineStr">
        <is>
          <t>GST on Income</t>
        </is>
      </c>
      <c r="P890" t="inlineStr">
        <is>
          <t>R07</t>
        </is>
      </c>
      <c r="Q890" t="inlineStr">
        <is>
          <t>DEL-FP</t>
        </is>
      </c>
      <c r="R890">
        <f>IF(OR(Q890="CONTEXT",Q890="REVIEW"),"",INDEX('Category Rules'!$D$5:$D$17,MATCH(P890,'Category Rules'!$A$5:$A$17,0)))</f>
        <v>4020</v>
      </c>
      <c r="S890" t="str">
        <f>IF(Q890="CONTEXT","Fencing",IF(Q890="REVIEW","",INDEX('Category Rules'!$E$5:$E$17,MATCH(P890,'Category Rules'!$A$5:$A$17,0))))</f>
        <v>Fencing</v>
      </c>
      <c r="T890" t="str">
        <f>IF(Q890="DEP","BAS Excluded","GST on Income")</f>
        <v>GST on Income</v>
      </c>
      <c r="U890">
        <f>IF(O890=T890,1,0)</f>
        <v>1</v>
      </c>
      <c r="V890" s="9">
        <f>IF(OR(M890=0,U890=1),0,IF(T890="GST on Income",ROUND(K890*0.1,2),ROUND(-K890*0.1,2)))</f>
        <v>0</v>
      </c>
    </row>
    <row r="891">
      <c r="A891" t="inlineStr">
        <is>
          <t>INV-5144-3</t>
        </is>
      </c>
      <c r="B891" t="inlineStr">
        <is>
          <t>INV-5144</t>
        </is>
      </c>
      <c r="C891" s="11" t="n">
        <v>45976</v>
      </c>
      <c r="D891" t="inlineStr">
        <is>
          <t>2025-11</t>
        </is>
      </c>
      <c r="E891" t="inlineStr">
        <is>
          <t>C0102</t>
        </is>
      </c>
      <c r="F891" t="inlineStr">
        <is>
          <t>C0102</t>
        </is>
      </c>
      <c r="G891" t="inlineStr">
        <is>
          <t>Arjun Doyle</t>
        </is>
      </c>
      <c r="H891" t="inlineStr">
        <is>
          <t>S0223</t>
        </is>
      </c>
      <c r="I891" t="inlineStr">
        <is>
          <t>Security deposit - fence panels (refundable)</t>
        </is>
      </c>
      <c r="J891" t="n">
        <v>1</v>
      </c>
      <c r="K891" s="9" t="n">
        <v>200</v>
      </c>
      <c r="L891" t="inlineStr">
        <is>
          <t>PAID</t>
        </is>
      </c>
      <c r="M891">
        <f>IF(L891="VOIDED",0,1)</f>
        <v>1</v>
      </c>
      <c r="N891" t="n">
        <v>200</v>
      </c>
      <c r="O891" t="inlineStr">
        <is>
          <t>BAS Excluded</t>
        </is>
      </c>
      <c r="P891" t="inlineStr">
        <is>
          <t>R01</t>
        </is>
      </c>
      <c r="Q891" t="inlineStr">
        <is>
          <t>DEP</t>
        </is>
      </c>
      <c r="R891">
        <f>IF(OR(Q891="CONTEXT",Q891="REVIEW"),"",INDEX('Category Rules'!$D$5:$D$17,MATCH(P891,'Category Rules'!$A$5:$A$17,0)))</f>
        <v>835</v>
      </c>
      <c r="S891" t="str">
        <f>IF(Q891="CONTEXT","Fencing",IF(Q891="REVIEW","",INDEX('Category Rules'!$E$5:$E$17,MATCH(P891,'Category Rules'!$A$5:$A$17,0))))</f>
        <v>Fencing</v>
      </c>
      <c r="T891" t="str">
        <f>IF(Q891="DEP","BAS Excluded","GST on Income")</f>
        <v>BAS Excluded</v>
      </c>
      <c r="U891">
        <f>IF(O891=T891,1,0)</f>
        <v>1</v>
      </c>
      <c r="V891" s="9">
        <f>IF(OR(M891=0,U891=1),0,IF(T891="GST on Income",ROUND(K891*0.1,2),ROUND(-K891*0.1,2)))</f>
        <v>0</v>
      </c>
    </row>
    <row r="892">
      <c r="A892" t="inlineStr">
        <is>
          <t>INV-5362-1</t>
        </is>
      </c>
      <c r="B892" t="inlineStr">
        <is>
          <t>INV-5362</t>
        </is>
      </c>
      <c r="C892" s="11" t="n">
        <v>45976</v>
      </c>
      <c r="D892" t="inlineStr">
        <is>
          <t>2025-11</t>
        </is>
      </c>
      <c r="E892" t="inlineStr">
        <is>
          <t>C0096</t>
        </is>
      </c>
      <c r="F892" t="inlineStr">
        <is>
          <t>C0096</t>
        </is>
      </c>
      <c r="G892" t="inlineStr">
        <is>
          <t>Lucas Kelly</t>
        </is>
      </c>
      <c r="H892" t="inlineStr">
        <is>
          <t>S0274</t>
        </is>
      </c>
      <c r="I892" t="inlineStr">
        <is>
          <t>Scaffold tower hire 4 wks (18/10/25-14/11/25) - 1 towers</t>
        </is>
      </c>
      <c r="J892" t="n">
        <v>4</v>
      </c>
      <c r="K892" s="9" t="n">
        <v>380</v>
      </c>
      <c r="L892" t="inlineStr">
        <is>
          <t>PAID</t>
        </is>
      </c>
      <c r="M892">
        <f>IF(L892="VOIDED",0,1)</f>
        <v>1</v>
      </c>
      <c r="N892" t="n">
        <v>200</v>
      </c>
      <c r="O892" t="inlineStr">
        <is>
          <t>GST on Income</t>
        </is>
      </c>
      <c r="P892" t="inlineStr">
        <is>
          <t>R05</t>
        </is>
      </c>
      <c r="Q892" t="inlineStr">
        <is>
          <t>HIRE-ST</t>
        </is>
      </c>
      <c r="R892">
        <f>IF(OR(Q892="CONTEXT",Q892="REVIEW"),"",INDEX('Category Rules'!$D$5:$D$17,MATCH(P892,'Category Rules'!$A$5:$A$17,0)))</f>
        <v>4010</v>
      </c>
      <c r="S892" t="str">
        <f>IF(Q892="CONTEXT","Scaffolding",IF(Q892="REVIEW","",INDEX('Category Rules'!$E$5:$E$17,MATCH(P892,'Category Rules'!$A$5:$A$17,0))))</f>
        <v>Scaffolding</v>
      </c>
      <c r="T892" t="str">
        <f>IF(Q892="DEP","BAS Excluded","GST on Income")</f>
        <v>GST on Income</v>
      </c>
      <c r="U892">
        <f>IF(O892=T892,1,0)</f>
        <v>1</v>
      </c>
      <c r="V892" s="9">
        <f>IF(OR(M892=0,U892=1),0,IF(T892="GST on Income",ROUND(K892*0.1,2),ROUND(-K892*0.1,2)))</f>
        <v>0</v>
      </c>
    </row>
    <row r="893">
      <c r="A893" t="inlineStr">
        <is>
          <t>INV-5483-1</t>
        </is>
      </c>
      <c r="B893" t="inlineStr">
        <is>
          <t>INV-5483</t>
        </is>
      </c>
      <c r="C893" s="11" t="n">
        <v>45976</v>
      </c>
      <c r="D893" t="inlineStr">
        <is>
          <t>2025-11</t>
        </is>
      </c>
      <c r="E893" t="inlineStr">
        <is>
          <t>C0046</t>
        </is>
      </c>
      <c r="F893" t="inlineStr">
        <is>
          <t>C0046</t>
        </is>
      </c>
      <c r="G893" t="inlineStr">
        <is>
          <t>Bayside Owners Corporation Services Pty Ltd</t>
        </is>
      </c>
      <c r="H893" t="inlineStr">
        <is>
          <t>S0316</t>
        </is>
      </c>
      <c r="I893" t="inlineStr">
        <is>
          <t>Roof repair labour - 16 hrs</t>
        </is>
      </c>
      <c r="J893" t="n">
        <v>16</v>
      </c>
      <c r="K893" s="9" t="n">
        <v>1568</v>
      </c>
      <c r="L893" t="inlineStr">
        <is>
          <t>PAID</t>
        </is>
      </c>
      <c r="M893">
        <f>IF(L893="VOIDED",0,1)</f>
        <v>1</v>
      </c>
      <c r="N893" t="n">
        <v>200</v>
      </c>
      <c r="O893" t="inlineStr">
        <is>
          <t>GST on Income</t>
        </is>
      </c>
      <c r="P893" t="inlineStr">
        <is>
          <t>R10</t>
        </is>
      </c>
      <c r="Q893" t="inlineStr">
        <is>
          <t>LAB-RF</t>
        </is>
      </c>
      <c r="R893">
        <f>IF(OR(Q893="CONTEXT",Q893="REVIEW"),"",INDEX('Category Rules'!$D$5:$D$17,MATCH(P893,'Category Rules'!$A$5:$A$17,0)))</f>
        <v>4020</v>
      </c>
      <c r="S893" t="str">
        <f>IF(Q893="CONTEXT","Roofing",IF(Q893="REVIEW","",INDEX('Category Rules'!$E$5:$E$17,MATCH(P893,'Category Rules'!$A$5:$A$17,0))))</f>
        <v>Roofing</v>
      </c>
      <c r="T893" t="str">
        <f>IF(Q893="DEP","BAS Excluded","GST on Income")</f>
        <v>GST on Income</v>
      </c>
      <c r="U893">
        <f>IF(O893=T893,1,0)</f>
        <v>1</v>
      </c>
      <c r="V893" s="9">
        <f>IF(OR(M893=0,U893=1),0,IF(T893="GST on Income",ROUND(K893*0.1,2),ROUND(-K893*0.1,2)))</f>
        <v>0</v>
      </c>
    </row>
    <row r="894">
      <c r="A894" t="inlineStr">
        <is>
          <t>INV-5483-2</t>
        </is>
      </c>
      <c r="B894" t="inlineStr">
        <is>
          <t>INV-5483</t>
        </is>
      </c>
      <c r="C894" s="11" t="n">
        <v>45976</v>
      </c>
      <c r="D894" t="inlineStr">
        <is>
          <t>2025-11</t>
        </is>
      </c>
      <c r="E894" t="inlineStr">
        <is>
          <t>C0046</t>
        </is>
      </c>
      <c r="F894" t="inlineStr">
        <is>
          <t>C0046</t>
        </is>
      </c>
      <c r="G894" t="inlineStr">
        <is>
          <t>Bayside Owners Corporation Services Pty Ltd</t>
        </is>
      </c>
      <c r="H894" t="inlineStr">
        <is>
          <t>S0316</t>
        </is>
      </c>
      <c r="I894" t="inlineStr">
        <is>
          <t>Materials - flashing</t>
        </is>
      </c>
      <c r="J894" t="n">
        <v>1</v>
      </c>
      <c r="K894" s="9" t="n">
        <v>1007.57</v>
      </c>
      <c r="L894" t="inlineStr">
        <is>
          <t>PAID</t>
        </is>
      </c>
      <c r="M894">
        <f>IF(L894="VOIDED",0,1)</f>
        <v>1</v>
      </c>
      <c r="N894" t="n">
        <v>200</v>
      </c>
      <c r="O894" t="inlineStr">
        <is>
          <t>GST on Income</t>
        </is>
      </c>
      <c r="P894" t="inlineStr">
        <is>
          <t>R11</t>
        </is>
      </c>
      <c r="Q894" t="inlineStr">
        <is>
          <t>MAT-RF</t>
        </is>
      </c>
      <c r="R894">
        <f>IF(OR(Q894="CONTEXT",Q894="REVIEW"),"",INDEX('Category Rules'!$D$5:$D$17,MATCH(P894,'Category Rules'!$A$5:$A$17,0)))</f>
        <v>4030</v>
      </c>
      <c r="S894" t="str">
        <f>IF(Q894="CONTEXT","Roofing",IF(Q894="REVIEW","",INDEX('Category Rules'!$E$5:$E$17,MATCH(P894,'Category Rules'!$A$5:$A$17,0))))</f>
        <v>Roofing</v>
      </c>
      <c r="T894" t="str">
        <f>IF(Q894="DEP","BAS Excluded","GST on Income")</f>
        <v>GST on Income</v>
      </c>
      <c r="U894">
        <f>IF(O894=T894,1,0)</f>
        <v>1</v>
      </c>
      <c r="V894" s="9">
        <f>IF(OR(M894=0,U894=1),0,IF(T894="GST on Income",ROUND(K894*0.1,2),ROUND(-K894*0.1,2)))</f>
        <v>0</v>
      </c>
    </row>
    <row r="895">
      <c r="A895" t="inlineStr">
        <is>
          <t>INV-5483-3</t>
        </is>
      </c>
      <c r="B895" t="inlineStr">
        <is>
          <t>INV-5483</t>
        </is>
      </c>
      <c r="C895" s="11" t="n">
        <v>45976</v>
      </c>
      <c r="D895" t="inlineStr">
        <is>
          <t>2025-11</t>
        </is>
      </c>
      <c r="E895" t="inlineStr">
        <is>
          <t>C0046</t>
        </is>
      </c>
      <c r="F895" t="inlineStr">
        <is>
          <t>C0046</t>
        </is>
      </c>
      <c r="G895" t="inlineStr">
        <is>
          <t>Bayside Owners Corporation Services Pty Ltd</t>
        </is>
      </c>
      <c r="H895" t="inlineStr">
        <is>
          <t>S0316</t>
        </is>
      </c>
      <c r="I895" t="inlineStr">
        <is>
          <t>Waste removal and tip fees</t>
        </is>
      </c>
      <c r="J895" t="n">
        <v>1</v>
      </c>
      <c r="K895" s="9" t="n">
        <v>120</v>
      </c>
      <c r="L895" t="inlineStr">
        <is>
          <t>PAID</t>
        </is>
      </c>
      <c r="M895">
        <f>IF(L895="VOIDED",0,1)</f>
        <v>1</v>
      </c>
      <c r="N895" t="n">
        <v>200</v>
      </c>
      <c r="O895" t="inlineStr">
        <is>
          <t>GST on Income</t>
        </is>
      </c>
      <c r="P895" t="inlineStr">
        <is>
          <t>R11</t>
        </is>
      </c>
      <c r="Q895" t="inlineStr">
        <is>
          <t>MAT-RF</t>
        </is>
      </c>
      <c r="R895">
        <f>IF(OR(Q895="CONTEXT",Q895="REVIEW"),"",INDEX('Category Rules'!$D$5:$D$17,MATCH(P895,'Category Rules'!$A$5:$A$17,0)))</f>
        <v>4030</v>
      </c>
      <c r="S895" t="str">
        <f>IF(Q895="CONTEXT","Roofing",IF(Q895="REVIEW","",INDEX('Category Rules'!$E$5:$E$17,MATCH(P895,'Category Rules'!$A$5:$A$17,0))))</f>
        <v>Roofing</v>
      </c>
      <c r="T895" t="str">
        <f>IF(Q895="DEP","BAS Excluded","GST on Income")</f>
        <v>GST on Income</v>
      </c>
      <c r="U895">
        <f>IF(O895=T895,1,0)</f>
        <v>1</v>
      </c>
      <c r="V895" s="9">
        <f>IF(OR(M895=0,U895=1),0,IF(T895="GST on Income",ROUND(K895*0.1,2),ROUND(-K895*0.1,2)))</f>
        <v>0</v>
      </c>
    </row>
    <row r="896">
      <c r="A896" t="inlineStr">
        <is>
          <t>INV-5840-1</t>
        </is>
      </c>
      <c r="B896" t="inlineStr">
        <is>
          <t>INV-5840</t>
        </is>
      </c>
      <c r="C896" s="11" t="n">
        <v>45976</v>
      </c>
      <c r="D896" t="inlineStr">
        <is>
          <t>2025-11</t>
        </is>
      </c>
      <c r="E896" t="inlineStr">
        <is>
          <t>C0098</t>
        </is>
      </c>
      <c r="F896" t="inlineStr">
        <is>
          <t>C0098</t>
        </is>
      </c>
      <c r="G896" t="inlineStr">
        <is>
          <t>Ethan Walker</t>
        </is>
      </c>
      <c r="H896" t="inlineStr">
        <is>
          <t>S0514</t>
        </is>
      </c>
      <c r="I896" t="inlineStr">
        <is>
          <t>Roof repair labour - 3 hrs</t>
        </is>
      </c>
      <c r="J896" t="n">
        <v>3</v>
      </c>
      <c r="K896" s="9" t="n">
        <v>294</v>
      </c>
      <c r="L896" t="inlineStr">
        <is>
          <t>PAID</t>
        </is>
      </c>
      <c r="M896">
        <f>IF(L896="VOIDED",0,1)</f>
        <v>1</v>
      </c>
      <c r="N896" t="n">
        <v>200</v>
      </c>
      <c r="O896" t="inlineStr">
        <is>
          <t>GST on Income</t>
        </is>
      </c>
      <c r="P896" t="inlineStr">
        <is>
          <t>R10</t>
        </is>
      </c>
      <c r="Q896" t="inlineStr">
        <is>
          <t>LAB-RF</t>
        </is>
      </c>
      <c r="R896">
        <f>IF(OR(Q896="CONTEXT",Q896="REVIEW"),"",INDEX('Category Rules'!$D$5:$D$17,MATCH(P896,'Category Rules'!$A$5:$A$17,0)))</f>
        <v>4020</v>
      </c>
      <c r="S896" t="str">
        <f>IF(Q896="CONTEXT","Roofing",IF(Q896="REVIEW","",INDEX('Category Rules'!$E$5:$E$17,MATCH(P896,'Category Rules'!$A$5:$A$17,0))))</f>
        <v>Roofing</v>
      </c>
      <c r="T896" t="str">
        <f>IF(Q896="DEP","BAS Excluded","GST on Income")</f>
        <v>GST on Income</v>
      </c>
      <c r="U896">
        <f>IF(O896=T896,1,0)</f>
        <v>1</v>
      </c>
      <c r="V896" s="9">
        <f>IF(OR(M896=0,U896=1),0,IF(T896="GST on Income",ROUND(K896*0.1,2),ROUND(-K896*0.1,2)))</f>
        <v>0</v>
      </c>
    </row>
    <row r="897">
      <c r="A897" t="inlineStr">
        <is>
          <t>INV-5840-2</t>
        </is>
      </c>
      <c r="B897" t="inlineStr">
        <is>
          <t>INV-5840</t>
        </is>
      </c>
      <c r="C897" s="11" t="n">
        <v>45976</v>
      </c>
      <c r="D897" t="inlineStr">
        <is>
          <t>2025-11</t>
        </is>
      </c>
      <c r="E897" t="inlineStr">
        <is>
          <t>C0098</t>
        </is>
      </c>
      <c r="F897" t="inlineStr">
        <is>
          <t>C0098</t>
        </is>
      </c>
      <c r="G897" t="inlineStr">
        <is>
          <t>Ethan Walker</t>
        </is>
      </c>
      <c r="H897" t="inlineStr">
        <is>
          <t>S0514</t>
        </is>
      </c>
      <c r="I897" t="inlineStr">
        <is>
          <t>Materials - sealant and fixings</t>
        </is>
      </c>
      <c r="J897" t="n">
        <v>1</v>
      </c>
      <c r="K897" s="9" t="n">
        <v>515.0599999999999</v>
      </c>
      <c r="L897" t="inlineStr">
        <is>
          <t>PAID</t>
        </is>
      </c>
      <c r="M897">
        <f>IF(L897="VOIDED",0,1)</f>
        <v>1</v>
      </c>
      <c r="N897" t="n">
        <v>200</v>
      </c>
      <c r="O897" t="inlineStr">
        <is>
          <t>GST on Income</t>
        </is>
      </c>
      <c r="P897" t="inlineStr">
        <is>
          <t>R11</t>
        </is>
      </c>
      <c r="Q897" t="inlineStr">
        <is>
          <t>MAT-RF</t>
        </is>
      </c>
      <c r="R897">
        <f>IF(OR(Q897="CONTEXT",Q897="REVIEW"),"",INDEX('Category Rules'!$D$5:$D$17,MATCH(P897,'Category Rules'!$A$5:$A$17,0)))</f>
        <v>4030</v>
      </c>
      <c r="S897" t="str">
        <f>IF(Q897="CONTEXT","Roofing",IF(Q897="REVIEW","",INDEX('Category Rules'!$E$5:$E$17,MATCH(P897,'Category Rules'!$A$5:$A$17,0))))</f>
        <v>Roofing</v>
      </c>
      <c r="T897" t="str">
        <f>IF(Q897="DEP","BAS Excluded","GST on Income")</f>
        <v>GST on Income</v>
      </c>
      <c r="U897">
        <f>IF(O897=T897,1,0)</f>
        <v>1</v>
      </c>
      <c r="V897" s="9">
        <f>IF(OR(M897=0,U897=1),0,IF(T897="GST on Income",ROUND(K897*0.1,2),ROUND(-K897*0.1,2)))</f>
        <v>0</v>
      </c>
    </row>
    <row r="898">
      <c r="A898" t="inlineStr">
        <is>
          <t>INV-5840-3</t>
        </is>
      </c>
      <c r="B898" t="inlineStr">
        <is>
          <t>INV-5840</t>
        </is>
      </c>
      <c r="C898" s="11" t="n">
        <v>45976</v>
      </c>
      <c r="D898" t="inlineStr">
        <is>
          <t>2025-11</t>
        </is>
      </c>
      <c r="E898" t="inlineStr">
        <is>
          <t>C0098</t>
        </is>
      </c>
      <c r="F898" t="inlineStr">
        <is>
          <t>C0098</t>
        </is>
      </c>
      <c r="G898" t="inlineStr">
        <is>
          <t>Ethan Walker</t>
        </is>
      </c>
      <c r="H898" t="inlineStr">
        <is>
          <t>S0514</t>
        </is>
      </c>
      <c r="I898" t="inlineStr">
        <is>
          <t>Materials - roof tiles (matched)</t>
        </is>
      </c>
      <c r="J898" t="n">
        <v>1</v>
      </c>
      <c r="K898" s="9" t="n">
        <v>436.41</v>
      </c>
      <c r="L898" t="inlineStr">
        <is>
          <t>PAID</t>
        </is>
      </c>
      <c r="M898">
        <f>IF(L898="VOIDED",0,1)</f>
        <v>1</v>
      </c>
      <c r="N898" t="n">
        <v>260</v>
      </c>
      <c r="O898" t="inlineStr">
        <is>
          <t>GST on Income</t>
        </is>
      </c>
      <c r="P898" t="inlineStr">
        <is>
          <t>R11</t>
        </is>
      </c>
      <c r="Q898" t="inlineStr">
        <is>
          <t>MAT-RF</t>
        </is>
      </c>
      <c r="R898">
        <f>IF(OR(Q898="CONTEXT",Q898="REVIEW"),"",INDEX('Category Rules'!$D$5:$D$17,MATCH(P898,'Category Rules'!$A$5:$A$17,0)))</f>
        <v>4030</v>
      </c>
      <c r="S898" t="str">
        <f>IF(Q898="CONTEXT","Roofing",IF(Q898="REVIEW","",INDEX('Category Rules'!$E$5:$E$17,MATCH(P898,'Category Rules'!$A$5:$A$17,0))))</f>
        <v>Roofing</v>
      </c>
      <c r="T898" t="str">
        <f>IF(Q898="DEP","BAS Excluded","GST on Income")</f>
        <v>GST on Income</v>
      </c>
      <c r="U898">
        <f>IF(O898=T898,1,0)</f>
        <v>1</v>
      </c>
      <c r="V898" s="9">
        <f>IF(OR(M898=0,U898=1),0,IF(T898="GST on Income",ROUND(K898*0.1,2),ROUND(-K898*0.1,2)))</f>
        <v>0</v>
      </c>
    </row>
    <row r="899">
      <c r="A899" t="inlineStr">
        <is>
          <t>INV-5840-4</t>
        </is>
      </c>
      <c r="B899" t="inlineStr">
        <is>
          <t>INV-5840</t>
        </is>
      </c>
      <c r="C899" s="11" t="n">
        <v>45976</v>
      </c>
      <c r="D899" t="inlineStr">
        <is>
          <t>2025-11</t>
        </is>
      </c>
      <c r="E899" t="inlineStr">
        <is>
          <t>C0098</t>
        </is>
      </c>
      <c r="F899" t="inlineStr">
        <is>
          <t>C0098</t>
        </is>
      </c>
      <c r="G899" t="inlineStr">
        <is>
          <t>Ethan Walker</t>
        </is>
      </c>
      <c r="H899" t="inlineStr">
        <is>
          <t>S0514</t>
        </is>
      </c>
      <c r="I899" t="inlineStr">
        <is>
          <t>Materials - flashing</t>
        </is>
      </c>
      <c r="J899" t="n">
        <v>1</v>
      </c>
      <c r="K899" s="9" t="n">
        <v>616.13</v>
      </c>
      <c r="L899" t="inlineStr">
        <is>
          <t>PAID</t>
        </is>
      </c>
      <c r="M899">
        <f>IF(L899="VOIDED",0,1)</f>
        <v>1</v>
      </c>
      <c r="N899" t="n">
        <v>200</v>
      </c>
      <c r="O899" t="inlineStr">
        <is>
          <t>GST on Income</t>
        </is>
      </c>
      <c r="P899" t="inlineStr">
        <is>
          <t>R11</t>
        </is>
      </c>
      <c r="Q899" t="inlineStr">
        <is>
          <t>MAT-RF</t>
        </is>
      </c>
      <c r="R899">
        <f>IF(OR(Q899="CONTEXT",Q899="REVIEW"),"",INDEX('Category Rules'!$D$5:$D$17,MATCH(P899,'Category Rules'!$A$5:$A$17,0)))</f>
        <v>4030</v>
      </c>
      <c r="S899" t="str">
        <f>IF(Q899="CONTEXT","Roofing",IF(Q899="REVIEW","",INDEX('Category Rules'!$E$5:$E$17,MATCH(P899,'Category Rules'!$A$5:$A$17,0))))</f>
        <v>Roofing</v>
      </c>
      <c r="T899" t="str">
        <f>IF(Q899="DEP","BAS Excluded","GST on Income")</f>
        <v>GST on Income</v>
      </c>
      <c r="U899">
        <f>IF(O899=T899,1,0)</f>
        <v>1</v>
      </c>
      <c r="V899" s="9">
        <f>IF(OR(M899=0,U899=1),0,IF(T899="GST on Income",ROUND(K899*0.1,2),ROUND(-K899*0.1,2)))</f>
        <v>0</v>
      </c>
    </row>
    <row r="900">
      <c r="A900" t="inlineStr">
        <is>
          <t>INV-4234-1</t>
        </is>
      </c>
      <c r="B900" t="inlineStr">
        <is>
          <t>INV-4234</t>
        </is>
      </c>
      <c r="C900" s="11" t="n">
        <v>45977</v>
      </c>
      <c r="D900" t="inlineStr">
        <is>
          <t>2025-11</t>
        </is>
      </c>
      <c r="E900" t="inlineStr">
        <is>
          <t>C0105</t>
        </is>
      </c>
      <c r="F900" t="inlineStr">
        <is>
          <t>C0105</t>
        </is>
      </c>
      <c r="G900" t="inlineStr">
        <is>
          <t>Priya Walker</t>
        </is>
      </c>
      <c r="H900" t="inlineStr">
        <is>
          <t>S0025</t>
        </is>
      </c>
      <c r="I900" t="inlineStr">
        <is>
          <t>Temporary fence hire 4 wks (19/10/25-15/11/25) - 76 panels</t>
        </is>
      </c>
      <c r="J900" t="n">
        <v>304</v>
      </c>
      <c r="K900" s="9" t="n">
        <v>1368</v>
      </c>
      <c r="L900" t="inlineStr">
        <is>
          <t>PAID</t>
        </is>
      </c>
      <c r="M900">
        <f>IF(L900="VOIDED",0,1)</f>
        <v>1</v>
      </c>
      <c r="N900" t="n">
        <v>200</v>
      </c>
      <c r="O900" t="inlineStr">
        <is>
          <t>GST on Income</t>
        </is>
      </c>
      <c r="P900" t="inlineStr">
        <is>
          <t>R03</t>
        </is>
      </c>
      <c r="Q900" t="inlineStr">
        <is>
          <t>HIRE-FP</t>
        </is>
      </c>
      <c r="R900">
        <f>IF(OR(Q900="CONTEXT",Q900="REVIEW"),"",INDEX('Category Rules'!$D$5:$D$17,MATCH(P900,'Category Rules'!$A$5:$A$17,0)))</f>
        <v>4010</v>
      </c>
      <c r="S900" t="str">
        <f>IF(Q900="CONTEXT","Fencing",IF(Q900="REVIEW","",INDEX('Category Rules'!$E$5:$E$17,MATCH(P900,'Category Rules'!$A$5:$A$17,0))))</f>
        <v>Fencing</v>
      </c>
      <c r="T900" t="str">
        <f>IF(Q900="DEP","BAS Excluded","GST on Income")</f>
        <v>GST on Income</v>
      </c>
      <c r="U900">
        <f>IF(O900=T900,1,0)</f>
        <v>1</v>
      </c>
      <c r="V900" s="9">
        <f>IF(OR(M900=0,U900=1),0,IF(T900="GST on Income",ROUND(K900*0.1,2),ROUND(-K900*0.1,2)))</f>
        <v>0</v>
      </c>
    </row>
    <row r="901">
      <c r="A901" t="inlineStr">
        <is>
          <t>INV-4281-1</t>
        </is>
      </c>
      <c r="B901" t="inlineStr">
        <is>
          <t>INV-4281</t>
        </is>
      </c>
      <c r="C901" s="11" t="n">
        <v>45977</v>
      </c>
      <c r="D901" t="inlineStr">
        <is>
          <t>2025-11</t>
        </is>
      </c>
      <c r="E901" t="inlineStr">
        <is>
          <t>C0015</t>
        </is>
      </c>
      <c r="F901" t="inlineStr">
        <is>
          <t>C0015</t>
        </is>
      </c>
      <c r="G901" t="inlineStr">
        <is>
          <t>Bluegum Building Group</t>
        </is>
      </c>
      <c r="H901" t="inlineStr">
        <is>
          <t>S0038</t>
        </is>
      </c>
      <c r="I901" t="inlineStr">
        <is>
          <t>Temporary fence hire 4 wks (19/10/25-15/11/25) - 137 panels</t>
        </is>
      </c>
      <c r="J901" t="n">
        <v>548</v>
      </c>
      <c r="K901" s="9" t="n">
        <v>2466</v>
      </c>
      <c r="L901" t="inlineStr">
        <is>
          <t>PAID</t>
        </is>
      </c>
      <c r="M901">
        <f>IF(L901="VOIDED",0,1)</f>
        <v>1</v>
      </c>
      <c r="N901" t="n">
        <v>200</v>
      </c>
      <c r="O901" t="inlineStr">
        <is>
          <t>GST on Income</t>
        </is>
      </c>
      <c r="P901" t="inlineStr">
        <is>
          <t>R03</t>
        </is>
      </c>
      <c r="Q901" t="inlineStr">
        <is>
          <t>HIRE-FP</t>
        </is>
      </c>
      <c r="R901">
        <f>IF(OR(Q901="CONTEXT",Q901="REVIEW"),"",INDEX('Category Rules'!$D$5:$D$17,MATCH(P901,'Category Rules'!$A$5:$A$17,0)))</f>
        <v>4010</v>
      </c>
      <c r="S901" t="str">
        <f>IF(Q901="CONTEXT","Fencing",IF(Q901="REVIEW","",INDEX('Category Rules'!$E$5:$E$17,MATCH(P901,'Category Rules'!$A$5:$A$17,0))))</f>
        <v>Fencing</v>
      </c>
      <c r="T901" t="str">
        <f>IF(Q901="DEP","BAS Excluded","GST on Income")</f>
        <v>GST on Income</v>
      </c>
      <c r="U901">
        <f>IF(O901=T901,1,0)</f>
        <v>1</v>
      </c>
      <c r="V901" s="9">
        <f>IF(OR(M901=0,U901=1),0,IF(T901="GST on Income",ROUND(K901*0.1,2),ROUND(-K901*0.1,2)))</f>
        <v>0</v>
      </c>
    </row>
    <row r="902">
      <c r="A902" t="inlineStr">
        <is>
          <t>INV-4286-1</t>
        </is>
      </c>
      <c r="B902" t="inlineStr">
        <is>
          <t>INV-4286</t>
        </is>
      </c>
      <c r="C902" s="11" t="n">
        <v>45977</v>
      </c>
      <c r="D902" t="inlineStr">
        <is>
          <t>2025-11</t>
        </is>
      </c>
      <c r="E902" t="inlineStr">
        <is>
          <t>C0015</t>
        </is>
      </c>
      <c r="F902" t="inlineStr">
        <is>
          <t>C0015</t>
        </is>
      </c>
      <c r="G902" t="inlineStr">
        <is>
          <t>Bluegum Building Group</t>
        </is>
      </c>
      <c r="H902" t="inlineStr">
        <is>
          <t>S0038</t>
        </is>
      </c>
      <c r="I902" t="inlineStr">
        <is>
          <t>Pedestrian barrier hire 4 wks (19/10/25-15/11/25) - 20 barriers</t>
        </is>
      </c>
      <c r="J902" t="n">
        <v>80</v>
      </c>
      <c r="K902" s="9" t="n">
        <v>256</v>
      </c>
      <c r="L902" t="inlineStr">
        <is>
          <t>PAID</t>
        </is>
      </c>
      <c r="M902">
        <f>IF(L902="VOIDED",0,1)</f>
        <v>1</v>
      </c>
      <c r="N902" t="n">
        <v>200</v>
      </c>
      <c r="O902" t="inlineStr">
        <is>
          <t>GST on Income</t>
        </is>
      </c>
      <c r="P902" t="inlineStr">
        <is>
          <t>R04</t>
        </is>
      </c>
      <c r="Q902" t="inlineStr">
        <is>
          <t>HIRE-BR</t>
        </is>
      </c>
      <c r="R902">
        <f>IF(OR(Q902="CONTEXT",Q902="REVIEW"),"",INDEX('Category Rules'!$D$5:$D$17,MATCH(P902,'Category Rules'!$A$5:$A$17,0)))</f>
        <v>4010</v>
      </c>
      <c r="S902" t="str">
        <f>IF(Q902="CONTEXT","Fencing",IF(Q902="REVIEW","",INDEX('Category Rules'!$E$5:$E$17,MATCH(P902,'Category Rules'!$A$5:$A$17,0))))</f>
        <v>Fencing</v>
      </c>
      <c r="T902" t="str">
        <f>IF(Q902="DEP","BAS Excluded","GST on Income")</f>
        <v>GST on Income</v>
      </c>
      <c r="U902">
        <f>IF(O902=T902,1,0)</f>
        <v>1</v>
      </c>
      <c r="V902" s="9">
        <f>IF(OR(M902=0,U902=1),0,IF(T902="GST on Income",ROUND(K902*0.1,2),ROUND(-K902*0.1,2)))</f>
        <v>0</v>
      </c>
    </row>
    <row r="903">
      <c r="A903" t="inlineStr">
        <is>
          <t>INV-4313-1</t>
        </is>
      </c>
      <c r="B903" t="inlineStr">
        <is>
          <t>INV-4313</t>
        </is>
      </c>
      <c r="C903" s="11" t="n">
        <v>45977</v>
      </c>
      <c r="D903" t="inlineStr">
        <is>
          <t>2025-11</t>
        </is>
      </c>
      <c r="E903" t="inlineStr">
        <is>
          <t>C0063</t>
        </is>
      </c>
      <c r="F903" t="inlineStr">
        <is>
          <t>C0063</t>
        </is>
      </c>
      <c r="G903" t="inlineStr">
        <is>
          <t>Highpoint Insurance Repairs Pty Ltd</t>
        </is>
      </c>
      <c r="H903" t="inlineStr">
        <is>
          <t>S0044</t>
        </is>
      </c>
      <c r="I903" t="inlineStr">
        <is>
          <t>Temporary fence hire 4 wks (19/10/25-15/11/25) - 137 panels</t>
        </is>
      </c>
      <c r="J903" t="n">
        <v>548</v>
      </c>
      <c r="K903" s="9" t="n">
        <v>2466</v>
      </c>
      <c r="L903" t="inlineStr">
        <is>
          <t>PAID</t>
        </is>
      </c>
      <c r="M903">
        <f>IF(L903="VOIDED",0,1)</f>
        <v>1</v>
      </c>
      <c r="N903" t="n">
        <v>260</v>
      </c>
      <c r="O903" t="inlineStr">
        <is>
          <t>GST on Income</t>
        </is>
      </c>
      <c r="P903" t="inlineStr">
        <is>
          <t>R03</t>
        </is>
      </c>
      <c r="Q903" t="inlineStr">
        <is>
          <t>HIRE-FP</t>
        </is>
      </c>
      <c r="R903">
        <f>IF(OR(Q903="CONTEXT",Q903="REVIEW"),"",INDEX('Category Rules'!$D$5:$D$17,MATCH(P903,'Category Rules'!$A$5:$A$17,0)))</f>
        <v>4010</v>
      </c>
      <c r="S903" t="str">
        <f>IF(Q903="CONTEXT","Fencing",IF(Q903="REVIEW","",INDEX('Category Rules'!$E$5:$E$17,MATCH(P903,'Category Rules'!$A$5:$A$17,0))))</f>
        <v>Fencing</v>
      </c>
      <c r="T903" t="str">
        <f>IF(Q903="DEP","BAS Excluded","GST on Income")</f>
        <v>GST on Income</v>
      </c>
      <c r="U903">
        <f>IF(O903=T903,1,0)</f>
        <v>1</v>
      </c>
      <c r="V903" s="9">
        <f>IF(OR(M903=0,U903=1),0,IF(T903="GST on Income",ROUND(K903*0.1,2),ROUND(-K903*0.1,2)))</f>
        <v>0</v>
      </c>
    </row>
    <row r="904">
      <c r="A904" t="inlineStr">
        <is>
          <t>INV-4578-1</t>
        </is>
      </c>
      <c r="B904" t="inlineStr">
        <is>
          <t>INV-4578</t>
        </is>
      </c>
      <c r="C904" s="11" t="n">
        <v>45977</v>
      </c>
      <c r="D904" t="inlineStr">
        <is>
          <t>2025-11</t>
        </is>
      </c>
      <c r="E904" t="inlineStr">
        <is>
          <t>C0043</t>
        </is>
      </c>
      <c r="F904" t="inlineStr">
        <is>
          <t>C0043</t>
        </is>
      </c>
      <c r="G904" t="inlineStr">
        <is>
          <t>Banksia Projects Pty Ltd</t>
        </is>
      </c>
      <c r="H904" t="inlineStr">
        <is>
          <t>S0095</t>
        </is>
      </c>
      <c r="I904" t="inlineStr">
        <is>
          <t>Delivery and installation - temporary fencing</t>
        </is>
      </c>
      <c r="J904" t="n">
        <v>1</v>
      </c>
      <c r="K904" s="9" t="n">
        <v>165</v>
      </c>
      <c r="L904" t="inlineStr">
        <is>
          <t>PAID</t>
        </is>
      </c>
      <c r="M904">
        <f>IF(L904="VOIDED",0,1)</f>
        <v>1</v>
      </c>
      <c r="N904" t="n">
        <v>200</v>
      </c>
      <c r="O904" t="inlineStr">
        <is>
          <t>GST on Income</t>
        </is>
      </c>
      <c r="P904" t="inlineStr">
        <is>
          <t>R07</t>
        </is>
      </c>
      <c r="Q904" t="inlineStr">
        <is>
          <t>DEL-FP</t>
        </is>
      </c>
      <c r="R904">
        <f>IF(OR(Q904="CONTEXT",Q904="REVIEW"),"",INDEX('Category Rules'!$D$5:$D$17,MATCH(P904,'Category Rules'!$A$5:$A$17,0)))</f>
        <v>4020</v>
      </c>
      <c r="S904" t="str">
        <f>IF(Q904="CONTEXT","Fencing",IF(Q904="REVIEW","",INDEX('Category Rules'!$E$5:$E$17,MATCH(P904,'Category Rules'!$A$5:$A$17,0))))</f>
        <v>Fencing</v>
      </c>
      <c r="T904" t="str">
        <f>IF(Q904="DEP","BAS Excluded","GST on Income")</f>
        <v>GST on Income</v>
      </c>
      <c r="U904">
        <f>IF(O904=T904,1,0)</f>
        <v>1</v>
      </c>
      <c r="V904" s="9">
        <f>IF(OR(M904=0,U904=1),0,IF(T904="GST on Income",ROUND(K904*0.1,2),ROUND(-K904*0.1,2)))</f>
        <v>0</v>
      </c>
    </row>
    <row r="905">
      <c r="A905" t="inlineStr">
        <is>
          <t>INV-4578-2</t>
        </is>
      </c>
      <c r="B905" t="inlineStr">
        <is>
          <t>INV-4578</t>
        </is>
      </c>
      <c r="C905" s="11" t="n">
        <v>45977</v>
      </c>
      <c r="D905" t="inlineStr">
        <is>
          <t>2025-11</t>
        </is>
      </c>
      <c r="E905" t="inlineStr">
        <is>
          <t>C0043</t>
        </is>
      </c>
      <c r="F905" t="inlineStr">
        <is>
          <t>C0043</t>
        </is>
      </c>
      <c r="G905" t="inlineStr">
        <is>
          <t>Banksia Projects Pty Ltd</t>
        </is>
      </c>
      <c r="H905" t="inlineStr">
        <is>
          <t>S0095</t>
        </is>
      </c>
      <c r="I905" t="inlineStr">
        <is>
          <t>Installation labour - 129 panels @ 2.20</t>
        </is>
      </c>
      <c r="J905" t="n">
        <v>129</v>
      </c>
      <c r="K905" s="9" t="n">
        <v>283.8</v>
      </c>
      <c r="L905" t="inlineStr">
        <is>
          <t>PAID</t>
        </is>
      </c>
      <c r="M905">
        <f>IF(L905="VOIDED",0,1)</f>
        <v>1</v>
      </c>
      <c r="N905" t="n">
        <v>200</v>
      </c>
      <c r="O905" t="inlineStr">
        <is>
          <t>GST on Income</t>
        </is>
      </c>
      <c r="P905" t="inlineStr">
        <is>
          <t>R07</t>
        </is>
      </c>
      <c r="Q905" t="inlineStr">
        <is>
          <t>DEL-FP</t>
        </is>
      </c>
      <c r="R905">
        <f>IF(OR(Q905="CONTEXT",Q905="REVIEW"),"",INDEX('Category Rules'!$D$5:$D$17,MATCH(P905,'Category Rules'!$A$5:$A$17,0)))</f>
        <v>4020</v>
      </c>
      <c r="S905" t="str">
        <f>IF(Q905="CONTEXT","Fencing",IF(Q905="REVIEW","",INDEX('Category Rules'!$E$5:$E$17,MATCH(P905,'Category Rules'!$A$5:$A$17,0))))</f>
        <v>Fencing</v>
      </c>
      <c r="T905" t="str">
        <f>IF(Q905="DEP","BAS Excluded","GST on Income")</f>
        <v>GST on Income</v>
      </c>
      <c r="U905">
        <f>IF(O905=T905,1,0)</f>
        <v>1</v>
      </c>
      <c r="V905" s="9">
        <f>IF(OR(M905=0,U905=1),0,IF(T905="GST on Income",ROUND(K905*0.1,2),ROUND(-K905*0.1,2)))</f>
        <v>0</v>
      </c>
    </row>
    <row r="906">
      <c r="A906" t="inlineStr">
        <is>
          <t>INV-4664-1</t>
        </is>
      </c>
      <c r="B906" t="inlineStr">
        <is>
          <t>INV-4664</t>
        </is>
      </c>
      <c r="C906" s="11" t="n">
        <v>45978</v>
      </c>
      <c r="D906" t="inlineStr">
        <is>
          <t>2025-11</t>
        </is>
      </c>
      <c r="E906" t="inlineStr">
        <is>
          <t>C0038</t>
        </is>
      </c>
      <c r="F906" t="inlineStr">
        <is>
          <t>C0038</t>
        </is>
      </c>
      <c r="G906" t="inlineStr">
        <is>
          <t>Cobalt Constructions Pty Ltd</t>
        </is>
      </c>
      <c r="H906" t="inlineStr">
        <is>
          <t>S0115</t>
        </is>
      </c>
      <c r="I906" t="inlineStr">
        <is>
          <t>Temporary fence hire 2 wks (03/11/25-16/11/25) - 81 panels</t>
        </is>
      </c>
      <c r="J906" t="n">
        <v>162</v>
      </c>
      <c r="K906" s="9" t="n">
        <v>729</v>
      </c>
      <c r="L906" t="inlineStr">
        <is>
          <t>PAID</t>
        </is>
      </c>
      <c r="M906">
        <f>IF(L906="VOIDED",0,1)</f>
        <v>1</v>
      </c>
      <c r="N906" t="n">
        <v>200</v>
      </c>
      <c r="O906" t="inlineStr">
        <is>
          <t>GST on Income</t>
        </is>
      </c>
      <c r="P906" t="inlineStr">
        <is>
          <t>R03</t>
        </is>
      </c>
      <c r="Q906" t="inlineStr">
        <is>
          <t>HIRE-FP</t>
        </is>
      </c>
      <c r="R906">
        <f>IF(OR(Q906="CONTEXT",Q906="REVIEW"),"",INDEX('Category Rules'!$D$5:$D$17,MATCH(P906,'Category Rules'!$A$5:$A$17,0)))</f>
        <v>4010</v>
      </c>
      <c r="S906" t="str">
        <f>IF(Q906="CONTEXT","Fencing",IF(Q906="REVIEW","",INDEX('Category Rules'!$E$5:$E$17,MATCH(P906,'Category Rules'!$A$5:$A$17,0))))</f>
        <v>Fencing</v>
      </c>
      <c r="T906" t="str">
        <f>IF(Q906="DEP","BAS Excluded","GST on Income")</f>
        <v>GST on Income</v>
      </c>
      <c r="U906">
        <f>IF(O906=T906,1,0)</f>
        <v>1</v>
      </c>
      <c r="V906" s="9">
        <f>IF(OR(M906=0,U906=1),0,IF(T906="GST on Income",ROUND(K906*0.1,2),ROUND(-K906*0.1,2)))</f>
        <v>0</v>
      </c>
    </row>
    <row r="907">
      <c r="A907" t="inlineStr">
        <is>
          <t>INV-4666-1</t>
        </is>
      </c>
      <c r="B907" t="inlineStr">
        <is>
          <t>INV-4666</t>
        </is>
      </c>
      <c r="C907" s="11" t="n">
        <v>45978</v>
      </c>
      <c r="D907" t="inlineStr">
        <is>
          <t>2025-11</t>
        </is>
      </c>
      <c r="E907" t="inlineStr">
        <is>
          <t>C0038</t>
        </is>
      </c>
      <c r="F907" t="inlineStr">
        <is>
          <t>C0038</t>
        </is>
      </c>
      <c r="G907" t="inlineStr">
        <is>
          <t>Cobalt Constructions Pty Ltd</t>
        </is>
      </c>
      <c r="H907" t="inlineStr">
        <is>
          <t>S0115</t>
        </is>
      </c>
      <c r="I907" t="inlineStr">
        <is>
          <t>Collection and dismantle - temporary fencing</t>
        </is>
      </c>
      <c r="J907" t="n">
        <v>1</v>
      </c>
      <c r="K907" s="9" t="n">
        <v>165</v>
      </c>
      <c r="L907" t="inlineStr">
        <is>
          <t>PAID</t>
        </is>
      </c>
      <c r="M907">
        <f>IF(L907="VOIDED",0,1)</f>
        <v>1</v>
      </c>
      <c r="N907" t="n">
        <v>200</v>
      </c>
      <c r="O907" t="inlineStr">
        <is>
          <t>GST on Income</t>
        </is>
      </c>
      <c r="P907" t="inlineStr">
        <is>
          <t>R07</t>
        </is>
      </c>
      <c r="Q907" t="inlineStr">
        <is>
          <t>DEL-FP</t>
        </is>
      </c>
      <c r="R907">
        <f>IF(OR(Q907="CONTEXT",Q907="REVIEW"),"",INDEX('Category Rules'!$D$5:$D$17,MATCH(P907,'Category Rules'!$A$5:$A$17,0)))</f>
        <v>4020</v>
      </c>
      <c r="S907" t="str">
        <f>IF(Q907="CONTEXT","Fencing",IF(Q907="REVIEW","",INDEX('Category Rules'!$E$5:$E$17,MATCH(P907,'Category Rules'!$A$5:$A$17,0))))</f>
        <v>Fencing</v>
      </c>
      <c r="T907" t="str">
        <f>IF(Q907="DEP","BAS Excluded","GST on Income")</f>
        <v>GST on Income</v>
      </c>
      <c r="U907">
        <f>IF(O907=T907,1,0)</f>
        <v>1</v>
      </c>
      <c r="V907" s="9">
        <f>IF(OR(M907=0,U907=1),0,IF(T907="GST on Income",ROUND(K907*0.1,2),ROUND(-K907*0.1,2)))</f>
        <v>0</v>
      </c>
    </row>
    <row r="908">
      <c r="A908" t="inlineStr">
        <is>
          <t>INV-4709-1</t>
        </is>
      </c>
      <c r="B908" t="inlineStr">
        <is>
          <t>INV-4709</t>
        </is>
      </c>
      <c r="C908" s="11" t="n">
        <v>45978</v>
      </c>
      <c r="D908" t="inlineStr">
        <is>
          <t>2025-11</t>
        </is>
      </c>
      <c r="E908" t="inlineStr">
        <is>
          <t>C0030</t>
        </is>
      </c>
      <c r="F908" t="inlineStr">
        <is>
          <t>C0030</t>
        </is>
      </c>
      <c r="G908" t="inlineStr">
        <is>
          <t>Bluegum Developments</t>
        </is>
      </c>
      <c r="H908" t="inlineStr">
        <is>
          <t>S0126</t>
        </is>
      </c>
      <c r="I908" t="inlineStr">
        <is>
          <t>Temporary fence hire 4 wks (20/10/25-16/11/25) - 129 panels</t>
        </is>
      </c>
      <c r="J908" t="n">
        <v>516</v>
      </c>
      <c r="K908" s="9" t="n">
        <v>2322</v>
      </c>
      <c r="L908" t="inlineStr">
        <is>
          <t>PAID</t>
        </is>
      </c>
      <c r="M908">
        <f>IF(L908="VOIDED",0,1)</f>
        <v>1</v>
      </c>
      <c r="N908" t="n">
        <v>200</v>
      </c>
      <c r="O908" t="inlineStr">
        <is>
          <t>GST on Income</t>
        </is>
      </c>
      <c r="P908" t="inlineStr">
        <is>
          <t>R03</t>
        </is>
      </c>
      <c r="Q908" t="inlineStr">
        <is>
          <t>HIRE-FP</t>
        </is>
      </c>
      <c r="R908">
        <f>IF(OR(Q908="CONTEXT",Q908="REVIEW"),"",INDEX('Category Rules'!$D$5:$D$17,MATCH(P908,'Category Rules'!$A$5:$A$17,0)))</f>
        <v>4010</v>
      </c>
      <c r="S908" t="str">
        <f>IF(Q908="CONTEXT","Fencing",IF(Q908="REVIEW","",INDEX('Category Rules'!$E$5:$E$17,MATCH(P908,'Category Rules'!$A$5:$A$17,0))))</f>
        <v>Fencing</v>
      </c>
      <c r="T908" t="str">
        <f>IF(Q908="DEP","BAS Excluded","GST on Income")</f>
        <v>GST on Income</v>
      </c>
      <c r="U908">
        <f>IF(O908=T908,1,0)</f>
        <v>1</v>
      </c>
      <c r="V908" s="9">
        <f>IF(OR(M908=0,U908=1),0,IF(T908="GST on Income",ROUND(K908*0.1,2),ROUND(-K908*0.1,2)))</f>
        <v>0</v>
      </c>
    </row>
    <row r="909">
      <c r="A909" t="inlineStr">
        <is>
          <t>INV-4863-1</t>
        </is>
      </c>
      <c r="B909" t="inlineStr">
        <is>
          <t>INV-4863</t>
        </is>
      </c>
      <c r="C909" s="11" t="n">
        <v>45978</v>
      </c>
      <c r="D909" t="inlineStr">
        <is>
          <t>2025-11</t>
        </is>
      </c>
      <c r="E909" t="inlineStr">
        <is>
          <t>C0007</t>
        </is>
      </c>
      <c r="F909" t="inlineStr">
        <is>
          <t>C0007</t>
        </is>
      </c>
      <c r="G909" t="inlineStr">
        <is>
          <t>Eastlink Projects</t>
        </is>
      </c>
      <c r="H909" t="inlineStr">
        <is>
          <t>S0161</t>
        </is>
      </c>
      <c r="I909" t="inlineStr">
        <is>
          <t>Temporary fence hire 1 wks (15/11/25-16/11/25) - 131 panels</t>
        </is>
      </c>
      <c r="J909" t="n">
        <v>131</v>
      </c>
      <c r="K909" s="9" t="n">
        <v>589.5</v>
      </c>
      <c r="L909" t="inlineStr">
        <is>
          <t>PAID</t>
        </is>
      </c>
      <c r="M909">
        <f>IF(L909="VOIDED",0,1)</f>
        <v>1</v>
      </c>
      <c r="N909" t="n">
        <v>200</v>
      </c>
      <c r="O909" t="inlineStr">
        <is>
          <t>GST on Income</t>
        </is>
      </c>
      <c r="P909" t="inlineStr">
        <is>
          <t>R03</t>
        </is>
      </c>
      <c r="Q909" t="inlineStr">
        <is>
          <t>HIRE-FP</t>
        </is>
      </c>
      <c r="R909">
        <f>IF(OR(Q909="CONTEXT",Q909="REVIEW"),"",INDEX('Category Rules'!$D$5:$D$17,MATCH(P909,'Category Rules'!$A$5:$A$17,0)))</f>
        <v>4010</v>
      </c>
      <c r="S909" t="str">
        <f>IF(Q909="CONTEXT","Fencing",IF(Q909="REVIEW","",INDEX('Category Rules'!$E$5:$E$17,MATCH(P909,'Category Rules'!$A$5:$A$17,0))))</f>
        <v>Fencing</v>
      </c>
      <c r="T909" t="str">
        <f>IF(Q909="DEP","BAS Excluded","GST on Income")</f>
        <v>GST on Income</v>
      </c>
      <c r="U909">
        <f>IF(O909=T909,1,0)</f>
        <v>1</v>
      </c>
      <c r="V909" s="9">
        <f>IF(OR(M909=0,U909=1),0,IF(T909="GST on Income",ROUND(K909*0.1,2),ROUND(-K909*0.1,2)))</f>
        <v>0</v>
      </c>
    </row>
    <row r="910">
      <c r="A910" t="inlineStr">
        <is>
          <t>INV-4865-1</t>
        </is>
      </c>
      <c r="B910" t="inlineStr">
        <is>
          <t>INV-4865</t>
        </is>
      </c>
      <c r="C910" s="11" t="n">
        <v>45978</v>
      </c>
      <c r="D910" t="inlineStr">
        <is>
          <t>2025-11</t>
        </is>
      </c>
      <c r="E910" t="inlineStr">
        <is>
          <t>C0007</t>
        </is>
      </c>
      <c r="F910" t="inlineStr">
        <is>
          <t>C0007</t>
        </is>
      </c>
      <c r="G910" t="inlineStr">
        <is>
          <t>Eastlink Projects</t>
        </is>
      </c>
      <c r="H910" t="inlineStr">
        <is>
          <t>S0161</t>
        </is>
      </c>
      <c r="I910" t="inlineStr">
        <is>
          <t>Collection and dismantle - temporary fencing</t>
        </is>
      </c>
      <c r="J910" t="n">
        <v>1</v>
      </c>
      <c r="K910" s="9" t="n">
        <v>165</v>
      </c>
      <c r="L910" t="inlineStr">
        <is>
          <t>PAID</t>
        </is>
      </c>
      <c r="M910">
        <f>IF(L910="VOIDED",0,1)</f>
        <v>1</v>
      </c>
      <c r="N910" t="n">
        <v>200</v>
      </c>
      <c r="O910" t="inlineStr">
        <is>
          <t>GST on Income</t>
        </is>
      </c>
      <c r="P910" t="inlineStr">
        <is>
          <t>R07</t>
        </is>
      </c>
      <c r="Q910" t="inlineStr">
        <is>
          <t>DEL-FP</t>
        </is>
      </c>
      <c r="R910">
        <f>IF(OR(Q910="CONTEXT",Q910="REVIEW"),"",INDEX('Category Rules'!$D$5:$D$17,MATCH(P910,'Category Rules'!$A$5:$A$17,0)))</f>
        <v>4020</v>
      </c>
      <c r="S910" t="str">
        <f>IF(Q910="CONTEXT","Fencing",IF(Q910="REVIEW","",INDEX('Category Rules'!$E$5:$E$17,MATCH(P910,'Category Rules'!$A$5:$A$17,0))))</f>
        <v>Fencing</v>
      </c>
      <c r="T910" t="str">
        <f>IF(Q910="DEP","BAS Excluded","GST on Income")</f>
        <v>GST on Income</v>
      </c>
      <c r="U910">
        <f>IF(O910=T910,1,0)</f>
        <v>1</v>
      </c>
      <c r="V910" s="9">
        <f>IF(OR(M910=0,U910=1),0,IF(T910="GST on Income",ROUND(K910*0.1,2),ROUND(-K910*0.1,2)))</f>
        <v>0</v>
      </c>
    </row>
    <row r="911">
      <c r="A911" t="inlineStr">
        <is>
          <t>INV-4444-1</t>
        </is>
      </c>
      <c r="B911" t="inlineStr">
        <is>
          <t>INV-4444</t>
        </is>
      </c>
      <c r="C911" s="11" t="n">
        <v>45979</v>
      </c>
      <c r="D911" t="inlineStr">
        <is>
          <t>2025-11</t>
        </is>
      </c>
      <c r="E911" t="inlineStr">
        <is>
          <t>C0038</t>
        </is>
      </c>
      <c r="F911" t="inlineStr">
        <is>
          <t>C0038</t>
        </is>
      </c>
      <c r="G911" t="inlineStr">
        <is>
          <t>Cobalt Constructions Pty Ltd</t>
        </is>
      </c>
      <c r="H911" t="inlineStr">
        <is>
          <t>S0068</t>
        </is>
      </c>
      <c r="I911" t="inlineStr">
        <is>
          <t>Temporary fence hire 4 wks (21/10/25-17/11/25) - 38 panels</t>
        </is>
      </c>
      <c r="J911" t="n">
        <v>152</v>
      </c>
      <c r="K911" s="9" t="n">
        <v>684</v>
      </c>
      <c r="L911" t="inlineStr">
        <is>
          <t>PAID</t>
        </is>
      </c>
      <c r="M911">
        <f>IF(L911="VOIDED",0,1)</f>
        <v>1</v>
      </c>
      <c r="N911" t="n">
        <v>200</v>
      </c>
      <c r="O911" t="inlineStr">
        <is>
          <t>GST on Income</t>
        </is>
      </c>
      <c r="P911" t="inlineStr">
        <is>
          <t>R03</t>
        </is>
      </c>
      <c r="Q911" t="inlineStr">
        <is>
          <t>HIRE-FP</t>
        </is>
      </c>
      <c r="R911">
        <f>IF(OR(Q911="CONTEXT",Q911="REVIEW"),"",INDEX('Category Rules'!$D$5:$D$17,MATCH(P911,'Category Rules'!$A$5:$A$17,0)))</f>
        <v>4010</v>
      </c>
      <c r="S911" t="str">
        <f>IF(Q911="CONTEXT","Fencing",IF(Q911="REVIEW","",INDEX('Category Rules'!$E$5:$E$17,MATCH(P911,'Category Rules'!$A$5:$A$17,0))))</f>
        <v>Fencing</v>
      </c>
      <c r="T911" t="str">
        <f>IF(Q911="DEP","BAS Excluded","GST on Income")</f>
        <v>GST on Income</v>
      </c>
      <c r="U911">
        <f>IF(O911=T911,1,0)</f>
        <v>1</v>
      </c>
      <c r="V911" s="9">
        <f>IF(OR(M911=0,U911=1),0,IF(T911="GST on Income",ROUND(K911*0.1,2),ROUND(-K911*0.1,2)))</f>
        <v>0</v>
      </c>
    </row>
    <row r="912">
      <c r="A912" t="inlineStr">
        <is>
          <t>INV-4493-1</t>
        </is>
      </c>
      <c r="B912" t="inlineStr">
        <is>
          <t>INV-4493</t>
        </is>
      </c>
      <c r="C912" s="11" t="n">
        <v>45979</v>
      </c>
      <c r="D912" t="inlineStr">
        <is>
          <t>2025-11</t>
        </is>
      </c>
      <c r="E912" t="inlineStr">
        <is>
          <t>C0070</t>
        </is>
      </c>
      <c r="F912" t="inlineStr">
        <is>
          <t>C0070</t>
        </is>
      </c>
      <c r="G912" t="inlineStr">
        <is>
          <t>Banyule City Council</t>
        </is>
      </c>
      <c r="H912" t="inlineStr">
        <is>
          <t>S0082</t>
        </is>
      </c>
      <c r="I912" t="inlineStr">
        <is>
          <t>Temporary fence hire 4 wks (21/10/25-17/11/25) - 158 panels</t>
        </is>
      </c>
      <c r="J912" t="n">
        <v>632</v>
      </c>
      <c r="K912" s="9" t="n">
        <v>2844</v>
      </c>
      <c r="L912" t="inlineStr">
        <is>
          <t>PAID</t>
        </is>
      </c>
      <c r="M912">
        <f>IF(L912="VOIDED",0,1)</f>
        <v>1</v>
      </c>
      <c r="N912" t="n">
        <v>200</v>
      </c>
      <c r="O912" t="inlineStr">
        <is>
          <t>GST on Income</t>
        </is>
      </c>
      <c r="P912" t="inlineStr">
        <is>
          <t>R03</t>
        </is>
      </c>
      <c r="Q912" t="inlineStr">
        <is>
          <t>HIRE-FP</t>
        </is>
      </c>
      <c r="R912">
        <f>IF(OR(Q912="CONTEXT",Q912="REVIEW"),"",INDEX('Category Rules'!$D$5:$D$17,MATCH(P912,'Category Rules'!$A$5:$A$17,0)))</f>
        <v>4010</v>
      </c>
      <c r="S912" t="str">
        <f>IF(Q912="CONTEXT","Fencing",IF(Q912="REVIEW","",INDEX('Category Rules'!$E$5:$E$17,MATCH(P912,'Category Rules'!$A$5:$A$17,0))))</f>
        <v>Fencing</v>
      </c>
      <c r="T912" t="str">
        <f>IF(Q912="DEP","BAS Excluded","GST on Income")</f>
        <v>GST on Income</v>
      </c>
      <c r="U912">
        <f>IF(O912=T912,1,0)</f>
        <v>1</v>
      </c>
      <c r="V912" s="9">
        <f>IF(OR(M912=0,U912=1),0,IF(T912="GST on Income",ROUND(K912*0.1,2),ROUND(-K912*0.1,2)))</f>
        <v>0</v>
      </c>
    </row>
    <row r="913">
      <c r="A913" t="inlineStr">
        <is>
          <t>INV-5134-1</t>
        </is>
      </c>
      <c r="B913" t="inlineStr">
        <is>
          <t>INV-5134</t>
        </is>
      </c>
      <c r="C913" s="11" t="n">
        <v>45979</v>
      </c>
      <c r="D913" t="inlineStr">
        <is>
          <t>2025-11</t>
        </is>
      </c>
      <c r="E913" t="inlineStr">
        <is>
          <t>C0153</t>
        </is>
      </c>
      <c r="F913" t="inlineStr">
        <is>
          <t>C0098</t>
        </is>
      </c>
      <c r="G913" t="inlineStr">
        <is>
          <t>Ethan Walker</t>
        </is>
      </c>
      <c r="H913" t="inlineStr">
        <is>
          <t>S0220</t>
        </is>
      </c>
      <c r="I913" t="inlineStr">
        <is>
          <t>Delivery and installation - temporary fencing</t>
        </is>
      </c>
      <c r="J913" t="n">
        <v>1</v>
      </c>
      <c r="K913" s="9" t="n">
        <v>165</v>
      </c>
      <c r="L913" t="inlineStr">
        <is>
          <t>PAID</t>
        </is>
      </c>
      <c r="M913">
        <f>IF(L913="VOIDED",0,1)</f>
        <v>1</v>
      </c>
      <c r="N913" t="n">
        <v>200</v>
      </c>
      <c r="O913" t="inlineStr">
        <is>
          <t>GST on Income</t>
        </is>
      </c>
      <c r="P913" t="inlineStr">
        <is>
          <t>R07</t>
        </is>
      </c>
      <c r="Q913" t="inlineStr">
        <is>
          <t>DEL-FP</t>
        </is>
      </c>
      <c r="R913">
        <f>IF(OR(Q913="CONTEXT",Q913="REVIEW"),"",INDEX('Category Rules'!$D$5:$D$17,MATCH(P913,'Category Rules'!$A$5:$A$17,0)))</f>
        <v>4020</v>
      </c>
      <c r="S913" t="str">
        <f>IF(Q913="CONTEXT","Fencing",IF(Q913="REVIEW","",INDEX('Category Rules'!$E$5:$E$17,MATCH(P913,'Category Rules'!$A$5:$A$17,0))))</f>
        <v>Fencing</v>
      </c>
      <c r="T913" t="str">
        <f>IF(Q913="DEP","BAS Excluded","GST on Income")</f>
        <v>GST on Income</v>
      </c>
      <c r="U913">
        <f>IF(O913=T913,1,0)</f>
        <v>1</v>
      </c>
      <c r="V913" s="9">
        <f>IF(OR(M913=0,U913=1),0,IF(T913="GST on Income",ROUND(K913*0.1,2),ROUND(-K913*0.1,2)))</f>
        <v>0</v>
      </c>
    </row>
    <row r="914">
      <c r="A914" t="inlineStr">
        <is>
          <t>INV-5134-2</t>
        </is>
      </c>
      <c r="B914" t="inlineStr">
        <is>
          <t>INV-5134</t>
        </is>
      </c>
      <c r="C914" s="11" t="n">
        <v>45979</v>
      </c>
      <c r="D914" t="inlineStr">
        <is>
          <t>2025-11</t>
        </is>
      </c>
      <c r="E914" t="inlineStr">
        <is>
          <t>C0153</t>
        </is>
      </c>
      <c r="F914" t="inlineStr">
        <is>
          <t>C0098</t>
        </is>
      </c>
      <c r="G914" t="inlineStr">
        <is>
          <t>Ethan Walker</t>
        </is>
      </c>
      <c r="H914" t="inlineStr">
        <is>
          <t>S0220</t>
        </is>
      </c>
      <c r="I914" t="inlineStr">
        <is>
          <t>Installation labour - 114 panels @ 2.20</t>
        </is>
      </c>
      <c r="J914" t="n">
        <v>114</v>
      </c>
      <c r="K914" s="9" t="n">
        <v>250.8</v>
      </c>
      <c r="L914" t="inlineStr">
        <is>
          <t>PAID</t>
        </is>
      </c>
      <c r="M914">
        <f>IF(L914="VOIDED",0,1)</f>
        <v>1</v>
      </c>
      <c r="N914" t="n">
        <v>260</v>
      </c>
      <c r="O914" t="inlineStr">
        <is>
          <t>GST Free Income</t>
        </is>
      </c>
      <c r="P914" t="inlineStr">
        <is>
          <t>R07</t>
        </is>
      </c>
      <c r="Q914" t="inlineStr">
        <is>
          <t>DEL-FP</t>
        </is>
      </c>
      <c r="R914">
        <f>IF(OR(Q914="CONTEXT",Q914="REVIEW"),"",INDEX('Category Rules'!$D$5:$D$17,MATCH(P914,'Category Rules'!$A$5:$A$17,0)))</f>
        <v>4020</v>
      </c>
      <c r="S914" t="str">
        <f>IF(Q914="CONTEXT","Fencing",IF(Q914="REVIEW","",INDEX('Category Rules'!$E$5:$E$17,MATCH(P914,'Category Rules'!$A$5:$A$17,0))))</f>
        <v>Fencing</v>
      </c>
      <c r="T914" t="str">
        <f>IF(Q914="DEP","BAS Excluded","GST on Income")</f>
        <v>GST on Income</v>
      </c>
      <c r="U914">
        <f>IF(O914=T914,1,0)</f>
        <v>0</v>
      </c>
      <c r="V914" s="9">
        <f>IF(OR(M914=0,U914=1),0,IF(T914="GST on Income",ROUND(K914*0.1,2),ROUND(-K914*0.1,2)))</f>
        <v>25.08</v>
      </c>
    </row>
    <row r="915">
      <c r="A915" t="inlineStr">
        <is>
          <t>INV-5134-3</t>
        </is>
      </c>
      <c r="B915" t="inlineStr">
        <is>
          <t>INV-5134</t>
        </is>
      </c>
      <c r="C915" s="11" t="n">
        <v>45979</v>
      </c>
      <c r="D915" t="inlineStr">
        <is>
          <t>2025-11</t>
        </is>
      </c>
      <c r="E915" t="inlineStr">
        <is>
          <t>C0153</t>
        </is>
      </c>
      <c r="F915" t="inlineStr">
        <is>
          <t>C0098</t>
        </is>
      </c>
      <c r="G915" t="inlineStr">
        <is>
          <t>Ethan Walker</t>
        </is>
      </c>
      <c r="H915" t="inlineStr">
        <is>
          <t>S0220</t>
        </is>
      </c>
      <c r="I915" t="inlineStr">
        <is>
          <t>Security deposit - fence panels (refundable)</t>
        </is>
      </c>
      <c r="J915" t="n">
        <v>1</v>
      </c>
      <c r="K915" s="9" t="n">
        <v>910</v>
      </c>
      <c r="L915" t="inlineStr">
        <is>
          <t>PAID</t>
        </is>
      </c>
      <c r="M915">
        <f>IF(L915="VOIDED",0,1)</f>
        <v>1</v>
      </c>
      <c r="N915" t="n">
        <v>200</v>
      </c>
      <c r="O915" t="inlineStr">
        <is>
          <t>GST on Income</t>
        </is>
      </c>
      <c r="P915" t="inlineStr">
        <is>
          <t>R01</t>
        </is>
      </c>
      <c r="Q915" t="inlineStr">
        <is>
          <t>DEP</t>
        </is>
      </c>
      <c r="R915">
        <f>IF(OR(Q915="CONTEXT",Q915="REVIEW"),"",INDEX('Category Rules'!$D$5:$D$17,MATCH(P915,'Category Rules'!$A$5:$A$17,0)))</f>
        <v>835</v>
      </c>
      <c r="S915" t="str">
        <f>IF(Q915="CONTEXT","Fencing",IF(Q915="REVIEW","",INDEX('Category Rules'!$E$5:$E$17,MATCH(P915,'Category Rules'!$A$5:$A$17,0))))</f>
        <v>Fencing</v>
      </c>
      <c r="T915" t="str">
        <f>IF(Q915="DEP","BAS Excluded","GST on Income")</f>
        <v>BAS Excluded</v>
      </c>
      <c r="U915">
        <f>IF(O915=T915,1,0)</f>
        <v>0</v>
      </c>
      <c r="V915" s="9">
        <f>IF(OR(M915=0,U915=1),0,IF(T915="GST on Income",ROUND(K915*0.1,2),ROUND(-K915*0.1,2)))</f>
        <v>-91</v>
      </c>
    </row>
    <row r="916">
      <c r="A916" t="inlineStr">
        <is>
          <t>INV-5509-1</t>
        </is>
      </c>
      <c r="B916" t="inlineStr">
        <is>
          <t>INV-5509</t>
        </is>
      </c>
      <c r="C916" s="11" t="n">
        <v>45979</v>
      </c>
      <c r="D916" t="inlineStr">
        <is>
          <t>2025-11</t>
        </is>
      </c>
      <c r="E916" t="inlineStr">
        <is>
          <t>C0060</t>
        </is>
      </c>
      <c r="F916" t="inlineStr">
        <is>
          <t>C0060</t>
        </is>
      </c>
      <c r="G916" t="inlineStr">
        <is>
          <t>Redline Claims Services</t>
        </is>
      </c>
      <c r="H916" t="inlineStr">
        <is>
          <t>S0331</t>
        </is>
      </c>
      <c r="I916" t="inlineStr">
        <is>
          <t>Roof repair labour - 12 hrs</t>
        </is>
      </c>
      <c r="J916" t="n">
        <v>12</v>
      </c>
      <c r="K916" s="9" t="n">
        <v>1176</v>
      </c>
      <c r="L916" t="inlineStr">
        <is>
          <t>PAID</t>
        </is>
      </c>
      <c r="M916">
        <f>IF(L916="VOIDED",0,1)</f>
        <v>1</v>
      </c>
      <c r="N916" t="n">
        <v>200</v>
      </c>
      <c r="O916" t="inlineStr">
        <is>
          <t>GST on Income</t>
        </is>
      </c>
      <c r="P916" t="inlineStr">
        <is>
          <t>R10</t>
        </is>
      </c>
      <c r="Q916" t="inlineStr">
        <is>
          <t>LAB-RF</t>
        </is>
      </c>
      <c r="R916">
        <f>IF(OR(Q916="CONTEXT",Q916="REVIEW"),"",INDEX('Category Rules'!$D$5:$D$17,MATCH(P916,'Category Rules'!$A$5:$A$17,0)))</f>
        <v>4020</v>
      </c>
      <c r="S916" t="str">
        <f>IF(Q916="CONTEXT","Roofing",IF(Q916="REVIEW","",INDEX('Category Rules'!$E$5:$E$17,MATCH(P916,'Category Rules'!$A$5:$A$17,0))))</f>
        <v>Roofing</v>
      </c>
      <c r="T916" t="str">
        <f>IF(Q916="DEP","BAS Excluded","GST on Income")</f>
        <v>GST on Income</v>
      </c>
      <c r="U916">
        <f>IF(O916=T916,1,0)</f>
        <v>1</v>
      </c>
      <c r="V916" s="9">
        <f>IF(OR(M916=0,U916=1),0,IF(T916="GST on Income",ROUND(K916*0.1,2),ROUND(-K916*0.1,2)))</f>
        <v>0</v>
      </c>
    </row>
    <row r="917">
      <c r="A917" t="inlineStr">
        <is>
          <t>INV-5509-2</t>
        </is>
      </c>
      <c r="B917" t="inlineStr">
        <is>
          <t>INV-5509</t>
        </is>
      </c>
      <c r="C917" s="11" t="n">
        <v>45979</v>
      </c>
      <c r="D917" t="inlineStr">
        <is>
          <t>2025-11</t>
        </is>
      </c>
      <c r="E917" t="inlineStr">
        <is>
          <t>C0060</t>
        </is>
      </c>
      <c r="F917" t="inlineStr">
        <is>
          <t>C0060</t>
        </is>
      </c>
      <c r="G917" t="inlineStr">
        <is>
          <t>Redline Claims Services</t>
        </is>
      </c>
      <c r="H917" t="inlineStr">
        <is>
          <t>S0331</t>
        </is>
      </c>
      <c r="I917" t="inlineStr">
        <is>
          <t>Materials - Colorbond sheet</t>
        </is>
      </c>
      <c r="J917" t="n">
        <v>1</v>
      </c>
      <c r="K917" s="9" t="n">
        <v>826.3200000000001</v>
      </c>
      <c r="L917" t="inlineStr">
        <is>
          <t>PAID</t>
        </is>
      </c>
      <c r="M917">
        <f>IF(L917="VOIDED",0,1)</f>
        <v>1</v>
      </c>
      <c r="N917" t="n">
        <v>200</v>
      </c>
      <c r="O917" t="inlineStr">
        <is>
          <t>GST on Income</t>
        </is>
      </c>
      <c r="P917" t="inlineStr">
        <is>
          <t>R11</t>
        </is>
      </c>
      <c r="Q917" t="inlineStr">
        <is>
          <t>MAT-RF</t>
        </is>
      </c>
      <c r="R917">
        <f>IF(OR(Q917="CONTEXT",Q917="REVIEW"),"",INDEX('Category Rules'!$D$5:$D$17,MATCH(P917,'Category Rules'!$A$5:$A$17,0)))</f>
        <v>4030</v>
      </c>
      <c r="S917" t="str">
        <f>IF(Q917="CONTEXT","Roofing",IF(Q917="REVIEW","",INDEX('Category Rules'!$E$5:$E$17,MATCH(P917,'Category Rules'!$A$5:$A$17,0))))</f>
        <v>Roofing</v>
      </c>
      <c r="T917" t="str">
        <f>IF(Q917="DEP","BAS Excluded","GST on Income")</f>
        <v>GST on Income</v>
      </c>
      <c r="U917">
        <f>IF(O917=T917,1,0)</f>
        <v>1</v>
      </c>
      <c r="V917" s="9">
        <f>IF(OR(M917=0,U917=1),0,IF(T917="GST on Income",ROUND(K917*0.1,2),ROUND(-K917*0.1,2)))</f>
        <v>0</v>
      </c>
    </row>
    <row r="918">
      <c r="A918" t="inlineStr">
        <is>
          <t>INV-5813-1</t>
        </is>
      </c>
      <c r="B918" t="inlineStr">
        <is>
          <t>INV-5813</t>
        </is>
      </c>
      <c r="C918" s="11" t="n">
        <v>45979</v>
      </c>
      <c r="D918" t="inlineStr">
        <is>
          <t>2025-11</t>
        </is>
      </c>
      <c r="E918" t="inlineStr">
        <is>
          <t>C0066</t>
        </is>
      </c>
      <c r="F918" t="inlineStr">
        <is>
          <t>C0066</t>
        </is>
      </c>
      <c r="G918" t="inlineStr">
        <is>
          <t>Northgate Insurance Repairs</t>
        </is>
      </c>
      <c r="H918" t="inlineStr">
        <is>
          <t>S0497</t>
        </is>
      </c>
      <c r="I918" t="inlineStr">
        <is>
          <t>Roof repair labour - 24 hrs</t>
        </is>
      </c>
      <c r="J918" t="n">
        <v>24</v>
      </c>
      <c r="K918" s="9" t="n">
        <v>2352</v>
      </c>
      <c r="L918" t="inlineStr">
        <is>
          <t>PAID</t>
        </is>
      </c>
      <c r="M918">
        <f>IF(L918="VOIDED",0,1)</f>
        <v>1</v>
      </c>
      <c r="N918" t="n">
        <v>200</v>
      </c>
      <c r="O918" t="inlineStr">
        <is>
          <t>GST on Income</t>
        </is>
      </c>
      <c r="P918" t="inlineStr">
        <is>
          <t>R10</t>
        </is>
      </c>
      <c r="Q918" t="inlineStr">
        <is>
          <t>LAB-RF</t>
        </is>
      </c>
      <c r="R918">
        <f>IF(OR(Q918="CONTEXT",Q918="REVIEW"),"",INDEX('Category Rules'!$D$5:$D$17,MATCH(P918,'Category Rules'!$A$5:$A$17,0)))</f>
        <v>4020</v>
      </c>
      <c r="S918" t="str">
        <f>IF(Q918="CONTEXT","Roofing",IF(Q918="REVIEW","",INDEX('Category Rules'!$E$5:$E$17,MATCH(P918,'Category Rules'!$A$5:$A$17,0))))</f>
        <v>Roofing</v>
      </c>
      <c r="T918" t="str">
        <f>IF(Q918="DEP","BAS Excluded","GST on Income")</f>
        <v>GST on Income</v>
      </c>
      <c r="U918">
        <f>IF(O918=T918,1,0)</f>
        <v>1</v>
      </c>
      <c r="V918" s="9">
        <f>IF(OR(M918=0,U918=1),0,IF(T918="GST on Income",ROUND(K918*0.1,2),ROUND(-K918*0.1,2)))</f>
        <v>0</v>
      </c>
    </row>
    <row r="919">
      <c r="A919" t="inlineStr">
        <is>
          <t>INV-5813-2</t>
        </is>
      </c>
      <c r="B919" t="inlineStr">
        <is>
          <t>INV-5813</t>
        </is>
      </c>
      <c r="C919" s="11" t="n">
        <v>45979</v>
      </c>
      <c r="D919" t="inlineStr">
        <is>
          <t>2025-11</t>
        </is>
      </c>
      <c r="E919" t="inlineStr">
        <is>
          <t>C0066</t>
        </is>
      </c>
      <c r="F919" t="inlineStr">
        <is>
          <t>C0066</t>
        </is>
      </c>
      <c r="G919" t="inlineStr">
        <is>
          <t>Northgate Insurance Repairs</t>
        </is>
      </c>
      <c r="H919" t="inlineStr">
        <is>
          <t>S0497</t>
        </is>
      </c>
      <c r="I919" t="inlineStr">
        <is>
          <t>Materials - gutter and downpipe</t>
        </is>
      </c>
      <c r="J919" t="n">
        <v>1</v>
      </c>
      <c r="K919" s="9" t="n">
        <v>369.49</v>
      </c>
      <c r="L919" t="inlineStr">
        <is>
          <t>PAID</t>
        </is>
      </c>
      <c r="M919">
        <f>IF(L919="VOIDED",0,1)</f>
        <v>1</v>
      </c>
      <c r="N919" t="n">
        <v>200</v>
      </c>
      <c r="O919" t="inlineStr">
        <is>
          <t>GST on Income</t>
        </is>
      </c>
      <c r="P919" t="inlineStr">
        <is>
          <t>R11</t>
        </is>
      </c>
      <c r="Q919" t="inlineStr">
        <is>
          <t>MAT-RF</t>
        </is>
      </c>
      <c r="R919">
        <f>IF(OR(Q919="CONTEXT",Q919="REVIEW"),"",INDEX('Category Rules'!$D$5:$D$17,MATCH(P919,'Category Rules'!$A$5:$A$17,0)))</f>
        <v>4030</v>
      </c>
      <c r="S919" t="str">
        <f>IF(Q919="CONTEXT","Roofing",IF(Q919="REVIEW","",INDEX('Category Rules'!$E$5:$E$17,MATCH(P919,'Category Rules'!$A$5:$A$17,0))))</f>
        <v>Roofing</v>
      </c>
      <c r="T919" t="str">
        <f>IF(Q919="DEP","BAS Excluded","GST on Income")</f>
        <v>GST on Income</v>
      </c>
      <c r="U919">
        <f>IF(O919=T919,1,0)</f>
        <v>1</v>
      </c>
      <c r="V919" s="9">
        <f>IF(OR(M919=0,U919=1),0,IF(T919="GST on Income",ROUND(K919*0.1,2),ROUND(-K919*0.1,2)))</f>
        <v>0</v>
      </c>
    </row>
    <row r="920">
      <c r="A920" t="inlineStr">
        <is>
          <t>INV-4102-1</t>
        </is>
      </c>
      <c r="B920" t="inlineStr">
        <is>
          <t>INV-4102</t>
        </is>
      </c>
      <c r="C920" s="11" t="n">
        <v>45980</v>
      </c>
      <c r="D920" t="inlineStr">
        <is>
          <t>2025-11</t>
        </is>
      </c>
      <c r="E920" t="inlineStr">
        <is>
          <t>C0120</t>
        </is>
      </c>
      <c r="F920" t="inlineStr">
        <is>
          <t>C0120</t>
        </is>
      </c>
      <c r="G920" t="inlineStr">
        <is>
          <t>Northgate Building Group</t>
        </is>
      </c>
      <c r="H920" t="inlineStr">
        <is>
          <t>S0001</t>
        </is>
      </c>
      <c r="I920" t="inlineStr">
        <is>
          <t>Temporary fence hire 4 wks (22/10/25-18/11/25) - 101 panels</t>
        </is>
      </c>
      <c r="J920" t="n">
        <v>404</v>
      </c>
      <c r="K920" s="9" t="n">
        <v>1818</v>
      </c>
      <c r="L920" t="inlineStr">
        <is>
          <t>PAID</t>
        </is>
      </c>
      <c r="M920">
        <f>IF(L920="VOIDED",0,1)</f>
        <v>1</v>
      </c>
      <c r="N920" t="n">
        <v>200</v>
      </c>
      <c r="O920" t="inlineStr">
        <is>
          <t>GST on Income</t>
        </is>
      </c>
      <c r="P920" t="inlineStr">
        <is>
          <t>R03</t>
        </is>
      </c>
      <c r="Q920" t="inlineStr">
        <is>
          <t>HIRE-FP</t>
        </is>
      </c>
      <c r="R920">
        <f>IF(OR(Q920="CONTEXT",Q920="REVIEW"),"",INDEX('Category Rules'!$D$5:$D$17,MATCH(P920,'Category Rules'!$A$5:$A$17,0)))</f>
        <v>4010</v>
      </c>
      <c r="S920" t="str">
        <f>IF(Q920="CONTEXT","Fencing",IF(Q920="REVIEW","",INDEX('Category Rules'!$E$5:$E$17,MATCH(P920,'Category Rules'!$A$5:$A$17,0))))</f>
        <v>Fencing</v>
      </c>
      <c r="T920" t="str">
        <f>IF(Q920="DEP","BAS Excluded","GST on Income")</f>
        <v>GST on Income</v>
      </c>
      <c r="U920">
        <f>IF(O920=T920,1,0)</f>
        <v>1</v>
      </c>
      <c r="V920" s="9">
        <f>IF(OR(M920=0,U920=1),0,IF(T920="GST on Income",ROUND(K920*0.1,2),ROUND(-K920*0.1,2)))</f>
        <v>0</v>
      </c>
    </row>
    <row r="921">
      <c r="A921" t="inlineStr">
        <is>
          <t>INV-4157-1</t>
        </is>
      </c>
      <c r="B921" t="inlineStr">
        <is>
          <t>INV-4157</t>
        </is>
      </c>
      <c r="C921" s="11" t="n">
        <v>45980</v>
      </c>
      <c r="D921" t="inlineStr">
        <is>
          <t>2025-11</t>
        </is>
      </c>
      <c r="E921" t="inlineStr">
        <is>
          <t>C0015</t>
        </is>
      </c>
      <c r="F921" t="inlineStr">
        <is>
          <t>C0015</t>
        </is>
      </c>
      <c r="G921" t="inlineStr">
        <is>
          <t>Bluegum Building Group</t>
        </is>
      </c>
      <c r="H921" t="inlineStr">
        <is>
          <t>S0011</t>
        </is>
      </c>
      <c r="I921" t="inlineStr">
        <is>
          <t>Temporary fence hire 4 wks (22/10/25-18/11/25) - 96 panels</t>
        </is>
      </c>
      <c r="J921" t="n">
        <v>384</v>
      </c>
      <c r="K921" s="9" t="n">
        <v>1728</v>
      </c>
      <c r="L921" t="inlineStr">
        <is>
          <t>PAID</t>
        </is>
      </c>
      <c r="M921">
        <f>IF(L921="VOIDED",0,1)</f>
        <v>1</v>
      </c>
      <c r="N921" t="n">
        <v>200</v>
      </c>
      <c r="O921" t="inlineStr">
        <is>
          <t>GST on Income</t>
        </is>
      </c>
      <c r="P921" t="inlineStr">
        <is>
          <t>R03</t>
        </is>
      </c>
      <c r="Q921" t="inlineStr">
        <is>
          <t>HIRE-FP</t>
        </is>
      </c>
      <c r="R921">
        <f>IF(OR(Q921="CONTEXT",Q921="REVIEW"),"",INDEX('Category Rules'!$D$5:$D$17,MATCH(P921,'Category Rules'!$A$5:$A$17,0)))</f>
        <v>4010</v>
      </c>
      <c r="S921" t="str">
        <f>IF(Q921="CONTEXT","Fencing",IF(Q921="REVIEW","",INDEX('Category Rules'!$E$5:$E$17,MATCH(P921,'Category Rules'!$A$5:$A$17,0))))</f>
        <v>Fencing</v>
      </c>
      <c r="T921" t="str">
        <f>IF(Q921="DEP","BAS Excluded","GST on Income")</f>
        <v>GST on Income</v>
      </c>
      <c r="U921">
        <f>IF(O921=T921,1,0)</f>
        <v>1</v>
      </c>
      <c r="V921" s="9">
        <f>IF(OR(M921=0,U921=1),0,IF(T921="GST on Income",ROUND(K921*0.1,2),ROUND(-K921*0.1,2)))</f>
        <v>0</v>
      </c>
    </row>
    <row r="922">
      <c r="A922" t="inlineStr">
        <is>
          <t>INV-5432-1</t>
        </is>
      </c>
      <c r="B922" t="inlineStr">
        <is>
          <t>INV-5432</t>
        </is>
      </c>
      <c r="C922" s="11" t="n">
        <v>45981</v>
      </c>
      <c r="D922" t="inlineStr">
        <is>
          <t>2025-11</t>
        </is>
      </c>
      <c r="E922" t="inlineStr">
        <is>
          <t>C0085</t>
        </is>
      </c>
      <c r="F922" t="inlineStr">
        <is>
          <t>C0085</t>
        </is>
      </c>
      <c r="G922" t="inlineStr">
        <is>
          <t>Zoe Williams</t>
        </is>
      </c>
      <c r="H922" t="inlineStr">
        <is>
          <t>S0292</t>
        </is>
      </c>
      <c r="I922" t="inlineStr">
        <is>
          <t>Scaffold erect - 1 tower(s)</t>
        </is>
      </c>
      <c r="J922" t="n">
        <v>1</v>
      </c>
      <c r="K922" s="9" t="n">
        <v>420</v>
      </c>
      <c r="L922" t="inlineStr">
        <is>
          <t>PAID</t>
        </is>
      </c>
      <c r="M922">
        <f>IF(L922="VOIDED",0,1)</f>
        <v>1</v>
      </c>
      <c r="N922" t="n">
        <v>200</v>
      </c>
      <c r="O922" t="inlineStr">
        <is>
          <t>GST on Income</t>
        </is>
      </c>
      <c r="P922" t="inlineStr">
        <is>
          <t>R08</t>
        </is>
      </c>
      <c r="Q922" t="inlineStr">
        <is>
          <t>LAB-ST</t>
        </is>
      </c>
      <c r="R922">
        <f>IF(OR(Q922="CONTEXT",Q922="REVIEW"),"",INDEX('Category Rules'!$D$5:$D$17,MATCH(P922,'Category Rules'!$A$5:$A$17,0)))</f>
        <v>4020</v>
      </c>
      <c r="S922" t="str">
        <f>IF(Q922="CONTEXT","Scaffolding",IF(Q922="REVIEW","",INDEX('Category Rules'!$E$5:$E$17,MATCH(P922,'Category Rules'!$A$5:$A$17,0))))</f>
        <v>Scaffolding</v>
      </c>
      <c r="T922" t="str">
        <f>IF(Q922="DEP","BAS Excluded","GST on Income")</f>
        <v>GST on Income</v>
      </c>
      <c r="U922">
        <f>IF(O922=T922,1,0)</f>
        <v>1</v>
      </c>
      <c r="V922" s="9">
        <f>IF(OR(M922=0,U922=1),0,IF(T922="GST on Income",ROUND(K922*0.1,2),ROUND(-K922*0.1,2)))</f>
        <v>0</v>
      </c>
    </row>
    <row r="923">
      <c r="A923" t="inlineStr">
        <is>
          <t>INV-4446-1</t>
        </is>
      </c>
      <c r="B923" t="inlineStr">
        <is>
          <t>INV-4446</t>
        </is>
      </c>
      <c r="C923" s="11" t="n">
        <v>45982</v>
      </c>
      <c r="D923" t="inlineStr">
        <is>
          <t>2025-11</t>
        </is>
      </c>
      <c r="E923" t="inlineStr">
        <is>
          <t>C0038</t>
        </is>
      </c>
      <c r="F923" t="inlineStr">
        <is>
          <t>C0038</t>
        </is>
      </c>
      <c r="G923" t="inlineStr">
        <is>
          <t>Cobalt Constructions Pty Ltd</t>
        </is>
      </c>
      <c r="H923" t="inlineStr">
        <is>
          <t>S0068</t>
        </is>
      </c>
      <c r="I923" t="inlineStr">
        <is>
          <t>Collection and dismantle - temporary fencing</t>
        </is>
      </c>
      <c r="J923" t="n">
        <v>1</v>
      </c>
      <c r="K923" s="9" t="n">
        <v>165</v>
      </c>
      <c r="L923" t="inlineStr">
        <is>
          <t>PAID</t>
        </is>
      </c>
      <c r="M923">
        <f>IF(L923="VOIDED",0,1)</f>
        <v>1</v>
      </c>
      <c r="N923" t="n">
        <v>200</v>
      </c>
      <c r="O923" t="inlineStr">
        <is>
          <t>GST on Income</t>
        </is>
      </c>
      <c r="P923" t="inlineStr">
        <is>
          <t>R07</t>
        </is>
      </c>
      <c r="Q923" t="inlineStr">
        <is>
          <t>DEL-FP</t>
        </is>
      </c>
      <c r="R923">
        <f>IF(OR(Q923="CONTEXT",Q923="REVIEW"),"",INDEX('Category Rules'!$D$5:$D$17,MATCH(P923,'Category Rules'!$A$5:$A$17,0)))</f>
        <v>4020</v>
      </c>
      <c r="S923" t="str">
        <f>IF(Q923="CONTEXT","Fencing",IF(Q923="REVIEW","",INDEX('Category Rules'!$E$5:$E$17,MATCH(P923,'Category Rules'!$A$5:$A$17,0))))</f>
        <v>Fencing</v>
      </c>
      <c r="T923" t="str">
        <f>IF(Q923="DEP","BAS Excluded","GST on Income")</f>
        <v>GST on Income</v>
      </c>
      <c r="U923">
        <f>IF(O923=T923,1,0)</f>
        <v>1</v>
      </c>
      <c r="V923" s="9">
        <f>IF(OR(M923=0,U923=1),0,IF(T923="GST on Income",ROUND(K923*0.1,2),ROUND(-K923*0.1,2)))</f>
        <v>0</v>
      </c>
    </row>
    <row r="924">
      <c r="A924" t="inlineStr">
        <is>
          <t>INV-4514-1</t>
        </is>
      </c>
      <c r="B924" t="inlineStr">
        <is>
          <t>INV-4514</t>
        </is>
      </c>
      <c r="C924" s="11" t="n">
        <v>45982</v>
      </c>
      <c r="D924" t="inlineStr">
        <is>
          <t>2025-11</t>
        </is>
      </c>
      <c r="E924" t="inlineStr">
        <is>
          <t>C0022</t>
        </is>
      </c>
      <c r="F924" t="inlineStr">
        <is>
          <t>C0022</t>
        </is>
      </c>
      <c r="G924" t="inlineStr">
        <is>
          <t>Highpoint Projects</t>
        </is>
      </c>
      <c r="H924" t="inlineStr">
        <is>
          <t>S0085</t>
        </is>
      </c>
      <c r="I924" t="inlineStr">
        <is>
          <t>Temporary fence hire 4 wks (24/10/25-20/11/25) - 89 panels</t>
        </is>
      </c>
      <c r="J924" t="n">
        <v>356</v>
      </c>
      <c r="K924" s="9" t="n">
        <v>1602</v>
      </c>
      <c r="L924" t="inlineStr">
        <is>
          <t>PAID</t>
        </is>
      </c>
      <c r="M924">
        <f>IF(L924="VOIDED",0,1)</f>
        <v>1</v>
      </c>
      <c r="N924" t="n">
        <v>200</v>
      </c>
      <c r="O924" t="inlineStr">
        <is>
          <t>GST on Income</t>
        </is>
      </c>
      <c r="P924" t="inlineStr">
        <is>
          <t>R03</t>
        </is>
      </c>
      <c r="Q924" t="inlineStr">
        <is>
          <t>HIRE-FP</t>
        </is>
      </c>
      <c r="R924">
        <f>IF(OR(Q924="CONTEXT",Q924="REVIEW"),"",INDEX('Category Rules'!$D$5:$D$17,MATCH(P924,'Category Rules'!$A$5:$A$17,0)))</f>
        <v>4010</v>
      </c>
      <c r="S924" t="str">
        <f>IF(Q924="CONTEXT","Fencing",IF(Q924="REVIEW","",INDEX('Category Rules'!$E$5:$E$17,MATCH(P924,'Category Rules'!$A$5:$A$17,0))))</f>
        <v>Fencing</v>
      </c>
      <c r="T924" t="str">
        <f>IF(Q924="DEP","BAS Excluded","GST on Income")</f>
        <v>GST on Income</v>
      </c>
      <c r="U924">
        <f>IF(O924=T924,1,0)</f>
        <v>1</v>
      </c>
      <c r="V924" s="9">
        <f>IF(OR(M924=0,U924=1),0,IF(T924="GST on Income",ROUND(K924*0.1,2),ROUND(-K924*0.1,2)))</f>
        <v>0</v>
      </c>
    </row>
    <row r="925">
      <c r="A925" t="inlineStr">
        <is>
          <t>INV-4523-1</t>
        </is>
      </c>
      <c r="B925" t="inlineStr">
        <is>
          <t>INV-4523</t>
        </is>
      </c>
      <c r="C925" s="11" t="n">
        <v>45982</v>
      </c>
      <c r="D925" t="inlineStr">
        <is>
          <t>2025-11</t>
        </is>
      </c>
      <c r="E925" t="inlineStr">
        <is>
          <t>C0022</t>
        </is>
      </c>
      <c r="F925" t="inlineStr">
        <is>
          <t>C0022</t>
        </is>
      </c>
      <c r="G925" t="inlineStr">
        <is>
          <t>Highpoint Projects</t>
        </is>
      </c>
      <c r="H925" t="inlineStr">
        <is>
          <t>S0085</t>
        </is>
      </c>
      <c r="I925" t="inlineStr">
        <is>
          <t>Pedestrian barrier hire 4 wks (24/10/25-20/11/25) - 9 barriers</t>
        </is>
      </c>
      <c r="J925" t="n">
        <v>36</v>
      </c>
      <c r="K925" s="9" t="n">
        <v>115.2</v>
      </c>
      <c r="L925" t="inlineStr">
        <is>
          <t>PAID</t>
        </is>
      </c>
      <c r="M925">
        <f>IF(L925="VOIDED",0,1)</f>
        <v>1</v>
      </c>
      <c r="N925" t="n">
        <v>200</v>
      </c>
      <c r="O925" t="inlineStr">
        <is>
          <t>GST on Income</t>
        </is>
      </c>
      <c r="P925" t="inlineStr">
        <is>
          <t>R04</t>
        </is>
      </c>
      <c r="Q925" t="inlineStr">
        <is>
          <t>HIRE-BR</t>
        </is>
      </c>
      <c r="R925">
        <f>IF(OR(Q925="CONTEXT",Q925="REVIEW"),"",INDEX('Category Rules'!$D$5:$D$17,MATCH(P925,'Category Rules'!$A$5:$A$17,0)))</f>
        <v>4010</v>
      </c>
      <c r="S925" t="str">
        <f>IF(Q925="CONTEXT","Fencing",IF(Q925="REVIEW","",INDEX('Category Rules'!$E$5:$E$17,MATCH(P925,'Category Rules'!$A$5:$A$17,0))))</f>
        <v>Fencing</v>
      </c>
      <c r="T925" t="str">
        <f>IF(Q925="DEP","BAS Excluded","GST on Income")</f>
        <v>GST on Income</v>
      </c>
      <c r="U925">
        <f>IF(O925=T925,1,0)</f>
        <v>1</v>
      </c>
      <c r="V925" s="9">
        <f>IF(OR(M925=0,U925=1),0,IF(T925="GST on Income",ROUND(K925*0.1,2),ROUND(-K925*0.1,2)))</f>
        <v>0</v>
      </c>
    </row>
    <row r="926">
      <c r="A926" t="inlineStr">
        <is>
          <t>INV-4742-1</t>
        </is>
      </c>
      <c r="B926" t="inlineStr">
        <is>
          <t>INV-4742</t>
        </is>
      </c>
      <c r="C926" s="11" t="n">
        <v>45982</v>
      </c>
      <c r="D926" t="inlineStr">
        <is>
          <t>2025-11</t>
        </is>
      </c>
      <c r="E926" t="inlineStr">
        <is>
          <t>C0122</t>
        </is>
      </c>
      <c r="F926" t="inlineStr">
        <is>
          <t>C0122</t>
        </is>
      </c>
      <c r="G926" t="inlineStr">
        <is>
          <t>Bluegum Construction Pty Ltd</t>
        </is>
      </c>
      <c r="H926" t="inlineStr">
        <is>
          <t>S0135</t>
        </is>
      </c>
      <c r="I926" t="inlineStr">
        <is>
          <t>Temporary fence hire 4 wks (24/10/25-20/11/25) - 65 panels</t>
        </is>
      </c>
      <c r="J926" t="n">
        <v>260</v>
      </c>
      <c r="K926" s="9" t="n">
        <v>1170</v>
      </c>
      <c r="L926" t="inlineStr">
        <is>
          <t>PAID</t>
        </is>
      </c>
      <c r="M926">
        <f>IF(L926="VOIDED",0,1)</f>
        <v>1</v>
      </c>
      <c r="N926" t="n">
        <v>200</v>
      </c>
      <c r="O926" t="inlineStr">
        <is>
          <t>GST on Income</t>
        </is>
      </c>
      <c r="P926" t="inlineStr">
        <is>
          <t>R03</t>
        </is>
      </c>
      <c r="Q926" t="inlineStr">
        <is>
          <t>HIRE-FP</t>
        </is>
      </c>
      <c r="R926">
        <f>IF(OR(Q926="CONTEXT",Q926="REVIEW"),"",INDEX('Category Rules'!$D$5:$D$17,MATCH(P926,'Category Rules'!$A$5:$A$17,0)))</f>
        <v>4010</v>
      </c>
      <c r="S926" t="str">
        <f>IF(Q926="CONTEXT","Fencing",IF(Q926="REVIEW","",INDEX('Category Rules'!$E$5:$E$17,MATCH(P926,'Category Rules'!$A$5:$A$17,0))))</f>
        <v>Fencing</v>
      </c>
      <c r="T926" t="str">
        <f>IF(Q926="DEP","BAS Excluded","GST on Income")</f>
        <v>GST on Income</v>
      </c>
      <c r="U926">
        <f>IF(O926=T926,1,0)</f>
        <v>1</v>
      </c>
      <c r="V926" s="9">
        <f>IF(OR(M926=0,U926=1),0,IF(T926="GST on Income",ROUND(K926*0.1,2),ROUND(-K926*0.1,2)))</f>
        <v>0</v>
      </c>
    </row>
    <row r="927">
      <c r="A927" t="inlineStr">
        <is>
          <t>INV-4747-1</t>
        </is>
      </c>
      <c r="B927" t="inlineStr">
        <is>
          <t>INV-4747</t>
        </is>
      </c>
      <c r="C927" s="11" t="n">
        <v>45982</v>
      </c>
      <c r="D927" t="inlineStr">
        <is>
          <t>2025-11</t>
        </is>
      </c>
      <c r="E927" t="inlineStr">
        <is>
          <t>C0122</t>
        </is>
      </c>
      <c r="F927" t="inlineStr">
        <is>
          <t>C0122</t>
        </is>
      </c>
      <c r="G927" t="inlineStr">
        <is>
          <t>Bluegum Construction Pty Ltd</t>
        </is>
      </c>
      <c r="H927" t="inlineStr">
        <is>
          <t>S0135</t>
        </is>
      </c>
      <c r="I927" t="inlineStr">
        <is>
          <t>Pedestrian barrier hire 4 wks (24/10/25-20/11/25) - 11 barriers</t>
        </is>
      </c>
      <c r="J927" t="n">
        <v>44</v>
      </c>
      <c r="K927" s="9" t="n">
        <v>140.8</v>
      </c>
      <c r="L927" t="inlineStr">
        <is>
          <t>PAID</t>
        </is>
      </c>
      <c r="M927">
        <f>IF(L927="VOIDED",0,1)</f>
        <v>1</v>
      </c>
      <c r="N927" t="n">
        <v>200</v>
      </c>
      <c r="O927" t="inlineStr">
        <is>
          <t>GST on Income</t>
        </is>
      </c>
      <c r="P927" t="inlineStr">
        <is>
          <t>R04</t>
        </is>
      </c>
      <c r="Q927" t="inlineStr">
        <is>
          <t>HIRE-BR</t>
        </is>
      </c>
      <c r="R927">
        <f>IF(OR(Q927="CONTEXT",Q927="REVIEW"),"",INDEX('Category Rules'!$D$5:$D$17,MATCH(P927,'Category Rules'!$A$5:$A$17,0)))</f>
        <v>4010</v>
      </c>
      <c r="S927" t="str">
        <f>IF(Q927="CONTEXT","Fencing",IF(Q927="REVIEW","",INDEX('Category Rules'!$E$5:$E$17,MATCH(P927,'Category Rules'!$A$5:$A$17,0))))</f>
        <v>Fencing</v>
      </c>
      <c r="T927" t="str">
        <f>IF(Q927="DEP","BAS Excluded","GST on Income")</f>
        <v>GST on Income</v>
      </c>
      <c r="U927">
        <f>IF(O927=T927,1,0)</f>
        <v>1</v>
      </c>
      <c r="V927" s="9">
        <f>IF(OR(M927=0,U927=1),0,IF(T927="GST on Income",ROUND(K927*0.1,2),ROUND(-K927*0.1,2)))</f>
        <v>0</v>
      </c>
    </row>
    <row r="928">
      <c r="A928" t="inlineStr">
        <is>
          <t>INV-4990-1</t>
        </is>
      </c>
      <c r="B928" t="inlineStr">
        <is>
          <t>INV-4990</t>
        </is>
      </c>
      <c r="C928" s="11" t="n">
        <v>45982</v>
      </c>
      <c r="D928" t="inlineStr">
        <is>
          <t>2025-11</t>
        </is>
      </c>
      <c r="E928" t="inlineStr">
        <is>
          <t>C0036</t>
        </is>
      </c>
      <c r="F928" t="inlineStr">
        <is>
          <t>C0036</t>
        </is>
      </c>
      <c r="G928" t="inlineStr">
        <is>
          <t>Summit Homes Pty Ltd</t>
        </is>
      </c>
      <c r="H928" t="inlineStr">
        <is>
          <t>S0192</t>
        </is>
      </c>
      <c r="I928" t="inlineStr">
        <is>
          <t>Temporary fence hire 2 wks (13/11/25-20/11/25) - 149 panels</t>
        </is>
      </c>
      <c r="J928" t="n">
        <v>298</v>
      </c>
      <c r="K928" s="9" t="n">
        <v>1341</v>
      </c>
      <c r="L928" t="inlineStr">
        <is>
          <t>PAID</t>
        </is>
      </c>
      <c r="M928">
        <f>IF(L928="VOIDED",0,1)</f>
        <v>1</v>
      </c>
      <c r="N928" t="n">
        <v>200</v>
      </c>
      <c r="O928" t="inlineStr">
        <is>
          <t>GST on Income</t>
        </is>
      </c>
      <c r="P928" t="inlineStr">
        <is>
          <t>R03</t>
        </is>
      </c>
      <c r="Q928" t="inlineStr">
        <is>
          <t>HIRE-FP</t>
        </is>
      </c>
      <c r="R928">
        <f>IF(OR(Q928="CONTEXT",Q928="REVIEW"),"",INDEX('Category Rules'!$D$5:$D$17,MATCH(P928,'Category Rules'!$A$5:$A$17,0)))</f>
        <v>4010</v>
      </c>
      <c r="S928" t="str">
        <f>IF(Q928="CONTEXT","Fencing",IF(Q928="REVIEW","",INDEX('Category Rules'!$E$5:$E$17,MATCH(P928,'Category Rules'!$A$5:$A$17,0))))</f>
        <v>Fencing</v>
      </c>
      <c r="T928" t="str">
        <f>IF(Q928="DEP","BAS Excluded","GST on Income")</f>
        <v>GST on Income</v>
      </c>
      <c r="U928">
        <f>IF(O928=T928,1,0)</f>
        <v>1</v>
      </c>
      <c r="V928" s="9">
        <f>IF(OR(M928=0,U928=1),0,IF(T928="GST on Income",ROUND(K928*0.1,2),ROUND(-K928*0.1,2)))</f>
        <v>0</v>
      </c>
    </row>
    <row r="929">
      <c r="A929" t="inlineStr">
        <is>
          <t>INV-4992-1</t>
        </is>
      </c>
      <c r="B929" t="inlineStr">
        <is>
          <t>INV-4992</t>
        </is>
      </c>
      <c r="C929" s="11" t="n">
        <v>45982</v>
      </c>
      <c r="D929" t="inlineStr">
        <is>
          <t>2025-11</t>
        </is>
      </c>
      <c r="E929" t="inlineStr">
        <is>
          <t>C0136</t>
        </is>
      </c>
      <c r="F929" t="inlineStr">
        <is>
          <t>C0036</t>
        </is>
      </c>
      <c r="G929" t="inlineStr">
        <is>
          <t>Summit Homes Pty Ltd</t>
        </is>
      </c>
      <c r="H929" t="inlineStr">
        <is>
          <t>S0192</t>
        </is>
      </c>
      <c r="I929" t="inlineStr">
        <is>
          <t>Collection and dismantle - temporary fencing</t>
        </is>
      </c>
      <c r="J929" t="n">
        <v>1</v>
      </c>
      <c r="K929" s="9" t="n">
        <v>165</v>
      </c>
      <c r="L929" t="inlineStr">
        <is>
          <t>PAID</t>
        </is>
      </c>
      <c r="M929">
        <f>IF(L929="VOIDED",0,1)</f>
        <v>1</v>
      </c>
      <c r="N929" t="n">
        <v>200</v>
      </c>
      <c r="O929" t="inlineStr">
        <is>
          <t>GST on Income</t>
        </is>
      </c>
      <c r="P929" t="inlineStr">
        <is>
          <t>R07</t>
        </is>
      </c>
      <c r="Q929" t="inlineStr">
        <is>
          <t>DEL-FP</t>
        </is>
      </c>
      <c r="R929">
        <f>IF(OR(Q929="CONTEXT",Q929="REVIEW"),"",INDEX('Category Rules'!$D$5:$D$17,MATCH(P929,'Category Rules'!$A$5:$A$17,0)))</f>
        <v>4020</v>
      </c>
      <c r="S929" t="str">
        <f>IF(Q929="CONTEXT","Fencing",IF(Q929="REVIEW","",INDEX('Category Rules'!$E$5:$E$17,MATCH(P929,'Category Rules'!$A$5:$A$17,0))))</f>
        <v>Fencing</v>
      </c>
      <c r="T929" t="str">
        <f>IF(Q929="DEP","BAS Excluded","GST on Income")</f>
        <v>GST on Income</v>
      </c>
      <c r="U929">
        <f>IF(O929=T929,1,0)</f>
        <v>1</v>
      </c>
      <c r="V929" s="9">
        <f>IF(OR(M929=0,U929=1),0,IF(T929="GST on Income",ROUND(K929*0.1,2),ROUND(-K929*0.1,2)))</f>
        <v>0</v>
      </c>
    </row>
    <row r="930">
      <c r="A930" t="inlineStr">
        <is>
          <t>INV-5373-1</t>
        </is>
      </c>
      <c r="B930" t="inlineStr">
        <is>
          <t>INV-5373</t>
        </is>
      </c>
      <c r="C930" s="11" t="n">
        <v>45982</v>
      </c>
      <c r="D930" t="inlineStr">
        <is>
          <t>2025-11</t>
        </is>
      </c>
      <c r="E930" t="inlineStr">
        <is>
          <t>C0093</t>
        </is>
      </c>
      <c r="F930" t="inlineStr">
        <is>
          <t>C0093</t>
        </is>
      </c>
      <c r="G930" t="inlineStr">
        <is>
          <t>Olivia Wilson</t>
        </is>
      </c>
      <c r="H930" t="inlineStr">
        <is>
          <t>S0276</t>
        </is>
      </c>
      <c r="I930" t="inlineStr">
        <is>
          <t>Scaffold erect - 2 tower(s)</t>
        </is>
      </c>
      <c r="J930" t="n">
        <v>2</v>
      </c>
      <c r="K930" s="9" t="n">
        <v>840</v>
      </c>
      <c r="L930" t="inlineStr">
        <is>
          <t>PAID</t>
        </is>
      </c>
      <c r="M930">
        <f>IF(L930="VOIDED",0,1)</f>
        <v>1</v>
      </c>
      <c r="N930" t="n">
        <v>200</v>
      </c>
      <c r="O930" t="inlineStr">
        <is>
          <t>GST on Income</t>
        </is>
      </c>
      <c r="P930" t="inlineStr">
        <is>
          <t>R08</t>
        </is>
      </c>
      <c r="Q930" t="inlineStr">
        <is>
          <t>LAB-ST</t>
        </is>
      </c>
      <c r="R930">
        <f>IF(OR(Q930="CONTEXT",Q930="REVIEW"),"",INDEX('Category Rules'!$D$5:$D$17,MATCH(P930,'Category Rules'!$A$5:$A$17,0)))</f>
        <v>4020</v>
      </c>
      <c r="S930" t="str">
        <f>IF(Q930="CONTEXT","Scaffolding",IF(Q930="REVIEW","",INDEX('Category Rules'!$E$5:$E$17,MATCH(P930,'Category Rules'!$A$5:$A$17,0))))</f>
        <v>Scaffolding</v>
      </c>
      <c r="T930" t="str">
        <f>IF(Q930="DEP","BAS Excluded","GST on Income")</f>
        <v>GST on Income</v>
      </c>
      <c r="U930">
        <f>IF(O930=T930,1,0)</f>
        <v>1</v>
      </c>
      <c r="V930" s="9">
        <f>IF(OR(M930=0,U930=1),0,IF(T930="GST on Income",ROUND(K930*0.1,2),ROUND(-K930*0.1,2)))</f>
        <v>0</v>
      </c>
    </row>
    <row r="931">
      <c r="A931" t="inlineStr">
        <is>
          <t>INV-5520-1</t>
        </is>
      </c>
      <c r="B931" t="inlineStr">
        <is>
          <t>INV-5520</t>
        </is>
      </c>
      <c r="C931" s="11" t="n">
        <v>45982</v>
      </c>
      <c r="D931" t="inlineStr">
        <is>
          <t>2025-11</t>
        </is>
      </c>
      <c r="E931" t="inlineStr">
        <is>
          <t>C0065</t>
        </is>
      </c>
      <c r="F931" t="inlineStr">
        <is>
          <t>C0065</t>
        </is>
      </c>
      <c r="G931" t="inlineStr">
        <is>
          <t>Stonebridge Claims Services</t>
        </is>
      </c>
      <c r="H931" t="inlineStr">
        <is>
          <t>S0336</t>
        </is>
      </c>
      <c r="I931" t="inlineStr">
        <is>
          <t>Tarp kit hire 2 wks (13/11/25-20/11/25) - 1 kits</t>
        </is>
      </c>
      <c r="J931" t="n">
        <v>2</v>
      </c>
      <c r="K931" s="9" t="n">
        <v>70</v>
      </c>
      <c r="L931" t="inlineStr">
        <is>
          <t>PAID</t>
        </is>
      </c>
      <c r="M931">
        <f>IF(L931="VOIDED",0,1)</f>
        <v>1</v>
      </c>
      <c r="N931" t="n">
        <v>200</v>
      </c>
      <c r="O931" t="inlineStr">
        <is>
          <t>GST on Income</t>
        </is>
      </c>
      <c r="P931" t="inlineStr">
        <is>
          <t>R06</t>
        </is>
      </c>
      <c r="Q931" t="inlineStr">
        <is>
          <t>HIRE-TK</t>
        </is>
      </c>
      <c r="R931">
        <f>IF(OR(Q931="CONTEXT",Q931="REVIEW"),"",INDEX('Category Rules'!$D$5:$D$17,MATCH(P931,'Category Rules'!$A$5:$A$17,0)))</f>
        <v>4010</v>
      </c>
      <c r="S931" t="str">
        <f>IF(Q931="CONTEXT","Make-safe",IF(Q931="REVIEW","",INDEX('Category Rules'!$E$5:$E$17,MATCH(P931,'Category Rules'!$A$5:$A$17,0))))</f>
        <v>Make-safe</v>
      </c>
      <c r="T931" t="str">
        <f>IF(Q931="DEP","BAS Excluded","GST on Income")</f>
        <v>GST on Income</v>
      </c>
      <c r="U931">
        <f>IF(O931=T931,1,0)</f>
        <v>1</v>
      </c>
      <c r="V931" s="9">
        <f>IF(OR(M931=0,U931=1),0,IF(T931="GST on Income",ROUND(K931*0.1,2),ROUND(-K931*0.1,2)))</f>
        <v>0</v>
      </c>
    </row>
    <row r="932">
      <c r="A932" t="inlineStr">
        <is>
          <t>CN-5946-1</t>
        </is>
      </c>
      <c r="B932" t="inlineStr">
        <is>
          <t>CN-5946</t>
        </is>
      </c>
      <c r="C932" s="11" t="n">
        <v>45983</v>
      </c>
      <c r="D932" t="inlineStr">
        <is>
          <t>2025-11</t>
        </is>
      </c>
      <c r="E932" t="inlineStr">
        <is>
          <t>C0136</t>
        </is>
      </c>
      <c r="F932" t="inlineStr">
        <is>
          <t>C0036</t>
        </is>
      </c>
      <c r="G932" t="inlineStr">
        <is>
          <t>Summit Homes Pty Ltd</t>
        </is>
      </c>
      <c r="H932" t="inlineStr">
        <is>
          <t>S0221</t>
        </is>
      </c>
      <c r="I932" t="inlineStr">
        <is>
          <t>Refund of security deposit - fence panels</t>
        </is>
      </c>
      <c r="J932" t="n">
        <v>1</v>
      </c>
      <c r="K932" s="9" t="n">
        <v>-650</v>
      </c>
      <c r="L932" t="inlineStr">
        <is>
          <t>PAID</t>
        </is>
      </c>
      <c r="M932">
        <f>IF(L932="VOIDED",0,1)</f>
        <v>1</v>
      </c>
      <c r="N932" t="n">
        <v>200</v>
      </c>
      <c r="O932" t="inlineStr">
        <is>
          <t>GST on Income</t>
        </is>
      </c>
      <c r="P932" t="inlineStr">
        <is>
          <t>R01</t>
        </is>
      </c>
      <c r="Q932" t="inlineStr">
        <is>
          <t>DEP</t>
        </is>
      </c>
      <c r="R932">
        <f>IF(OR(Q932="CONTEXT",Q932="REVIEW"),"",INDEX('Category Rules'!$D$5:$D$17,MATCH(P932,'Category Rules'!$A$5:$A$17,0)))</f>
        <v>835</v>
      </c>
      <c r="S932" t="str">
        <f>IF(Q932="CONTEXT","Fencing",IF(Q932="REVIEW","",INDEX('Category Rules'!$E$5:$E$17,MATCH(P932,'Category Rules'!$A$5:$A$17,0))))</f>
        <v>Fencing</v>
      </c>
      <c r="T932" t="str">
        <f>IF(Q932="DEP","BAS Excluded","GST on Income")</f>
        <v>BAS Excluded</v>
      </c>
      <c r="U932">
        <f>IF(O932=T932,1,0)</f>
        <v>0</v>
      </c>
      <c r="V932" s="9">
        <f>IF(OR(M932=0,U932=1),0,IF(T932="GST on Income",ROUND(K932*0.1,2),ROUND(-K932*0.1,2)))</f>
        <v>65</v>
      </c>
    </row>
    <row r="933">
      <c r="A933" t="inlineStr">
        <is>
          <t>INV-4112-1</t>
        </is>
      </c>
      <c r="B933" t="inlineStr">
        <is>
          <t>INV-4112</t>
        </is>
      </c>
      <c r="C933" s="11" t="n">
        <v>45983</v>
      </c>
      <c r="D933" t="inlineStr">
        <is>
          <t>2025-11</t>
        </is>
      </c>
      <c r="E933" t="inlineStr">
        <is>
          <t>C0148</t>
        </is>
      </c>
      <c r="F933" t="inlineStr">
        <is>
          <t>C0042</t>
        </is>
      </c>
      <c r="G933" t="inlineStr">
        <is>
          <t>Lakeside Constructions Pty Ltd</t>
        </is>
      </c>
      <c r="H933" t="inlineStr">
        <is>
          <t>S0003</t>
        </is>
      </c>
      <c r="I933" t="inlineStr">
        <is>
          <t>Temporary fence hire 4 wks (25/10/25-21/11/25) - 152 panels</t>
        </is>
      </c>
      <c r="J933" t="n">
        <v>608</v>
      </c>
      <c r="K933" s="9" t="n">
        <v>2736</v>
      </c>
      <c r="L933" t="inlineStr">
        <is>
          <t>PAID</t>
        </is>
      </c>
      <c r="M933">
        <f>IF(L933="VOIDED",0,1)</f>
        <v>1</v>
      </c>
      <c r="N933" t="n">
        <v>200</v>
      </c>
      <c r="O933" t="inlineStr">
        <is>
          <t>GST on Income</t>
        </is>
      </c>
      <c r="P933" t="inlineStr">
        <is>
          <t>R03</t>
        </is>
      </c>
      <c r="Q933" t="inlineStr">
        <is>
          <t>HIRE-FP</t>
        </is>
      </c>
      <c r="R933">
        <f>IF(OR(Q933="CONTEXT",Q933="REVIEW"),"",INDEX('Category Rules'!$D$5:$D$17,MATCH(P933,'Category Rules'!$A$5:$A$17,0)))</f>
        <v>4010</v>
      </c>
      <c r="S933" t="str">
        <f>IF(Q933="CONTEXT","Fencing",IF(Q933="REVIEW","",INDEX('Category Rules'!$E$5:$E$17,MATCH(P933,'Category Rules'!$A$5:$A$17,0))))</f>
        <v>Fencing</v>
      </c>
      <c r="T933" t="str">
        <f>IF(Q933="DEP","BAS Excluded","GST on Income")</f>
        <v>GST on Income</v>
      </c>
      <c r="U933">
        <f>IF(O933=T933,1,0)</f>
        <v>1</v>
      </c>
      <c r="V933" s="9">
        <f>IF(OR(M933=0,U933=1),0,IF(T933="GST on Income",ROUND(K933*0.1,2),ROUND(-K933*0.1,2)))</f>
        <v>0</v>
      </c>
    </row>
    <row r="934">
      <c r="A934" t="inlineStr">
        <is>
          <t>INV-5683-1</t>
        </is>
      </c>
      <c r="B934" t="inlineStr">
        <is>
          <t>INV-5683</t>
        </is>
      </c>
      <c r="C934" s="11" t="n">
        <v>45983</v>
      </c>
      <c r="D934" t="inlineStr">
        <is>
          <t>2025-11</t>
        </is>
      </c>
      <c r="E934" t="inlineStr">
        <is>
          <t>C0019</t>
        </is>
      </c>
      <c r="F934" t="inlineStr">
        <is>
          <t>C0019</t>
        </is>
      </c>
      <c r="G934" t="inlineStr">
        <is>
          <t>Metro Developments</t>
        </is>
      </c>
      <c r="H934" t="inlineStr">
        <is>
          <t>S0424</t>
        </is>
      </c>
      <c r="I934" t="inlineStr">
        <is>
          <t>Roof repair labour - 4 hrs</t>
        </is>
      </c>
      <c r="J934" t="n">
        <v>4</v>
      </c>
      <c r="K934" s="9" t="n">
        <v>392</v>
      </c>
      <c r="L934" t="inlineStr">
        <is>
          <t>PAID</t>
        </is>
      </c>
      <c r="M934">
        <f>IF(L934="VOIDED",0,1)</f>
        <v>1</v>
      </c>
      <c r="N934" t="n">
        <v>260</v>
      </c>
      <c r="O934" t="inlineStr">
        <is>
          <t>GST on Income</t>
        </is>
      </c>
      <c r="P934" t="inlineStr">
        <is>
          <t>R10</t>
        </is>
      </c>
      <c r="Q934" t="inlineStr">
        <is>
          <t>LAB-RF</t>
        </is>
      </c>
      <c r="R934">
        <f>IF(OR(Q934="CONTEXT",Q934="REVIEW"),"",INDEX('Category Rules'!$D$5:$D$17,MATCH(P934,'Category Rules'!$A$5:$A$17,0)))</f>
        <v>4020</v>
      </c>
      <c r="S934" t="str">
        <f>IF(Q934="CONTEXT","Roofing",IF(Q934="REVIEW","",INDEX('Category Rules'!$E$5:$E$17,MATCH(P934,'Category Rules'!$A$5:$A$17,0))))</f>
        <v>Roofing</v>
      </c>
      <c r="T934" t="str">
        <f>IF(Q934="DEP","BAS Excluded","GST on Income")</f>
        <v>GST on Income</v>
      </c>
      <c r="U934">
        <f>IF(O934=T934,1,0)</f>
        <v>1</v>
      </c>
      <c r="V934" s="9">
        <f>IF(OR(M934=0,U934=1),0,IF(T934="GST on Income",ROUND(K934*0.1,2),ROUND(-K934*0.1,2)))</f>
        <v>0</v>
      </c>
    </row>
    <row r="935">
      <c r="A935" t="inlineStr">
        <is>
          <t>INV-5683-2</t>
        </is>
      </c>
      <c r="B935" t="inlineStr">
        <is>
          <t>INV-5683</t>
        </is>
      </c>
      <c r="C935" s="11" t="n">
        <v>45983</v>
      </c>
      <c r="D935" t="inlineStr">
        <is>
          <t>2025-11</t>
        </is>
      </c>
      <c r="E935" t="inlineStr">
        <is>
          <t>C0019</t>
        </is>
      </c>
      <c r="F935" t="inlineStr">
        <is>
          <t>C0019</t>
        </is>
      </c>
      <c r="G935" t="inlineStr">
        <is>
          <t>Metro Developments</t>
        </is>
      </c>
      <c r="H935" t="inlineStr">
        <is>
          <t>S0424</t>
        </is>
      </c>
      <c r="I935" t="inlineStr">
        <is>
          <t>Materials - sealant and fixings</t>
        </is>
      </c>
      <c r="J935" t="n">
        <v>1</v>
      </c>
      <c r="K935" s="9" t="n">
        <v>855.53</v>
      </c>
      <c r="L935" t="inlineStr">
        <is>
          <t>PAID</t>
        </is>
      </c>
      <c r="M935">
        <f>IF(L935="VOIDED",0,1)</f>
        <v>1</v>
      </c>
      <c r="N935" t="n">
        <v>200</v>
      </c>
      <c r="O935" t="inlineStr">
        <is>
          <t>GST on Income</t>
        </is>
      </c>
      <c r="P935" t="inlineStr">
        <is>
          <t>R11</t>
        </is>
      </c>
      <c r="Q935" t="inlineStr">
        <is>
          <t>MAT-RF</t>
        </is>
      </c>
      <c r="R935">
        <f>IF(OR(Q935="CONTEXT",Q935="REVIEW"),"",INDEX('Category Rules'!$D$5:$D$17,MATCH(P935,'Category Rules'!$A$5:$A$17,0)))</f>
        <v>4030</v>
      </c>
      <c r="S935" t="str">
        <f>IF(Q935="CONTEXT","Roofing",IF(Q935="REVIEW","",INDEX('Category Rules'!$E$5:$E$17,MATCH(P935,'Category Rules'!$A$5:$A$17,0))))</f>
        <v>Roofing</v>
      </c>
      <c r="T935" t="str">
        <f>IF(Q935="DEP","BAS Excluded","GST on Income")</f>
        <v>GST on Income</v>
      </c>
      <c r="U935">
        <f>IF(O935=T935,1,0)</f>
        <v>1</v>
      </c>
      <c r="V935" s="9">
        <f>IF(OR(M935=0,U935=1),0,IF(T935="GST on Income",ROUND(K935*0.1,2),ROUND(-K935*0.1,2)))</f>
        <v>0</v>
      </c>
    </row>
    <row r="936">
      <c r="A936" t="inlineStr">
        <is>
          <t>INV-5683-3</t>
        </is>
      </c>
      <c r="B936" t="inlineStr">
        <is>
          <t>INV-5683</t>
        </is>
      </c>
      <c r="C936" s="11" t="n">
        <v>45983</v>
      </c>
      <c r="D936" t="inlineStr">
        <is>
          <t>2025-11</t>
        </is>
      </c>
      <c r="E936" t="inlineStr">
        <is>
          <t>C0019</t>
        </is>
      </c>
      <c r="F936" t="inlineStr">
        <is>
          <t>C0019</t>
        </is>
      </c>
      <c r="G936" t="inlineStr">
        <is>
          <t>Metro Developments</t>
        </is>
      </c>
      <c r="H936" t="inlineStr">
        <is>
          <t>S0424</t>
        </is>
      </c>
      <c r="I936" t="inlineStr">
        <is>
          <t>Materials - ridge capping</t>
        </is>
      </c>
      <c r="J936" t="n">
        <v>1</v>
      </c>
      <c r="K936" s="9" t="n">
        <v>1210.38</v>
      </c>
      <c r="L936" t="inlineStr">
        <is>
          <t>PAID</t>
        </is>
      </c>
      <c r="M936">
        <f>IF(L936="VOIDED",0,1)</f>
        <v>1</v>
      </c>
      <c r="N936" t="n">
        <v>200</v>
      </c>
      <c r="O936" t="inlineStr">
        <is>
          <t>GST on Income</t>
        </is>
      </c>
      <c r="P936" t="inlineStr">
        <is>
          <t>R11</t>
        </is>
      </c>
      <c r="Q936" t="inlineStr">
        <is>
          <t>MAT-RF</t>
        </is>
      </c>
      <c r="R936">
        <f>IF(OR(Q936="CONTEXT",Q936="REVIEW"),"",INDEX('Category Rules'!$D$5:$D$17,MATCH(P936,'Category Rules'!$A$5:$A$17,0)))</f>
        <v>4030</v>
      </c>
      <c r="S936" t="str">
        <f>IF(Q936="CONTEXT","Roofing",IF(Q936="REVIEW","",INDEX('Category Rules'!$E$5:$E$17,MATCH(P936,'Category Rules'!$A$5:$A$17,0))))</f>
        <v>Roofing</v>
      </c>
      <c r="T936" t="str">
        <f>IF(Q936="DEP","BAS Excluded","GST on Income")</f>
        <v>GST on Income</v>
      </c>
      <c r="U936">
        <f>IF(O936=T936,1,0)</f>
        <v>1</v>
      </c>
      <c r="V936" s="9">
        <f>IF(OR(M936=0,U936=1),0,IF(T936="GST on Income",ROUND(K936*0.1,2),ROUND(-K936*0.1,2)))</f>
        <v>0</v>
      </c>
    </row>
    <row r="937">
      <c r="A937" t="inlineStr">
        <is>
          <t>INV-4852-1</t>
        </is>
      </c>
      <c r="B937" t="inlineStr">
        <is>
          <t>INV-4852</t>
        </is>
      </c>
      <c r="C937" s="11" t="n">
        <v>45984</v>
      </c>
      <c r="D937" t="inlineStr">
        <is>
          <t>2025-11</t>
        </is>
      </c>
      <c r="E937" t="inlineStr">
        <is>
          <t>C0122</t>
        </is>
      </c>
      <c r="F937" t="inlineStr">
        <is>
          <t>C0122</t>
        </is>
      </c>
      <c r="G937" t="inlineStr">
        <is>
          <t>Bluegum Construction Pty Ltd</t>
        </is>
      </c>
      <c r="H937" t="inlineStr">
        <is>
          <t>S0160</t>
        </is>
      </c>
      <c r="I937" t="inlineStr">
        <is>
          <t>Temporary fence hire 4 wks (26/10/25-22/11/25) - 91 panels</t>
        </is>
      </c>
      <c r="J937" t="n">
        <v>364</v>
      </c>
      <c r="K937" s="9" t="n">
        <v>1638</v>
      </c>
      <c r="L937" t="inlineStr">
        <is>
          <t>PAID</t>
        </is>
      </c>
      <c r="M937">
        <f>IF(L937="VOIDED",0,1)</f>
        <v>1</v>
      </c>
      <c r="N937" t="n">
        <v>200</v>
      </c>
      <c r="O937" t="inlineStr">
        <is>
          <t>GST on Income</t>
        </is>
      </c>
      <c r="P937" t="inlineStr">
        <is>
          <t>R03</t>
        </is>
      </c>
      <c r="Q937" t="inlineStr">
        <is>
          <t>HIRE-FP</t>
        </is>
      </c>
      <c r="R937">
        <f>IF(OR(Q937="CONTEXT",Q937="REVIEW"),"",INDEX('Category Rules'!$D$5:$D$17,MATCH(P937,'Category Rules'!$A$5:$A$17,0)))</f>
        <v>4010</v>
      </c>
      <c r="S937" t="str">
        <f>IF(Q937="CONTEXT","Fencing",IF(Q937="REVIEW","",INDEX('Category Rules'!$E$5:$E$17,MATCH(P937,'Category Rules'!$A$5:$A$17,0))))</f>
        <v>Fencing</v>
      </c>
      <c r="T937" t="str">
        <f>IF(Q937="DEP","BAS Excluded","GST on Income")</f>
        <v>GST on Income</v>
      </c>
      <c r="U937">
        <f>IF(O937=T937,1,0)</f>
        <v>1</v>
      </c>
      <c r="V937" s="9">
        <f>IF(OR(M937=0,U937=1),0,IF(T937="GST on Income",ROUND(K937*0.1,2),ROUND(-K937*0.1,2)))</f>
        <v>0</v>
      </c>
    </row>
    <row r="938">
      <c r="A938" t="inlineStr">
        <is>
          <t>INV-5009-1</t>
        </is>
      </c>
      <c r="B938" t="inlineStr">
        <is>
          <t>INV-5009</t>
        </is>
      </c>
      <c r="C938" s="11" t="n">
        <v>45984</v>
      </c>
      <c r="D938" t="inlineStr">
        <is>
          <t>2025-11</t>
        </is>
      </c>
      <c r="E938" t="inlineStr">
        <is>
          <t>C0072</t>
        </is>
      </c>
      <c r="F938" t="inlineStr">
        <is>
          <t>C0072</t>
        </is>
      </c>
      <c r="G938" t="inlineStr">
        <is>
          <t>Kingston City Council</t>
        </is>
      </c>
      <c r="H938" t="inlineStr">
        <is>
          <t>S0196</t>
        </is>
      </c>
      <c r="I938" t="inlineStr">
        <is>
          <t>Delivery and installation - temporary fencing</t>
        </is>
      </c>
      <c r="J938" t="n">
        <v>1</v>
      </c>
      <c r="K938" s="9" t="n">
        <v>165</v>
      </c>
      <c r="L938" t="inlineStr">
        <is>
          <t>PAID</t>
        </is>
      </c>
      <c r="M938">
        <f>IF(L938="VOIDED",0,1)</f>
        <v>1</v>
      </c>
      <c r="N938" t="n">
        <v>200</v>
      </c>
      <c r="O938" t="inlineStr">
        <is>
          <t>GST on Income</t>
        </is>
      </c>
      <c r="P938" t="inlineStr">
        <is>
          <t>R07</t>
        </is>
      </c>
      <c r="Q938" t="inlineStr">
        <is>
          <t>DEL-FP</t>
        </is>
      </c>
      <c r="R938">
        <f>IF(OR(Q938="CONTEXT",Q938="REVIEW"),"",INDEX('Category Rules'!$D$5:$D$17,MATCH(P938,'Category Rules'!$A$5:$A$17,0)))</f>
        <v>4020</v>
      </c>
      <c r="S938" t="str">
        <f>IF(Q938="CONTEXT","Fencing",IF(Q938="REVIEW","",INDEX('Category Rules'!$E$5:$E$17,MATCH(P938,'Category Rules'!$A$5:$A$17,0))))</f>
        <v>Fencing</v>
      </c>
      <c r="T938" t="str">
        <f>IF(Q938="DEP","BAS Excluded","GST on Income")</f>
        <v>GST on Income</v>
      </c>
      <c r="U938">
        <f>IF(O938=T938,1,0)</f>
        <v>1</v>
      </c>
      <c r="V938" s="9">
        <f>IF(OR(M938=0,U938=1),0,IF(T938="GST on Income",ROUND(K938*0.1,2),ROUND(-K938*0.1,2)))</f>
        <v>0</v>
      </c>
    </row>
    <row r="939">
      <c r="A939" t="inlineStr">
        <is>
          <t>INV-5009-2</t>
        </is>
      </c>
      <c r="B939" t="inlineStr">
        <is>
          <t>INV-5009</t>
        </is>
      </c>
      <c r="C939" s="11" t="n">
        <v>45984</v>
      </c>
      <c r="D939" t="inlineStr">
        <is>
          <t>2025-11</t>
        </is>
      </c>
      <c r="E939" t="inlineStr">
        <is>
          <t>C0072</t>
        </is>
      </c>
      <c r="F939" t="inlineStr">
        <is>
          <t>C0072</t>
        </is>
      </c>
      <c r="G939" t="inlineStr">
        <is>
          <t>Kingston City Council</t>
        </is>
      </c>
      <c r="H939" t="inlineStr">
        <is>
          <t>S0196</t>
        </is>
      </c>
      <c r="I939" t="inlineStr">
        <is>
          <t>Installation labour - 122 panels @ 2.20</t>
        </is>
      </c>
      <c r="J939" t="n">
        <v>122</v>
      </c>
      <c r="K939" s="9" t="n">
        <v>268.4</v>
      </c>
      <c r="L939" t="inlineStr">
        <is>
          <t>PAID</t>
        </is>
      </c>
      <c r="M939">
        <f>IF(L939="VOIDED",0,1)</f>
        <v>1</v>
      </c>
      <c r="N939" t="n">
        <v>200</v>
      </c>
      <c r="O939" t="inlineStr">
        <is>
          <t>GST on Income</t>
        </is>
      </c>
      <c r="P939" t="inlineStr">
        <is>
          <t>R07</t>
        </is>
      </c>
      <c r="Q939" t="inlineStr">
        <is>
          <t>DEL-FP</t>
        </is>
      </c>
      <c r="R939">
        <f>IF(OR(Q939="CONTEXT",Q939="REVIEW"),"",INDEX('Category Rules'!$D$5:$D$17,MATCH(P939,'Category Rules'!$A$5:$A$17,0)))</f>
        <v>4020</v>
      </c>
      <c r="S939" t="str">
        <f>IF(Q939="CONTEXT","Fencing",IF(Q939="REVIEW","",INDEX('Category Rules'!$E$5:$E$17,MATCH(P939,'Category Rules'!$A$5:$A$17,0))))</f>
        <v>Fencing</v>
      </c>
      <c r="T939" t="str">
        <f>IF(Q939="DEP","BAS Excluded","GST on Income")</f>
        <v>GST on Income</v>
      </c>
      <c r="U939">
        <f>IF(O939=T939,1,0)</f>
        <v>1</v>
      </c>
      <c r="V939" s="9">
        <f>IF(OR(M939=0,U939=1),0,IF(T939="GST on Income",ROUND(K939*0.1,2),ROUND(-K939*0.1,2)))</f>
        <v>0</v>
      </c>
    </row>
    <row r="940">
      <c r="A940" t="inlineStr">
        <is>
          <t>INV-5282-1</t>
        </is>
      </c>
      <c r="B940" t="inlineStr">
        <is>
          <t>INV-5282</t>
        </is>
      </c>
      <c r="C940" s="11" t="n">
        <v>45984</v>
      </c>
      <c r="D940" t="inlineStr">
        <is>
          <t>2025-11</t>
        </is>
      </c>
      <c r="E940" t="inlineStr">
        <is>
          <t>C0034</t>
        </is>
      </c>
      <c r="F940" t="inlineStr">
        <is>
          <t>C0034</t>
        </is>
      </c>
      <c r="G940" t="inlineStr">
        <is>
          <t>Norfolk Constructions Pty Ltd</t>
        </is>
      </c>
      <c r="H940" t="inlineStr">
        <is>
          <t>S0255</t>
        </is>
      </c>
      <c r="I940" t="inlineStr">
        <is>
          <t>Scaffold erect - 3 tower(s)</t>
        </is>
      </c>
      <c r="J940" t="n">
        <v>3</v>
      </c>
      <c r="K940" s="9" t="n">
        <v>1260</v>
      </c>
      <c r="L940" t="inlineStr">
        <is>
          <t>PAID</t>
        </is>
      </c>
      <c r="M940">
        <f>IF(L940="VOIDED",0,1)</f>
        <v>1</v>
      </c>
      <c r="N940" t="n">
        <v>200</v>
      </c>
      <c r="O940" t="inlineStr">
        <is>
          <t>GST on Income</t>
        </is>
      </c>
      <c r="P940" t="inlineStr">
        <is>
          <t>R08</t>
        </is>
      </c>
      <c r="Q940" t="inlineStr">
        <is>
          <t>LAB-ST</t>
        </is>
      </c>
      <c r="R940">
        <f>IF(OR(Q940="CONTEXT",Q940="REVIEW"),"",INDEX('Category Rules'!$D$5:$D$17,MATCH(P940,'Category Rules'!$A$5:$A$17,0)))</f>
        <v>4020</v>
      </c>
      <c r="S940" t="str">
        <f>IF(Q940="CONTEXT","Scaffolding",IF(Q940="REVIEW","",INDEX('Category Rules'!$E$5:$E$17,MATCH(P940,'Category Rules'!$A$5:$A$17,0))))</f>
        <v>Scaffolding</v>
      </c>
      <c r="T940" t="str">
        <f>IF(Q940="DEP","BAS Excluded","GST on Income")</f>
        <v>GST on Income</v>
      </c>
      <c r="U940">
        <f>IF(O940=T940,1,0)</f>
        <v>1</v>
      </c>
      <c r="V940" s="9">
        <f>IF(OR(M940=0,U940=1),0,IF(T940="GST on Income",ROUND(K940*0.1,2),ROUND(-K940*0.1,2)))</f>
        <v>0</v>
      </c>
    </row>
    <row r="941">
      <c r="A941" t="inlineStr">
        <is>
          <t>INV-5512-1</t>
        </is>
      </c>
      <c r="B941" t="inlineStr">
        <is>
          <t>INV-5512</t>
        </is>
      </c>
      <c r="C941" s="11" t="n">
        <v>45984</v>
      </c>
      <c r="D941" t="inlineStr">
        <is>
          <t>2025-11</t>
        </is>
      </c>
      <c r="E941" t="inlineStr">
        <is>
          <t>C0147</t>
        </is>
      </c>
      <c r="F941" t="inlineStr">
        <is>
          <t>C0067</t>
        </is>
      </c>
      <c r="G941" t="inlineStr">
        <is>
          <t>Banksia Claims Services Pty Ltd</t>
        </is>
      </c>
      <c r="H941" t="inlineStr">
        <is>
          <t>S0332</t>
        </is>
      </c>
      <c r="I941" t="inlineStr">
        <is>
          <t>Emergency make safe call-out - after hours</t>
        </is>
      </c>
      <c r="J941" t="n">
        <v>1</v>
      </c>
      <c r="K941" s="9" t="n">
        <v>560</v>
      </c>
      <c r="L941" t="inlineStr">
        <is>
          <t>PAID</t>
        </is>
      </c>
      <c r="M941">
        <f>IF(L941="VOIDED",0,1)</f>
        <v>1</v>
      </c>
      <c r="N941" t="n">
        <v>200</v>
      </c>
      <c r="O941" t="inlineStr">
        <is>
          <t>BAS Excluded</t>
        </is>
      </c>
      <c r="P941" t="inlineStr">
        <is>
          <t>R09</t>
        </is>
      </c>
      <c r="Q941" t="inlineStr">
        <is>
          <t>MS</t>
        </is>
      </c>
      <c r="R941">
        <f>IF(OR(Q941="CONTEXT",Q941="REVIEW"),"",INDEX('Category Rules'!$D$5:$D$17,MATCH(P941,'Category Rules'!$A$5:$A$17,0)))</f>
        <v>4020</v>
      </c>
      <c r="S941" t="str">
        <f>IF(Q941="CONTEXT","Make-safe",IF(Q941="REVIEW","",INDEX('Category Rules'!$E$5:$E$17,MATCH(P941,'Category Rules'!$A$5:$A$17,0))))</f>
        <v>Make-safe</v>
      </c>
      <c r="T941" t="str">
        <f>IF(Q941="DEP","BAS Excluded","GST on Income")</f>
        <v>GST on Income</v>
      </c>
      <c r="U941">
        <f>IF(O941=T941,1,0)</f>
        <v>0</v>
      </c>
      <c r="V941" s="9">
        <f>IF(OR(M941=0,U941=1),0,IF(T941="GST on Income",ROUND(K941*0.1,2),ROUND(-K941*0.1,2)))</f>
        <v>56</v>
      </c>
    </row>
    <row r="942">
      <c r="A942" t="inlineStr">
        <is>
          <t>INV-5512-2</t>
        </is>
      </c>
      <c r="B942" t="inlineStr">
        <is>
          <t>INV-5512</t>
        </is>
      </c>
      <c r="C942" s="11" t="n">
        <v>45984</v>
      </c>
      <c r="D942" t="inlineStr">
        <is>
          <t>2025-11</t>
        </is>
      </c>
      <c r="E942" t="inlineStr">
        <is>
          <t>C0147</t>
        </is>
      </c>
      <c r="F942" t="inlineStr">
        <is>
          <t>C0067</t>
        </is>
      </c>
      <c r="G942" t="inlineStr">
        <is>
          <t>Banksia Claims Services Pty Ltd</t>
        </is>
      </c>
      <c r="H942" t="inlineStr">
        <is>
          <t>S0332</t>
        </is>
      </c>
      <c r="I942" t="inlineStr">
        <is>
          <t>Tarp supply and install - 3 tarp(s)</t>
        </is>
      </c>
      <c r="J942" t="n">
        <v>3</v>
      </c>
      <c r="K942" s="9" t="n">
        <v>720</v>
      </c>
      <c r="L942" t="inlineStr">
        <is>
          <t>PAID</t>
        </is>
      </c>
      <c r="M942">
        <f>IF(L942="VOIDED",0,1)</f>
        <v>1</v>
      </c>
      <c r="N942" t="n">
        <v>200</v>
      </c>
      <c r="O942" t="inlineStr">
        <is>
          <t>GST on Income</t>
        </is>
      </c>
      <c r="P942" t="inlineStr">
        <is>
          <t>R09</t>
        </is>
      </c>
      <c r="Q942" t="inlineStr">
        <is>
          <t>MS</t>
        </is>
      </c>
      <c r="R942">
        <f>IF(OR(Q942="CONTEXT",Q942="REVIEW"),"",INDEX('Category Rules'!$D$5:$D$17,MATCH(P942,'Category Rules'!$A$5:$A$17,0)))</f>
        <v>4020</v>
      </c>
      <c r="S942" t="str">
        <f>IF(Q942="CONTEXT","Make-safe",IF(Q942="REVIEW","",INDEX('Category Rules'!$E$5:$E$17,MATCH(P942,'Category Rules'!$A$5:$A$17,0))))</f>
        <v>Make-safe</v>
      </c>
      <c r="T942" t="str">
        <f>IF(Q942="DEP","BAS Excluded","GST on Income")</f>
        <v>GST on Income</v>
      </c>
      <c r="U942">
        <f>IF(O942=T942,1,0)</f>
        <v>1</v>
      </c>
      <c r="V942" s="9">
        <f>IF(OR(M942=0,U942=1),0,IF(T942="GST on Income",ROUND(K942*0.1,2),ROUND(-K942*0.1,2)))</f>
        <v>0</v>
      </c>
    </row>
    <row r="943">
      <c r="A943" t="inlineStr">
        <is>
          <t>INV-5758-1</t>
        </is>
      </c>
      <c r="B943" t="inlineStr">
        <is>
          <t>INV-5758</t>
        </is>
      </c>
      <c r="C943" s="11" t="n">
        <v>45984</v>
      </c>
      <c r="D943" t="inlineStr">
        <is>
          <t>2025-11</t>
        </is>
      </c>
      <c r="E943" t="inlineStr">
        <is>
          <t>C0061</t>
        </is>
      </c>
      <c r="F943" t="inlineStr">
        <is>
          <t>C0061</t>
        </is>
      </c>
      <c r="G943" t="inlineStr">
        <is>
          <t>Southbank Claims Services Pty Ltd</t>
        </is>
      </c>
      <c r="H943" t="inlineStr">
        <is>
          <t>S0466</t>
        </is>
      </c>
      <c r="I943" t="inlineStr">
        <is>
          <t>Emergency make safe call-out - after hours</t>
        </is>
      </c>
      <c r="J943" t="n">
        <v>1</v>
      </c>
      <c r="K943" s="9" t="n">
        <v>560</v>
      </c>
      <c r="L943" t="inlineStr">
        <is>
          <t>PAID</t>
        </is>
      </c>
      <c r="M943">
        <f>IF(L943="VOIDED",0,1)</f>
        <v>1</v>
      </c>
      <c r="N943" t="n">
        <v>260</v>
      </c>
      <c r="O943" t="inlineStr">
        <is>
          <t>GST on Income</t>
        </is>
      </c>
      <c r="P943" t="inlineStr">
        <is>
          <t>R09</t>
        </is>
      </c>
      <c r="Q943" t="inlineStr">
        <is>
          <t>MS</t>
        </is>
      </c>
      <c r="R943">
        <f>IF(OR(Q943="CONTEXT",Q943="REVIEW"),"",INDEX('Category Rules'!$D$5:$D$17,MATCH(P943,'Category Rules'!$A$5:$A$17,0)))</f>
        <v>4020</v>
      </c>
      <c r="S943" t="str">
        <f>IF(Q943="CONTEXT","Make-safe",IF(Q943="REVIEW","",INDEX('Category Rules'!$E$5:$E$17,MATCH(P943,'Category Rules'!$A$5:$A$17,0))))</f>
        <v>Make-safe</v>
      </c>
      <c r="T943" t="str">
        <f>IF(Q943="DEP","BAS Excluded","GST on Income")</f>
        <v>GST on Income</v>
      </c>
      <c r="U943">
        <f>IF(O943=T943,1,0)</f>
        <v>1</v>
      </c>
      <c r="V943" s="9">
        <f>IF(OR(M943=0,U943=1),0,IF(T943="GST on Income",ROUND(K943*0.1,2),ROUND(-K943*0.1,2)))</f>
        <v>0</v>
      </c>
    </row>
    <row r="944">
      <c r="A944" t="inlineStr">
        <is>
          <t>INV-5839-1</t>
        </is>
      </c>
      <c r="B944" t="inlineStr">
        <is>
          <t>INV-5839</t>
        </is>
      </c>
      <c r="C944" s="11" t="n">
        <v>45984</v>
      </c>
      <c r="D944" t="inlineStr">
        <is>
          <t>2025-11</t>
        </is>
      </c>
      <c r="E944" t="inlineStr">
        <is>
          <t>C0119</t>
        </is>
      </c>
      <c r="F944" t="inlineStr">
        <is>
          <t>C0119</t>
        </is>
      </c>
      <c r="G944" t="inlineStr">
        <is>
          <t>Northgate Builders Pty Ltd</t>
        </is>
      </c>
      <c r="H944" t="inlineStr">
        <is>
          <t>S0513</t>
        </is>
      </c>
      <c r="I944" t="inlineStr">
        <is>
          <t>Roof repair labour - 12 hrs</t>
        </is>
      </c>
      <c r="J944" t="n">
        <v>12</v>
      </c>
      <c r="K944" s="9" t="n">
        <v>1176</v>
      </c>
      <c r="L944" t="inlineStr">
        <is>
          <t>PAID</t>
        </is>
      </c>
      <c r="M944">
        <f>IF(L944="VOIDED",0,1)</f>
        <v>1</v>
      </c>
      <c r="N944" t="n">
        <v>200</v>
      </c>
      <c r="O944" t="inlineStr">
        <is>
          <t>GST on Income</t>
        </is>
      </c>
      <c r="P944" t="inlineStr">
        <is>
          <t>R10</t>
        </is>
      </c>
      <c r="Q944" t="inlineStr">
        <is>
          <t>LAB-RF</t>
        </is>
      </c>
      <c r="R944">
        <f>IF(OR(Q944="CONTEXT",Q944="REVIEW"),"",INDEX('Category Rules'!$D$5:$D$17,MATCH(P944,'Category Rules'!$A$5:$A$17,0)))</f>
        <v>4020</v>
      </c>
      <c r="S944" t="str">
        <f>IF(Q944="CONTEXT","Roofing",IF(Q944="REVIEW","",INDEX('Category Rules'!$E$5:$E$17,MATCH(P944,'Category Rules'!$A$5:$A$17,0))))</f>
        <v>Roofing</v>
      </c>
      <c r="T944" t="str">
        <f>IF(Q944="DEP","BAS Excluded","GST on Income")</f>
        <v>GST on Income</v>
      </c>
      <c r="U944">
        <f>IF(O944=T944,1,0)</f>
        <v>1</v>
      </c>
      <c r="V944" s="9">
        <f>IF(OR(M944=0,U944=1),0,IF(T944="GST on Income",ROUND(K944*0.1,2),ROUND(-K944*0.1,2)))</f>
        <v>0</v>
      </c>
    </row>
    <row r="945">
      <c r="A945" t="inlineStr">
        <is>
          <t>INV-5839-2</t>
        </is>
      </c>
      <c r="B945" t="inlineStr">
        <is>
          <t>INV-5839</t>
        </is>
      </c>
      <c r="C945" s="11" t="n">
        <v>45984</v>
      </c>
      <c r="D945" t="inlineStr">
        <is>
          <t>2025-11</t>
        </is>
      </c>
      <c r="E945" t="inlineStr">
        <is>
          <t>C0119</t>
        </is>
      </c>
      <c r="F945" t="inlineStr">
        <is>
          <t>C0119</t>
        </is>
      </c>
      <c r="G945" t="inlineStr">
        <is>
          <t>Northgate Builders Pty Ltd</t>
        </is>
      </c>
      <c r="H945" t="inlineStr">
        <is>
          <t>S0513</t>
        </is>
      </c>
      <c r="I945" t="inlineStr">
        <is>
          <t>Materials - ridge capping</t>
        </is>
      </c>
      <c r="J945" t="n">
        <v>1</v>
      </c>
      <c r="K945" s="9" t="n">
        <v>337.32</v>
      </c>
      <c r="L945" t="inlineStr">
        <is>
          <t>PAID</t>
        </is>
      </c>
      <c r="M945">
        <f>IF(L945="VOIDED",0,1)</f>
        <v>1</v>
      </c>
      <c r="N945" t="n">
        <v>200</v>
      </c>
      <c r="O945" t="inlineStr">
        <is>
          <t>GST on Income</t>
        </is>
      </c>
      <c r="P945" t="inlineStr">
        <is>
          <t>R11</t>
        </is>
      </c>
      <c r="Q945" t="inlineStr">
        <is>
          <t>MAT-RF</t>
        </is>
      </c>
      <c r="R945">
        <f>IF(OR(Q945="CONTEXT",Q945="REVIEW"),"",INDEX('Category Rules'!$D$5:$D$17,MATCH(P945,'Category Rules'!$A$5:$A$17,0)))</f>
        <v>4030</v>
      </c>
      <c r="S945" t="str">
        <f>IF(Q945="CONTEXT","Roofing",IF(Q945="REVIEW","",INDEX('Category Rules'!$E$5:$E$17,MATCH(P945,'Category Rules'!$A$5:$A$17,0))))</f>
        <v>Roofing</v>
      </c>
      <c r="T945" t="str">
        <f>IF(Q945="DEP","BAS Excluded","GST on Income")</f>
        <v>GST on Income</v>
      </c>
      <c r="U945">
        <f>IF(O945=T945,1,0)</f>
        <v>1</v>
      </c>
      <c r="V945" s="9">
        <f>IF(OR(M945=0,U945=1),0,IF(T945="GST on Income",ROUND(K945*0.1,2),ROUND(-K945*0.1,2)))</f>
        <v>0</v>
      </c>
    </row>
    <row r="946">
      <c r="A946" t="inlineStr">
        <is>
          <t>INV-5839-3</t>
        </is>
      </c>
      <c r="B946" t="inlineStr">
        <is>
          <t>INV-5839</t>
        </is>
      </c>
      <c r="C946" s="11" t="n">
        <v>45984</v>
      </c>
      <c r="D946" t="inlineStr">
        <is>
          <t>2025-11</t>
        </is>
      </c>
      <c r="E946" t="inlineStr">
        <is>
          <t>C0119</t>
        </is>
      </c>
      <c r="F946" t="inlineStr">
        <is>
          <t>C0119</t>
        </is>
      </c>
      <c r="G946" t="inlineStr">
        <is>
          <t>Northgate Builders Pty Ltd</t>
        </is>
      </c>
      <c r="H946" t="inlineStr">
        <is>
          <t>S0513</t>
        </is>
      </c>
      <c r="I946" t="inlineStr">
        <is>
          <t>Waste removal and tip fees</t>
        </is>
      </c>
      <c r="J946" t="n">
        <v>1</v>
      </c>
      <c r="K946" s="9" t="n">
        <v>120</v>
      </c>
      <c r="L946" t="inlineStr">
        <is>
          <t>PAID</t>
        </is>
      </c>
      <c r="M946">
        <f>IF(L946="VOIDED",0,1)</f>
        <v>1</v>
      </c>
      <c r="N946" t="n">
        <v>200</v>
      </c>
      <c r="O946" t="inlineStr">
        <is>
          <t>GST on Income</t>
        </is>
      </c>
      <c r="P946" t="inlineStr">
        <is>
          <t>R11</t>
        </is>
      </c>
      <c r="Q946" t="inlineStr">
        <is>
          <t>MAT-RF</t>
        </is>
      </c>
      <c r="R946">
        <f>IF(OR(Q946="CONTEXT",Q946="REVIEW"),"",INDEX('Category Rules'!$D$5:$D$17,MATCH(P946,'Category Rules'!$A$5:$A$17,0)))</f>
        <v>4030</v>
      </c>
      <c r="S946" t="str">
        <f>IF(Q946="CONTEXT","Roofing",IF(Q946="REVIEW","",INDEX('Category Rules'!$E$5:$E$17,MATCH(P946,'Category Rules'!$A$5:$A$17,0))))</f>
        <v>Roofing</v>
      </c>
      <c r="T946" t="str">
        <f>IF(Q946="DEP","BAS Excluded","GST on Income")</f>
        <v>GST on Income</v>
      </c>
      <c r="U946">
        <f>IF(O946=T946,1,0)</f>
        <v>1</v>
      </c>
      <c r="V946" s="9">
        <f>IF(OR(M946=0,U946=1),0,IF(T946="GST on Income",ROUND(K946*0.1,2),ROUND(-K946*0.1,2)))</f>
        <v>0</v>
      </c>
    </row>
    <row r="947">
      <c r="A947" t="inlineStr">
        <is>
          <t>INV-4952-1</t>
        </is>
      </c>
      <c r="B947" t="inlineStr">
        <is>
          <t>INV-4952</t>
        </is>
      </c>
      <c r="C947" s="11" t="n">
        <v>45985</v>
      </c>
      <c r="D947" t="inlineStr">
        <is>
          <t>2025-11</t>
        </is>
      </c>
      <c r="E947" t="inlineStr">
        <is>
          <t>C0018</t>
        </is>
      </c>
      <c r="F947" t="inlineStr">
        <is>
          <t>C0018</t>
        </is>
      </c>
      <c r="G947" t="inlineStr">
        <is>
          <t>Wattle Constructions Pty Ltd</t>
        </is>
      </c>
      <c r="H947" t="inlineStr">
        <is>
          <t>S0181</t>
        </is>
      </c>
      <c r="I947" t="inlineStr">
        <is>
          <t>Temporary fence hire 4 wks (27/10/25-23/11/25) - 122 panels</t>
        </is>
      </c>
      <c r="J947" t="n">
        <v>488</v>
      </c>
      <c r="K947" s="9" t="n">
        <v>2196</v>
      </c>
      <c r="L947" t="inlineStr">
        <is>
          <t>PAID</t>
        </is>
      </c>
      <c r="M947">
        <f>IF(L947="VOIDED",0,1)</f>
        <v>1</v>
      </c>
      <c r="N947" t="n">
        <v>200</v>
      </c>
      <c r="O947" t="inlineStr">
        <is>
          <t>GST Free Income</t>
        </is>
      </c>
      <c r="P947" t="inlineStr">
        <is>
          <t>R03</t>
        </is>
      </c>
      <c r="Q947" t="inlineStr">
        <is>
          <t>HIRE-FP</t>
        </is>
      </c>
      <c r="R947">
        <f>IF(OR(Q947="CONTEXT",Q947="REVIEW"),"",INDEX('Category Rules'!$D$5:$D$17,MATCH(P947,'Category Rules'!$A$5:$A$17,0)))</f>
        <v>4010</v>
      </c>
      <c r="S947" t="str">
        <f>IF(Q947="CONTEXT","Fencing",IF(Q947="REVIEW","",INDEX('Category Rules'!$E$5:$E$17,MATCH(P947,'Category Rules'!$A$5:$A$17,0))))</f>
        <v>Fencing</v>
      </c>
      <c r="T947" t="str">
        <f>IF(Q947="DEP","BAS Excluded","GST on Income")</f>
        <v>GST on Income</v>
      </c>
      <c r="U947">
        <f>IF(O947=T947,1,0)</f>
        <v>0</v>
      </c>
      <c r="V947" s="9">
        <f>IF(OR(M947=0,U947=1),0,IF(T947="GST on Income",ROUND(K947*0.1,2),ROUND(-K947*0.1,2)))</f>
        <v>219.6</v>
      </c>
    </row>
    <row r="948">
      <c r="A948" t="inlineStr">
        <is>
          <t>INV-4399-1</t>
        </is>
      </c>
      <c r="B948" t="inlineStr">
        <is>
          <t>INV-4399</t>
        </is>
      </c>
      <c r="C948" s="11" t="n">
        <v>45986</v>
      </c>
      <c r="D948" t="inlineStr">
        <is>
          <t>2025-11</t>
        </is>
      </c>
      <c r="E948" t="inlineStr">
        <is>
          <t>C0119</t>
        </is>
      </c>
      <c r="F948" t="inlineStr">
        <is>
          <t>C0119</t>
        </is>
      </c>
      <c r="G948" t="inlineStr">
        <is>
          <t>Northgate Builders Pty Ltd</t>
        </is>
      </c>
      <c r="H948" t="inlineStr">
        <is>
          <t>S0062</t>
        </is>
      </c>
      <c r="I948" t="inlineStr">
        <is>
          <t>Temporary fence hire 4 wks (28/10/25-24/11/25) - 135 panels</t>
        </is>
      </c>
      <c r="J948" t="n">
        <v>540</v>
      </c>
      <c r="K948" s="9" t="n">
        <v>2430</v>
      </c>
      <c r="L948" t="inlineStr">
        <is>
          <t>PAID</t>
        </is>
      </c>
      <c r="M948">
        <f>IF(L948="VOIDED",0,1)</f>
        <v>1</v>
      </c>
      <c r="N948" t="n">
        <v>200</v>
      </c>
      <c r="O948" t="inlineStr">
        <is>
          <t>GST on Income</t>
        </is>
      </c>
      <c r="P948" t="inlineStr">
        <is>
          <t>R03</t>
        </is>
      </c>
      <c r="Q948" t="inlineStr">
        <is>
          <t>HIRE-FP</t>
        </is>
      </c>
      <c r="R948">
        <f>IF(OR(Q948="CONTEXT",Q948="REVIEW"),"",INDEX('Category Rules'!$D$5:$D$17,MATCH(P948,'Category Rules'!$A$5:$A$17,0)))</f>
        <v>4010</v>
      </c>
      <c r="S948" t="str">
        <f>IF(Q948="CONTEXT","Fencing",IF(Q948="REVIEW","",INDEX('Category Rules'!$E$5:$E$17,MATCH(P948,'Category Rules'!$A$5:$A$17,0))))</f>
        <v>Fencing</v>
      </c>
      <c r="T948" t="str">
        <f>IF(Q948="DEP","BAS Excluded","GST on Income")</f>
        <v>GST on Income</v>
      </c>
      <c r="U948">
        <f>IF(O948=T948,1,0)</f>
        <v>1</v>
      </c>
      <c r="V948" s="9">
        <f>IF(OR(M948=0,U948=1),0,IF(T948="GST on Income",ROUND(K948*0.1,2),ROUND(-K948*0.1,2)))</f>
        <v>0</v>
      </c>
    </row>
    <row r="949">
      <c r="A949" t="inlineStr">
        <is>
          <t>INV-4408-1</t>
        </is>
      </c>
      <c r="B949" t="inlineStr">
        <is>
          <t>INV-4408</t>
        </is>
      </c>
      <c r="C949" s="11" t="n">
        <v>45986</v>
      </c>
      <c r="D949" t="inlineStr">
        <is>
          <t>2025-11</t>
        </is>
      </c>
      <c r="E949" t="inlineStr">
        <is>
          <t>C0119</t>
        </is>
      </c>
      <c r="F949" t="inlineStr">
        <is>
          <t>C0119</t>
        </is>
      </c>
      <c r="G949" t="inlineStr">
        <is>
          <t>Northgate Builders Pty Ltd</t>
        </is>
      </c>
      <c r="H949" t="inlineStr">
        <is>
          <t>S0062</t>
        </is>
      </c>
      <c r="I949" t="inlineStr">
        <is>
          <t>Pedestrian barrier hire 4 wks (28/10/25-24/11/25) - 19 barriers</t>
        </is>
      </c>
      <c r="J949" t="n">
        <v>76</v>
      </c>
      <c r="K949" s="9" t="n">
        <v>243.2</v>
      </c>
      <c r="L949" t="inlineStr">
        <is>
          <t>PAID</t>
        </is>
      </c>
      <c r="M949">
        <f>IF(L949="VOIDED",0,1)</f>
        <v>1</v>
      </c>
      <c r="N949" t="n">
        <v>200</v>
      </c>
      <c r="O949" t="inlineStr">
        <is>
          <t>GST on Income</t>
        </is>
      </c>
      <c r="P949" t="inlineStr">
        <is>
          <t>R04</t>
        </is>
      </c>
      <c r="Q949" t="inlineStr">
        <is>
          <t>HIRE-BR</t>
        </is>
      </c>
      <c r="R949">
        <f>IF(OR(Q949="CONTEXT",Q949="REVIEW"),"",INDEX('Category Rules'!$D$5:$D$17,MATCH(P949,'Category Rules'!$A$5:$A$17,0)))</f>
        <v>4010</v>
      </c>
      <c r="S949" t="str">
        <f>IF(Q949="CONTEXT","Fencing",IF(Q949="REVIEW","",INDEX('Category Rules'!$E$5:$E$17,MATCH(P949,'Category Rules'!$A$5:$A$17,0))))</f>
        <v>Fencing</v>
      </c>
      <c r="T949" t="str">
        <f>IF(Q949="DEP","BAS Excluded","GST on Income")</f>
        <v>GST on Income</v>
      </c>
      <c r="U949">
        <f>IF(O949=T949,1,0)</f>
        <v>1</v>
      </c>
      <c r="V949" s="9">
        <f>IF(OR(M949=0,U949=1),0,IF(T949="GST on Income",ROUND(K949*0.1,2),ROUND(-K949*0.1,2)))</f>
        <v>0</v>
      </c>
    </row>
    <row r="950">
      <c r="A950" t="inlineStr">
        <is>
          <t>INV-4776-1</t>
        </is>
      </c>
      <c r="B950" t="inlineStr">
        <is>
          <t>INV-4776</t>
        </is>
      </c>
      <c r="C950" s="11" t="n">
        <v>45986</v>
      </c>
      <c r="D950" t="inlineStr">
        <is>
          <t>2025-11</t>
        </is>
      </c>
      <c r="E950" t="inlineStr">
        <is>
          <t>C0017</t>
        </is>
      </c>
      <c r="F950" t="inlineStr">
        <is>
          <t>C0017</t>
        </is>
      </c>
      <c r="G950" t="inlineStr">
        <is>
          <t>Cobalt Developments Pty Ltd</t>
        </is>
      </c>
      <c r="H950" t="inlineStr">
        <is>
          <t>S0144</t>
        </is>
      </c>
      <c r="I950" t="inlineStr">
        <is>
          <t>Temporary fence hire 3 wks (05/11/25-24/11/25) - 83 panels</t>
        </is>
      </c>
      <c r="J950" t="n">
        <v>249</v>
      </c>
      <c r="K950" s="9" t="n">
        <v>1120.5</v>
      </c>
      <c r="L950" t="inlineStr">
        <is>
          <t>PAID</t>
        </is>
      </c>
      <c r="M950">
        <f>IF(L950="VOIDED",0,1)</f>
        <v>1</v>
      </c>
      <c r="N950" t="n">
        <v>200</v>
      </c>
      <c r="O950" t="inlineStr">
        <is>
          <t>GST on Income</t>
        </is>
      </c>
      <c r="P950" t="inlineStr">
        <is>
          <t>R03</t>
        </is>
      </c>
      <c r="Q950" t="inlineStr">
        <is>
          <t>HIRE-FP</t>
        </is>
      </c>
      <c r="R950">
        <f>IF(OR(Q950="CONTEXT",Q950="REVIEW"),"",INDEX('Category Rules'!$D$5:$D$17,MATCH(P950,'Category Rules'!$A$5:$A$17,0)))</f>
        <v>4010</v>
      </c>
      <c r="S950" t="str">
        <f>IF(Q950="CONTEXT","Fencing",IF(Q950="REVIEW","",INDEX('Category Rules'!$E$5:$E$17,MATCH(P950,'Category Rules'!$A$5:$A$17,0))))</f>
        <v>Fencing</v>
      </c>
      <c r="T950" t="str">
        <f>IF(Q950="DEP","BAS Excluded","GST on Income")</f>
        <v>GST on Income</v>
      </c>
      <c r="U950">
        <f>IF(O950=T950,1,0)</f>
        <v>1</v>
      </c>
      <c r="V950" s="9">
        <f>IF(OR(M950=0,U950=1),0,IF(T950="GST on Income",ROUND(K950*0.1,2),ROUND(-K950*0.1,2)))</f>
        <v>0</v>
      </c>
    </row>
    <row r="951">
      <c r="A951" t="inlineStr">
        <is>
          <t>INV-4777-1</t>
        </is>
      </c>
      <c r="B951" t="inlineStr">
        <is>
          <t>INV-4777</t>
        </is>
      </c>
      <c r="C951" s="11" t="n">
        <v>45986</v>
      </c>
      <c r="D951" t="inlineStr">
        <is>
          <t>2025-11</t>
        </is>
      </c>
      <c r="E951" t="inlineStr">
        <is>
          <t>C0017</t>
        </is>
      </c>
      <c r="F951" t="inlineStr">
        <is>
          <t>C0017</t>
        </is>
      </c>
      <c r="G951" t="inlineStr">
        <is>
          <t>Cobalt Developments Pty Ltd</t>
        </is>
      </c>
      <c r="H951" t="inlineStr">
        <is>
          <t>S0144</t>
        </is>
      </c>
      <c r="I951" t="inlineStr">
        <is>
          <t>Pedestrian barrier hire 3 wks (05/11/25-24/11/25) - 16 barriers</t>
        </is>
      </c>
      <c r="J951" t="n">
        <v>48</v>
      </c>
      <c r="K951" s="9" t="n">
        <v>153.6</v>
      </c>
      <c r="L951" t="inlineStr">
        <is>
          <t>PAID</t>
        </is>
      </c>
      <c r="M951">
        <f>IF(L951="VOIDED",0,1)</f>
        <v>1</v>
      </c>
      <c r="N951" t="n">
        <v>200</v>
      </c>
      <c r="O951" t="inlineStr">
        <is>
          <t>GST on Income</t>
        </is>
      </c>
      <c r="P951" t="inlineStr">
        <is>
          <t>R04</t>
        </is>
      </c>
      <c r="Q951" t="inlineStr">
        <is>
          <t>HIRE-BR</t>
        </is>
      </c>
      <c r="R951">
        <f>IF(OR(Q951="CONTEXT",Q951="REVIEW"),"",INDEX('Category Rules'!$D$5:$D$17,MATCH(P951,'Category Rules'!$A$5:$A$17,0)))</f>
        <v>4010</v>
      </c>
      <c r="S951" t="str">
        <f>IF(Q951="CONTEXT","Fencing",IF(Q951="REVIEW","",INDEX('Category Rules'!$E$5:$E$17,MATCH(P951,'Category Rules'!$A$5:$A$17,0))))</f>
        <v>Fencing</v>
      </c>
      <c r="T951" t="str">
        <f>IF(Q951="DEP","BAS Excluded","GST on Income")</f>
        <v>GST on Income</v>
      </c>
      <c r="U951">
        <f>IF(O951=T951,1,0)</f>
        <v>1</v>
      </c>
      <c r="V951" s="9">
        <f>IF(OR(M951=0,U951=1),0,IF(T951="GST on Income",ROUND(K951*0.1,2),ROUND(-K951*0.1,2)))</f>
        <v>0</v>
      </c>
    </row>
    <row r="952">
      <c r="A952" t="inlineStr">
        <is>
          <t>INV-4779-1</t>
        </is>
      </c>
      <c r="B952" t="inlineStr">
        <is>
          <t>INV-4779</t>
        </is>
      </c>
      <c r="C952" s="11" t="n">
        <v>45986</v>
      </c>
      <c r="D952" t="inlineStr">
        <is>
          <t>2025-11</t>
        </is>
      </c>
      <c r="E952" t="inlineStr">
        <is>
          <t>C0017</t>
        </is>
      </c>
      <c r="F952" t="inlineStr">
        <is>
          <t>C0017</t>
        </is>
      </c>
      <c r="G952" t="inlineStr">
        <is>
          <t>Cobalt Developments Pty Ltd</t>
        </is>
      </c>
      <c r="H952" t="inlineStr">
        <is>
          <t>S0144</t>
        </is>
      </c>
      <c r="I952" t="inlineStr">
        <is>
          <t>Collection and dismantle - temporary fencing</t>
        </is>
      </c>
      <c r="J952" t="n">
        <v>1</v>
      </c>
      <c r="K952" s="9" t="n">
        <v>165</v>
      </c>
      <c r="L952" t="inlineStr">
        <is>
          <t>PAID</t>
        </is>
      </c>
      <c r="M952">
        <f>IF(L952="VOIDED",0,1)</f>
        <v>1</v>
      </c>
      <c r="N952" t="n">
        <v>200</v>
      </c>
      <c r="O952" t="inlineStr">
        <is>
          <t>GST on Income</t>
        </is>
      </c>
      <c r="P952" t="inlineStr">
        <is>
          <t>R07</t>
        </is>
      </c>
      <c r="Q952" t="inlineStr">
        <is>
          <t>DEL-FP</t>
        </is>
      </c>
      <c r="R952">
        <f>IF(OR(Q952="CONTEXT",Q952="REVIEW"),"",INDEX('Category Rules'!$D$5:$D$17,MATCH(P952,'Category Rules'!$A$5:$A$17,0)))</f>
        <v>4020</v>
      </c>
      <c r="S952" t="str">
        <f>IF(Q952="CONTEXT","Fencing",IF(Q952="REVIEW","",INDEX('Category Rules'!$E$5:$E$17,MATCH(P952,'Category Rules'!$A$5:$A$17,0))))</f>
        <v>Fencing</v>
      </c>
      <c r="T952" t="str">
        <f>IF(Q952="DEP","BAS Excluded","GST on Income")</f>
        <v>GST on Income</v>
      </c>
      <c r="U952">
        <f>IF(O952=T952,1,0)</f>
        <v>1</v>
      </c>
      <c r="V952" s="9">
        <f>IF(OR(M952=0,U952=1),0,IF(T952="GST on Income",ROUND(K952*0.1,2),ROUND(-K952*0.1,2)))</f>
        <v>0</v>
      </c>
    </row>
    <row r="953">
      <c r="A953" t="inlineStr">
        <is>
          <t>INV-5056-1</t>
        </is>
      </c>
      <c r="B953" t="inlineStr">
        <is>
          <t>INV-5056</t>
        </is>
      </c>
      <c r="C953" s="11" t="n">
        <v>45986</v>
      </c>
      <c r="D953" t="inlineStr">
        <is>
          <t>2025-11</t>
        </is>
      </c>
      <c r="E953" t="inlineStr">
        <is>
          <t>C0025</t>
        </is>
      </c>
      <c r="F953" t="inlineStr">
        <is>
          <t>C0025</t>
        </is>
      </c>
      <c r="G953" t="inlineStr">
        <is>
          <t>Silverleaf Building Group Pty Ltd</t>
        </is>
      </c>
      <c r="H953" t="inlineStr">
        <is>
          <t>S0205</t>
        </is>
      </c>
      <c r="I953" t="inlineStr">
        <is>
          <t>Temporary fence hire 4 wks (28/10/25-24/11/25) - 77 panels</t>
        </is>
      </c>
      <c r="J953" t="n">
        <v>308</v>
      </c>
      <c r="K953" s="9" t="n">
        <v>1386</v>
      </c>
      <c r="L953" t="inlineStr">
        <is>
          <t>PAID</t>
        </is>
      </c>
      <c r="M953">
        <f>IF(L953="VOIDED",0,1)</f>
        <v>1</v>
      </c>
      <c r="N953" t="n">
        <v>200</v>
      </c>
      <c r="O953" t="inlineStr">
        <is>
          <t>GST on Income</t>
        </is>
      </c>
      <c r="P953" t="inlineStr">
        <is>
          <t>R03</t>
        </is>
      </c>
      <c r="Q953" t="inlineStr">
        <is>
          <t>HIRE-FP</t>
        </is>
      </c>
      <c r="R953">
        <f>IF(OR(Q953="CONTEXT",Q953="REVIEW"),"",INDEX('Category Rules'!$D$5:$D$17,MATCH(P953,'Category Rules'!$A$5:$A$17,0)))</f>
        <v>4010</v>
      </c>
      <c r="S953" t="str">
        <f>IF(Q953="CONTEXT","Fencing",IF(Q953="REVIEW","",INDEX('Category Rules'!$E$5:$E$17,MATCH(P953,'Category Rules'!$A$5:$A$17,0))))</f>
        <v>Fencing</v>
      </c>
      <c r="T953" t="str">
        <f>IF(Q953="DEP","BAS Excluded","GST on Income")</f>
        <v>GST on Income</v>
      </c>
      <c r="U953">
        <f>IF(O953=T953,1,0)</f>
        <v>1</v>
      </c>
      <c r="V953" s="9">
        <f>IF(OR(M953=0,U953=1),0,IF(T953="GST on Income",ROUND(K953*0.1,2),ROUND(-K953*0.1,2)))</f>
        <v>0</v>
      </c>
    </row>
    <row r="954">
      <c r="A954" t="inlineStr">
        <is>
          <t>INV-5562-1</t>
        </is>
      </c>
      <c r="B954" t="inlineStr">
        <is>
          <t>INV-5562</t>
        </is>
      </c>
      <c r="C954" s="11" t="n">
        <v>45986</v>
      </c>
      <c r="D954" t="inlineStr">
        <is>
          <t>2025-11</t>
        </is>
      </c>
      <c r="E954" t="inlineStr">
        <is>
          <t>C0105</t>
        </is>
      </c>
      <c r="F954" t="inlineStr">
        <is>
          <t>C0105</t>
        </is>
      </c>
      <c r="G954" t="inlineStr">
        <is>
          <t>Priya Walker</t>
        </is>
      </c>
      <c r="H954" t="inlineStr">
        <is>
          <t>S0358</t>
        </is>
      </c>
      <c r="I954" t="inlineStr">
        <is>
          <t>Roof repair labour - 24 hrs</t>
        </is>
      </c>
      <c r="J954" t="n">
        <v>24</v>
      </c>
      <c r="K954" s="9" t="n">
        <v>2352</v>
      </c>
      <c r="L954" t="inlineStr">
        <is>
          <t>PAID</t>
        </is>
      </c>
      <c r="M954">
        <f>IF(L954="VOIDED",0,1)</f>
        <v>1</v>
      </c>
      <c r="N954" t="n">
        <v>200</v>
      </c>
      <c r="O954" t="inlineStr">
        <is>
          <t>GST on Income</t>
        </is>
      </c>
      <c r="P954" t="inlineStr">
        <is>
          <t>R10</t>
        </is>
      </c>
      <c r="Q954" t="inlineStr">
        <is>
          <t>LAB-RF</t>
        </is>
      </c>
      <c r="R954">
        <f>IF(OR(Q954="CONTEXT",Q954="REVIEW"),"",INDEX('Category Rules'!$D$5:$D$17,MATCH(P954,'Category Rules'!$A$5:$A$17,0)))</f>
        <v>4020</v>
      </c>
      <c r="S954" t="str">
        <f>IF(Q954="CONTEXT","Roofing",IF(Q954="REVIEW","",INDEX('Category Rules'!$E$5:$E$17,MATCH(P954,'Category Rules'!$A$5:$A$17,0))))</f>
        <v>Roofing</v>
      </c>
      <c r="T954" t="str">
        <f>IF(Q954="DEP","BAS Excluded","GST on Income")</f>
        <v>GST on Income</v>
      </c>
      <c r="U954">
        <f>IF(O954=T954,1,0)</f>
        <v>1</v>
      </c>
      <c r="V954" s="9">
        <f>IF(OR(M954=0,U954=1),0,IF(T954="GST on Income",ROUND(K954*0.1,2),ROUND(-K954*0.1,2)))</f>
        <v>0</v>
      </c>
    </row>
    <row r="955">
      <c r="A955" t="inlineStr">
        <is>
          <t>INV-5562-2</t>
        </is>
      </c>
      <c r="B955" t="inlineStr">
        <is>
          <t>INV-5562</t>
        </is>
      </c>
      <c r="C955" s="11" t="n">
        <v>45986</v>
      </c>
      <c r="D955" t="inlineStr">
        <is>
          <t>2025-11</t>
        </is>
      </c>
      <c r="E955" t="inlineStr">
        <is>
          <t>C0105</t>
        </is>
      </c>
      <c r="F955" t="inlineStr">
        <is>
          <t>C0105</t>
        </is>
      </c>
      <c r="G955" t="inlineStr">
        <is>
          <t>Priya Walker</t>
        </is>
      </c>
      <c r="H955" t="inlineStr">
        <is>
          <t>S0358</t>
        </is>
      </c>
      <c r="I955" t="inlineStr">
        <is>
          <t>Materials - Colorbond sheet</t>
        </is>
      </c>
      <c r="J955" t="n">
        <v>1</v>
      </c>
      <c r="K955" s="9" t="n">
        <v>1206.96</v>
      </c>
      <c r="L955" t="inlineStr">
        <is>
          <t>PAID</t>
        </is>
      </c>
      <c r="M955">
        <f>IF(L955="VOIDED",0,1)</f>
        <v>1</v>
      </c>
      <c r="N955" t="n">
        <v>200</v>
      </c>
      <c r="O955" t="inlineStr">
        <is>
          <t>GST on Income</t>
        </is>
      </c>
      <c r="P955" t="inlineStr">
        <is>
          <t>R11</t>
        </is>
      </c>
      <c r="Q955" t="inlineStr">
        <is>
          <t>MAT-RF</t>
        </is>
      </c>
      <c r="R955">
        <f>IF(OR(Q955="CONTEXT",Q955="REVIEW"),"",INDEX('Category Rules'!$D$5:$D$17,MATCH(P955,'Category Rules'!$A$5:$A$17,0)))</f>
        <v>4030</v>
      </c>
      <c r="S955" t="str">
        <f>IF(Q955="CONTEXT","Roofing",IF(Q955="REVIEW","",INDEX('Category Rules'!$E$5:$E$17,MATCH(P955,'Category Rules'!$A$5:$A$17,0))))</f>
        <v>Roofing</v>
      </c>
      <c r="T955" t="str">
        <f>IF(Q955="DEP","BAS Excluded","GST on Income")</f>
        <v>GST on Income</v>
      </c>
      <c r="U955">
        <f>IF(O955=T955,1,0)</f>
        <v>1</v>
      </c>
      <c r="V955" s="9">
        <f>IF(OR(M955=0,U955=1),0,IF(T955="GST on Income",ROUND(K955*0.1,2),ROUND(-K955*0.1,2)))</f>
        <v>0</v>
      </c>
    </row>
    <row r="956">
      <c r="A956" t="inlineStr">
        <is>
          <t>INV-5562-3</t>
        </is>
      </c>
      <c r="B956" t="inlineStr">
        <is>
          <t>INV-5562</t>
        </is>
      </c>
      <c r="C956" s="11" t="n">
        <v>45986</v>
      </c>
      <c r="D956" t="inlineStr">
        <is>
          <t>2025-11</t>
        </is>
      </c>
      <c r="E956" t="inlineStr">
        <is>
          <t>C0105</t>
        </is>
      </c>
      <c r="F956" t="inlineStr">
        <is>
          <t>C0105</t>
        </is>
      </c>
      <c r="G956" t="inlineStr">
        <is>
          <t>Priya Walker</t>
        </is>
      </c>
      <c r="H956" t="inlineStr">
        <is>
          <t>S0358</t>
        </is>
      </c>
      <c r="I956" t="inlineStr">
        <is>
          <t>Materials - roof tiles (matched)</t>
        </is>
      </c>
      <c r="J956" t="n">
        <v>1</v>
      </c>
      <c r="K956" s="9" t="n">
        <v>701.88</v>
      </c>
      <c r="L956" t="inlineStr">
        <is>
          <t>PAID</t>
        </is>
      </c>
      <c r="M956">
        <f>IF(L956="VOIDED",0,1)</f>
        <v>1</v>
      </c>
      <c r="N956" t="n">
        <v>200</v>
      </c>
      <c r="O956" t="inlineStr">
        <is>
          <t>GST on Income</t>
        </is>
      </c>
      <c r="P956" t="inlineStr">
        <is>
          <t>R11</t>
        </is>
      </c>
      <c r="Q956" t="inlineStr">
        <is>
          <t>MAT-RF</t>
        </is>
      </c>
      <c r="R956">
        <f>IF(OR(Q956="CONTEXT",Q956="REVIEW"),"",INDEX('Category Rules'!$D$5:$D$17,MATCH(P956,'Category Rules'!$A$5:$A$17,0)))</f>
        <v>4030</v>
      </c>
      <c r="S956" t="str">
        <f>IF(Q956="CONTEXT","Roofing",IF(Q956="REVIEW","",INDEX('Category Rules'!$E$5:$E$17,MATCH(P956,'Category Rules'!$A$5:$A$17,0))))</f>
        <v>Roofing</v>
      </c>
      <c r="T956" t="str">
        <f>IF(Q956="DEP","BAS Excluded","GST on Income")</f>
        <v>GST on Income</v>
      </c>
      <c r="U956">
        <f>IF(O956=T956,1,0)</f>
        <v>1</v>
      </c>
      <c r="V956" s="9">
        <f>IF(OR(M956=0,U956=1),0,IF(T956="GST on Income",ROUND(K956*0.1,2),ROUND(-K956*0.1,2)))</f>
        <v>0</v>
      </c>
    </row>
    <row r="957">
      <c r="A957" t="inlineStr">
        <is>
          <t>INV-5562-4</t>
        </is>
      </c>
      <c r="B957" t="inlineStr">
        <is>
          <t>INV-5562</t>
        </is>
      </c>
      <c r="C957" s="11" t="n">
        <v>45986</v>
      </c>
      <c r="D957" t="inlineStr">
        <is>
          <t>2025-11</t>
        </is>
      </c>
      <c r="E957" t="inlineStr">
        <is>
          <t>C0105</t>
        </is>
      </c>
      <c r="F957" t="inlineStr">
        <is>
          <t>C0105</t>
        </is>
      </c>
      <c r="G957" t="inlineStr">
        <is>
          <t>Priya Walker</t>
        </is>
      </c>
      <c r="H957" t="inlineStr">
        <is>
          <t>S0358</t>
        </is>
      </c>
      <c r="I957" t="inlineStr">
        <is>
          <t>Materials - flashing</t>
        </is>
      </c>
      <c r="J957" t="n">
        <v>1</v>
      </c>
      <c r="K957" s="9" t="n">
        <v>144.47</v>
      </c>
      <c r="L957" t="inlineStr">
        <is>
          <t>PAID</t>
        </is>
      </c>
      <c r="M957">
        <f>IF(L957="VOIDED",0,1)</f>
        <v>1</v>
      </c>
      <c r="N957" t="n">
        <v>200</v>
      </c>
      <c r="O957" t="inlineStr">
        <is>
          <t>GST on Income</t>
        </is>
      </c>
      <c r="P957" t="inlineStr">
        <is>
          <t>R11</t>
        </is>
      </c>
      <c r="Q957" t="inlineStr">
        <is>
          <t>MAT-RF</t>
        </is>
      </c>
      <c r="R957">
        <f>IF(OR(Q957="CONTEXT",Q957="REVIEW"),"",INDEX('Category Rules'!$D$5:$D$17,MATCH(P957,'Category Rules'!$A$5:$A$17,0)))</f>
        <v>4030</v>
      </c>
      <c r="S957" t="str">
        <f>IF(Q957="CONTEXT","Roofing",IF(Q957="REVIEW","",INDEX('Category Rules'!$E$5:$E$17,MATCH(P957,'Category Rules'!$A$5:$A$17,0))))</f>
        <v>Roofing</v>
      </c>
      <c r="T957" t="str">
        <f>IF(Q957="DEP","BAS Excluded","GST on Income")</f>
        <v>GST on Income</v>
      </c>
      <c r="U957">
        <f>IF(O957=T957,1,0)</f>
        <v>1</v>
      </c>
      <c r="V957" s="9">
        <f>IF(OR(M957=0,U957=1),0,IF(T957="GST on Income",ROUND(K957*0.1,2),ROUND(-K957*0.1,2)))</f>
        <v>0</v>
      </c>
    </row>
    <row r="958">
      <c r="A958" t="inlineStr">
        <is>
          <t>INV-4239-1</t>
        </is>
      </c>
      <c r="B958" t="inlineStr">
        <is>
          <t>INV-4239</t>
        </is>
      </c>
      <c r="C958" s="11" t="n">
        <v>45987</v>
      </c>
      <c r="D958" t="inlineStr">
        <is>
          <t>2025-11</t>
        </is>
      </c>
      <c r="E958" t="inlineStr">
        <is>
          <t>C0074</t>
        </is>
      </c>
      <c r="F958" t="inlineStr">
        <is>
          <t>C0074</t>
        </is>
      </c>
      <c r="G958" t="inlineStr">
        <is>
          <t>Ironbark Events Pty Ltd</t>
        </is>
      </c>
      <c r="H958" t="inlineStr">
        <is>
          <t>S0026</t>
        </is>
      </c>
      <c r="I958" t="inlineStr">
        <is>
          <t>Delivery and installation - temporary fencing</t>
        </is>
      </c>
      <c r="J958" t="n">
        <v>1</v>
      </c>
      <c r="K958" s="9" t="n">
        <v>165</v>
      </c>
      <c r="L958" t="inlineStr">
        <is>
          <t>PAID</t>
        </is>
      </c>
      <c r="M958">
        <f>IF(L958="VOIDED",0,1)</f>
        <v>1</v>
      </c>
      <c r="N958" t="n">
        <v>200</v>
      </c>
      <c r="O958" t="inlineStr">
        <is>
          <t>GST on Income</t>
        </is>
      </c>
      <c r="P958" t="inlineStr">
        <is>
          <t>R07</t>
        </is>
      </c>
      <c r="Q958" t="inlineStr">
        <is>
          <t>DEL-FP</t>
        </is>
      </c>
      <c r="R958">
        <f>IF(OR(Q958="CONTEXT",Q958="REVIEW"),"",INDEX('Category Rules'!$D$5:$D$17,MATCH(P958,'Category Rules'!$A$5:$A$17,0)))</f>
        <v>4020</v>
      </c>
      <c r="S958" t="str">
        <f>IF(Q958="CONTEXT","Fencing",IF(Q958="REVIEW","",INDEX('Category Rules'!$E$5:$E$17,MATCH(P958,'Category Rules'!$A$5:$A$17,0))))</f>
        <v>Fencing</v>
      </c>
      <c r="T958" t="str">
        <f>IF(Q958="DEP","BAS Excluded","GST on Income")</f>
        <v>GST on Income</v>
      </c>
      <c r="U958">
        <f>IF(O958=T958,1,0)</f>
        <v>1</v>
      </c>
      <c r="V958" s="9">
        <f>IF(OR(M958=0,U958=1),0,IF(T958="GST on Income",ROUND(K958*0.1,2),ROUND(-K958*0.1,2)))</f>
        <v>0</v>
      </c>
    </row>
    <row r="959">
      <c r="A959" t="inlineStr">
        <is>
          <t>INV-4239-2</t>
        </is>
      </c>
      <c r="B959" t="inlineStr">
        <is>
          <t>INV-4239</t>
        </is>
      </c>
      <c r="C959" s="11" t="n">
        <v>45987</v>
      </c>
      <c r="D959" t="inlineStr">
        <is>
          <t>2025-11</t>
        </is>
      </c>
      <c r="E959" t="inlineStr">
        <is>
          <t>C0074</t>
        </is>
      </c>
      <c r="F959" t="inlineStr">
        <is>
          <t>C0074</t>
        </is>
      </c>
      <c r="G959" t="inlineStr">
        <is>
          <t>Ironbark Events Pty Ltd</t>
        </is>
      </c>
      <c r="H959" t="inlineStr">
        <is>
          <t>S0026</t>
        </is>
      </c>
      <c r="I959" t="inlineStr">
        <is>
          <t>Installation labour - 87 panels @ 2.20</t>
        </is>
      </c>
      <c r="J959" t="n">
        <v>87</v>
      </c>
      <c r="K959" s="9" t="n">
        <v>191.4</v>
      </c>
      <c r="L959" t="inlineStr">
        <is>
          <t>PAID</t>
        </is>
      </c>
      <c r="M959">
        <f>IF(L959="VOIDED",0,1)</f>
        <v>1</v>
      </c>
      <c r="N959" t="n">
        <v>200</v>
      </c>
      <c r="O959" t="inlineStr">
        <is>
          <t>GST on Income</t>
        </is>
      </c>
      <c r="P959" t="inlineStr">
        <is>
          <t>R07</t>
        </is>
      </c>
      <c r="Q959" t="inlineStr">
        <is>
          <t>DEL-FP</t>
        </is>
      </c>
      <c r="R959">
        <f>IF(OR(Q959="CONTEXT",Q959="REVIEW"),"",INDEX('Category Rules'!$D$5:$D$17,MATCH(P959,'Category Rules'!$A$5:$A$17,0)))</f>
        <v>4020</v>
      </c>
      <c r="S959" t="str">
        <f>IF(Q959="CONTEXT","Fencing",IF(Q959="REVIEW","",INDEX('Category Rules'!$E$5:$E$17,MATCH(P959,'Category Rules'!$A$5:$A$17,0))))</f>
        <v>Fencing</v>
      </c>
      <c r="T959" t="str">
        <f>IF(Q959="DEP","BAS Excluded","GST on Income")</f>
        <v>GST on Income</v>
      </c>
      <c r="U959">
        <f>IF(O959=T959,1,0)</f>
        <v>1</v>
      </c>
      <c r="V959" s="9">
        <f>IF(OR(M959=0,U959=1),0,IF(T959="GST on Income",ROUND(K959*0.1,2),ROUND(-K959*0.1,2)))</f>
        <v>0</v>
      </c>
    </row>
    <row r="960">
      <c r="A960" t="inlineStr">
        <is>
          <t>INV-4239-3</t>
        </is>
      </c>
      <c r="B960" t="inlineStr">
        <is>
          <t>INV-4239</t>
        </is>
      </c>
      <c r="C960" s="11" t="n">
        <v>45987</v>
      </c>
      <c r="D960" t="inlineStr">
        <is>
          <t>2025-11</t>
        </is>
      </c>
      <c r="E960" t="inlineStr">
        <is>
          <t>C0074</t>
        </is>
      </c>
      <c r="F960" t="inlineStr">
        <is>
          <t>C0074</t>
        </is>
      </c>
      <c r="G960" t="inlineStr">
        <is>
          <t>Ironbark Events Pty Ltd</t>
        </is>
      </c>
      <c r="H960" t="inlineStr">
        <is>
          <t>S0026</t>
        </is>
      </c>
      <c r="I960" t="inlineStr">
        <is>
          <t>Security deposit - fence panels (refundable)</t>
        </is>
      </c>
      <c r="J960" t="n">
        <v>1</v>
      </c>
      <c r="K960" s="9" t="n">
        <v>700</v>
      </c>
      <c r="L960" t="inlineStr">
        <is>
          <t>PAID</t>
        </is>
      </c>
      <c r="M960">
        <f>IF(L960="VOIDED",0,1)</f>
        <v>1</v>
      </c>
      <c r="N960" t="n">
        <v>200</v>
      </c>
      <c r="O960" t="inlineStr">
        <is>
          <t>BAS Excluded</t>
        </is>
      </c>
      <c r="P960" t="inlineStr">
        <is>
          <t>R01</t>
        </is>
      </c>
      <c r="Q960" t="inlineStr">
        <is>
          <t>DEP</t>
        </is>
      </c>
      <c r="R960">
        <f>IF(OR(Q960="CONTEXT",Q960="REVIEW"),"",INDEX('Category Rules'!$D$5:$D$17,MATCH(P960,'Category Rules'!$A$5:$A$17,0)))</f>
        <v>835</v>
      </c>
      <c r="S960" t="str">
        <f>IF(Q960="CONTEXT","Fencing",IF(Q960="REVIEW","",INDEX('Category Rules'!$E$5:$E$17,MATCH(P960,'Category Rules'!$A$5:$A$17,0))))</f>
        <v>Fencing</v>
      </c>
      <c r="T960" t="str">
        <f>IF(Q960="DEP","BAS Excluded","GST on Income")</f>
        <v>BAS Excluded</v>
      </c>
      <c r="U960">
        <f>IF(O960=T960,1,0)</f>
        <v>1</v>
      </c>
      <c r="V960" s="9">
        <f>IF(OR(M960=0,U960=1),0,IF(T960="GST on Income",ROUND(K960*0.1,2),ROUND(-K960*0.1,2)))</f>
        <v>0</v>
      </c>
    </row>
    <row r="961">
      <c r="A961" t="inlineStr">
        <is>
          <t>INV-4266-1</t>
        </is>
      </c>
      <c r="B961" t="inlineStr">
        <is>
          <t>INV-4266</t>
        </is>
      </c>
      <c r="C961" s="11" t="n">
        <v>45987</v>
      </c>
      <c r="D961" t="inlineStr">
        <is>
          <t>2025-11</t>
        </is>
      </c>
      <c r="E961" t="inlineStr">
        <is>
          <t>C0024</t>
        </is>
      </c>
      <c r="F961" t="inlineStr">
        <is>
          <t>C0024</t>
        </is>
      </c>
      <c r="G961" t="inlineStr">
        <is>
          <t>Parkview Homes Pty Ltd</t>
        </is>
      </c>
      <c r="H961" t="inlineStr">
        <is>
          <t>S0034</t>
        </is>
      </c>
      <c r="I961" t="inlineStr">
        <is>
          <t>Delivery and installation - temporary fencing</t>
        </is>
      </c>
      <c r="J961" t="n">
        <v>1</v>
      </c>
      <c r="K961" s="9" t="n">
        <v>165</v>
      </c>
      <c r="L961" t="inlineStr">
        <is>
          <t>PAID</t>
        </is>
      </c>
      <c r="M961">
        <f>IF(L961="VOIDED",0,1)</f>
        <v>1</v>
      </c>
      <c r="N961" t="n">
        <v>200</v>
      </c>
      <c r="O961" t="inlineStr">
        <is>
          <t>GST on Income</t>
        </is>
      </c>
      <c r="P961" t="inlineStr">
        <is>
          <t>R07</t>
        </is>
      </c>
      <c r="Q961" t="inlineStr">
        <is>
          <t>DEL-FP</t>
        </is>
      </c>
      <c r="R961">
        <f>IF(OR(Q961="CONTEXT",Q961="REVIEW"),"",INDEX('Category Rules'!$D$5:$D$17,MATCH(P961,'Category Rules'!$A$5:$A$17,0)))</f>
        <v>4020</v>
      </c>
      <c r="S961" t="str">
        <f>IF(Q961="CONTEXT","Fencing",IF(Q961="REVIEW","",INDEX('Category Rules'!$E$5:$E$17,MATCH(P961,'Category Rules'!$A$5:$A$17,0))))</f>
        <v>Fencing</v>
      </c>
      <c r="T961" t="str">
        <f>IF(Q961="DEP","BAS Excluded","GST on Income")</f>
        <v>GST on Income</v>
      </c>
      <c r="U961">
        <f>IF(O961=T961,1,0)</f>
        <v>1</v>
      </c>
      <c r="V961" s="9">
        <f>IF(OR(M961=0,U961=1),0,IF(T961="GST on Income",ROUND(K961*0.1,2),ROUND(-K961*0.1,2)))</f>
        <v>0</v>
      </c>
    </row>
    <row r="962">
      <c r="A962" t="inlineStr">
        <is>
          <t>INV-4266-2</t>
        </is>
      </c>
      <c r="B962" t="inlineStr">
        <is>
          <t>INV-4266</t>
        </is>
      </c>
      <c r="C962" s="11" t="n">
        <v>45987</v>
      </c>
      <c r="D962" t="inlineStr">
        <is>
          <t>2025-11</t>
        </is>
      </c>
      <c r="E962" t="inlineStr">
        <is>
          <t>C0024</t>
        </is>
      </c>
      <c r="F962" t="inlineStr">
        <is>
          <t>C0024</t>
        </is>
      </c>
      <c r="G962" t="inlineStr">
        <is>
          <t>Parkview Homes Pty Ltd</t>
        </is>
      </c>
      <c r="H962" t="inlineStr">
        <is>
          <t>S0034</t>
        </is>
      </c>
      <c r="I962" t="inlineStr">
        <is>
          <t>Installation labour - 28 panels @ 2.20</t>
        </is>
      </c>
      <c r="J962" t="n">
        <v>28</v>
      </c>
      <c r="K962" s="9" t="n">
        <v>61.6</v>
      </c>
      <c r="L962" t="inlineStr">
        <is>
          <t>PAID</t>
        </is>
      </c>
      <c r="M962">
        <f>IF(L962="VOIDED",0,1)</f>
        <v>1</v>
      </c>
      <c r="N962" t="n">
        <v>200</v>
      </c>
      <c r="O962" t="inlineStr">
        <is>
          <t>GST on Income</t>
        </is>
      </c>
      <c r="P962" t="inlineStr">
        <is>
          <t>R07</t>
        </is>
      </c>
      <c r="Q962" t="inlineStr">
        <is>
          <t>DEL-FP</t>
        </is>
      </c>
      <c r="R962">
        <f>IF(OR(Q962="CONTEXT",Q962="REVIEW"),"",INDEX('Category Rules'!$D$5:$D$17,MATCH(P962,'Category Rules'!$A$5:$A$17,0)))</f>
        <v>4020</v>
      </c>
      <c r="S962" t="str">
        <f>IF(Q962="CONTEXT","Fencing",IF(Q962="REVIEW","",INDEX('Category Rules'!$E$5:$E$17,MATCH(P962,'Category Rules'!$A$5:$A$17,0))))</f>
        <v>Fencing</v>
      </c>
      <c r="T962" t="str">
        <f>IF(Q962="DEP","BAS Excluded","GST on Income")</f>
        <v>GST on Income</v>
      </c>
      <c r="U962">
        <f>IF(O962=T962,1,0)</f>
        <v>1</v>
      </c>
      <c r="V962" s="9">
        <f>IF(OR(M962=0,U962=1),0,IF(T962="GST on Income",ROUND(K962*0.1,2),ROUND(-K962*0.1,2)))</f>
        <v>0</v>
      </c>
    </row>
    <row r="963">
      <c r="A963" t="inlineStr">
        <is>
          <t>INV-4931-1</t>
        </is>
      </c>
      <c r="B963" t="inlineStr">
        <is>
          <t>INV-4931</t>
        </is>
      </c>
      <c r="C963" s="11" t="n">
        <v>45987</v>
      </c>
      <c r="D963" t="inlineStr">
        <is>
          <t>2025-11</t>
        </is>
      </c>
      <c r="E963" t="inlineStr">
        <is>
          <t>C0014</t>
        </is>
      </c>
      <c r="F963" t="inlineStr">
        <is>
          <t>C0014</t>
        </is>
      </c>
      <c r="G963" t="inlineStr">
        <is>
          <t>Riverbend Homes Pty Ltd</t>
        </is>
      </c>
      <c r="H963" t="inlineStr">
        <is>
          <t>S0179</t>
        </is>
      </c>
      <c r="I963" t="inlineStr">
        <is>
          <t>Temporary fence hire 4 wks (29/10/25-25/11/25) - 115 panels</t>
        </is>
      </c>
      <c r="J963" t="n">
        <v>460</v>
      </c>
      <c r="K963" s="9" t="n">
        <v>2070</v>
      </c>
      <c r="L963" t="inlineStr">
        <is>
          <t>PAID</t>
        </is>
      </c>
      <c r="M963">
        <f>IF(L963="VOIDED",0,1)</f>
        <v>1</v>
      </c>
      <c r="N963" t="n">
        <v>200</v>
      </c>
      <c r="O963" t="inlineStr">
        <is>
          <t>GST on Income</t>
        </is>
      </c>
      <c r="P963" t="inlineStr">
        <is>
          <t>R03</t>
        </is>
      </c>
      <c r="Q963" t="inlineStr">
        <is>
          <t>HIRE-FP</t>
        </is>
      </c>
      <c r="R963">
        <f>IF(OR(Q963="CONTEXT",Q963="REVIEW"),"",INDEX('Category Rules'!$D$5:$D$17,MATCH(P963,'Category Rules'!$A$5:$A$17,0)))</f>
        <v>4010</v>
      </c>
      <c r="S963" t="str">
        <f>IF(Q963="CONTEXT","Fencing",IF(Q963="REVIEW","",INDEX('Category Rules'!$E$5:$E$17,MATCH(P963,'Category Rules'!$A$5:$A$17,0))))</f>
        <v>Fencing</v>
      </c>
      <c r="T963" t="str">
        <f>IF(Q963="DEP","BAS Excluded","GST on Income")</f>
        <v>GST on Income</v>
      </c>
      <c r="U963">
        <f>IF(O963=T963,1,0)</f>
        <v>1</v>
      </c>
      <c r="V963" s="9">
        <f>IF(OR(M963=0,U963=1),0,IF(T963="GST on Income",ROUND(K963*0.1,2),ROUND(-K963*0.1,2)))</f>
        <v>0</v>
      </c>
    </row>
    <row r="964">
      <c r="A964" t="inlineStr">
        <is>
          <t>INV-4937-1</t>
        </is>
      </c>
      <c r="B964" t="inlineStr">
        <is>
          <t>INV-4937</t>
        </is>
      </c>
      <c r="C964" s="11" t="n">
        <v>45987</v>
      </c>
      <c r="D964" t="inlineStr">
        <is>
          <t>2025-11</t>
        </is>
      </c>
      <c r="E964" t="inlineStr">
        <is>
          <t>C0014</t>
        </is>
      </c>
      <c r="F964" t="inlineStr">
        <is>
          <t>C0014</t>
        </is>
      </c>
      <c r="G964" t="inlineStr">
        <is>
          <t>Riverbend Homes Pty Ltd</t>
        </is>
      </c>
      <c r="H964" t="inlineStr">
        <is>
          <t>S0179</t>
        </is>
      </c>
      <c r="I964" t="inlineStr">
        <is>
          <t>Pedestrian barrier hire 4 wks (29/10/25-25/11/25) - 9 barriers</t>
        </is>
      </c>
      <c r="J964" t="n">
        <v>36</v>
      </c>
      <c r="K964" s="9" t="n">
        <v>115.2</v>
      </c>
      <c r="L964" t="inlineStr">
        <is>
          <t>PAID</t>
        </is>
      </c>
      <c r="M964">
        <f>IF(L964="VOIDED",0,1)</f>
        <v>1</v>
      </c>
      <c r="N964" t="n">
        <v>200</v>
      </c>
      <c r="O964" t="inlineStr">
        <is>
          <t>GST on Income</t>
        </is>
      </c>
      <c r="P964" t="inlineStr">
        <is>
          <t>R04</t>
        </is>
      </c>
      <c r="Q964" t="inlineStr">
        <is>
          <t>HIRE-BR</t>
        </is>
      </c>
      <c r="R964">
        <f>IF(OR(Q964="CONTEXT",Q964="REVIEW"),"",INDEX('Category Rules'!$D$5:$D$17,MATCH(P964,'Category Rules'!$A$5:$A$17,0)))</f>
        <v>4010</v>
      </c>
      <c r="S964" t="str">
        <f>IF(Q964="CONTEXT","Fencing",IF(Q964="REVIEW","",INDEX('Category Rules'!$E$5:$E$17,MATCH(P964,'Category Rules'!$A$5:$A$17,0))))</f>
        <v>Fencing</v>
      </c>
      <c r="T964" t="str">
        <f>IF(Q964="DEP","BAS Excluded","GST on Income")</f>
        <v>GST on Income</v>
      </c>
      <c r="U964">
        <f>IF(O964=T964,1,0)</f>
        <v>1</v>
      </c>
      <c r="V964" s="9">
        <f>IF(OR(M964=0,U964=1),0,IF(T964="GST on Income",ROUND(K964*0.1,2),ROUND(-K964*0.1,2)))</f>
        <v>0</v>
      </c>
    </row>
    <row r="965">
      <c r="A965" t="inlineStr">
        <is>
          <t>INV-5138-1</t>
        </is>
      </c>
      <c r="B965" t="inlineStr">
        <is>
          <t>INV-5138</t>
        </is>
      </c>
      <c r="C965" s="11" t="n">
        <v>45987</v>
      </c>
      <c r="D965" t="inlineStr">
        <is>
          <t>2025-11</t>
        </is>
      </c>
      <c r="E965" t="inlineStr">
        <is>
          <t>C0020</t>
        </is>
      </c>
      <c r="F965" t="inlineStr">
        <is>
          <t>C0020</t>
        </is>
      </c>
      <c r="G965" t="inlineStr">
        <is>
          <t>Eastlink Constructions</t>
        </is>
      </c>
      <c r="H965" t="inlineStr">
        <is>
          <t>S0222</t>
        </is>
      </c>
      <c r="I965" t="inlineStr">
        <is>
          <t>Temporary fence hire 4 wks (29/10/25-25/11/25) - 122 panels</t>
        </is>
      </c>
      <c r="J965" t="n">
        <v>488</v>
      </c>
      <c r="K965" s="9" t="n">
        <v>2196</v>
      </c>
      <c r="L965" t="inlineStr">
        <is>
          <t>PAID</t>
        </is>
      </c>
      <c r="M965">
        <f>IF(L965="VOIDED",0,1)</f>
        <v>1</v>
      </c>
      <c r="N965" t="n">
        <v>200</v>
      </c>
      <c r="O965" t="inlineStr">
        <is>
          <t>GST on Income</t>
        </is>
      </c>
      <c r="P965" t="inlineStr">
        <is>
          <t>R03</t>
        </is>
      </c>
      <c r="Q965" t="inlineStr">
        <is>
          <t>HIRE-FP</t>
        </is>
      </c>
      <c r="R965">
        <f>IF(OR(Q965="CONTEXT",Q965="REVIEW"),"",INDEX('Category Rules'!$D$5:$D$17,MATCH(P965,'Category Rules'!$A$5:$A$17,0)))</f>
        <v>4010</v>
      </c>
      <c r="S965" t="str">
        <f>IF(Q965="CONTEXT","Fencing",IF(Q965="REVIEW","",INDEX('Category Rules'!$E$5:$E$17,MATCH(P965,'Category Rules'!$A$5:$A$17,0))))</f>
        <v>Fencing</v>
      </c>
      <c r="T965" t="str">
        <f>IF(Q965="DEP","BAS Excluded","GST on Income")</f>
        <v>GST on Income</v>
      </c>
      <c r="U965">
        <f>IF(O965=T965,1,0)</f>
        <v>1</v>
      </c>
      <c r="V965" s="9">
        <f>IF(OR(M965=0,U965=1),0,IF(T965="GST on Income",ROUND(K965*0.1,2),ROUND(-K965*0.1,2)))</f>
        <v>0</v>
      </c>
    </row>
    <row r="966">
      <c r="A966" t="inlineStr">
        <is>
          <t>INV-4129-1</t>
        </is>
      </c>
      <c r="B966" t="inlineStr">
        <is>
          <t>INV-4129</t>
        </is>
      </c>
      <c r="C966" s="11" t="n">
        <v>45988</v>
      </c>
      <c r="D966" t="inlineStr">
        <is>
          <t>2025-11</t>
        </is>
      </c>
      <c r="E966" t="inlineStr">
        <is>
          <t>C0030</t>
        </is>
      </c>
      <c r="F966" t="inlineStr">
        <is>
          <t>C0030</t>
        </is>
      </c>
      <c r="G966" t="inlineStr">
        <is>
          <t>Bluegum Developments</t>
        </is>
      </c>
      <c r="H966" t="inlineStr">
        <is>
          <t>S0007</t>
        </is>
      </c>
      <c r="I966" t="inlineStr">
        <is>
          <t>Temporary fence hire 4 wks (30/10/25-26/11/25) - 71 panels</t>
        </is>
      </c>
      <c r="J966" t="n">
        <v>284</v>
      </c>
      <c r="K966" s="9" t="n">
        <v>1278</v>
      </c>
      <c r="L966" t="inlineStr">
        <is>
          <t>PAID</t>
        </is>
      </c>
      <c r="M966">
        <f>IF(L966="VOIDED",0,1)</f>
        <v>1</v>
      </c>
      <c r="N966" t="n">
        <v>200</v>
      </c>
      <c r="O966" t="inlineStr">
        <is>
          <t>GST on Income</t>
        </is>
      </c>
      <c r="P966" t="inlineStr">
        <is>
          <t>R03</t>
        </is>
      </c>
      <c r="Q966" t="inlineStr">
        <is>
          <t>HIRE-FP</t>
        </is>
      </c>
      <c r="R966">
        <f>IF(OR(Q966="CONTEXT",Q966="REVIEW"),"",INDEX('Category Rules'!$D$5:$D$17,MATCH(P966,'Category Rules'!$A$5:$A$17,0)))</f>
        <v>4010</v>
      </c>
      <c r="S966" t="str">
        <f>IF(Q966="CONTEXT","Fencing",IF(Q966="REVIEW","",INDEX('Category Rules'!$E$5:$E$17,MATCH(P966,'Category Rules'!$A$5:$A$17,0))))</f>
        <v>Fencing</v>
      </c>
      <c r="T966" t="str">
        <f>IF(Q966="DEP","BAS Excluded","GST on Income")</f>
        <v>GST on Income</v>
      </c>
      <c r="U966">
        <f>IF(O966=T966,1,0)</f>
        <v>1</v>
      </c>
      <c r="V966" s="9">
        <f>IF(OR(M966=0,U966=1),0,IF(T966="GST on Income",ROUND(K966*0.1,2),ROUND(-K966*0.1,2)))</f>
        <v>0</v>
      </c>
    </row>
    <row r="967">
      <c r="A967" t="inlineStr">
        <is>
          <t>INV-5540-1</t>
        </is>
      </c>
      <c r="B967" t="inlineStr">
        <is>
          <t>INV-5540</t>
        </is>
      </c>
      <c r="C967" s="11" t="n">
        <v>45988</v>
      </c>
      <c r="D967" t="inlineStr">
        <is>
          <t>2025-11</t>
        </is>
      </c>
      <c r="E967" t="inlineStr">
        <is>
          <t>C0141</t>
        </is>
      </c>
      <c r="F967" t="inlineStr">
        <is>
          <t>C0028</t>
        </is>
      </c>
      <c r="G967" t="inlineStr">
        <is>
          <t>Banksia Homes</t>
        </is>
      </c>
      <c r="H967" t="inlineStr">
        <is>
          <t>S0344</t>
        </is>
      </c>
      <c r="I967" t="inlineStr">
        <is>
          <t>Roof repair labour - 8 hrs</t>
        </is>
      </c>
      <c r="J967" t="n">
        <v>8</v>
      </c>
      <c r="K967" s="9" t="n">
        <v>784</v>
      </c>
      <c r="L967" t="inlineStr">
        <is>
          <t>PAID</t>
        </is>
      </c>
      <c r="M967">
        <f>IF(L967="VOIDED",0,1)</f>
        <v>1</v>
      </c>
      <c r="N967" t="n">
        <v>200</v>
      </c>
      <c r="O967" t="inlineStr">
        <is>
          <t>GST on Income</t>
        </is>
      </c>
      <c r="P967" t="inlineStr">
        <is>
          <t>R10</t>
        </is>
      </c>
      <c r="Q967" t="inlineStr">
        <is>
          <t>LAB-RF</t>
        </is>
      </c>
      <c r="R967">
        <f>IF(OR(Q967="CONTEXT",Q967="REVIEW"),"",INDEX('Category Rules'!$D$5:$D$17,MATCH(P967,'Category Rules'!$A$5:$A$17,0)))</f>
        <v>4020</v>
      </c>
      <c r="S967" t="str">
        <f>IF(Q967="CONTEXT","Roofing",IF(Q967="REVIEW","",INDEX('Category Rules'!$E$5:$E$17,MATCH(P967,'Category Rules'!$A$5:$A$17,0))))</f>
        <v>Roofing</v>
      </c>
      <c r="T967" t="str">
        <f>IF(Q967="DEP","BAS Excluded","GST on Income")</f>
        <v>GST on Income</v>
      </c>
      <c r="U967">
        <f>IF(O967=T967,1,0)</f>
        <v>1</v>
      </c>
      <c r="V967" s="9">
        <f>IF(OR(M967=0,U967=1),0,IF(T967="GST on Income",ROUND(K967*0.1,2),ROUND(-K967*0.1,2)))</f>
        <v>0</v>
      </c>
    </row>
    <row r="968">
      <c r="A968" t="inlineStr">
        <is>
          <t>INV-5540-2</t>
        </is>
      </c>
      <c r="B968" t="inlineStr">
        <is>
          <t>INV-5540</t>
        </is>
      </c>
      <c r="C968" s="11" t="n">
        <v>45988</v>
      </c>
      <c r="D968" t="inlineStr">
        <is>
          <t>2025-11</t>
        </is>
      </c>
      <c r="E968" t="inlineStr">
        <is>
          <t>C0141</t>
        </is>
      </c>
      <c r="F968" t="inlineStr">
        <is>
          <t>C0028</t>
        </is>
      </c>
      <c r="G968" t="inlineStr">
        <is>
          <t>Banksia Homes</t>
        </is>
      </c>
      <c r="H968" t="inlineStr">
        <is>
          <t>S0344</t>
        </is>
      </c>
      <c r="I968" t="inlineStr">
        <is>
          <t>Materials - roof tiles (matched)</t>
        </is>
      </c>
      <c r="J968" t="n">
        <v>1</v>
      </c>
      <c r="K968" s="9" t="n">
        <v>379.43</v>
      </c>
      <c r="L968" t="inlineStr">
        <is>
          <t>PAID</t>
        </is>
      </c>
      <c r="M968">
        <f>IF(L968="VOIDED",0,1)</f>
        <v>1</v>
      </c>
      <c r="N968" t="n">
        <v>200</v>
      </c>
      <c r="O968" t="inlineStr">
        <is>
          <t>GST on Income</t>
        </is>
      </c>
      <c r="P968" t="inlineStr">
        <is>
          <t>R11</t>
        </is>
      </c>
      <c r="Q968" t="inlineStr">
        <is>
          <t>MAT-RF</t>
        </is>
      </c>
      <c r="R968">
        <f>IF(OR(Q968="CONTEXT",Q968="REVIEW"),"",INDEX('Category Rules'!$D$5:$D$17,MATCH(P968,'Category Rules'!$A$5:$A$17,0)))</f>
        <v>4030</v>
      </c>
      <c r="S968" t="str">
        <f>IF(Q968="CONTEXT","Roofing",IF(Q968="REVIEW","",INDEX('Category Rules'!$E$5:$E$17,MATCH(P968,'Category Rules'!$A$5:$A$17,0))))</f>
        <v>Roofing</v>
      </c>
      <c r="T968" t="str">
        <f>IF(Q968="DEP","BAS Excluded","GST on Income")</f>
        <v>GST on Income</v>
      </c>
      <c r="U968">
        <f>IF(O968=T968,1,0)</f>
        <v>1</v>
      </c>
      <c r="V968" s="9">
        <f>IF(OR(M968=0,U968=1),0,IF(T968="GST on Income",ROUND(K968*0.1,2),ROUND(-K968*0.1,2)))</f>
        <v>0</v>
      </c>
    </row>
    <row r="969">
      <c r="A969" t="inlineStr">
        <is>
          <t>INV-5540-3</t>
        </is>
      </c>
      <c r="B969" t="inlineStr">
        <is>
          <t>INV-5540</t>
        </is>
      </c>
      <c r="C969" s="11" t="n">
        <v>45988</v>
      </c>
      <c r="D969" t="inlineStr">
        <is>
          <t>2025-11</t>
        </is>
      </c>
      <c r="E969" t="inlineStr">
        <is>
          <t>C0141</t>
        </is>
      </c>
      <c r="F969" t="inlineStr">
        <is>
          <t>C0028</t>
        </is>
      </c>
      <c r="G969" t="inlineStr">
        <is>
          <t>Banksia Homes</t>
        </is>
      </c>
      <c r="H969" t="inlineStr">
        <is>
          <t>S0344</t>
        </is>
      </c>
      <c r="I969" t="inlineStr">
        <is>
          <t>Materials - flashing</t>
        </is>
      </c>
      <c r="J969" t="n">
        <v>1</v>
      </c>
      <c r="K969" s="9" t="n">
        <v>244.18</v>
      </c>
      <c r="L969" t="inlineStr">
        <is>
          <t>PAID</t>
        </is>
      </c>
      <c r="M969">
        <f>IF(L969="VOIDED",0,1)</f>
        <v>1</v>
      </c>
      <c r="N969" t="n">
        <v>200</v>
      </c>
      <c r="O969" t="inlineStr">
        <is>
          <t>GST on Income</t>
        </is>
      </c>
      <c r="P969" t="inlineStr">
        <is>
          <t>R11</t>
        </is>
      </c>
      <c r="Q969" t="inlineStr">
        <is>
          <t>MAT-RF</t>
        </is>
      </c>
      <c r="R969">
        <f>IF(OR(Q969="CONTEXT",Q969="REVIEW"),"",INDEX('Category Rules'!$D$5:$D$17,MATCH(P969,'Category Rules'!$A$5:$A$17,0)))</f>
        <v>4030</v>
      </c>
      <c r="S969" t="str">
        <f>IF(Q969="CONTEXT","Roofing",IF(Q969="REVIEW","",INDEX('Category Rules'!$E$5:$E$17,MATCH(P969,'Category Rules'!$A$5:$A$17,0))))</f>
        <v>Roofing</v>
      </c>
      <c r="T969" t="str">
        <f>IF(Q969="DEP","BAS Excluded","GST on Income")</f>
        <v>GST on Income</v>
      </c>
      <c r="U969">
        <f>IF(O969=T969,1,0)</f>
        <v>1</v>
      </c>
      <c r="V969" s="9">
        <f>IF(OR(M969=0,U969=1),0,IF(T969="GST on Income",ROUND(K969*0.1,2),ROUND(-K969*0.1,2)))</f>
        <v>0</v>
      </c>
    </row>
    <row r="970">
      <c r="A970" t="inlineStr">
        <is>
          <t>INV-5540-4</t>
        </is>
      </c>
      <c r="B970" t="inlineStr">
        <is>
          <t>INV-5540</t>
        </is>
      </c>
      <c r="C970" s="11" t="n">
        <v>45988</v>
      </c>
      <c r="D970" t="inlineStr">
        <is>
          <t>2025-11</t>
        </is>
      </c>
      <c r="E970" t="inlineStr">
        <is>
          <t>C0141</t>
        </is>
      </c>
      <c r="F970" t="inlineStr">
        <is>
          <t>C0028</t>
        </is>
      </c>
      <c r="G970" t="inlineStr">
        <is>
          <t>Banksia Homes</t>
        </is>
      </c>
      <c r="H970" t="inlineStr">
        <is>
          <t>S0344</t>
        </is>
      </c>
      <c r="I970" t="inlineStr">
        <is>
          <t>Materials - ridge capping</t>
        </is>
      </c>
      <c r="J970" t="n">
        <v>1</v>
      </c>
      <c r="K970" s="9" t="n">
        <v>344.94</v>
      </c>
      <c r="L970" t="inlineStr">
        <is>
          <t>PAID</t>
        </is>
      </c>
      <c r="M970">
        <f>IF(L970="VOIDED",0,1)</f>
        <v>1</v>
      </c>
      <c r="N970" t="n">
        <v>200</v>
      </c>
      <c r="O970" t="inlineStr">
        <is>
          <t>GST on Income</t>
        </is>
      </c>
      <c r="P970" t="inlineStr">
        <is>
          <t>R11</t>
        </is>
      </c>
      <c r="Q970" t="inlineStr">
        <is>
          <t>MAT-RF</t>
        </is>
      </c>
      <c r="R970">
        <f>IF(OR(Q970="CONTEXT",Q970="REVIEW"),"",INDEX('Category Rules'!$D$5:$D$17,MATCH(P970,'Category Rules'!$A$5:$A$17,0)))</f>
        <v>4030</v>
      </c>
      <c r="S970" t="str">
        <f>IF(Q970="CONTEXT","Roofing",IF(Q970="REVIEW","",INDEX('Category Rules'!$E$5:$E$17,MATCH(P970,'Category Rules'!$A$5:$A$17,0))))</f>
        <v>Roofing</v>
      </c>
      <c r="T970" t="str">
        <f>IF(Q970="DEP","BAS Excluded","GST on Income")</f>
        <v>GST on Income</v>
      </c>
      <c r="U970">
        <f>IF(O970=T970,1,0)</f>
        <v>1</v>
      </c>
      <c r="V970" s="9">
        <f>IF(OR(M970=0,U970=1),0,IF(T970="GST on Income",ROUND(K970*0.1,2),ROUND(-K970*0.1,2)))</f>
        <v>0</v>
      </c>
    </row>
    <row r="971">
      <c r="A971" t="inlineStr">
        <is>
          <t>INV-5576-1</t>
        </is>
      </c>
      <c r="B971" t="inlineStr">
        <is>
          <t>INV-5576</t>
        </is>
      </c>
      <c r="C971" s="11" t="n">
        <v>45988</v>
      </c>
      <c r="D971" t="inlineStr">
        <is>
          <t>2025-11</t>
        </is>
      </c>
      <c r="E971" t="inlineStr">
        <is>
          <t>C0124</t>
        </is>
      </c>
      <c r="F971" t="inlineStr">
        <is>
          <t>C0124</t>
        </is>
      </c>
      <c r="G971" t="inlineStr">
        <is>
          <t>Harbor Strata Management</t>
        </is>
      </c>
      <c r="H971" t="inlineStr">
        <is>
          <t>S0367</t>
        </is>
      </c>
      <c r="I971" t="inlineStr">
        <is>
          <t>Roof repair labour - 8 hrs</t>
        </is>
      </c>
      <c r="J971" t="n">
        <v>8</v>
      </c>
      <c r="K971" s="9" t="n">
        <v>784</v>
      </c>
      <c r="L971" t="inlineStr">
        <is>
          <t>PAID</t>
        </is>
      </c>
      <c r="M971">
        <f>IF(L971="VOIDED",0,1)</f>
        <v>1</v>
      </c>
      <c r="N971" t="n">
        <v>200</v>
      </c>
      <c r="O971" t="inlineStr">
        <is>
          <t>GST on Income</t>
        </is>
      </c>
      <c r="P971" t="inlineStr">
        <is>
          <t>R10</t>
        </is>
      </c>
      <c r="Q971" t="inlineStr">
        <is>
          <t>LAB-RF</t>
        </is>
      </c>
      <c r="R971">
        <f>IF(OR(Q971="CONTEXT",Q971="REVIEW"),"",INDEX('Category Rules'!$D$5:$D$17,MATCH(P971,'Category Rules'!$A$5:$A$17,0)))</f>
        <v>4020</v>
      </c>
      <c r="S971" t="str">
        <f>IF(Q971="CONTEXT","Roofing",IF(Q971="REVIEW","",INDEX('Category Rules'!$E$5:$E$17,MATCH(P971,'Category Rules'!$A$5:$A$17,0))))</f>
        <v>Roofing</v>
      </c>
      <c r="T971" t="str">
        <f>IF(Q971="DEP","BAS Excluded","GST on Income")</f>
        <v>GST on Income</v>
      </c>
      <c r="U971">
        <f>IF(O971=T971,1,0)</f>
        <v>1</v>
      </c>
      <c r="V971" s="9">
        <f>IF(OR(M971=0,U971=1),0,IF(T971="GST on Income",ROUND(K971*0.1,2),ROUND(-K971*0.1,2)))</f>
        <v>0</v>
      </c>
    </row>
    <row r="972">
      <c r="A972" t="inlineStr">
        <is>
          <t>INV-5576-2</t>
        </is>
      </c>
      <c r="B972" t="inlineStr">
        <is>
          <t>INV-5576</t>
        </is>
      </c>
      <c r="C972" s="11" t="n">
        <v>45988</v>
      </c>
      <c r="D972" t="inlineStr">
        <is>
          <t>2025-11</t>
        </is>
      </c>
      <c r="E972" t="inlineStr">
        <is>
          <t>C0124</t>
        </is>
      </c>
      <c r="F972" t="inlineStr">
        <is>
          <t>C0124</t>
        </is>
      </c>
      <c r="G972" t="inlineStr">
        <is>
          <t>Harbor Strata Management</t>
        </is>
      </c>
      <c r="H972" t="inlineStr">
        <is>
          <t>S0367</t>
        </is>
      </c>
      <c r="I972" t="inlineStr">
        <is>
          <t>Materials - gutter and downpipe</t>
        </is>
      </c>
      <c r="J972" t="n">
        <v>1</v>
      </c>
      <c r="K972" s="9" t="n">
        <v>976.4</v>
      </c>
      <c r="L972" t="inlineStr">
        <is>
          <t>PAID</t>
        </is>
      </c>
      <c r="M972">
        <f>IF(L972="VOIDED",0,1)</f>
        <v>1</v>
      </c>
      <c r="N972" t="n">
        <v>260</v>
      </c>
      <c r="O972" t="inlineStr">
        <is>
          <t>GST on Income</t>
        </is>
      </c>
      <c r="P972" t="inlineStr">
        <is>
          <t>R11</t>
        </is>
      </c>
      <c r="Q972" t="inlineStr">
        <is>
          <t>MAT-RF</t>
        </is>
      </c>
      <c r="R972">
        <f>IF(OR(Q972="CONTEXT",Q972="REVIEW"),"",INDEX('Category Rules'!$D$5:$D$17,MATCH(P972,'Category Rules'!$A$5:$A$17,0)))</f>
        <v>4030</v>
      </c>
      <c r="S972" t="str">
        <f>IF(Q972="CONTEXT","Roofing",IF(Q972="REVIEW","",INDEX('Category Rules'!$E$5:$E$17,MATCH(P972,'Category Rules'!$A$5:$A$17,0))))</f>
        <v>Roofing</v>
      </c>
      <c r="T972" t="str">
        <f>IF(Q972="DEP","BAS Excluded","GST on Income")</f>
        <v>GST on Income</v>
      </c>
      <c r="U972">
        <f>IF(O972=T972,1,0)</f>
        <v>1</v>
      </c>
      <c r="V972" s="9">
        <f>IF(OR(M972=0,U972=1),0,IF(T972="GST on Income",ROUND(K972*0.1,2),ROUND(-K972*0.1,2)))</f>
        <v>0</v>
      </c>
    </row>
    <row r="973">
      <c r="A973" t="inlineStr">
        <is>
          <t>INV-5576-3</t>
        </is>
      </c>
      <c r="B973" t="inlineStr">
        <is>
          <t>INV-5576</t>
        </is>
      </c>
      <c r="C973" s="11" t="n">
        <v>45988</v>
      </c>
      <c r="D973" t="inlineStr">
        <is>
          <t>2025-11</t>
        </is>
      </c>
      <c r="E973" t="inlineStr">
        <is>
          <t>C0124</t>
        </is>
      </c>
      <c r="F973" t="inlineStr">
        <is>
          <t>C0124</t>
        </is>
      </c>
      <c r="G973" t="inlineStr">
        <is>
          <t>Harbor Strata Management</t>
        </is>
      </c>
      <c r="H973" t="inlineStr">
        <is>
          <t>S0367</t>
        </is>
      </c>
      <c r="I973" t="inlineStr">
        <is>
          <t>Materials - ridge capping</t>
        </is>
      </c>
      <c r="J973" t="n">
        <v>1</v>
      </c>
      <c r="K973" s="9" t="n">
        <v>1274.9</v>
      </c>
      <c r="L973" t="inlineStr">
        <is>
          <t>PAID</t>
        </is>
      </c>
      <c r="M973">
        <f>IF(L973="VOIDED",0,1)</f>
        <v>1</v>
      </c>
      <c r="N973" t="n">
        <v>200</v>
      </c>
      <c r="O973" t="inlineStr">
        <is>
          <t>GST on Income</t>
        </is>
      </c>
      <c r="P973" t="inlineStr">
        <is>
          <t>R11</t>
        </is>
      </c>
      <c r="Q973" t="inlineStr">
        <is>
          <t>MAT-RF</t>
        </is>
      </c>
      <c r="R973">
        <f>IF(OR(Q973="CONTEXT",Q973="REVIEW"),"",INDEX('Category Rules'!$D$5:$D$17,MATCH(P973,'Category Rules'!$A$5:$A$17,0)))</f>
        <v>4030</v>
      </c>
      <c r="S973" t="str">
        <f>IF(Q973="CONTEXT","Roofing",IF(Q973="REVIEW","",INDEX('Category Rules'!$E$5:$E$17,MATCH(P973,'Category Rules'!$A$5:$A$17,0))))</f>
        <v>Roofing</v>
      </c>
      <c r="T973" t="str">
        <f>IF(Q973="DEP","BAS Excluded","GST on Income")</f>
        <v>GST on Income</v>
      </c>
      <c r="U973">
        <f>IF(O973=T973,1,0)</f>
        <v>1</v>
      </c>
      <c r="V973" s="9">
        <f>IF(OR(M973=0,U973=1),0,IF(T973="GST on Income",ROUND(K973*0.1,2),ROUND(-K973*0.1,2)))</f>
        <v>0</v>
      </c>
    </row>
    <row r="974">
      <c r="A974" t="inlineStr">
        <is>
          <t>INV-5576-4</t>
        </is>
      </c>
      <c r="B974" t="inlineStr">
        <is>
          <t>INV-5576</t>
        </is>
      </c>
      <c r="C974" s="11" t="n">
        <v>45988</v>
      </c>
      <c r="D974" t="inlineStr">
        <is>
          <t>2025-11</t>
        </is>
      </c>
      <c r="E974" t="inlineStr">
        <is>
          <t>C0124</t>
        </is>
      </c>
      <c r="F974" t="inlineStr">
        <is>
          <t>C0124</t>
        </is>
      </c>
      <c r="G974" t="inlineStr">
        <is>
          <t>Harbor Strata Management</t>
        </is>
      </c>
      <c r="H974" t="inlineStr">
        <is>
          <t>S0367</t>
        </is>
      </c>
      <c r="I974" t="inlineStr">
        <is>
          <t>Materials - flashing</t>
        </is>
      </c>
      <c r="J974" t="n">
        <v>1</v>
      </c>
      <c r="K974" s="9" t="n">
        <v>1215.49</v>
      </c>
      <c r="L974" t="inlineStr">
        <is>
          <t>PAID</t>
        </is>
      </c>
      <c r="M974">
        <f>IF(L974="VOIDED",0,1)</f>
        <v>1</v>
      </c>
      <c r="N974" t="n">
        <v>200</v>
      </c>
      <c r="O974" t="inlineStr">
        <is>
          <t>GST on Income</t>
        </is>
      </c>
      <c r="P974" t="inlineStr">
        <is>
          <t>R11</t>
        </is>
      </c>
      <c r="Q974" t="inlineStr">
        <is>
          <t>MAT-RF</t>
        </is>
      </c>
      <c r="R974">
        <f>IF(OR(Q974="CONTEXT",Q974="REVIEW"),"",INDEX('Category Rules'!$D$5:$D$17,MATCH(P974,'Category Rules'!$A$5:$A$17,0)))</f>
        <v>4030</v>
      </c>
      <c r="S974" t="str">
        <f>IF(Q974="CONTEXT","Roofing",IF(Q974="REVIEW","",INDEX('Category Rules'!$E$5:$E$17,MATCH(P974,'Category Rules'!$A$5:$A$17,0))))</f>
        <v>Roofing</v>
      </c>
      <c r="T974" t="str">
        <f>IF(Q974="DEP","BAS Excluded","GST on Income")</f>
        <v>GST on Income</v>
      </c>
      <c r="U974">
        <f>IF(O974=T974,1,0)</f>
        <v>1</v>
      </c>
      <c r="V974" s="9">
        <f>IF(OR(M974=0,U974=1),0,IF(T974="GST on Income",ROUND(K974*0.1,2),ROUND(-K974*0.1,2)))</f>
        <v>0</v>
      </c>
    </row>
    <row r="975">
      <c r="A975" t="inlineStr">
        <is>
          <t>INV-4314-1</t>
        </is>
      </c>
      <c r="B975" t="inlineStr">
        <is>
          <t>INV-4314</t>
        </is>
      </c>
      <c r="C975" s="11" t="n">
        <v>45989</v>
      </c>
      <c r="D975" t="inlineStr">
        <is>
          <t>2025-11</t>
        </is>
      </c>
      <c r="E975" t="inlineStr">
        <is>
          <t>C0063</t>
        </is>
      </c>
      <c r="F975" t="inlineStr">
        <is>
          <t>C0063</t>
        </is>
      </c>
      <c r="G975" t="inlineStr">
        <is>
          <t>Highpoint Insurance Repairs Pty Ltd</t>
        </is>
      </c>
      <c r="H975" t="inlineStr">
        <is>
          <t>S0044</t>
        </is>
      </c>
      <c r="I975" t="inlineStr">
        <is>
          <t>Temporary fence hire 2 wks (16/11/25-27/11/25) - 137 panels</t>
        </is>
      </c>
      <c r="J975" t="n">
        <v>274</v>
      </c>
      <c r="K975" s="9" t="n">
        <v>1233</v>
      </c>
      <c r="L975" t="inlineStr">
        <is>
          <t>PAID</t>
        </is>
      </c>
      <c r="M975">
        <f>IF(L975="VOIDED",0,1)</f>
        <v>1</v>
      </c>
      <c r="N975" t="n">
        <v>200</v>
      </c>
      <c r="O975" t="inlineStr">
        <is>
          <t>GST on Income</t>
        </is>
      </c>
      <c r="P975" t="inlineStr">
        <is>
          <t>R03</t>
        </is>
      </c>
      <c r="Q975" t="inlineStr">
        <is>
          <t>HIRE-FP</t>
        </is>
      </c>
      <c r="R975">
        <f>IF(OR(Q975="CONTEXT",Q975="REVIEW"),"",INDEX('Category Rules'!$D$5:$D$17,MATCH(P975,'Category Rules'!$A$5:$A$17,0)))</f>
        <v>4010</v>
      </c>
      <c r="S975" t="str">
        <f>IF(Q975="CONTEXT","Fencing",IF(Q975="REVIEW","",INDEX('Category Rules'!$E$5:$E$17,MATCH(P975,'Category Rules'!$A$5:$A$17,0))))</f>
        <v>Fencing</v>
      </c>
      <c r="T975" t="str">
        <f>IF(Q975="DEP","BAS Excluded","GST on Income")</f>
        <v>GST on Income</v>
      </c>
      <c r="U975">
        <f>IF(O975=T975,1,0)</f>
        <v>1</v>
      </c>
      <c r="V975" s="9">
        <f>IF(OR(M975=0,U975=1),0,IF(T975="GST on Income",ROUND(K975*0.1,2),ROUND(-K975*0.1,2)))</f>
        <v>0</v>
      </c>
    </row>
    <row r="976">
      <c r="A976" t="inlineStr">
        <is>
          <t>INV-4316-1</t>
        </is>
      </c>
      <c r="B976" t="inlineStr">
        <is>
          <t>INV-4316</t>
        </is>
      </c>
      <c r="C976" s="11" t="n">
        <v>45989</v>
      </c>
      <c r="D976" t="inlineStr">
        <is>
          <t>2025-11</t>
        </is>
      </c>
      <c r="E976" t="inlineStr">
        <is>
          <t>C0063</t>
        </is>
      </c>
      <c r="F976" t="inlineStr">
        <is>
          <t>C0063</t>
        </is>
      </c>
      <c r="G976" t="inlineStr">
        <is>
          <t>Highpoint Insurance Repairs Pty Ltd</t>
        </is>
      </c>
      <c r="H976" t="inlineStr">
        <is>
          <t>S0044</t>
        </is>
      </c>
      <c r="I976" t="inlineStr">
        <is>
          <t>Collection and dismantle - temporary fencing</t>
        </is>
      </c>
      <c r="J976" t="n">
        <v>1</v>
      </c>
      <c r="K976" s="9" t="n">
        <v>165</v>
      </c>
      <c r="L976" t="inlineStr">
        <is>
          <t>PAID</t>
        </is>
      </c>
      <c r="M976">
        <f>IF(L976="VOIDED",0,1)</f>
        <v>1</v>
      </c>
      <c r="N976" t="n">
        <v>200</v>
      </c>
      <c r="O976" t="inlineStr">
        <is>
          <t>GST on Income</t>
        </is>
      </c>
      <c r="P976" t="inlineStr">
        <is>
          <t>R07</t>
        </is>
      </c>
      <c r="Q976" t="inlineStr">
        <is>
          <t>DEL-FP</t>
        </is>
      </c>
      <c r="R976">
        <f>IF(OR(Q976="CONTEXT",Q976="REVIEW"),"",INDEX('Category Rules'!$D$5:$D$17,MATCH(P976,'Category Rules'!$A$5:$A$17,0)))</f>
        <v>4020</v>
      </c>
      <c r="S976" t="str">
        <f>IF(Q976="CONTEXT","Fencing",IF(Q976="REVIEW","",INDEX('Category Rules'!$E$5:$E$17,MATCH(P976,'Category Rules'!$A$5:$A$17,0))))</f>
        <v>Fencing</v>
      </c>
      <c r="T976" t="str">
        <f>IF(Q976="DEP","BAS Excluded","GST on Income")</f>
        <v>GST on Income</v>
      </c>
      <c r="U976">
        <f>IF(O976=T976,1,0)</f>
        <v>1</v>
      </c>
      <c r="V976" s="9">
        <f>IF(OR(M976=0,U976=1),0,IF(T976="GST on Income",ROUND(K976*0.1,2),ROUND(-K976*0.1,2)))</f>
        <v>0</v>
      </c>
    </row>
    <row r="977">
      <c r="A977" t="inlineStr">
        <is>
          <t>INV-4696-1</t>
        </is>
      </c>
      <c r="B977" t="inlineStr">
        <is>
          <t>INV-4696</t>
        </is>
      </c>
      <c r="C977" s="11" t="n">
        <v>45989</v>
      </c>
      <c r="D977" t="inlineStr">
        <is>
          <t>2025-11</t>
        </is>
      </c>
      <c r="E977" t="inlineStr">
        <is>
          <t>C0024</t>
        </is>
      </c>
      <c r="F977" t="inlineStr">
        <is>
          <t>C0024</t>
        </is>
      </c>
      <c r="G977" t="inlineStr">
        <is>
          <t>Parkview Homes Pty Ltd</t>
        </is>
      </c>
      <c r="H977" t="inlineStr">
        <is>
          <t>S0124</t>
        </is>
      </c>
      <c r="I977" t="inlineStr">
        <is>
          <t>Temporary fence hire 4 wks (31/10/25-27/11/25) - 138 panels</t>
        </is>
      </c>
      <c r="J977" t="n">
        <v>552</v>
      </c>
      <c r="K977" s="9" t="n">
        <v>2484</v>
      </c>
      <c r="L977" t="inlineStr">
        <is>
          <t>PAID</t>
        </is>
      </c>
      <c r="M977">
        <f>IF(L977="VOIDED",0,1)</f>
        <v>1</v>
      </c>
      <c r="N977" t="n">
        <v>200</v>
      </c>
      <c r="O977" t="inlineStr">
        <is>
          <t>GST on Income</t>
        </is>
      </c>
      <c r="P977" t="inlineStr">
        <is>
          <t>R03</t>
        </is>
      </c>
      <c r="Q977" t="inlineStr">
        <is>
          <t>HIRE-FP</t>
        </is>
      </c>
      <c r="R977">
        <f>IF(OR(Q977="CONTEXT",Q977="REVIEW"),"",INDEX('Category Rules'!$D$5:$D$17,MATCH(P977,'Category Rules'!$A$5:$A$17,0)))</f>
        <v>4010</v>
      </c>
      <c r="S977" t="str">
        <f>IF(Q977="CONTEXT","Fencing",IF(Q977="REVIEW","",INDEX('Category Rules'!$E$5:$E$17,MATCH(P977,'Category Rules'!$A$5:$A$17,0))))</f>
        <v>Fencing</v>
      </c>
      <c r="T977" t="str">
        <f>IF(Q977="DEP","BAS Excluded","GST on Income")</f>
        <v>GST on Income</v>
      </c>
      <c r="U977">
        <f>IF(O977=T977,1,0)</f>
        <v>1</v>
      </c>
      <c r="V977" s="9">
        <f>IF(OR(M977=0,U977=1),0,IF(T977="GST on Income",ROUND(K977*0.1,2),ROUND(-K977*0.1,2)))</f>
        <v>0</v>
      </c>
    </row>
    <row r="978">
      <c r="A978" t="inlineStr">
        <is>
          <t>INV-4701-1</t>
        </is>
      </c>
      <c r="B978" t="inlineStr">
        <is>
          <t>INV-4701</t>
        </is>
      </c>
      <c r="C978" s="11" t="n">
        <v>45989</v>
      </c>
      <c r="D978" t="inlineStr">
        <is>
          <t>2025-11</t>
        </is>
      </c>
      <c r="E978" t="inlineStr">
        <is>
          <t>C0024</t>
        </is>
      </c>
      <c r="F978" t="inlineStr">
        <is>
          <t>C0024</t>
        </is>
      </c>
      <c r="G978" t="inlineStr">
        <is>
          <t>Parkview Homes Pty Ltd</t>
        </is>
      </c>
      <c r="H978" t="inlineStr">
        <is>
          <t>S0124</t>
        </is>
      </c>
      <c r="I978" t="inlineStr">
        <is>
          <t>Pedestrian barrier hire 4 wks (31/10/25-27/11/25) - 4 barriers</t>
        </is>
      </c>
      <c r="J978" t="n">
        <v>16</v>
      </c>
      <c r="K978" s="9" t="n">
        <v>51.2</v>
      </c>
      <c r="L978" t="inlineStr">
        <is>
          <t>PAID</t>
        </is>
      </c>
      <c r="M978">
        <f>IF(L978="VOIDED",0,1)</f>
        <v>1</v>
      </c>
      <c r="N978" t="n">
        <v>200</v>
      </c>
      <c r="O978" t="inlineStr">
        <is>
          <t>GST on Income</t>
        </is>
      </c>
      <c r="P978" t="inlineStr">
        <is>
          <t>R04</t>
        </is>
      </c>
      <c r="Q978" t="inlineStr">
        <is>
          <t>HIRE-BR</t>
        </is>
      </c>
      <c r="R978">
        <f>IF(OR(Q978="CONTEXT",Q978="REVIEW"),"",INDEX('Category Rules'!$D$5:$D$17,MATCH(P978,'Category Rules'!$A$5:$A$17,0)))</f>
        <v>4010</v>
      </c>
      <c r="S978" t="str">
        <f>IF(Q978="CONTEXT","Fencing",IF(Q978="REVIEW","",INDEX('Category Rules'!$E$5:$E$17,MATCH(P978,'Category Rules'!$A$5:$A$17,0))))</f>
        <v>Fencing</v>
      </c>
      <c r="T978" t="str">
        <f>IF(Q978="DEP","BAS Excluded","GST on Income")</f>
        <v>GST on Income</v>
      </c>
      <c r="U978">
        <f>IF(O978=T978,1,0)</f>
        <v>1</v>
      </c>
      <c r="V978" s="9">
        <f>IF(OR(M978=0,U978=1),0,IF(T978="GST on Income",ROUND(K978*0.1,2),ROUND(-K978*0.1,2)))</f>
        <v>0</v>
      </c>
    </row>
    <row r="979">
      <c r="A979" t="inlineStr">
        <is>
          <t>INV-4765-1</t>
        </is>
      </c>
      <c r="B979" t="inlineStr">
        <is>
          <t>INV-4765</t>
        </is>
      </c>
      <c r="C979" s="11" t="n">
        <v>45989</v>
      </c>
      <c r="D979" t="inlineStr">
        <is>
          <t>2025-11</t>
        </is>
      </c>
      <c r="E979" t="inlineStr">
        <is>
          <t>C0027</t>
        </is>
      </c>
      <c r="F979" t="inlineStr">
        <is>
          <t>C0027</t>
        </is>
      </c>
      <c r="G979" t="inlineStr">
        <is>
          <t>Metro Projects Pty Ltd</t>
        </is>
      </c>
      <c r="H979" t="inlineStr">
        <is>
          <t>S0139</t>
        </is>
      </c>
      <c r="I979" t="inlineStr">
        <is>
          <t>Delivery and installation - temporary fencing</t>
        </is>
      </c>
      <c r="J979" t="n">
        <v>1</v>
      </c>
      <c r="K979" s="9" t="n">
        <v>165</v>
      </c>
      <c r="L979" t="inlineStr">
        <is>
          <t>PAID</t>
        </is>
      </c>
      <c r="M979">
        <f>IF(L979="VOIDED",0,1)</f>
        <v>1</v>
      </c>
      <c r="N979" t="n">
        <v>200</v>
      </c>
      <c r="O979" t="inlineStr">
        <is>
          <t>GST on Income</t>
        </is>
      </c>
      <c r="P979" t="inlineStr">
        <is>
          <t>R07</t>
        </is>
      </c>
      <c r="Q979" t="inlineStr">
        <is>
          <t>DEL-FP</t>
        </is>
      </c>
      <c r="R979">
        <f>IF(OR(Q979="CONTEXT",Q979="REVIEW"),"",INDEX('Category Rules'!$D$5:$D$17,MATCH(P979,'Category Rules'!$A$5:$A$17,0)))</f>
        <v>4020</v>
      </c>
      <c r="S979" t="str">
        <f>IF(Q979="CONTEXT","Fencing",IF(Q979="REVIEW","",INDEX('Category Rules'!$E$5:$E$17,MATCH(P979,'Category Rules'!$A$5:$A$17,0))))</f>
        <v>Fencing</v>
      </c>
      <c r="T979" t="str">
        <f>IF(Q979="DEP","BAS Excluded","GST on Income")</f>
        <v>GST on Income</v>
      </c>
      <c r="U979">
        <f>IF(O979=T979,1,0)</f>
        <v>1</v>
      </c>
      <c r="V979" s="9">
        <f>IF(OR(M979=0,U979=1),0,IF(T979="GST on Income",ROUND(K979*0.1,2),ROUND(-K979*0.1,2)))</f>
        <v>0</v>
      </c>
    </row>
    <row r="980">
      <c r="A980" t="inlineStr">
        <is>
          <t>INV-4765-2</t>
        </is>
      </c>
      <c r="B980" t="inlineStr">
        <is>
          <t>INV-4765</t>
        </is>
      </c>
      <c r="C980" s="11" t="n">
        <v>45989</v>
      </c>
      <c r="D980" t="inlineStr">
        <is>
          <t>2025-11</t>
        </is>
      </c>
      <c r="E980" t="inlineStr">
        <is>
          <t>C0027</t>
        </is>
      </c>
      <c r="F980" t="inlineStr">
        <is>
          <t>C0027</t>
        </is>
      </c>
      <c r="G980" t="inlineStr">
        <is>
          <t>Metro Projects Pty Ltd</t>
        </is>
      </c>
      <c r="H980" t="inlineStr">
        <is>
          <t>S0139</t>
        </is>
      </c>
      <c r="I980" t="inlineStr">
        <is>
          <t>Installation labour - 70 panels @ 2.20</t>
        </is>
      </c>
      <c r="J980" t="n">
        <v>70</v>
      </c>
      <c r="K980" s="9" t="n">
        <v>154</v>
      </c>
      <c r="L980" t="inlineStr">
        <is>
          <t>PAID</t>
        </is>
      </c>
      <c r="M980">
        <f>IF(L980="VOIDED",0,1)</f>
        <v>1</v>
      </c>
      <c r="N980" t="n">
        <v>200</v>
      </c>
      <c r="O980" t="inlineStr">
        <is>
          <t>GST on Income</t>
        </is>
      </c>
      <c r="P980" t="inlineStr">
        <is>
          <t>R07</t>
        </is>
      </c>
      <c r="Q980" t="inlineStr">
        <is>
          <t>DEL-FP</t>
        </is>
      </c>
      <c r="R980">
        <f>IF(OR(Q980="CONTEXT",Q980="REVIEW"),"",INDEX('Category Rules'!$D$5:$D$17,MATCH(P980,'Category Rules'!$A$5:$A$17,0)))</f>
        <v>4020</v>
      </c>
      <c r="S980" t="str">
        <f>IF(Q980="CONTEXT","Fencing",IF(Q980="REVIEW","",INDEX('Category Rules'!$E$5:$E$17,MATCH(P980,'Category Rules'!$A$5:$A$17,0))))</f>
        <v>Fencing</v>
      </c>
      <c r="T980" t="str">
        <f>IF(Q980="DEP","BAS Excluded","GST on Income")</f>
        <v>GST on Income</v>
      </c>
      <c r="U980">
        <f>IF(O980=T980,1,0)</f>
        <v>1</v>
      </c>
      <c r="V980" s="9">
        <f>IF(OR(M980=0,U980=1),0,IF(T980="GST on Income",ROUND(K980*0.1,2),ROUND(-K980*0.1,2)))</f>
        <v>0</v>
      </c>
    </row>
    <row r="981">
      <c r="A981" t="inlineStr">
        <is>
          <t>INV-4953-1</t>
        </is>
      </c>
      <c r="B981" t="inlineStr">
        <is>
          <t>INV-4953</t>
        </is>
      </c>
      <c r="C981" s="11" t="n">
        <v>45989</v>
      </c>
      <c r="D981" t="inlineStr">
        <is>
          <t>2025-11</t>
        </is>
      </c>
      <c r="E981" t="inlineStr">
        <is>
          <t>C0018</t>
        </is>
      </c>
      <c r="F981" t="inlineStr">
        <is>
          <t>C0018</t>
        </is>
      </c>
      <c r="G981" t="inlineStr">
        <is>
          <t>Wattle Constructions Pty Ltd</t>
        </is>
      </c>
      <c r="H981" t="inlineStr">
        <is>
          <t>S0181</t>
        </is>
      </c>
      <c r="I981" t="inlineStr">
        <is>
          <t>Temporary fence hire 1 wks (24/11/25-27/11/25) - 122 panels</t>
        </is>
      </c>
      <c r="J981" t="n">
        <v>122</v>
      </c>
      <c r="K981" s="9" t="n">
        <v>549</v>
      </c>
      <c r="L981" t="inlineStr">
        <is>
          <t>PAID</t>
        </is>
      </c>
      <c r="M981">
        <f>IF(L981="VOIDED",0,1)</f>
        <v>1</v>
      </c>
      <c r="N981" t="n">
        <v>260</v>
      </c>
      <c r="O981" t="inlineStr">
        <is>
          <t>BAS Excluded</t>
        </is>
      </c>
      <c r="P981" t="inlineStr">
        <is>
          <t>R03</t>
        </is>
      </c>
      <c r="Q981" t="inlineStr">
        <is>
          <t>HIRE-FP</t>
        </is>
      </c>
      <c r="R981">
        <f>IF(OR(Q981="CONTEXT",Q981="REVIEW"),"",INDEX('Category Rules'!$D$5:$D$17,MATCH(P981,'Category Rules'!$A$5:$A$17,0)))</f>
        <v>4010</v>
      </c>
      <c r="S981" t="str">
        <f>IF(Q981="CONTEXT","Fencing",IF(Q981="REVIEW","",INDEX('Category Rules'!$E$5:$E$17,MATCH(P981,'Category Rules'!$A$5:$A$17,0))))</f>
        <v>Fencing</v>
      </c>
      <c r="T981" t="str">
        <f>IF(Q981="DEP","BAS Excluded","GST on Income")</f>
        <v>GST on Income</v>
      </c>
      <c r="U981">
        <f>IF(O981=T981,1,0)</f>
        <v>0</v>
      </c>
      <c r="V981" s="9">
        <f>IF(OR(M981=0,U981=1),0,IF(T981="GST on Income",ROUND(K981*0.1,2),ROUND(-K981*0.1,2)))</f>
        <v>54.9</v>
      </c>
    </row>
    <row r="982">
      <c r="A982" t="inlineStr">
        <is>
          <t>INV-4955-1</t>
        </is>
      </c>
      <c r="B982" t="inlineStr">
        <is>
          <t>INV-4955</t>
        </is>
      </c>
      <c r="C982" s="11" t="n">
        <v>45989</v>
      </c>
      <c r="D982" t="inlineStr">
        <is>
          <t>2025-11</t>
        </is>
      </c>
      <c r="E982" t="inlineStr">
        <is>
          <t>C0018</t>
        </is>
      </c>
      <c r="F982" t="inlineStr">
        <is>
          <t>C0018</t>
        </is>
      </c>
      <c r="G982" t="inlineStr">
        <is>
          <t>Wattle Constructions Pty Ltd</t>
        </is>
      </c>
      <c r="H982" t="inlineStr">
        <is>
          <t>S0181</t>
        </is>
      </c>
      <c r="I982" t="inlineStr">
        <is>
          <t>Collection and dismantle - temporary fencing</t>
        </is>
      </c>
      <c r="J982" t="n">
        <v>1</v>
      </c>
      <c r="K982" s="9" t="n">
        <v>165</v>
      </c>
      <c r="L982" t="inlineStr">
        <is>
          <t>PAID</t>
        </is>
      </c>
      <c r="M982">
        <f>IF(L982="VOIDED",0,1)</f>
        <v>1</v>
      </c>
      <c r="N982" t="n">
        <v>200</v>
      </c>
      <c r="O982" t="inlineStr">
        <is>
          <t>GST on Income</t>
        </is>
      </c>
      <c r="P982" t="inlineStr">
        <is>
          <t>R07</t>
        </is>
      </c>
      <c r="Q982" t="inlineStr">
        <is>
          <t>DEL-FP</t>
        </is>
      </c>
      <c r="R982">
        <f>IF(OR(Q982="CONTEXT",Q982="REVIEW"),"",INDEX('Category Rules'!$D$5:$D$17,MATCH(P982,'Category Rules'!$A$5:$A$17,0)))</f>
        <v>4020</v>
      </c>
      <c r="S982" t="str">
        <f>IF(Q982="CONTEXT","Fencing",IF(Q982="REVIEW","",INDEX('Category Rules'!$E$5:$E$17,MATCH(P982,'Category Rules'!$A$5:$A$17,0))))</f>
        <v>Fencing</v>
      </c>
      <c r="T982" t="str">
        <f>IF(Q982="DEP","BAS Excluded","GST on Income")</f>
        <v>GST on Income</v>
      </c>
      <c r="U982">
        <f>IF(O982=T982,1,0)</f>
        <v>1</v>
      </c>
      <c r="V982" s="9">
        <f>IF(OR(M982=0,U982=1),0,IF(T982="GST on Income",ROUND(K982*0.1,2),ROUND(-K982*0.1,2)))</f>
        <v>0</v>
      </c>
    </row>
    <row r="983">
      <c r="A983" t="inlineStr">
        <is>
          <t>INV-5202-1</t>
        </is>
      </c>
      <c r="B983" t="inlineStr">
        <is>
          <t>INV-5202</t>
        </is>
      </c>
      <c r="C983" s="11" t="n">
        <v>45989</v>
      </c>
      <c r="D983" t="inlineStr">
        <is>
          <t>2025-11</t>
        </is>
      </c>
      <c r="E983" t="inlineStr">
        <is>
          <t>C0118</t>
        </is>
      </c>
      <c r="F983" t="inlineStr">
        <is>
          <t>C0118</t>
        </is>
      </c>
      <c r="G983" t="inlineStr">
        <is>
          <t>Sofia Singh</t>
        </is>
      </c>
      <c r="H983" t="inlineStr">
        <is>
          <t>S0236</t>
        </is>
      </c>
      <c r="I983" t="inlineStr">
        <is>
          <t>Scaffold tower hire 4 wks (06/11/25-27/11/25) - 2 towers</t>
        </is>
      </c>
      <c r="J983" t="n">
        <v>8</v>
      </c>
      <c r="K983" s="9" t="n">
        <v>760</v>
      </c>
      <c r="L983" t="inlineStr">
        <is>
          <t>PAID</t>
        </is>
      </c>
      <c r="M983">
        <f>IF(L983="VOIDED",0,1)</f>
        <v>1</v>
      </c>
      <c r="N983" t="n">
        <v>200</v>
      </c>
      <c r="O983" t="inlineStr">
        <is>
          <t>GST on Income</t>
        </is>
      </c>
      <c r="P983" t="inlineStr">
        <is>
          <t>R05</t>
        </is>
      </c>
      <c r="Q983" t="inlineStr">
        <is>
          <t>HIRE-ST</t>
        </is>
      </c>
      <c r="R983">
        <f>IF(OR(Q983="CONTEXT",Q983="REVIEW"),"",INDEX('Category Rules'!$D$5:$D$17,MATCH(P983,'Category Rules'!$A$5:$A$17,0)))</f>
        <v>4010</v>
      </c>
      <c r="S983" t="str">
        <f>IF(Q983="CONTEXT","Scaffolding",IF(Q983="REVIEW","",INDEX('Category Rules'!$E$5:$E$17,MATCH(P983,'Category Rules'!$A$5:$A$17,0))))</f>
        <v>Scaffolding</v>
      </c>
      <c r="T983" t="str">
        <f>IF(Q983="DEP","BAS Excluded","GST on Income")</f>
        <v>GST on Income</v>
      </c>
      <c r="U983">
        <f>IF(O983=T983,1,0)</f>
        <v>1</v>
      </c>
      <c r="V983" s="9">
        <f>IF(OR(M983=0,U983=1),0,IF(T983="GST on Income",ROUND(K983*0.1,2),ROUND(-K983*0.1,2)))</f>
        <v>0</v>
      </c>
    </row>
    <row r="984">
      <c r="A984" t="inlineStr">
        <is>
          <t>INV-5204-1</t>
        </is>
      </c>
      <c r="B984" t="inlineStr">
        <is>
          <t>INV-5204</t>
        </is>
      </c>
      <c r="C984" s="11" t="n">
        <v>45989</v>
      </c>
      <c r="D984" t="inlineStr">
        <is>
          <t>2025-11</t>
        </is>
      </c>
      <c r="E984" t="inlineStr">
        <is>
          <t>C0118</t>
        </is>
      </c>
      <c r="F984" t="inlineStr">
        <is>
          <t>C0118</t>
        </is>
      </c>
      <c r="G984" t="inlineStr">
        <is>
          <t>Sofia Singh</t>
        </is>
      </c>
      <c r="H984" t="inlineStr">
        <is>
          <t>S0236</t>
        </is>
      </c>
      <c r="I984" t="inlineStr">
        <is>
          <t>Scaffold dismantle - 2 tower(s)</t>
        </is>
      </c>
      <c r="J984" t="n">
        <v>2</v>
      </c>
      <c r="K984" s="9" t="n">
        <v>640</v>
      </c>
      <c r="L984" t="inlineStr">
        <is>
          <t>PAID</t>
        </is>
      </c>
      <c r="M984">
        <f>IF(L984="VOIDED",0,1)</f>
        <v>1</v>
      </c>
      <c r="N984" t="n">
        <v>260</v>
      </c>
      <c r="O984" t="inlineStr">
        <is>
          <t>GST on Income</t>
        </is>
      </c>
      <c r="P984" t="inlineStr">
        <is>
          <t>R08</t>
        </is>
      </c>
      <c r="Q984" t="inlineStr">
        <is>
          <t>LAB-ST</t>
        </is>
      </c>
      <c r="R984">
        <f>IF(OR(Q984="CONTEXT",Q984="REVIEW"),"",INDEX('Category Rules'!$D$5:$D$17,MATCH(P984,'Category Rules'!$A$5:$A$17,0)))</f>
        <v>4020</v>
      </c>
      <c r="S984" t="str">
        <f>IF(Q984="CONTEXT","Scaffolding",IF(Q984="REVIEW","",INDEX('Category Rules'!$E$5:$E$17,MATCH(P984,'Category Rules'!$A$5:$A$17,0))))</f>
        <v>Scaffolding</v>
      </c>
      <c r="T984" t="str">
        <f>IF(Q984="DEP","BAS Excluded","GST on Income")</f>
        <v>GST on Income</v>
      </c>
      <c r="U984">
        <f>IF(O984=T984,1,0)</f>
        <v>1</v>
      </c>
      <c r="V984" s="9">
        <f>IF(OR(M984=0,U984=1),0,IF(T984="GST on Income",ROUND(K984*0.1,2),ROUND(-K984*0.1,2)))</f>
        <v>0</v>
      </c>
    </row>
    <row r="985">
      <c r="A985" t="inlineStr">
        <is>
          <t>INV-4197-1</t>
        </is>
      </c>
      <c r="B985" t="inlineStr">
        <is>
          <t>INV-4197</t>
        </is>
      </c>
      <c r="C985" s="11" t="n">
        <v>45990</v>
      </c>
      <c r="D985" t="inlineStr">
        <is>
          <t>2025-11</t>
        </is>
      </c>
      <c r="E985" t="inlineStr">
        <is>
          <t>C0034</t>
        </is>
      </c>
      <c r="F985" t="inlineStr">
        <is>
          <t>C0034</t>
        </is>
      </c>
      <c r="G985" t="inlineStr">
        <is>
          <t>Norfolk Constructions Pty Ltd</t>
        </is>
      </c>
      <c r="H985" t="inlineStr">
        <is>
          <t>S0018</t>
        </is>
      </c>
      <c r="I985" t="inlineStr">
        <is>
          <t>Temporary fence hire 4 wks (01/11/25-28/11/25) - 44 panels</t>
        </is>
      </c>
      <c r="J985" t="n">
        <v>176</v>
      </c>
      <c r="K985" s="9" t="n">
        <v>792</v>
      </c>
      <c r="L985" t="inlineStr">
        <is>
          <t>PAID</t>
        </is>
      </c>
      <c r="M985">
        <f>IF(L985="VOIDED",0,1)</f>
        <v>1</v>
      </c>
      <c r="N985" t="n">
        <v>200</v>
      </c>
      <c r="O985" t="inlineStr">
        <is>
          <t>GST on Income</t>
        </is>
      </c>
      <c r="P985" t="inlineStr">
        <is>
          <t>R03</t>
        </is>
      </c>
      <c r="Q985" t="inlineStr">
        <is>
          <t>HIRE-FP</t>
        </is>
      </c>
      <c r="R985">
        <f>IF(OR(Q985="CONTEXT",Q985="REVIEW"),"",INDEX('Category Rules'!$D$5:$D$17,MATCH(P985,'Category Rules'!$A$5:$A$17,0)))</f>
        <v>4010</v>
      </c>
      <c r="S985" t="str">
        <f>IF(Q985="CONTEXT","Fencing",IF(Q985="REVIEW","",INDEX('Category Rules'!$E$5:$E$17,MATCH(P985,'Category Rules'!$A$5:$A$17,0))))</f>
        <v>Fencing</v>
      </c>
      <c r="T985" t="str">
        <f>IF(Q985="DEP","BAS Excluded","GST on Income")</f>
        <v>GST on Income</v>
      </c>
      <c r="U985">
        <f>IF(O985=T985,1,0)</f>
        <v>1</v>
      </c>
      <c r="V985" s="9">
        <f>IF(OR(M985=0,U985=1),0,IF(T985="GST on Income",ROUND(K985*0.1,2),ROUND(-K985*0.1,2)))</f>
        <v>0</v>
      </c>
    </row>
    <row r="986">
      <c r="A986" t="inlineStr">
        <is>
          <t>INV-5467-1</t>
        </is>
      </c>
      <c r="B986" t="inlineStr">
        <is>
          <t>INV-5467</t>
        </is>
      </c>
      <c r="C986" s="11" t="n">
        <v>45990</v>
      </c>
      <c r="D986" t="inlineStr">
        <is>
          <t>2025-11</t>
        </is>
      </c>
      <c r="E986" t="inlineStr">
        <is>
          <t>C0147</t>
        </is>
      </c>
      <c r="F986" t="inlineStr">
        <is>
          <t>C0067</t>
        </is>
      </c>
      <c r="G986" t="inlineStr">
        <is>
          <t>Banksia Claims Services Pty Ltd</t>
        </is>
      </c>
      <c r="H986" t="inlineStr">
        <is>
          <t>S0305</t>
        </is>
      </c>
      <c r="I986" t="inlineStr">
        <is>
          <t>Emergency make safe call-out - after hours</t>
        </is>
      </c>
      <c r="J986" t="n">
        <v>1</v>
      </c>
      <c r="K986" s="9" t="n">
        <v>560</v>
      </c>
      <c r="L986" t="inlineStr">
        <is>
          <t>PAID</t>
        </is>
      </c>
      <c r="M986">
        <f>IF(L986="VOIDED",0,1)</f>
        <v>1</v>
      </c>
      <c r="N986" t="n">
        <v>200</v>
      </c>
      <c r="O986" t="inlineStr">
        <is>
          <t>GST on Income</t>
        </is>
      </c>
      <c r="P986" t="inlineStr">
        <is>
          <t>R09</t>
        </is>
      </c>
      <c r="Q986" t="inlineStr">
        <is>
          <t>MS</t>
        </is>
      </c>
      <c r="R986">
        <f>IF(OR(Q986="CONTEXT",Q986="REVIEW"),"",INDEX('Category Rules'!$D$5:$D$17,MATCH(P986,'Category Rules'!$A$5:$A$17,0)))</f>
        <v>4020</v>
      </c>
      <c r="S986" t="str">
        <f>IF(Q986="CONTEXT","Make-safe",IF(Q986="REVIEW","",INDEX('Category Rules'!$E$5:$E$17,MATCH(P986,'Category Rules'!$A$5:$A$17,0))))</f>
        <v>Make-safe</v>
      </c>
      <c r="T986" t="str">
        <f>IF(Q986="DEP","BAS Excluded","GST on Income")</f>
        <v>GST on Income</v>
      </c>
      <c r="U986">
        <f>IF(O986=T986,1,0)</f>
        <v>1</v>
      </c>
      <c r="V986" s="9">
        <f>IF(OR(M986=0,U986=1),0,IF(T986="GST on Income",ROUND(K986*0.1,2),ROUND(-K986*0.1,2)))</f>
        <v>0</v>
      </c>
    </row>
    <row r="987">
      <c r="A987" t="inlineStr">
        <is>
          <t>INV-5467-2</t>
        </is>
      </c>
      <c r="B987" t="inlineStr">
        <is>
          <t>INV-5467</t>
        </is>
      </c>
      <c r="C987" s="11" t="n">
        <v>45990</v>
      </c>
      <c r="D987" t="inlineStr">
        <is>
          <t>2025-11</t>
        </is>
      </c>
      <c r="E987" t="inlineStr">
        <is>
          <t>C0147</t>
        </is>
      </c>
      <c r="F987" t="inlineStr">
        <is>
          <t>C0067</t>
        </is>
      </c>
      <c r="G987" t="inlineStr">
        <is>
          <t>Banksia Claims Services Pty Ltd</t>
        </is>
      </c>
      <c r="H987" t="inlineStr">
        <is>
          <t>S0305</t>
        </is>
      </c>
      <c r="I987" t="inlineStr">
        <is>
          <t>Tarp supply and install - 2 tarp(s)</t>
        </is>
      </c>
      <c r="J987" t="n">
        <v>2</v>
      </c>
      <c r="K987" s="9" t="n">
        <v>480</v>
      </c>
      <c r="L987" t="inlineStr">
        <is>
          <t>PAID</t>
        </is>
      </c>
      <c r="M987">
        <f>IF(L987="VOIDED",0,1)</f>
        <v>1</v>
      </c>
      <c r="N987" t="n">
        <v>200</v>
      </c>
      <c r="O987" t="inlineStr">
        <is>
          <t>GST on Income</t>
        </is>
      </c>
      <c r="P987" t="inlineStr">
        <is>
          <t>R09</t>
        </is>
      </c>
      <c r="Q987" t="inlineStr">
        <is>
          <t>MS</t>
        </is>
      </c>
      <c r="R987">
        <f>IF(OR(Q987="CONTEXT",Q987="REVIEW"),"",INDEX('Category Rules'!$D$5:$D$17,MATCH(P987,'Category Rules'!$A$5:$A$17,0)))</f>
        <v>4020</v>
      </c>
      <c r="S987" t="str">
        <f>IF(Q987="CONTEXT","Make-safe",IF(Q987="REVIEW","",INDEX('Category Rules'!$E$5:$E$17,MATCH(P987,'Category Rules'!$A$5:$A$17,0))))</f>
        <v>Make-safe</v>
      </c>
      <c r="T987" t="str">
        <f>IF(Q987="DEP","BAS Excluded","GST on Income")</f>
        <v>GST on Income</v>
      </c>
      <c r="U987">
        <f>IF(O987=T987,1,0)</f>
        <v>1</v>
      </c>
      <c r="V987" s="9">
        <f>IF(OR(M987=0,U987=1),0,IF(T987="GST on Income",ROUND(K987*0.1,2),ROUND(-K987*0.1,2)))</f>
        <v>0</v>
      </c>
    </row>
    <row r="988">
      <c r="A988" t="inlineStr">
        <is>
          <t>INV-5641-1</t>
        </is>
      </c>
      <c r="B988" t="inlineStr">
        <is>
          <t>INV-5641</t>
        </is>
      </c>
      <c r="C988" s="11" t="n">
        <v>45990</v>
      </c>
      <c r="D988" t="inlineStr">
        <is>
          <t>2025-11</t>
        </is>
      </c>
      <c r="E988" t="inlineStr">
        <is>
          <t>C0054</t>
        </is>
      </c>
      <c r="F988" t="inlineStr">
        <is>
          <t>C0054</t>
        </is>
      </c>
      <c r="G988" t="inlineStr">
        <is>
          <t>Westside Strata Management Pty Ltd</t>
        </is>
      </c>
      <c r="H988" t="inlineStr">
        <is>
          <t>S0402</t>
        </is>
      </c>
      <c r="I988" t="inlineStr">
        <is>
          <t>Roof repair labour - 4 hrs</t>
        </is>
      </c>
      <c r="J988" t="n">
        <v>4</v>
      </c>
      <c r="K988" s="9" t="n">
        <v>392</v>
      </c>
      <c r="L988" t="inlineStr">
        <is>
          <t>PAID</t>
        </is>
      </c>
      <c r="M988">
        <f>IF(L988="VOIDED",0,1)</f>
        <v>1</v>
      </c>
      <c r="N988" t="n">
        <v>200</v>
      </c>
      <c r="O988" t="inlineStr">
        <is>
          <t>GST on Income</t>
        </is>
      </c>
      <c r="P988" t="inlineStr">
        <is>
          <t>R10</t>
        </is>
      </c>
      <c r="Q988" t="inlineStr">
        <is>
          <t>LAB-RF</t>
        </is>
      </c>
      <c r="R988">
        <f>IF(OR(Q988="CONTEXT",Q988="REVIEW"),"",INDEX('Category Rules'!$D$5:$D$17,MATCH(P988,'Category Rules'!$A$5:$A$17,0)))</f>
        <v>4020</v>
      </c>
      <c r="S988" t="str">
        <f>IF(Q988="CONTEXT","Roofing",IF(Q988="REVIEW","",INDEX('Category Rules'!$E$5:$E$17,MATCH(P988,'Category Rules'!$A$5:$A$17,0))))</f>
        <v>Roofing</v>
      </c>
      <c r="T988" t="str">
        <f>IF(Q988="DEP","BAS Excluded","GST on Income")</f>
        <v>GST on Income</v>
      </c>
      <c r="U988">
        <f>IF(O988=T988,1,0)</f>
        <v>1</v>
      </c>
      <c r="V988" s="9">
        <f>IF(OR(M988=0,U988=1),0,IF(T988="GST on Income",ROUND(K988*0.1,2),ROUND(-K988*0.1,2)))</f>
        <v>0</v>
      </c>
    </row>
    <row r="989">
      <c r="A989" t="inlineStr">
        <is>
          <t>INV-5641-2</t>
        </is>
      </c>
      <c r="B989" t="inlineStr">
        <is>
          <t>INV-5641</t>
        </is>
      </c>
      <c r="C989" s="11" t="n">
        <v>45990</v>
      </c>
      <c r="D989" t="inlineStr">
        <is>
          <t>2025-11</t>
        </is>
      </c>
      <c r="E989" t="inlineStr">
        <is>
          <t>C0054</t>
        </is>
      </c>
      <c r="F989" t="inlineStr">
        <is>
          <t>C0054</t>
        </is>
      </c>
      <c r="G989" t="inlineStr">
        <is>
          <t>Westside Strata Management Pty Ltd</t>
        </is>
      </c>
      <c r="H989" t="inlineStr">
        <is>
          <t>S0402</t>
        </is>
      </c>
      <c r="I989" t="inlineStr">
        <is>
          <t>Materials - gutter and downpipe</t>
        </is>
      </c>
      <c r="J989" t="n">
        <v>1</v>
      </c>
      <c r="K989" s="9" t="n">
        <v>664.2</v>
      </c>
      <c r="L989" t="inlineStr">
        <is>
          <t>PAID</t>
        </is>
      </c>
      <c r="M989">
        <f>IF(L989="VOIDED",0,1)</f>
        <v>1</v>
      </c>
      <c r="N989" t="n">
        <v>200</v>
      </c>
      <c r="O989" t="inlineStr">
        <is>
          <t>GST on Income</t>
        </is>
      </c>
      <c r="P989" t="inlineStr">
        <is>
          <t>R11</t>
        </is>
      </c>
      <c r="Q989" t="inlineStr">
        <is>
          <t>MAT-RF</t>
        </is>
      </c>
      <c r="R989">
        <f>IF(OR(Q989="CONTEXT",Q989="REVIEW"),"",INDEX('Category Rules'!$D$5:$D$17,MATCH(P989,'Category Rules'!$A$5:$A$17,0)))</f>
        <v>4030</v>
      </c>
      <c r="S989" t="str">
        <f>IF(Q989="CONTEXT","Roofing",IF(Q989="REVIEW","",INDEX('Category Rules'!$E$5:$E$17,MATCH(P989,'Category Rules'!$A$5:$A$17,0))))</f>
        <v>Roofing</v>
      </c>
      <c r="T989" t="str">
        <f>IF(Q989="DEP","BAS Excluded","GST on Income")</f>
        <v>GST on Income</v>
      </c>
      <c r="U989">
        <f>IF(O989=T989,1,0)</f>
        <v>1</v>
      </c>
      <c r="V989" s="9">
        <f>IF(OR(M989=0,U989=1),0,IF(T989="GST on Income",ROUND(K989*0.1,2),ROUND(-K989*0.1,2)))</f>
        <v>0</v>
      </c>
    </row>
    <row r="990">
      <c r="A990" t="inlineStr">
        <is>
          <t>INV-5641-3</t>
        </is>
      </c>
      <c r="B990" t="inlineStr">
        <is>
          <t>INV-5641</t>
        </is>
      </c>
      <c r="C990" s="11" t="n">
        <v>45990</v>
      </c>
      <c r="D990" t="inlineStr">
        <is>
          <t>2025-11</t>
        </is>
      </c>
      <c r="E990" t="inlineStr">
        <is>
          <t>C0054</t>
        </is>
      </c>
      <c r="F990" t="inlineStr">
        <is>
          <t>C0054</t>
        </is>
      </c>
      <c r="G990" t="inlineStr">
        <is>
          <t>Westside Strata Management Pty Ltd</t>
        </is>
      </c>
      <c r="H990" t="inlineStr">
        <is>
          <t>S0402</t>
        </is>
      </c>
      <c r="I990" t="inlineStr">
        <is>
          <t>Materials - flashing</t>
        </is>
      </c>
      <c r="J990" t="n">
        <v>1</v>
      </c>
      <c r="K990" s="9" t="n">
        <v>968.54</v>
      </c>
      <c r="L990" t="inlineStr">
        <is>
          <t>PAID</t>
        </is>
      </c>
      <c r="M990">
        <f>IF(L990="VOIDED",0,1)</f>
        <v>1</v>
      </c>
      <c r="N990" t="n">
        <v>200</v>
      </c>
      <c r="O990" t="inlineStr">
        <is>
          <t>GST on Income</t>
        </is>
      </c>
      <c r="P990" t="inlineStr">
        <is>
          <t>R11</t>
        </is>
      </c>
      <c r="Q990" t="inlineStr">
        <is>
          <t>MAT-RF</t>
        </is>
      </c>
      <c r="R990">
        <f>IF(OR(Q990="CONTEXT",Q990="REVIEW"),"",INDEX('Category Rules'!$D$5:$D$17,MATCH(P990,'Category Rules'!$A$5:$A$17,0)))</f>
        <v>4030</v>
      </c>
      <c r="S990" t="str">
        <f>IF(Q990="CONTEXT","Roofing",IF(Q990="REVIEW","",INDEX('Category Rules'!$E$5:$E$17,MATCH(P990,'Category Rules'!$A$5:$A$17,0))))</f>
        <v>Roofing</v>
      </c>
      <c r="T990" t="str">
        <f>IF(Q990="DEP","BAS Excluded","GST on Income")</f>
        <v>GST on Income</v>
      </c>
      <c r="U990">
        <f>IF(O990=T990,1,0)</f>
        <v>1</v>
      </c>
      <c r="V990" s="9">
        <f>IF(OR(M990=0,U990=1),0,IF(T990="GST on Income",ROUND(K990*0.1,2),ROUND(-K990*0.1,2)))</f>
        <v>0</v>
      </c>
    </row>
    <row r="991">
      <c r="A991" t="inlineStr">
        <is>
          <t>CN-5942-1</t>
        </is>
      </c>
      <c r="B991" t="inlineStr">
        <is>
          <t>CN-5942</t>
        </is>
      </c>
      <c r="C991" s="11" t="n">
        <v>45991</v>
      </c>
      <c r="D991" t="inlineStr">
        <is>
          <t>2025-11</t>
        </is>
      </c>
      <c r="E991" t="inlineStr">
        <is>
          <t>C0007</t>
        </is>
      </c>
      <c r="F991" t="inlineStr">
        <is>
          <t>C0007</t>
        </is>
      </c>
      <c r="G991" t="inlineStr">
        <is>
          <t>Eastlink Projects</t>
        </is>
      </c>
      <c r="H991" t="inlineStr">
        <is>
          <t>S0161</t>
        </is>
      </c>
      <c r="I991" t="inlineStr">
        <is>
          <t>Refund of security deposit - fence panels</t>
        </is>
      </c>
      <c r="J991" t="n">
        <v>1</v>
      </c>
      <c r="K991" s="9" t="n">
        <v>-790</v>
      </c>
      <c r="L991" t="inlineStr">
        <is>
          <t>PAID</t>
        </is>
      </c>
      <c r="M991">
        <f>IF(L991="VOIDED",0,1)</f>
        <v>1</v>
      </c>
      <c r="N991" t="n">
        <v>200</v>
      </c>
      <c r="O991" t="inlineStr">
        <is>
          <t>GST on Income</t>
        </is>
      </c>
      <c r="P991" t="inlineStr">
        <is>
          <t>R01</t>
        </is>
      </c>
      <c r="Q991" t="inlineStr">
        <is>
          <t>DEP</t>
        </is>
      </c>
      <c r="R991">
        <f>IF(OR(Q991="CONTEXT",Q991="REVIEW"),"",INDEX('Category Rules'!$D$5:$D$17,MATCH(P991,'Category Rules'!$A$5:$A$17,0)))</f>
        <v>835</v>
      </c>
      <c r="S991" t="str">
        <f>IF(Q991="CONTEXT","Fencing",IF(Q991="REVIEW","",INDEX('Category Rules'!$E$5:$E$17,MATCH(P991,'Category Rules'!$A$5:$A$17,0))))</f>
        <v>Fencing</v>
      </c>
      <c r="T991" t="str">
        <f>IF(Q991="DEP","BAS Excluded","GST on Income")</f>
        <v>BAS Excluded</v>
      </c>
      <c r="U991">
        <f>IF(O991=T991,1,0)</f>
        <v>0</v>
      </c>
      <c r="V991" s="9">
        <f>IF(OR(M991=0,U991=1),0,IF(T991="GST on Income",ROUND(K991*0.1,2),ROUND(-K991*0.1,2)))</f>
        <v>79</v>
      </c>
    </row>
    <row r="992">
      <c r="A992" t="inlineStr">
        <is>
          <t>INV-4997-1</t>
        </is>
      </c>
      <c r="B992" t="inlineStr">
        <is>
          <t>INV-4997</t>
        </is>
      </c>
      <c r="C992" s="11" t="n">
        <v>45991</v>
      </c>
      <c r="D992" t="inlineStr">
        <is>
          <t>2025-11</t>
        </is>
      </c>
      <c r="E992" t="inlineStr">
        <is>
          <t>C0075</t>
        </is>
      </c>
      <c r="F992" t="inlineStr">
        <is>
          <t>C0075</t>
        </is>
      </c>
      <c r="G992" t="inlineStr">
        <is>
          <t>Oakridge Productions</t>
        </is>
      </c>
      <c r="H992" t="inlineStr">
        <is>
          <t>S0194</t>
        </is>
      </c>
      <c r="I992" t="inlineStr">
        <is>
          <t>Delivery and installation - temporary fencing</t>
        </is>
      </c>
      <c r="J992" t="n">
        <v>1</v>
      </c>
      <c r="K992" s="9" t="n">
        <v>165</v>
      </c>
      <c r="L992" t="inlineStr">
        <is>
          <t>PAID</t>
        </is>
      </c>
      <c r="M992">
        <f>IF(L992="VOIDED",0,1)</f>
        <v>1</v>
      </c>
      <c r="N992" t="n">
        <v>200</v>
      </c>
      <c r="O992" t="inlineStr">
        <is>
          <t>GST on Income</t>
        </is>
      </c>
      <c r="P992" t="inlineStr">
        <is>
          <t>R07</t>
        </is>
      </c>
      <c r="Q992" t="inlineStr">
        <is>
          <t>DEL-FP</t>
        </is>
      </c>
      <c r="R992">
        <f>IF(OR(Q992="CONTEXT",Q992="REVIEW"),"",INDEX('Category Rules'!$D$5:$D$17,MATCH(P992,'Category Rules'!$A$5:$A$17,0)))</f>
        <v>4020</v>
      </c>
      <c r="S992" t="str">
        <f>IF(Q992="CONTEXT","Fencing",IF(Q992="REVIEW","",INDEX('Category Rules'!$E$5:$E$17,MATCH(P992,'Category Rules'!$A$5:$A$17,0))))</f>
        <v>Fencing</v>
      </c>
      <c r="T992" t="str">
        <f>IF(Q992="DEP","BAS Excluded","GST on Income")</f>
        <v>GST on Income</v>
      </c>
      <c r="U992">
        <f>IF(O992=T992,1,0)</f>
        <v>1</v>
      </c>
      <c r="V992" s="9">
        <f>IF(OR(M992=0,U992=1),0,IF(T992="GST on Income",ROUND(K992*0.1,2),ROUND(-K992*0.1,2)))</f>
        <v>0</v>
      </c>
    </row>
    <row r="993">
      <c r="A993" t="inlineStr">
        <is>
          <t>INV-4997-2</t>
        </is>
      </c>
      <c r="B993" t="inlineStr">
        <is>
          <t>INV-4997</t>
        </is>
      </c>
      <c r="C993" s="11" t="n">
        <v>45991</v>
      </c>
      <c r="D993" t="inlineStr">
        <is>
          <t>2025-11</t>
        </is>
      </c>
      <c r="E993" t="inlineStr">
        <is>
          <t>C0075</t>
        </is>
      </c>
      <c r="F993" t="inlineStr">
        <is>
          <t>C0075</t>
        </is>
      </c>
      <c r="G993" t="inlineStr">
        <is>
          <t>Oakridge Productions</t>
        </is>
      </c>
      <c r="H993" t="inlineStr">
        <is>
          <t>S0194</t>
        </is>
      </c>
      <c r="I993" t="inlineStr">
        <is>
          <t>Installation labour - 66 panels @ 2.20</t>
        </is>
      </c>
      <c r="J993" t="n">
        <v>66</v>
      </c>
      <c r="K993" s="9" t="n">
        <v>145.2</v>
      </c>
      <c r="L993" t="inlineStr">
        <is>
          <t>PAID</t>
        </is>
      </c>
      <c r="M993">
        <f>IF(L993="VOIDED",0,1)</f>
        <v>1</v>
      </c>
      <c r="N993" t="n">
        <v>200</v>
      </c>
      <c r="O993" t="inlineStr">
        <is>
          <t>GST on Income</t>
        </is>
      </c>
      <c r="P993" t="inlineStr">
        <is>
          <t>R07</t>
        </is>
      </c>
      <c r="Q993" t="inlineStr">
        <is>
          <t>DEL-FP</t>
        </is>
      </c>
      <c r="R993">
        <f>IF(OR(Q993="CONTEXT",Q993="REVIEW"),"",INDEX('Category Rules'!$D$5:$D$17,MATCH(P993,'Category Rules'!$A$5:$A$17,0)))</f>
        <v>4020</v>
      </c>
      <c r="S993" t="str">
        <f>IF(Q993="CONTEXT","Fencing",IF(Q993="REVIEW","",INDEX('Category Rules'!$E$5:$E$17,MATCH(P993,'Category Rules'!$A$5:$A$17,0))))</f>
        <v>Fencing</v>
      </c>
      <c r="T993" t="str">
        <f>IF(Q993="DEP","BAS Excluded","GST on Income")</f>
        <v>GST on Income</v>
      </c>
      <c r="U993">
        <f>IF(O993=T993,1,0)</f>
        <v>1</v>
      </c>
      <c r="V993" s="9">
        <f>IF(OR(M993=0,U993=1),0,IF(T993="GST on Income",ROUND(K993*0.1,2),ROUND(-K993*0.1,2)))</f>
        <v>0</v>
      </c>
    </row>
    <row r="994">
      <c r="A994" t="inlineStr">
        <is>
          <t>INV-5100-1</t>
        </is>
      </c>
      <c r="B994" t="inlineStr">
        <is>
          <t>INV-5100</t>
        </is>
      </c>
      <c r="C994" s="11" t="n">
        <v>45991</v>
      </c>
      <c r="D994" t="inlineStr">
        <is>
          <t>2025-11</t>
        </is>
      </c>
      <c r="E994" t="inlineStr">
        <is>
          <t>C0002</t>
        </is>
      </c>
      <c r="F994" t="inlineStr">
        <is>
          <t>C0002</t>
        </is>
      </c>
      <c r="G994" t="inlineStr">
        <is>
          <t>Summit Building Group</t>
        </is>
      </c>
      <c r="H994" t="inlineStr">
        <is>
          <t>S0215</t>
        </is>
      </c>
      <c r="I994" t="inlineStr">
        <is>
          <t>Temporary fence hire 4 wks (02/11/25-29/11/25) - 91 panels</t>
        </is>
      </c>
      <c r="J994" t="n">
        <v>364</v>
      </c>
      <c r="K994" s="9" t="n">
        <v>1638</v>
      </c>
      <c r="L994" t="inlineStr">
        <is>
          <t>PAID</t>
        </is>
      </c>
      <c r="M994">
        <f>IF(L994="VOIDED",0,1)</f>
        <v>1</v>
      </c>
      <c r="N994" t="n">
        <v>200</v>
      </c>
      <c r="O994" t="inlineStr">
        <is>
          <t>GST on Income</t>
        </is>
      </c>
      <c r="P994" t="inlineStr">
        <is>
          <t>R03</t>
        </is>
      </c>
      <c r="Q994" t="inlineStr">
        <is>
          <t>HIRE-FP</t>
        </is>
      </c>
      <c r="R994">
        <f>IF(OR(Q994="CONTEXT",Q994="REVIEW"),"",INDEX('Category Rules'!$D$5:$D$17,MATCH(P994,'Category Rules'!$A$5:$A$17,0)))</f>
        <v>4010</v>
      </c>
      <c r="S994" t="str">
        <f>IF(Q994="CONTEXT","Fencing",IF(Q994="REVIEW","",INDEX('Category Rules'!$E$5:$E$17,MATCH(P994,'Category Rules'!$A$5:$A$17,0))))</f>
        <v>Fencing</v>
      </c>
      <c r="T994" t="str">
        <f>IF(Q994="DEP","BAS Excluded","GST on Income")</f>
        <v>GST on Income</v>
      </c>
      <c r="U994">
        <f>IF(O994=T994,1,0)</f>
        <v>1</v>
      </c>
      <c r="V994" s="9">
        <f>IF(OR(M994=0,U994=1),0,IF(T994="GST on Income",ROUND(K994*0.1,2),ROUND(-K994*0.1,2)))</f>
        <v>0</v>
      </c>
    </row>
    <row r="995">
      <c r="A995" t="inlineStr">
        <is>
          <t>INV-5106-1</t>
        </is>
      </c>
      <c r="B995" t="inlineStr">
        <is>
          <t>INV-5106</t>
        </is>
      </c>
      <c r="C995" s="11" t="n">
        <v>45991</v>
      </c>
      <c r="D995" t="inlineStr">
        <is>
          <t>2025-11</t>
        </is>
      </c>
      <c r="E995" t="inlineStr">
        <is>
          <t>C0002</t>
        </is>
      </c>
      <c r="F995" t="inlineStr">
        <is>
          <t>C0002</t>
        </is>
      </c>
      <c r="G995" t="inlineStr">
        <is>
          <t>Summit Building Group</t>
        </is>
      </c>
      <c r="H995" t="inlineStr">
        <is>
          <t>S0215</t>
        </is>
      </c>
      <c r="I995" t="inlineStr">
        <is>
          <t>Pedestrian barrier hire 4 wks (02/11/25-29/11/25) - 18 barriers</t>
        </is>
      </c>
      <c r="J995" t="n">
        <v>72</v>
      </c>
      <c r="K995" s="9" t="n">
        <v>230.4</v>
      </c>
      <c r="L995" t="inlineStr">
        <is>
          <t>PAID</t>
        </is>
      </c>
      <c r="M995">
        <f>IF(L995="VOIDED",0,1)</f>
        <v>1</v>
      </c>
      <c r="N995" t="n">
        <v>200</v>
      </c>
      <c r="O995" t="inlineStr">
        <is>
          <t>GST on Income</t>
        </is>
      </c>
      <c r="P995" t="inlineStr">
        <is>
          <t>R04</t>
        </is>
      </c>
      <c r="Q995" t="inlineStr">
        <is>
          <t>HIRE-BR</t>
        </is>
      </c>
      <c r="R995">
        <f>IF(OR(Q995="CONTEXT",Q995="REVIEW"),"",INDEX('Category Rules'!$D$5:$D$17,MATCH(P995,'Category Rules'!$A$5:$A$17,0)))</f>
        <v>4010</v>
      </c>
      <c r="S995" t="str">
        <f>IF(Q995="CONTEXT","Fencing",IF(Q995="REVIEW","",INDEX('Category Rules'!$E$5:$E$17,MATCH(P995,'Category Rules'!$A$5:$A$17,0))))</f>
        <v>Fencing</v>
      </c>
      <c r="T995" t="str">
        <f>IF(Q995="DEP","BAS Excluded","GST on Income")</f>
        <v>GST on Income</v>
      </c>
      <c r="U995">
        <f>IF(O995=T995,1,0)</f>
        <v>1</v>
      </c>
      <c r="V995" s="9">
        <f>IF(OR(M995=0,U995=1),0,IF(T995="GST on Income",ROUND(K995*0.1,2),ROUND(-K995*0.1,2)))</f>
        <v>0</v>
      </c>
    </row>
    <row r="996">
      <c r="A996" t="inlineStr">
        <is>
          <t>INV-5173-1</t>
        </is>
      </c>
      <c r="B996" t="inlineStr">
        <is>
          <t>INV-5173</t>
        </is>
      </c>
      <c r="C996" s="11" t="n">
        <v>45991</v>
      </c>
      <c r="D996" t="inlineStr">
        <is>
          <t>2025-11</t>
        </is>
      </c>
      <c r="E996" t="inlineStr">
        <is>
          <t>C0148</t>
        </is>
      </c>
      <c r="F996" t="inlineStr">
        <is>
          <t>C0042</t>
        </is>
      </c>
      <c r="G996" t="inlineStr">
        <is>
          <t>Lakeside Constructions Pty Ltd</t>
        </is>
      </c>
      <c r="H996" t="inlineStr">
        <is>
          <t>S0231</t>
        </is>
      </c>
      <c r="I996" t="inlineStr">
        <is>
          <t>Temporary fence hire 4 wks (02/11/25-29/11/25) - 125 panels</t>
        </is>
      </c>
      <c r="J996" t="n">
        <v>500</v>
      </c>
      <c r="K996" s="9" t="n">
        <v>2250</v>
      </c>
      <c r="L996" t="inlineStr">
        <is>
          <t>PAID</t>
        </is>
      </c>
      <c r="M996">
        <f>IF(L996="VOIDED",0,1)</f>
        <v>1</v>
      </c>
      <c r="N996" t="n">
        <v>200</v>
      </c>
      <c r="O996" t="inlineStr">
        <is>
          <t>GST on Income</t>
        </is>
      </c>
      <c r="P996" t="inlineStr">
        <is>
          <t>R03</t>
        </is>
      </c>
      <c r="Q996" t="inlineStr">
        <is>
          <t>HIRE-FP</t>
        </is>
      </c>
      <c r="R996">
        <f>IF(OR(Q996="CONTEXT",Q996="REVIEW"),"",INDEX('Category Rules'!$D$5:$D$17,MATCH(P996,'Category Rules'!$A$5:$A$17,0)))</f>
        <v>4010</v>
      </c>
      <c r="S996" t="str">
        <f>IF(Q996="CONTEXT","Fencing",IF(Q996="REVIEW","",INDEX('Category Rules'!$E$5:$E$17,MATCH(P996,'Category Rules'!$A$5:$A$17,0))))</f>
        <v>Fencing</v>
      </c>
      <c r="T996" t="str">
        <f>IF(Q996="DEP","BAS Excluded","GST on Income")</f>
        <v>GST on Income</v>
      </c>
      <c r="U996">
        <f>IF(O996=T996,1,0)</f>
        <v>1</v>
      </c>
      <c r="V996" s="9">
        <f>IF(OR(M996=0,U996=1),0,IF(T996="GST on Income",ROUND(K996*0.1,2),ROUND(-K996*0.1,2)))</f>
        <v>0</v>
      </c>
    </row>
    <row r="997">
      <c r="A997" t="inlineStr">
        <is>
          <t>INV-5874-1</t>
        </is>
      </c>
      <c r="B997" t="inlineStr">
        <is>
          <t>INV-5874</t>
        </is>
      </c>
      <c r="C997" s="11" t="n">
        <v>45991</v>
      </c>
      <c r="D997" t="inlineStr">
        <is>
          <t>2025-11</t>
        </is>
      </c>
      <c r="E997" t="inlineStr">
        <is>
          <t>C0008</t>
        </is>
      </c>
      <c r="F997" t="inlineStr">
        <is>
          <t>C0008</t>
        </is>
      </c>
      <c r="G997" t="inlineStr">
        <is>
          <t>Redline Builders Pty Ltd</t>
        </is>
      </c>
      <c r="H997" t="inlineStr">
        <is>
          <t>S0534</t>
        </is>
      </c>
      <c r="I997" t="inlineStr">
        <is>
          <t>Roof repair labour - 16 hrs</t>
        </is>
      </c>
      <c r="J997" t="n">
        <v>16</v>
      </c>
      <c r="K997" s="9" t="n">
        <v>1568</v>
      </c>
      <c r="L997" t="inlineStr">
        <is>
          <t>PAID</t>
        </is>
      </c>
      <c r="M997">
        <f>IF(L997="VOIDED",0,1)</f>
        <v>1</v>
      </c>
      <c r="N997" t="n">
        <v>200</v>
      </c>
      <c r="O997" t="inlineStr">
        <is>
          <t>GST on Income</t>
        </is>
      </c>
      <c r="P997" t="inlineStr">
        <is>
          <t>R10</t>
        </is>
      </c>
      <c r="Q997" t="inlineStr">
        <is>
          <t>LAB-RF</t>
        </is>
      </c>
      <c r="R997">
        <f>IF(OR(Q997="CONTEXT",Q997="REVIEW"),"",INDEX('Category Rules'!$D$5:$D$17,MATCH(P997,'Category Rules'!$A$5:$A$17,0)))</f>
        <v>4020</v>
      </c>
      <c r="S997" t="str">
        <f>IF(Q997="CONTEXT","Roofing",IF(Q997="REVIEW","",INDEX('Category Rules'!$E$5:$E$17,MATCH(P997,'Category Rules'!$A$5:$A$17,0))))</f>
        <v>Roofing</v>
      </c>
      <c r="T997" t="str">
        <f>IF(Q997="DEP","BAS Excluded","GST on Income")</f>
        <v>GST on Income</v>
      </c>
      <c r="U997">
        <f>IF(O997=T997,1,0)</f>
        <v>1</v>
      </c>
      <c r="V997" s="9">
        <f>IF(OR(M997=0,U997=1),0,IF(T997="GST on Income",ROUND(K997*0.1,2),ROUND(-K997*0.1,2)))</f>
        <v>0</v>
      </c>
    </row>
    <row r="998">
      <c r="A998" t="inlineStr">
        <is>
          <t>INV-5874-2</t>
        </is>
      </c>
      <c r="B998" t="inlineStr">
        <is>
          <t>INV-5874</t>
        </is>
      </c>
      <c r="C998" s="11" t="n">
        <v>45991</v>
      </c>
      <c r="D998" t="inlineStr">
        <is>
          <t>2025-11</t>
        </is>
      </c>
      <c r="E998" t="inlineStr">
        <is>
          <t>C0008</t>
        </is>
      </c>
      <c r="F998" t="inlineStr">
        <is>
          <t>C0008</t>
        </is>
      </c>
      <c r="G998" t="inlineStr">
        <is>
          <t>Redline Builders Pty Ltd</t>
        </is>
      </c>
      <c r="H998" t="inlineStr">
        <is>
          <t>S0534</t>
        </is>
      </c>
      <c r="I998" t="inlineStr">
        <is>
          <t>Materials - roof tiles (matched)</t>
        </is>
      </c>
      <c r="J998" t="n">
        <v>1</v>
      </c>
      <c r="K998" s="9" t="n">
        <v>348.39</v>
      </c>
      <c r="L998" t="inlineStr">
        <is>
          <t>PAID</t>
        </is>
      </c>
      <c r="M998">
        <f>IF(L998="VOIDED",0,1)</f>
        <v>1</v>
      </c>
      <c r="N998" t="n">
        <v>200</v>
      </c>
      <c r="O998" t="inlineStr">
        <is>
          <t>GST on Income</t>
        </is>
      </c>
      <c r="P998" t="inlineStr">
        <is>
          <t>R11</t>
        </is>
      </c>
      <c r="Q998" t="inlineStr">
        <is>
          <t>MAT-RF</t>
        </is>
      </c>
      <c r="R998">
        <f>IF(OR(Q998="CONTEXT",Q998="REVIEW"),"",INDEX('Category Rules'!$D$5:$D$17,MATCH(P998,'Category Rules'!$A$5:$A$17,0)))</f>
        <v>4030</v>
      </c>
      <c r="S998" t="str">
        <f>IF(Q998="CONTEXT","Roofing",IF(Q998="REVIEW","",INDEX('Category Rules'!$E$5:$E$17,MATCH(P998,'Category Rules'!$A$5:$A$17,0))))</f>
        <v>Roofing</v>
      </c>
      <c r="T998" t="str">
        <f>IF(Q998="DEP","BAS Excluded","GST on Income")</f>
        <v>GST on Income</v>
      </c>
      <c r="U998">
        <f>IF(O998=T998,1,0)</f>
        <v>1</v>
      </c>
      <c r="V998" s="9">
        <f>IF(OR(M998=0,U998=1),0,IF(T998="GST on Income",ROUND(K998*0.1,2),ROUND(-K998*0.1,2)))</f>
        <v>0</v>
      </c>
    </row>
    <row r="999">
      <c r="A999" t="inlineStr">
        <is>
          <t>INV-5874-3</t>
        </is>
      </c>
      <c r="B999" t="inlineStr">
        <is>
          <t>INV-5874</t>
        </is>
      </c>
      <c r="C999" s="11" t="n">
        <v>45991</v>
      </c>
      <c r="D999" t="inlineStr">
        <is>
          <t>2025-11</t>
        </is>
      </c>
      <c r="E999" t="inlineStr">
        <is>
          <t>C0008</t>
        </is>
      </c>
      <c r="F999" t="inlineStr">
        <is>
          <t>C0008</t>
        </is>
      </c>
      <c r="G999" t="inlineStr">
        <is>
          <t>Redline Builders Pty Ltd</t>
        </is>
      </c>
      <c r="H999" t="inlineStr">
        <is>
          <t>S0534</t>
        </is>
      </c>
      <c r="I999" t="inlineStr">
        <is>
          <t>Waste removal and tip fees</t>
        </is>
      </c>
      <c r="J999" t="n">
        <v>1</v>
      </c>
      <c r="K999" s="9" t="n">
        <v>120</v>
      </c>
      <c r="L999" t="inlineStr">
        <is>
          <t>PAID</t>
        </is>
      </c>
      <c r="M999">
        <f>IF(L999="VOIDED",0,1)</f>
        <v>1</v>
      </c>
      <c r="N999" t="n">
        <v>200</v>
      </c>
      <c r="O999" t="inlineStr">
        <is>
          <t>GST on Income</t>
        </is>
      </c>
      <c r="P999" t="inlineStr">
        <is>
          <t>R11</t>
        </is>
      </c>
      <c r="Q999" t="inlineStr">
        <is>
          <t>MAT-RF</t>
        </is>
      </c>
      <c r="R999">
        <f>IF(OR(Q999="CONTEXT",Q999="REVIEW"),"",INDEX('Category Rules'!$D$5:$D$17,MATCH(P999,'Category Rules'!$A$5:$A$17,0)))</f>
        <v>4030</v>
      </c>
      <c r="S999" t="str">
        <f>IF(Q999="CONTEXT","Roofing",IF(Q999="REVIEW","",INDEX('Category Rules'!$E$5:$E$17,MATCH(P999,'Category Rules'!$A$5:$A$17,0))))</f>
        <v>Roofing</v>
      </c>
      <c r="T999" t="str">
        <f>IF(Q999="DEP","BAS Excluded","GST on Income")</f>
        <v>GST on Income</v>
      </c>
      <c r="U999">
        <f>IF(O999=T999,1,0)</f>
        <v>1</v>
      </c>
      <c r="V999" s="9">
        <f>IF(OR(M999=0,U999=1),0,IF(T999="GST on Income",ROUND(K999*0.1,2),ROUND(-K999*0.1,2)))</f>
        <v>0</v>
      </c>
    </row>
    <row r="1000">
      <c r="A1000" t="inlineStr">
        <is>
          <t>INV-5914-1</t>
        </is>
      </c>
      <c r="B1000" t="inlineStr">
        <is>
          <t>INV-5914</t>
        </is>
      </c>
      <c r="C1000" s="11" t="n">
        <v>45991</v>
      </c>
      <c r="D1000" t="inlineStr">
        <is>
          <t>2025-11</t>
        </is>
      </c>
      <c r="E1000" t="inlineStr">
        <is>
          <t>C0014</t>
        </is>
      </c>
      <c r="F1000" t="inlineStr">
        <is>
          <t>C0014</t>
        </is>
      </c>
      <c r="G1000" t="inlineStr">
        <is>
          <t>Riverbend Homes Pty Ltd</t>
        </is>
      </c>
      <c r="H1000" t="inlineStr">
        <is>
          <t>S0008</t>
        </is>
      </c>
      <c r="I1000" t="inlineStr">
        <is>
          <t>Job 4796 - progress claim</t>
        </is>
      </c>
      <c r="J1000" t="n">
        <v>1</v>
      </c>
      <c r="K1000" s="9" t="n">
        <v>1969.25</v>
      </c>
      <c r="L1000" t="inlineStr">
        <is>
          <t>PAID</t>
        </is>
      </c>
      <c r="M1000">
        <f>IF(L1000="VOIDED",0,1)</f>
        <v>1</v>
      </c>
      <c r="N1000" t="n">
        <v>200</v>
      </c>
      <c r="O1000" t="inlineStr">
        <is>
          <t>GST on Income</t>
        </is>
      </c>
      <c r="P1000" t="inlineStr">
        <is>
          <t>R12</t>
        </is>
      </c>
      <c r="Q1000" t="inlineStr">
        <is>
          <t>CONTEXT</t>
        </is>
      </c>
      <c r="R1000">
        <f>IF(OR(Q1000="CONTEXT",Q1000="REVIEW"),"",INDEX('Category Rules'!$D$5:$D$17,MATCH(P1000,'Category Rules'!$A$5:$A$17,0)))</f>
      </c>
      <c r="S1000" t="str">
        <f>IF(Q1000="CONTEXT","Fencing",IF(Q1000="REVIEW","",INDEX('Category Rules'!$E$5:$E$17,MATCH(P1000,'Category Rules'!$A$5:$A$17,0))))</f>
        <v>Fencing</v>
      </c>
      <c r="T1000" t="str">
        <f>IF(Q1000="DEP","BAS Excluded","GST on Income")</f>
        <v>GST on Income</v>
      </c>
      <c r="U1000">
        <f>IF(O1000=T1000,1,0)</f>
        <v>1</v>
      </c>
      <c r="V1000" s="9">
        <f>IF(OR(M1000=0,U1000=1),0,IF(T1000="GST on Income",ROUND(K1000*0.1,2),ROUND(-K1000*0.1,2)))</f>
        <v>0</v>
      </c>
    </row>
    <row r="1001">
      <c r="A1001" t="inlineStr">
        <is>
          <t>INV-5089-1</t>
        </is>
      </c>
      <c r="B1001" t="inlineStr">
        <is>
          <t>INV-5089</t>
        </is>
      </c>
      <c r="C1001" s="11" t="n">
        <v>45992</v>
      </c>
      <c r="D1001" t="inlineStr">
        <is>
          <t>2025-12</t>
        </is>
      </c>
      <c r="E1001" t="inlineStr">
        <is>
          <t>C0086</t>
        </is>
      </c>
      <c r="F1001" t="inlineStr">
        <is>
          <t>C0086</t>
        </is>
      </c>
      <c r="G1001" t="inlineStr">
        <is>
          <t>Mei Ali</t>
        </is>
      </c>
      <c r="H1001" t="inlineStr">
        <is>
          <t>S0212</t>
        </is>
      </c>
      <c r="I1001" t="inlineStr">
        <is>
          <t>Temporary fence hire 4 wks (08/11/25-30/11/25) - 93 panels</t>
        </is>
      </c>
      <c r="J1001" t="n">
        <v>372</v>
      </c>
      <c r="K1001" s="9" t="n">
        <v>1674</v>
      </c>
      <c r="L1001" t="inlineStr">
        <is>
          <t>PAID</t>
        </is>
      </c>
      <c r="M1001">
        <f>IF(L1001="VOIDED",0,1)</f>
        <v>1</v>
      </c>
      <c r="N1001" t="n">
        <v>200</v>
      </c>
      <c r="O1001" t="inlineStr">
        <is>
          <t>GST on Income</t>
        </is>
      </c>
      <c r="P1001" t="inlineStr">
        <is>
          <t>R03</t>
        </is>
      </c>
      <c r="Q1001" t="inlineStr">
        <is>
          <t>HIRE-FP</t>
        </is>
      </c>
      <c r="R1001">
        <f>IF(OR(Q1001="CONTEXT",Q1001="REVIEW"),"",INDEX('Category Rules'!$D$5:$D$17,MATCH(P1001,'Category Rules'!$A$5:$A$17,0)))</f>
        <v>4010</v>
      </c>
      <c r="S1001" t="str">
        <f>IF(Q1001="CONTEXT","Fencing",IF(Q1001="REVIEW","",INDEX('Category Rules'!$E$5:$E$17,MATCH(P1001,'Category Rules'!$A$5:$A$17,0))))</f>
        <v>Fencing</v>
      </c>
      <c r="T1001" t="str">
        <f>IF(Q1001="DEP","BAS Excluded","GST on Income")</f>
        <v>GST on Income</v>
      </c>
      <c r="U1001">
        <f>IF(O1001=T1001,1,0)</f>
        <v>1</v>
      </c>
      <c r="V1001" s="9">
        <f>IF(OR(M1001=0,U1001=1),0,IF(T1001="GST on Income",ROUND(K1001*0.1,2),ROUND(-K1001*0.1,2)))</f>
        <v>0</v>
      </c>
    </row>
    <row r="1002">
      <c r="A1002" t="inlineStr">
        <is>
          <t>INV-5090-1</t>
        </is>
      </c>
      <c r="B1002" t="inlineStr">
        <is>
          <t>INV-5090</t>
        </is>
      </c>
      <c r="C1002" s="11" t="n">
        <v>45992</v>
      </c>
      <c r="D1002" t="inlineStr">
        <is>
          <t>2025-12</t>
        </is>
      </c>
      <c r="E1002" t="inlineStr">
        <is>
          <t>C0086</t>
        </is>
      </c>
      <c r="F1002" t="inlineStr">
        <is>
          <t>C0086</t>
        </is>
      </c>
      <c r="G1002" t="inlineStr">
        <is>
          <t>Mei Ali</t>
        </is>
      </c>
      <c r="H1002" t="inlineStr">
        <is>
          <t>S0212</t>
        </is>
      </c>
      <c r="I1002" t="inlineStr">
        <is>
          <t>Pedestrian barrier hire 4 wks (08/11/25-30/11/25) - 6 barriers</t>
        </is>
      </c>
      <c r="J1002" t="n">
        <v>24</v>
      </c>
      <c r="K1002" s="9" t="n">
        <v>76.8</v>
      </c>
      <c r="L1002" t="inlineStr">
        <is>
          <t>PAID</t>
        </is>
      </c>
      <c r="M1002">
        <f>IF(L1002="VOIDED",0,1)</f>
        <v>1</v>
      </c>
      <c r="N1002" t="n">
        <v>200</v>
      </c>
      <c r="O1002" t="inlineStr">
        <is>
          <t>GST on Income</t>
        </is>
      </c>
      <c r="P1002" t="inlineStr">
        <is>
          <t>R04</t>
        </is>
      </c>
      <c r="Q1002" t="inlineStr">
        <is>
          <t>HIRE-BR</t>
        </is>
      </c>
      <c r="R1002">
        <f>IF(OR(Q1002="CONTEXT",Q1002="REVIEW"),"",INDEX('Category Rules'!$D$5:$D$17,MATCH(P1002,'Category Rules'!$A$5:$A$17,0)))</f>
        <v>4010</v>
      </c>
      <c r="S1002" t="str">
        <f>IF(Q1002="CONTEXT","Fencing",IF(Q1002="REVIEW","",INDEX('Category Rules'!$E$5:$E$17,MATCH(P1002,'Category Rules'!$A$5:$A$17,0))))</f>
        <v>Fencing</v>
      </c>
      <c r="T1002" t="str">
        <f>IF(Q1002="DEP","BAS Excluded","GST on Income")</f>
        <v>GST on Income</v>
      </c>
      <c r="U1002">
        <f>IF(O1002=T1002,1,0)</f>
        <v>1</v>
      </c>
      <c r="V1002" s="9">
        <f>IF(OR(M1002=0,U1002=1),0,IF(T1002="GST on Income",ROUND(K1002*0.1,2),ROUND(-K1002*0.1,2)))</f>
        <v>0</v>
      </c>
    </row>
    <row r="1003">
      <c r="A1003" t="inlineStr">
        <is>
          <t>INV-5092-1</t>
        </is>
      </c>
      <c r="B1003" t="inlineStr">
        <is>
          <t>INV-5092</t>
        </is>
      </c>
      <c r="C1003" s="11" t="n">
        <v>45992</v>
      </c>
      <c r="D1003" t="inlineStr">
        <is>
          <t>2025-12</t>
        </is>
      </c>
      <c r="E1003" t="inlineStr">
        <is>
          <t>C0086</t>
        </is>
      </c>
      <c r="F1003" t="inlineStr">
        <is>
          <t>C0086</t>
        </is>
      </c>
      <c r="G1003" t="inlineStr">
        <is>
          <t>Mei Ali</t>
        </is>
      </c>
      <c r="H1003" t="inlineStr">
        <is>
          <t>S0212</t>
        </is>
      </c>
      <c r="I1003" t="inlineStr">
        <is>
          <t>Collection and dismantle - temporary fencing</t>
        </is>
      </c>
      <c r="J1003" t="n">
        <v>1</v>
      </c>
      <c r="K1003" s="9" t="n">
        <v>165</v>
      </c>
      <c r="L1003" t="inlineStr">
        <is>
          <t>PAID</t>
        </is>
      </c>
      <c r="M1003">
        <f>IF(L1003="VOIDED",0,1)</f>
        <v>1</v>
      </c>
      <c r="N1003" t="n">
        <v>260</v>
      </c>
      <c r="O1003" t="inlineStr">
        <is>
          <t>GST on Income</t>
        </is>
      </c>
      <c r="P1003" t="inlineStr">
        <is>
          <t>R07</t>
        </is>
      </c>
      <c r="Q1003" t="inlineStr">
        <is>
          <t>DEL-FP</t>
        </is>
      </c>
      <c r="R1003">
        <f>IF(OR(Q1003="CONTEXT",Q1003="REVIEW"),"",INDEX('Category Rules'!$D$5:$D$17,MATCH(P1003,'Category Rules'!$A$5:$A$17,0)))</f>
        <v>4020</v>
      </c>
      <c r="S1003" t="str">
        <f>IF(Q1003="CONTEXT","Fencing",IF(Q1003="REVIEW","",INDEX('Category Rules'!$E$5:$E$17,MATCH(P1003,'Category Rules'!$A$5:$A$17,0))))</f>
        <v>Fencing</v>
      </c>
      <c r="T1003" t="str">
        <f>IF(Q1003="DEP","BAS Excluded","GST on Income")</f>
        <v>GST on Income</v>
      </c>
      <c r="U1003">
        <f>IF(O1003=T1003,1,0)</f>
        <v>1</v>
      </c>
      <c r="V1003" s="9">
        <f>IF(OR(M1003=0,U1003=1),0,IF(T1003="GST on Income",ROUND(K1003*0.1,2),ROUND(-K1003*0.1,2)))</f>
        <v>0</v>
      </c>
    </row>
    <row r="1004">
      <c r="A1004" t="inlineStr">
        <is>
          <t>INV-5092-2</t>
        </is>
      </c>
      <c r="B1004" t="inlineStr">
        <is>
          <t>INV-5092</t>
        </is>
      </c>
      <c r="C1004" s="11" t="n">
        <v>45992</v>
      </c>
      <c r="D1004" t="inlineStr">
        <is>
          <t>2025-12</t>
        </is>
      </c>
      <c r="E1004" t="inlineStr">
        <is>
          <t>C0086</t>
        </is>
      </c>
      <c r="F1004" t="inlineStr">
        <is>
          <t>C0086</t>
        </is>
      </c>
      <c r="G1004" t="inlineStr">
        <is>
          <t>Mei Ali</t>
        </is>
      </c>
      <c r="H1004" t="inlineStr">
        <is>
          <t>S0212</t>
        </is>
      </c>
      <c r="I1004" t="inlineStr">
        <is>
          <t>Lost/damaged panels charged - 5 @ 145.00</t>
        </is>
      </c>
      <c r="J1004" t="n">
        <v>5</v>
      </c>
      <c r="K1004" s="9" t="n">
        <v>725</v>
      </c>
      <c r="L1004" t="inlineStr">
        <is>
          <t>PAID</t>
        </is>
      </c>
      <c r="M1004">
        <f>IF(L1004="VOIDED",0,1)</f>
        <v>1</v>
      </c>
      <c r="N1004" t="n">
        <v>200</v>
      </c>
      <c r="O1004" t="inlineStr">
        <is>
          <t>GST on Income</t>
        </is>
      </c>
      <c r="P1004" t="inlineStr">
        <is>
          <t>R02</t>
        </is>
      </c>
      <c r="Q1004" t="inlineStr">
        <is>
          <t>LOSS</t>
        </is>
      </c>
      <c r="R1004">
        <f>IF(OR(Q1004="CONTEXT",Q1004="REVIEW"),"",INDEX('Category Rules'!$D$5:$D$17,MATCH(P1004,'Category Rules'!$A$5:$A$17,0)))</f>
        <v>4040</v>
      </c>
      <c r="S1004" t="str">
        <f>IF(Q1004="CONTEXT","Fencing",IF(Q1004="REVIEW","",INDEX('Category Rules'!$E$5:$E$17,MATCH(P1004,'Category Rules'!$A$5:$A$17,0))))</f>
        <v>Fencing</v>
      </c>
      <c r="T1004" t="str">
        <f>IF(Q1004="DEP","BAS Excluded","GST on Income")</f>
        <v>GST on Income</v>
      </c>
      <c r="U1004">
        <f>IF(O1004=T1004,1,0)</f>
        <v>1</v>
      </c>
      <c r="V1004" s="9">
        <f>IF(OR(M1004=0,U1004=1),0,IF(T1004="GST on Income",ROUND(K1004*0.1,2),ROUND(-K1004*0.1,2)))</f>
        <v>0</v>
      </c>
    </row>
    <row r="1005">
      <c r="A1005" t="inlineStr">
        <is>
          <t>INV-5219-1</t>
        </is>
      </c>
      <c r="B1005" t="inlineStr">
        <is>
          <t>INV-5219</t>
        </is>
      </c>
      <c r="C1005" s="11" t="n">
        <v>45992</v>
      </c>
      <c r="D1005" t="inlineStr">
        <is>
          <t>2025-12</t>
        </is>
      </c>
      <c r="E1005" t="inlineStr">
        <is>
          <t>C0103</t>
        </is>
      </c>
      <c r="F1005" t="inlineStr">
        <is>
          <t>C0103</t>
        </is>
      </c>
      <c r="G1005" t="inlineStr">
        <is>
          <t>Grace Martin</t>
        </is>
      </c>
      <c r="H1005" t="inlineStr">
        <is>
          <t>S0240</t>
        </is>
      </c>
      <c r="I1005" t="inlineStr">
        <is>
          <t>Scaffold tower hire 4 wks (03/11/25-30/11/25) - 1 towers</t>
        </is>
      </c>
      <c r="J1005" t="n">
        <v>4</v>
      </c>
      <c r="K1005" s="9" t="n">
        <v>380</v>
      </c>
      <c r="L1005" t="inlineStr">
        <is>
          <t>PAID</t>
        </is>
      </c>
      <c r="M1005">
        <f>IF(L1005="VOIDED",0,1)</f>
        <v>1</v>
      </c>
      <c r="N1005" t="n">
        <v>200</v>
      </c>
      <c r="O1005" t="inlineStr">
        <is>
          <t>GST on Income</t>
        </is>
      </c>
      <c r="P1005" t="inlineStr">
        <is>
          <t>R05</t>
        </is>
      </c>
      <c r="Q1005" t="inlineStr">
        <is>
          <t>HIRE-ST</t>
        </is>
      </c>
      <c r="R1005">
        <f>IF(OR(Q1005="CONTEXT",Q1005="REVIEW"),"",INDEX('Category Rules'!$D$5:$D$17,MATCH(P1005,'Category Rules'!$A$5:$A$17,0)))</f>
        <v>4010</v>
      </c>
      <c r="S1005" t="str">
        <f>IF(Q1005="CONTEXT","Scaffolding",IF(Q1005="REVIEW","",INDEX('Category Rules'!$E$5:$E$17,MATCH(P1005,'Category Rules'!$A$5:$A$17,0))))</f>
        <v>Scaffolding</v>
      </c>
      <c r="T1005" t="str">
        <f>IF(Q1005="DEP","BAS Excluded","GST on Income")</f>
        <v>GST on Income</v>
      </c>
      <c r="U1005">
        <f>IF(O1005=T1005,1,0)</f>
        <v>1</v>
      </c>
      <c r="V1005" s="9">
        <f>IF(OR(M1005=0,U1005=1),0,IF(T1005="GST on Income",ROUND(K1005*0.1,2),ROUND(-K1005*0.1,2)))</f>
        <v>0</v>
      </c>
    </row>
    <row r="1006">
      <c r="A1006" t="inlineStr">
        <is>
          <t>INV-5346-1</t>
        </is>
      </c>
      <c r="B1006" t="inlineStr">
        <is>
          <t>INV-5346</t>
        </is>
      </c>
      <c r="C1006" s="11" t="n">
        <v>45993</v>
      </c>
      <c r="D1006" t="inlineStr">
        <is>
          <t>2025-12</t>
        </is>
      </c>
      <c r="E1006" t="inlineStr">
        <is>
          <t>C0112</t>
        </is>
      </c>
      <c r="F1006" t="inlineStr">
        <is>
          <t>C0112</t>
        </is>
      </c>
      <c r="G1006" t="inlineStr">
        <is>
          <t>Sam Murphy</t>
        </is>
      </c>
      <c r="H1006" t="inlineStr">
        <is>
          <t>S0270</t>
        </is>
      </c>
      <c r="I1006" t="inlineStr">
        <is>
          <t>Scaffold erect - 6 tower(s)</t>
        </is>
      </c>
      <c r="J1006" t="n">
        <v>6</v>
      </c>
      <c r="K1006" s="9" t="n">
        <v>2520</v>
      </c>
      <c r="L1006" t="inlineStr">
        <is>
          <t>PAID</t>
        </is>
      </c>
      <c r="M1006">
        <f>IF(L1006="VOIDED",0,1)</f>
        <v>1</v>
      </c>
      <c r="N1006" t="n">
        <v>200</v>
      </c>
      <c r="O1006" t="inlineStr">
        <is>
          <t>GST on Income</t>
        </is>
      </c>
      <c r="P1006" t="inlineStr">
        <is>
          <t>R08</t>
        </is>
      </c>
      <c r="Q1006" t="inlineStr">
        <is>
          <t>LAB-ST</t>
        </is>
      </c>
      <c r="R1006">
        <f>IF(OR(Q1006="CONTEXT",Q1006="REVIEW"),"",INDEX('Category Rules'!$D$5:$D$17,MATCH(P1006,'Category Rules'!$A$5:$A$17,0)))</f>
        <v>4020</v>
      </c>
      <c r="S1006" t="str">
        <f>IF(Q1006="CONTEXT","Scaffolding",IF(Q1006="REVIEW","",INDEX('Category Rules'!$E$5:$E$17,MATCH(P1006,'Category Rules'!$A$5:$A$17,0))))</f>
        <v>Scaffolding</v>
      </c>
      <c r="T1006" t="str">
        <f>IF(Q1006="DEP","BAS Excluded","GST on Income")</f>
        <v>GST on Income</v>
      </c>
      <c r="U1006">
        <f>IF(O1006=T1006,1,0)</f>
        <v>1</v>
      </c>
      <c r="V1006" s="9">
        <f>IF(OR(M1006=0,U1006=1),0,IF(T1006="GST on Income",ROUND(K1006*0.1,2),ROUND(-K1006*0.1,2)))</f>
        <v>0</v>
      </c>
    </row>
    <row r="1007">
      <c r="A1007" t="inlineStr">
        <is>
          <t>INV-5507-1</t>
        </is>
      </c>
      <c r="B1007" t="inlineStr">
        <is>
          <t>INV-5507</t>
        </is>
      </c>
      <c r="C1007" s="11" t="n">
        <v>45993</v>
      </c>
      <c r="D1007" t="inlineStr">
        <is>
          <t>2025-12</t>
        </is>
      </c>
      <c r="E1007" t="inlineStr">
        <is>
          <t>C0060</t>
        </is>
      </c>
      <c r="F1007" t="inlineStr">
        <is>
          <t>C0060</t>
        </is>
      </c>
      <c r="G1007" t="inlineStr">
        <is>
          <t>Redline Claims Services</t>
        </is>
      </c>
      <c r="H1007" t="inlineStr">
        <is>
          <t>S0331</t>
        </is>
      </c>
      <c r="I1007" t="inlineStr">
        <is>
          <t>Tarp kit hire 4 wks (10/11/25-01/12/25) - 1 kits</t>
        </is>
      </c>
      <c r="J1007" t="n">
        <v>4</v>
      </c>
      <c r="K1007" s="9" t="n">
        <v>140</v>
      </c>
      <c r="L1007" t="inlineStr">
        <is>
          <t>PAID</t>
        </is>
      </c>
      <c r="M1007">
        <f>IF(L1007="VOIDED",0,1)</f>
        <v>1</v>
      </c>
      <c r="N1007" t="n">
        <v>200</v>
      </c>
      <c r="O1007" t="inlineStr">
        <is>
          <t>GST on Income</t>
        </is>
      </c>
      <c r="P1007" t="inlineStr">
        <is>
          <t>R06</t>
        </is>
      </c>
      <c r="Q1007" t="inlineStr">
        <is>
          <t>HIRE-TK</t>
        </is>
      </c>
      <c r="R1007">
        <f>IF(OR(Q1007="CONTEXT",Q1007="REVIEW"),"",INDEX('Category Rules'!$D$5:$D$17,MATCH(P1007,'Category Rules'!$A$5:$A$17,0)))</f>
        <v>4010</v>
      </c>
      <c r="S1007" t="str">
        <f>IF(Q1007="CONTEXT","Make-safe",IF(Q1007="REVIEW","",INDEX('Category Rules'!$E$5:$E$17,MATCH(P1007,'Category Rules'!$A$5:$A$17,0))))</f>
        <v>Make-safe</v>
      </c>
      <c r="T1007" t="str">
        <f>IF(Q1007="DEP","BAS Excluded","GST on Income")</f>
        <v>GST on Income</v>
      </c>
      <c r="U1007">
        <f>IF(O1007=T1007,1,0)</f>
        <v>1</v>
      </c>
      <c r="V1007" s="9">
        <f>IF(OR(M1007=0,U1007=1),0,IF(T1007="GST on Income",ROUND(K1007*0.1,2),ROUND(-K1007*0.1,2)))</f>
        <v>0</v>
      </c>
    </row>
    <row r="1008">
      <c r="A1008" t="inlineStr">
        <is>
          <t>INV-4303-1</t>
        </is>
      </c>
      <c r="B1008" t="inlineStr">
        <is>
          <t>INV-4303</t>
        </is>
      </c>
      <c r="C1008" s="11" t="n">
        <v>45994</v>
      </c>
      <c r="D1008" t="inlineStr">
        <is>
          <t>2025-12</t>
        </is>
      </c>
      <c r="E1008" t="inlineStr">
        <is>
          <t>C0020</t>
        </is>
      </c>
      <c r="F1008" t="inlineStr">
        <is>
          <t>C0020</t>
        </is>
      </c>
      <c r="G1008" t="inlineStr">
        <is>
          <t>Eastlink Constructions</t>
        </is>
      </c>
      <c r="H1008" t="inlineStr">
        <is>
          <t>S0041</t>
        </is>
      </c>
      <c r="I1008" t="inlineStr">
        <is>
          <t>Delivery and installation - temporary fencing</t>
        </is>
      </c>
      <c r="J1008" t="n">
        <v>1</v>
      </c>
      <c r="K1008" s="9" t="n">
        <v>165</v>
      </c>
      <c r="L1008" t="inlineStr">
        <is>
          <t>PAID</t>
        </is>
      </c>
      <c r="M1008">
        <f>IF(L1008="VOIDED",0,1)</f>
        <v>1</v>
      </c>
      <c r="N1008" t="n">
        <v>200</v>
      </c>
      <c r="O1008" t="inlineStr">
        <is>
          <t>GST on Income</t>
        </is>
      </c>
      <c r="P1008" t="inlineStr">
        <is>
          <t>R07</t>
        </is>
      </c>
      <c r="Q1008" t="inlineStr">
        <is>
          <t>DEL-FP</t>
        </is>
      </c>
      <c r="R1008">
        <f>IF(OR(Q1008="CONTEXT",Q1008="REVIEW"),"",INDEX('Category Rules'!$D$5:$D$17,MATCH(P1008,'Category Rules'!$A$5:$A$17,0)))</f>
        <v>4020</v>
      </c>
      <c r="S1008" t="str">
        <f>IF(Q1008="CONTEXT","Fencing",IF(Q1008="REVIEW","",INDEX('Category Rules'!$E$5:$E$17,MATCH(P1008,'Category Rules'!$A$5:$A$17,0))))</f>
        <v>Fencing</v>
      </c>
      <c r="T1008" t="str">
        <f>IF(Q1008="DEP","BAS Excluded","GST on Income")</f>
        <v>GST on Income</v>
      </c>
      <c r="U1008">
        <f>IF(O1008=T1008,1,0)</f>
        <v>1</v>
      </c>
      <c r="V1008" s="9">
        <f>IF(OR(M1008=0,U1008=1),0,IF(T1008="GST on Income",ROUND(K1008*0.1,2),ROUND(-K1008*0.1,2)))</f>
        <v>0</v>
      </c>
    </row>
    <row r="1009">
      <c r="A1009" t="inlineStr">
        <is>
          <t>INV-4303-2</t>
        </is>
      </c>
      <c r="B1009" t="inlineStr">
        <is>
          <t>INV-4303</t>
        </is>
      </c>
      <c r="C1009" s="11" t="n">
        <v>45994</v>
      </c>
      <c r="D1009" t="inlineStr">
        <is>
          <t>2025-12</t>
        </is>
      </c>
      <c r="E1009" t="inlineStr">
        <is>
          <t>C0020</t>
        </is>
      </c>
      <c r="F1009" t="inlineStr">
        <is>
          <t>C0020</t>
        </is>
      </c>
      <c r="G1009" t="inlineStr">
        <is>
          <t>Eastlink Constructions</t>
        </is>
      </c>
      <c r="H1009" t="inlineStr">
        <is>
          <t>S0041</t>
        </is>
      </c>
      <c r="I1009" t="inlineStr">
        <is>
          <t>Installation labour - 102 panels @ 2.20</t>
        </is>
      </c>
      <c r="J1009" t="n">
        <v>102</v>
      </c>
      <c r="K1009" s="9" t="n">
        <v>224.4</v>
      </c>
      <c r="L1009" t="inlineStr">
        <is>
          <t>PAID</t>
        </is>
      </c>
      <c r="M1009">
        <f>IF(L1009="VOIDED",0,1)</f>
        <v>1</v>
      </c>
      <c r="N1009" t="n">
        <v>200</v>
      </c>
      <c r="O1009" t="inlineStr">
        <is>
          <t>GST on Income</t>
        </is>
      </c>
      <c r="P1009" t="inlineStr">
        <is>
          <t>R07</t>
        </is>
      </c>
      <c r="Q1009" t="inlineStr">
        <is>
          <t>DEL-FP</t>
        </is>
      </c>
      <c r="R1009">
        <f>IF(OR(Q1009="CONTEXT",Q1009="REVIEW"),"",INDEX('Category Rules'!$D$5:$D$17,MATCH(P1009,'Category Rules'!$A$5:$A$17,0)))</f>
        <v>4020</v>
      </c>
      <c r="S1009" t="str">
        <f>IF(Q1009="CONTEXT","Fencing",IF(Q1009="REVIEW","",INDEX('Category Rules'!$E$5:$E$17,MATCH(P1009,'Category Rules'!$A$5:$A$17,0))))</f>
        <v>Fencing</v>
      </c>
      <c r="T1009" t="str">
        <f>IF(Q1009="DEP","BAS Excluded","GST on Income")</f>
        <v>GST on Income</v>
      </c>
      <c r="U1009">
        <f>IF(O1009=T1009,1,0)</f>
        <v>1</v>
      </c>
      <c r="V1009" s="9">
        <f>IF(OR(M1009=0,U1009=1),0,IF(T1009="GST on Income",ROUND(K1009*0.1,2),ROUND(-K1009*0.1,2)))</f>
        <v>0</v>
      </c>
    </row>
    <row r="1010">
      <c r="A1010" t="inlineStr">
        <is>
          <t>INV-4923-1</t>
        </is>
      </c>
      <c r="B1010" t="inlineStr">
        <is>
          <t>INV-4923</t>
        </is>
      </c>
      <c r="C1010" s="11" t="n">
        <v>45994</v>
      </c>
      <c r="D1010" t="inlineStr">
        <is>
          <t>2025-12</t>
        </is>
      </c>
      <c r="E1010" t="inlineStr">
        <is>
          <t>C0075</t>
        </is>
      </c>
      <c r="F1010" t="inlineStr">
        <is>
          <t>C0075</t>
        </is>
      </c>
      <c r="G1010" t="inlineStr">
        <is>
          <t>Oakridge Productions</t>
        </is>
      </c>
      <c r="H1010" t="inlineStr">
        <is>
          <t>S0174</t>
        </is>
      </c>
      <c r="I1010" t="inlineStr">
        <is>
          <t>Delivery and installation - temporary fencing</t>
        </is>
      </c>
      <c r="J1010" t="n">
        <v>1</v>
      </c>
      <c r="K1010" s="9" t="n">
        <v>165</v>
      </c>
      <c r="L1010" t="inlineStr">
        <is>
          <t>PAID</t>
        </is>
      </c>
      <c r="M1010">
        <f>IF(L1010="VOIDED",0,1)</f>
        <v>1</v>
      </c>
      <c r="N1010" t="n">
        <v>200</v>
      </c>
      <c r="O1010" t="inlineStr">
        <is>
          <t>GST on Income</t>
        </is>
      </c>
      <c r="P1010" t="inlineStr">
        <is>
          <t>R07</t>
        </is>
      </c>
      <c r="Q1010" t="inlineStr">
        <is>
          <t>DEL-FP</t>
        </is>
      </c>
      <c r="R1010">
        <f>IF(OR(Q1010="CONTEXT",Q1010="REVIEW"),"",INDEX('Category Rules'!$D$5:$D$17,MATCH(P1010,'Category Rules'!$A$5:$A$17,0)))</f>
        <v>4020</v>
      </c>
      <c r="S1010" t="str">
        <f>IF(Q1010="CONTEXT","Fencing",IF(Q1010="REVIEW","",INDEX('Category Rules'!$E$5:$E$17,MATCH(P1010,'Category Rules'!$A$5:$A$17,0))))</f>
        <v>Fencing</v>
      </c>
      <c r="T1010" t="str">
        <f>IF(Q1010="DEP","BAS Excluded","GST on Income")</f>
        <v>GST on Income</v>
      </c>
      <c r="U1010">
        <f>IF(O1010=T1010,1,0)</f>
        <v>1</v>
      </c>
      <c r="V1010" s="9">
        <f>IF(OR(M1010=0,U1010=1),0,IF(T1010="GST on Income",ROUND(K1010*0.1,2),ROUND(-K1010*0.1,2)))</f>
        <v>0</v>
      </c>
    </row>
    <row r="1011">
      <c r="A1011" t="inlineStr">
        <is>
          <t>INV-4923-2</t>
        </is>
      </c>
      <c r="B1011" t="inlineStr">
        <is>
          <t>INV-4923</t>
        </is>
      </c>
      <c r="C1011" s="11" t="n">
        <v>45994</v>
      </c>
      <c r="D1011" t="inlineStr">
        <is>
          <t>2025-12</t>
        </is>
      </c>
      <c r="E1011" t="inlineStr">
        <is>
          <t>C0075</t>
        </is>
      </c>
      <c r="F1011" t="inlineStr">
        <is>
          <t>C0075</t>
        </is>
      </c>
      <c r="G1011" t="inlineStr">
        <is>
          <t>Oakridge Productions</t>
        </is>
      </c>
      <c r="H1011" t="inlineStr">
        <is>
          <t>S0174</t>
        </is>
      </c>
      <c r="I1011" t="inlineStr">
        <is>
          <t>Installation labour - 116 panels @ 2.20</t>
        </is>
      </c>
      <c r="J1011" t="n">
        <v>116</v>
      </c>
      <c r="K1011" s="9" t="n">
        <v>255.2</v>
      </c>
      <c r="L1011" t="inlineStr">
        <is>
          <t>PAID</t>
        </is>
      </c>
      <c r="M1011">
        <f>IF(L1011="VOIDED",0,1)</f>
        <v>1</v>
      </c>
      <c r="N1011" t="n">
        <v>200</v>
      </c>
      <c r="O1011" t="inlineStr">
        <is>
          <t>GST on Income</t>
        </is>
      </c>
      <c r="P1011" t="inlineStr">
        <is>
          <t>R07</t>
        </is>
      </c>
      <c r="Q1011" t="inlineStr">
        <is>
          <t>DEL-FP</t>
        </is>
      </c>
      <c r="R1011">
        <f>IF(OR(Q1011="CONTEXT",Q1011="REVIEW"),"",INDEX('Category Rules'!$D$5:$D$17,MATCH(P1011,'Category Rules'!$A$5:$A$17,0)))</f>
        <v>4020</v>
      </c>
      <c r="S1011" t="str">
        <f>IF(Q1011="CONTEXT","Fencing",IF(Q1011="REVIEW","",INDEX('Category Rules'!$E$5:$E$17,MATCH(P1011,'Category Rules'!$A$5:$A$17,0))))</f>
        <v>Fencing</v>
      </c>
      <c r="T1011" t="str">
        <f>IF(Q1011="DEP","BAS Excluded","GST on Income")</f>
        <v>GST on Income</v>
      </c>
      <c r="U1011">
        <f>IF(O1011=T1011,1,0)</f>
        <v>1</v>
      </c>
      <c r="V1011" s="9">
        <f>IF(OR(M1011=0,U1011=1),0,IF(T1011="GST on Income",ROUND(K1011*0.1,2),ROUND(-K1011*0.1,2)))</f>
        <v>0</v>
      </c>
    </row>
    <row r="1012">
      <c r="A1012" t="inlineStr">
        <is>
          <t>CN-5952-1</t>
        </is>
      </c>
      <c r="B1012" t="inlineStr">
        <is>
          <t>CN-5952</t>
        </is>
      </c>
      <c r="C1012" s="11" t="n">
        <v>45995</v>
      </c>
      <c r="D1012" t="inlineStr">
        <is>
          <t>2025-12</t>
        </is>
      </c>
      <c r="E1012" t="inlineStr">
        <is>
          <t>C0044</t>
        </is>
      </c>
      <c r="F1012" t="inlineStr">
        <is>
          <t>C0044</t>
        </is>
      </c>
      <c r="G1012" t="inlineStr">
        <is>
          <t>Granite Constructions</t>
        </is>
      </c>
      <c r="H1012" t="inlineStr">
        <is>
          <t>S0048</t>
        </is>
      </c>
      <c r="I1012" t="inlineStr">
        <is>
          <t>Credit - temporary fence hire overcharge</t>
        </is>
      </c>
      <c r="J1012" t="n">
        <v>1</v>
      </c>
      <c r="K1012" s="9" t="n">
        <v>-85.68000000000001</v>
      </c>
      <c r="L1012" t="inlineStr">
        <is>
          <t>PAID</t>
        </is>
      </c>
      <c r="M1012">
        <f>IF(L1012="VOIDED",0,1)</f>
        <v>1</v>
      </c>
      <c r="N1012" t="n">
        <v>200</v>
      </c>
      <c r="O1012" t="inlineStr">
        <is>
          <t>GST on Income</t>
        </is>
      </c>
      <c r="P1012" t="inlineStr">
        <is>
          <t>R03</t>
        </is>
      </c>
      <c r="Q1012" t="inlineStr">
        <is>
          <t>HIRE-FP</t>
        </is>
      </c>
      <c r="R1012">
        <f>IF(OR(Q1012="CONTEXT",Q1012="REVIEW"),"",INDEX('Category Rules'!$D$5:$D$17,MATCH(P1012,'Category Rules'!$A$5:$A$17,0)))</f>
        <v>4010</v>
      </c>
      <c r="S1012" t="str">
        <f>IF(Q1012="CONTEXT","Fencing",IF(Q1012="REVIEW","",INDEX('Category Rules'!$E$5:$E$17,MATCH(P1012,'Category Rules'!$A$5:$A$17,0))))</f>
        <v>Fencing</v>
      </c>
      <c r="T1012" t="str">
        <f>IF(Q1012="DEP","BAS Excluded","GST on Income")</f>
        <v>GST on Income</v>
      </c>
      <c r="U1012">
        <f>IF(O1012=T1012,1,0)</f>
        <v>1</v>
      </c>
      <c r="V1012" s="9">
        <f>IF(OR(M1012=0,U1012=1),0,IF(T1012="GST on Income",ROUND(K1012*0.1,2),ROUND(-K1012*0.1,2)))</f>
        <v>0</v>
      </c>
    </row>
    <row r="1013">
      <c r="A1013" t="inlineStr">
        <is>
          <t>INV-5190-1</t>
        </is>
      </c>
      <c r="B1013" t="inlineStr">
        <is>
          <t>INV-5190</t>
        </is>
      </c>
      <c r="C1013" s="11" t="n">
        <v>45995</v>
      </c>
      <c r="D1013" t="inlineStr">
        <is>
          <t>2025-12</t>
        </is>
      </c>
      <c r="E1013" t="inlineStr">
        <is>
          <t>C0148</t>
        </is>
      </c>
      <c r="F1013" t="inlineStr">
        <is>
          <t>C0042</t>
        </is>
      </c>
      <c r="G1013" t="inlineStr">
        <is>
          <t>Lakeside Constructions Pty Ltd</t>
        </is>
      </c>
      <c r="H1013" t="inlineStr">
        <is>
          <t>S0233</t>
        </is>
      </c>
      <c r="I1013" t="inlineStr">
        <is>
          <t>Scaffold tower hire 4 wks (06/11/25-03/12/25) - 2 towers</t>
        </is>
      </c>
      <c r="J1013" t="n">
        <v>8</v>
      </c>
      <c r="K1013" s="9" t="n">
        <v>760</v>
      </c>
      <c r="L1013" t="inlineStr">
        <is>
          <t>PAID</t>
        </is>
      </c>
      <c r="M1013">
        <f>IF(L1013="VOIDED",0,1)</f>
        <v>1</v>
      </c>
      <c r="N1013" t="n">
        <v>200</v>
      </c>
      <c r="O1013" t="inlineStr">
        <is>
          <t>GST on Income</t>
        </is>
      </c>
      <c r="P1013" t="inlineStr">
        <is>
          <t>R05</t>
        </is>
      </c>
      <c r="Q1013" t="inlineStr">
        <is>
          <t>HIRE-ST</t>
        </is>
      </c>
      <c r="R1013">
        <f>IF(OR(Q1013="CONTEXT",Q1013="REVIEW"),"",INDEX('Category Rules'!$D$5:$D$17,MATCH(P1013,'Category Rules'!$A$5:$A$17,0)))</f>
        <v>4010</v>
      </c>
      <c r="S1013" t="str">
        <f>IF(Q1013="CONTEXT","Scaffolding",IF(Q1013="REVIEW","",INDEX('Category Rules'!$E$5:$E$17,MATCH(P1013,'Category Rules'!$A$5:$A$17,0))))</f>
        <v>Scaffolding</v>
      </c>
      <c r="T1013" t="str">
        <f>IF(Q1013="DEP","BAS Excluded","GST on Income")</f>
        <v>GST on Income</v>
      </c>
      <c r="U1013">
        <f>IF(O1013=T1013,1,0)</f>
        <v>1</v>
      </c>
      <c r="V1013" s="9">
        <f>IF(OR(M1013=0,U1013=1),0,IF(T1013="GST on Income",ROUND(K1013*0.1,2),ROUND(-K1013*0.1,2)))</f>
        <v>0</v>
      </c>
    </row>
    <row r="1014">
      <c r="A1014" t="inlineStr">
        <is>
          <t>INV-5301-1</t>
        </is>
      </c>
      <c r="B1014" t="inlineStr">
        <is>
          <t>INV-5301</t>
        </is>
      </c>
      <c r="C1014" s="11" t="n">
        <v>45995</v>
      </c>
      <c r="D1014" t="inlineStr">
        <is>
          <t>2025-12</t>
        </is>
      </c>
      <c r="E1014" t="inlineStr">
        <is>
          <t>C0106</t>
        </is>
      </c>
      <c r="F1014" t="inlineStr">
        <is>
          <t>C0106</t>
        </is>
      </c>
      <c r="G1014" t="inlineStr">
        <is>
          <t>Ella Wilson</t>
        </is>
      </c>
      <c r="H1014" t="inlineStr">
        <is>
          <t>S0260</t>
        </is>
      </c>
      <c r="I1014" t="inlineStr">
        <is>
          <t>Scaffold erect - 1 tower(s)</t>
        </is>
      </c>
      <c r="J1014" t="n">
        <v>1</v>
      </c>
      <c r="K1014" s="9" t="n">
        <v>420</v>
      </c>
      <c r="L1014" t="inlineStr">
        <is>
          <t>PAID</t>
        </is>
      </c>
      <c r="M1014">
        <f>IF(L1014="VOIDED",0,1)</f>
        <v>1</v>
      </c>
      <c r="N1014" t="n">
        <v>200</v>
      </c>
      <c r="O1014" t="inlineStr">
        <is>
          <t>GST on Income</t>
        </is>
      </c>
      <c r="P1014" t="inlineStr">
        <is>
          <t>R08</t>
        </is>
      </c>
      <c r="Q1014" t="inlineStr">
        <is>
          <t>LAB-ST</t>
        </is>
      </c>
      <c r="R1014">
        <f>IF(OR(Q1014="CONTEXT",Q1014="REVIEW"),"",INDEX('Category Rules'!$D$5:$D$17,MATCH(P1014,'Category Rules'!$A$5:$A$17,0)))</f>
        <v>4020</v>
      </c>
      <c r="S1014" t="str">
        <f>IF(Q1014="CONTEXT","Scaffolding",IF(Q1014="REVIEW","",INDEX('Category Rules'!$E$5:$E$17,MATCH(P1014,'Category Rules'!$A$5:$A$17,0))))</f>
        <v>Scaffolding</v>
      </c>
      <c r="T1014" t="str">
        <f>IF(Q1014="DEP","BAS Excluded","GST on Income")</f>
        <v>GST on Income</v>
      </c>
      <c r="U1014">
        <f>IF(O1014=T1014,1,0)</f>
        <v>1</v>
      </c>
      <c r="V1014" s="9">
        <f>IF(OR(M1014=0,U1014=1),0,IF(T1014="GST on Income",ROUND(K1014*0.1,2),ROUND(-K1014*0.1,2)))</f>
        <v>0</v>
      </c>
    </row>
    <row r="1015">
      <c r="A1015" t="inlineStr">
        <is>
          <t>INV-5611-1</t>
        </is>
      </c>
      <c r="B1015" t="inlineStr">
        <is>
          <t>INV-5611</t>
        </is>
      </c>
      <c r="C1015" s="11" t="n">
        <v>45995</v>
      </c>
      <c r="D1015" t="inlineStr">
        <is>
          <t>2025-12</t>
        </is>
      </c>
      <c r="E1015" t="inlineStr">
        <is>
          <t>C0087</t>
        </is>
      </c>
      <c r="F1015" t="inlineStr">
        <is>
          <t>C0087</t>
        </is>
      </c>
      <c r="G1015" t="inlineStr">
        <is>
          <t>Amelia Brown</t>
        </is>
      </c>
      <c r="H1015" t="inlineStr">
        <is>
          <t>S0386</t>
        </is>
      </c>
      <c r="I1015" t="inlineStr">
        <is>
          <t>Tarp kit hire 4 wks (06/11/25-03/12/25) - 1 kits</t>
        </is>
      </c>
      <c r="J1015" t="n">
        <v>4</v>
      </c>
      <c r="K1015" s="9" t="n">
        <v>140</v>
      </c>
      <c r="L1015" t="inlineStr">
        <is>
          <t>PAID</t>
        </is>
      </c>
      <c r="M1015">
        <f>IF(L1015="VOIDED",0,1)</f>
        <v>1</v>
      </c>
      <c r="N1015" t="n">
        <v>200</v>
      </c>
      <c r="O1015" t="inlineStr">
        <is>
          <t>GST on Income</t>
        </is>
      </c>
      <c r="P1015" t="inlineStr">
        <is>
          <t>R06</t>
        </is>
      </c>
      <c r="Q1015" t="inlineStr">
        <is>
          <t>HIRE-TK</t>
        </is>
      </c>
      <c r="R1015">
        <f>IF(OR(Q1015="CONTEXT",Q1015="REVIEW"),"",INDEX('Category Rules'!$D$5:$D$17,MATCH(P1015,'Category Rules'!$A$5:$A$17,0)))</f>
        <v>4010</v>
      </c>
      <c r="S1015" t="str">
        <f>IF(Q1015="CONTEXT","Make-safe",IF(Q1015="REVIEW","",INDEX('Category Rules'!$E$5:$E$17,MATCH(P1015,'Category Rules'!$A$5:$A$17,0))))</f>
        <v>Make-safe</v>
      </c>
      <c r="T1015" t="str">
        <f>IF(Q1015="DEP","BAS Excluded","GST on Income")</f>
        <v>GST on Income</v>
      </c>
      <c r="U1015">
        <f>IF(O1015=T1015,1,0)</f>
        <v>1</v>
      </c>
      <c r="V1015" s="9">
        <f>IF(OR(M1015=0,U1015=1),0,IF(T1015="GST on Income",ROUND(K1015*0.1,2),ROUND(-K1015*0.1,2)))</f>
        <v>0</v>
      </c>
    </row>
    <row r="1016">
      <c r="A1016" t="inlineStr">
        <is>
          <t>INV-5614-1</t>
        </is>
      </c>
      <c r="B1016" t="inlineStr">
        <is>
          <t>INV-5614</t>
        </is>
      </c>
      <c r="C1016" s="11" t="n">
        <v>45995</v>
      </c>
      <c r="D1016" t="inlineStr">
        <is>
          <t>2025-12</t>
        </is>
      </c>
      <c r="E1016" t="inlineStr">
        <is>
          <t>C0087</t>
        </is>
      </c>
      <c r="F1016" t="inlineStr">
        <is>
          <t>C0087</t>
        </is>
      </c>
      <c r="G1016" t="inlineStr">
        <is>
          <t>Amelia Brown</t>
        </is>
      </c>
      <c r="H1016" t="inlineStr">
        <is>
          <t>S0386</t>
        </is>
      </c>
      <c r="I1016" t="inlineStr">
        <is>
          <t>Roof repair labour - 16 hrs</t>
        </is>
      </c>
      <c r="J1016" t="n">
        <v>16</v>
      </c>
      <c r="K1016" s="9" t="n">
        <v>1568</v>
      </c>
      <c r="L1016" t="inlineStr">
        <is>
          <t>PAID</t>
        </is>
      </c>
      <c r="M1016">
        <f>IF(L1016="VOIDED",0,1)</f>
        <v>1</v>
      </c>
      <c r="N1016" t="n">
        <v>200</v>
      </c>
      <c r="O1016" t="inlineStr">
        <is>
          <t>GST on Income</t>
        </is>
      </c>
      <c r="P1016" t="inlineStr">
        <is>
          <t>R10</t>
        </is>
      </c>
      <c r="Q1016" t="inlineStr">
        <is>
          <t>LAB-RF</t>
        </is>
      </c>
      <c r="R1016">
        <f>IF(OR(Q1016="CONTEXT",Q1016="REVIEW"),"",INDEX('Category Rules'!$D$5:$D$17,MATCH(P1016,'Category Rules'!$A$5:$A$17,0)))</f>
        <v>4020</v>
      </c>
      <c r="S1016" t="str">
        <f>IF(Q1016="CONTEXT","Roofing",IF(Q1016="REVIEW","",INDEX('Category Rules'!$E$5:$E$17,MATCH(P1016,'Category Rules'!$A$5:$A$17,0))))</f>
        <v>Roofing</v>
      </c>
      <c r="T1016" t="str">
        <f>IF(Q1016="DEP","BAS Excluded","GST on Income")</f>
        <v>GST on Income</v>
      </c>
      <c r="U1016">
        <f>IF(O1016=T1016,1,0)</f>
        <v>1</v>
      </c>
      <c r="V1016" s="9">
        <f>IF(OR(M1016=0,U1016=1),0,IF(T1016="GST on Income",ROUND(K1016*0.1,2),ROUND(-K1016*0.1,2)))</f>
        <v>0</v>
      </c>
    </row>
    <row r="1017">
      <c r="A1017" t="inlineStr">
        <is>
          <t>INV-5614-2</t>
        </is>
      </c>
      <c r="B1017" t="inlineStr">
        <is>
          <t>INV-5614</t>
        </is>
      </c>
      <c r="C1017" s="11" t="n">
        <v>45995</v>
      </c>
      <c r="D1017" t="inlineStr">
        <is>
          <t>2025-12</t>
        </is>
      </c>
      <c r="E1017" t="inlineStr">
        <is>
          <t>C0087</t>
        </is>
      </c>
      <c r="F1017" t="inlineStr">
        <is>
          <t>C0087</t>
        </is>
      </c>
      <c r="G1017" t="inlineStr">
        <is>
          <t>Amelia Brown</t>
        </is>
      </c>
      <c r="H1017" t="inlineStr">
        <is>
          <t>S0386</t>
        </is>
      </c>
      <c r="I1017" t="inlineStr">
        <is>
          <t>Materials - ridge capping</t>
        </is>
      </c>
      <c r="J1017" t="n">
        <v>1</v>
      </c>
      <c r="K1017" s="9" t="n">
        <v>191.74</v>
      </c>
      <c r="L1017" t="inlineStr">
        <is>
          <t>PAID</t>
        </is>
      </c>
      <c r="M1017">
        <f>IF(L1017="VOIDED",0,1)</f>
        <v>1</v>
      </c>
      <c r="N1017" t="n">
        <v>200</v>
      </c>
      <c r="O1017" t="inlineStr">
        <is>
          <t>GST on Income</t>
        </is>
      </c>
      <c r="P1017" t="inlineStr">
        <is>
          <t>R11</t>
        </is>
      </c>
      <c r="Q1017" t="inlineStr">
        <is>
          <t>MAT-RF</t>
        </is>
      </c>
      <c r="R1017">
        <f>IF(OR(Q1017="CONTEXT",Q1017="REVIEW"),"",INDEX('Category Rules'!$D$5:$D$17,MATCH(P1017,'Category Rules'!$A$5:$A$17,0)))</f>
        <v>4030</v>
      </c>
      <c r="S1017" t="str">
        <f>IF(Q1017="CONTEXT","Roofing",IF(Q1017="REVIEW","",INDEX('Category Rules'!$E$5:$E$17,MATCH(P1017,'Category Rules'!$A$5:$A$17,0))))</f>
        <v>Roofing</v>
      </c>
      <c r="T1017" t="str">
        <f>IF(Q1017="DEP","BAS Excluded","GST on Income")</f>
        <v>GST on Income</v>
      </c>
      <c r="U1017">
        <f>IF(O1017=T1017,1,0)</f>
        <v>1</v>
      </c>
      <c r="V1017" s="9">
        <f>IF(OR(M1017=0,U1017=1),0,IF(T1017="GST on Income",ROUND(K1017*0.1,2),ROUND(-K1017*0.1,2)))</f>
        <v>0</v>
      </c>
    </row>
    <row r="1018">
      <c r="A1018" t="inlineStr">
        <is>
          <t>INV-5614-3</t>
        </is>
      </c>
      <c r="B1018" t="inlineStr">
        <is>
          <t>INV-5614</t>
        </is>
      </c>
      <c r="C1018" s="11" t="n">
        <v>45995</v>
      </c>
      <c r="D1018" t="inlineStr">
        <is>
          <t>2025-12</t>
        </is>
      </c>
      <c r="E1018" t="inlineStr">
        <is>
          <t>C0087</t>
        </is>
      </c>
      <c r="F1018" t="inlineStr">
        <is>
          <t>C0087</t>
        </is>
      </c>
      <c r="G1018" t="inlineStr">
        <is>
          <t>Amelia Brown</t>
        </is>
      </c>
      <c r="H1018" t="inlineStr">
        <is>
          <t>S0386</t>
        </is>
      </c>
      <c r="I1018" t="inlineStr">
        <is>
          <t>Materials - sealant and fixings</t>
        </is>
      </c>
      <c r="J1018" t="n">
        <v>1</v>
      </c>
      <c r="K1018" s="9" t="n">
        <v>973</v>
      </c>
      <c r="L1018" t="inlineStr">
        <is>
          <t>PAID</t>
        </is>
      </c>
      <c r="M1018">
        <f>IF(L1018="VOIDED",0,1)</f>
        <v>1</v>
      </c>
      <c r="N1018" t="n">
        <v>200</v>
      </c>
      <c r="O1018" t="inlineStr">
        <is>
          <t>GST on Income</t>
        </is>
      </c>
      <c r="P1018" t="inlineStr">
        <is>
          <t>R11</t>
        </is>
      </c>
      <c r="Q1018" t="inlineStr">
        <is>
          <t>MAT-RF</t>
        </is>
      </c>
      <c r="R1018">
        <f>IF(OR(Q1018="CONTEXT",Q1018="REVIEW"),"",INDEX('Category Rules'!$D$5:$D$17,MATCH(P1018,'Category Rules'!$A$5:$A$17,0)))</f>
        <v>4030</v>
      </c>
      <c r="S1018" t="str">
        <f>IF(Q1018="CONTEXT","Roofing",IF(Q1018="REVIEW","",INDEX('Category Rules'!$E$5:$E$17,MATCH(P1018,'Category Rules'!$A$5:$A$17,0))))</f>
        <v>Roofing</v>
      </c>
      <c r="T1018" t="str">
        <f>IF(Q1018="DEP","BAS Excluded","GST on Income")</f>
        <v>GST on Income</v>
      </c>
      <c r="U1018">
        <f>IF(O1018=T1018,1,0)</f>
        <v>1</v>
      </c>
      <c r="V1018" s="9">
        <f>IF(OR(M1018=0,U1018=1),0,IF(T1018="GST on Income",ROUND(K1018*0.1,2),ROUND(-K1018*0.1,2)))</f>
        <v>0</v>
      </c>
    </row>
    <row r="1019">
      <c r="A1019" t="inlineStr">
        <is>
          <t>INV-5614-4</t>
        </is>
      </c>
      <c r="B1019" t="inlineStr">
        <is>
          <t>INV-5614</t>
        </is>
      </c>
      <c r="C1019" s="11" t="n">
        <v>45995</v>
      </c>
      <c r="D1019" t="inlineStr">
        <is>
          <t>2025-12</t>
        </is>
      </c>
      <c r="E1019" t="inlineStr">
        <is>
          <t>C0087</t>
        </is>
      </c>
      <c r="F1019" t="inlineStr">
        <is>
          <t>C0087</t>
        </is>
      </c>
      <c r="G1019" t="inlineStr">
        <is>
          <t>Amelia Brown</t>
        </is>
      </c>
      <c r="H1019" t="inlineStr">
        <is>
          <t>S0386</t>
        </is>
      </c>
      <c r="I1019" t="inlineStr">
        <is>
          <t>Materials - flashing</t>
        </is>
      </c>
      <c r="J1019" t="n">
        <v>1</v>
      </c>
      <c r="K1019" s="9" t="n">
        <v>374.97</v>
      </c>
      <c r="L1019" t="inlineStr">
        <is>
          <t>PAID</t>
        </is>
      </c>
      <c r="M1019">
        <f>IF(L1019="VOIDED",0,1)</f>
        <v>1</v>
      </c>
      <c r="N1019" t="n">
        <v>200</v>
      </c>
      <c r="O1019" t="inlineStr">
        <is>
          <t>GST on Income</t>
        </is>
      </c>
      <c r="P1019" t="inlineStr">
        <is>
          <t>R11</t>
        </is>
      </c>
      <c r="Q1019" t="inlineStr">
        <is>
          <t>MAT-RF</t>
        </is>
      </c>
      <c r="R1019">
        <f>IF(OR(Q1019="CONTEXT",Q1019="REVIEW"),"",INDEX('Category Rules'!$D$5:$D$17,MATCH(P1019,'Category Rules'!$A$5:$A$17,0)))</f>
        <v>4030</v>
      </c>
      <c r="S1019" t="str">
        <f>IF(Q1019="CONTEXT","Roofing",IF(Q1019="REVIEW","",INDEX('Category Rules'!$E$5:$E$17,MATCH(P1019,'Category Rules'!$A$5:$A$17,0))))</f>
        <v>Roofing</v>
      </c>
      <c r="T1019" t="str">
        <f>IF(Q1019="DEP","BAS Excluded","GST on Income")</f>
        <v>GST on Income</v>
      </c>
      <c r="U1019">
        <f>IF(O1019=T1019,1,0)</f>
        <v>1</v>
      </c>
      <c r="V1019" s="9">
        <f>IF(OR(M1019=0,U1019=1),0,IF(T1019="GST on Income",ROUND(K1019*0.1,2),ROUND(-K1019*0.1,2)))</f>
        <v>0</v>
      </c>
    </row>
    <row r="1020">
      <c r="A1020" t="inlineStr">
        <is>
          <t>INV-5614-5</t>
        </is>
      </c>
      <c r="B1020" t="inlineStr">
        <is>
          <t>INV-5614</t>
        </is>
      </c>
      <c r="C1020" s="11" t="n">
        <v>45995</v>
      </c>
      <c r="D1020" t="inlineStr">
        <is>
          <t>2025-12</t>
        </is>
      </c>
      <c r="E1020" t="inlineStr">
        <is>
          <t>C0087</t>
        </is>
      </c>
      <c r="F1020" t="inlineStr">
        <is>
          <t>C0087</t>
        </is>
      </c>
      <c r="G1020" t="inlineStr">
        <is>
          <t>Amelia Brown</t>
        </is>
      </c>
      <c r="H1020" t="inlineStr">
        <is>
          <t>S0386</t>
        </is>
      </c>
      <c r="I1020" t="inlineStr">
        <is>
          <t>Waste removal and tip fees</t>
        </is>
      </c>
      <c r="J1020" t="n">
        <v>1</v>
      </c>
      <c r="K1020" s="9" t="n">
        <v>120</v>
      </c>
      <c r="L1020" t="inlineStr">
        <is>
          <t>PAID</t>
        </is>
      </c>
      <c r="M1020">
        <f>IF(L1020="VOIDED",0,1)</f>
        <v>1</v>
      </c>
      <c r="N1020" t="n">
        <v>200</v>
      </c>
      <c r="O1020" t="inlineStr">
        <is>
          <t>GST on Income</t>
        </is>
      </c>
      <c r="P1020" t="inlineStr">
        <is>
          <t>R11</t>
        </is>
      </c>
      <c r="Q1020" t="inlineStr">
        <is>
          <t>MAT-RF</t>
        </is>
      </c>
      <c r="R1020">
        <f>IF(OR(Q1020="CONTEXT",Q1020="REVIEW"),"",INDEX('Category Rules'!$D$5:$D$17,MATCH(P1020,'Category Rules'!$A$5:$A$17,0)))</f>
        <v>4030</v>
      </c>
      <c r="S1020" t="str">
        <f>IF(Q1020="CONTEXT","Roofing",IF(Q1020="REVIEW","",INDEX('Category Rules'!$E$5:$E$17,MATCH(P1020,'Category Rules'!$A$5:$A$17,0))))</f>
        <v>Roofing</v>
      </c>
      <c r="T1020" t="str">
        <f>IF(Q1020="DEP","BAS Excluded","GST on Income")</f>
        <v>GST on Income</v>
      </c>
      <c r="U1020">
        <f>IF(O1020=T1020,1,0)</f>
        <v>1</v>
      </c>
      <c r="V1020" s="9">
        <f>IF(OR(M1020=0,U1020=1),0,IF(T1020="GST on Income",ROUND(K1020*0.1,2),ROUND(-K1020*0.1,2)))</f>
        <v>0</v>
      </c>
    </row>
    <row r="1021">
      <c r="A1021" t="inlineStr">
        <is>
          <t>INV-5244-1</t>
        </is>
      </c>
      <c r="B1021" t="inlineStr">
        <is>
          <t>INV-5244</t>
        </is>
      </c>
      <c r="C1021" s="11" t="n">
        <v>45996</v>
      </c>
      <c r="D1021" t="inlineStr">
        <is>
          <t>2025-12</t>
        </is>
      </c>
      <c r="E1021" t="inlineStr">
        <is>
          <t>C0052</t>
        </is>
      </c>
      <c r="F1021" t="inlineStr">
        <is>
          <t>C0052</t>
        </is>
      </c>
      <c r="G1021" t="inlineStr">
        <is>
          <t>Bluegum Body Corporate Pty Ltd</t>
        </is>
      </c>
      <c r="H1021" t="inlineStr">
        <is>
          <t>S0246</t>
        </is>
      </c>
      <c r="I1021" t="inlineStr">
        <is>
          <t>Scaffold erect - 4 tower(s)</t>
        </is>
      </c>
      <c r="J1021" t="n">
        <v>4</v>
      </c>
      <c r="K1021" s="9" t="n">
        <v>1680</v>
      </c>
      <c r="L1021" t="inlineStr">
        <is>
          <t>PAID</t>
        </is>
      </c>
      <c r="M1021">
        <f>IF(L1021="VOIDED",0,1)</f>
        <v>1</v>
      </c>
      <c r="N1021" t="n">
        <v>200</v>
      </c>
      <c r="O1021" t="inlineStr">
        <is>
          <t>GST on Income</t>
        </is>
      </c>
      <c r="P1021" t="inlineStr">
        <is>
          <t>R08</t>
        </is>
      </c>
      <c r="Q1021" t="inlineStr">
        <is>
          <t>LAB-ST</t>
        </is>
      </c>
      <c r="R1021">
        <f>IF(OR(Q1021="CONTEXT",Q1021="REVIEW"),"",INDEX('Category Rules'!$D$5:$D$17,MATCH(P1021,'Category Rules'!$A$5:$A$17,0)))</f>
        <v>4020</v>
      </c>
      <c r="S1021" t="str">
        <f>IF(Q1021="CONTEXT","Scaffolding",IF(Q1021="REVIEW","",INDEX('Category Rules'!$E$5:$E$17,MATCH(P1021,'Category Rules'!$A$5:$A$17,0))))</f>
        <v>Scaffolding</v>
      </c>
      <c r="T1021" t="str">
        <f>IF(Q1021="DEP","BAS Excluded","GST on Income")</f>
        <v>GST on Income</v>
      </c>
      <c r="U1021">
        <f>IF(O1021=T1021,1,0)</f>
        <v>1</v>
      </c>
      <c r="V1021" s="9">
        <f>IF(OR(M1021=0,U1021=1),0,IF(T1021="GST on Income",ROUND(K1021*0.1,2),ROUND(-K1021*0.1,2)))</f>
        <v>0</v>
      </c>
    </row>
    <row r="1022">
      <c r="A1022" t="inlineStr">
        <is>
          <t>INV-5268-1</t>
        </is>
      </c>
      <c r="B1022" t="inlineStr">
        <is>
          <t>INV-5268</t>
        </is>
      </c>
      <c r="C1022" s="11" t="n">
        <v>45996</v>
      </c>
      <c r="D1022" t="inlineStr">
        <is>
          <t>2025-12</t>
        </is>
      </c>
      <c r="E1022" t="inlineStr">
        <is>
          <t>C0044</t>
        </is>
      </c>
      <c r="F1022" t="inlineStr">
        <is>
          <t>C0044</t>
        </is>
      </c>
      <c r="G1022" t="inlineStr">
        <is>
          <t>Granite Constructions</t>
        </is>
      </c>
      <c r="H1022" t="inlineStr">
        <is>
          <t>S0251</t>
        </is>
      </c>
      <c r="I1022" t="inlineStr">
        <is>
          <t>Scaffold erect - 1 tower(s)</t>
        </is>
      </c>
      <c r="J1022" t="n">
        <v>1</v>
      </c>
      <c r="K1022" s="9" t="n">
        <v>420</v>
      </c>
      <c r="L1022" t="inlineStr">
        <is>
          <t>PAID</t>
        </is>
      </c>
      <c r="M1022">
        <f>IF(L1022="VOIDED",0,1)</f>
        <v>1</v>
      </c>
      <c r="N1022" t="n">
        <v>200</v>
      </c>
      <c r="O1022" t="inlineStr">
        <is>
          <t>GST on Income</t>
        </is>
      </c>
      <c r="P1022" t="inlineStr">
        <is>
          <t>R08</t>
        </is>
      </c>
      <c r="Q1022" t="inlineStr">
        <is>
          <t>LAB-ST</t>
        </is>
      </c>
      <c r="R1022">
        <f>IF(OR(Q1022="CONTEXT",Q1022="REVIEW"),"",INDEX('Category Rules'!$D$5:$D$17,MATCH(P1022,'Category Rules'!$A$5:$A$17,0)))</f>
        <v>4020</v>
      </c>
      <c r="S1022" t="str">
        <f>IF(Q1022="CONTEXT","Scaffolding",IF(Q1022="REVIEW","",INDEX('Category Rules'!$E$5:$E$17,MATCH(P1022,'Category Rules'!$A$5:$A$17,0))))</f>
        <v>Scaffolding</v>
      </c>
      <c r="T1022" t="str">
        <f>IF(Q1022="DEP","BAS Excluded","GST on Income")</f>
        <v>GST on Income</v>
      </c>
      <c r="U1022">
        <f>IF(O1022=T1022,1,0)</f>
        <v>1</v>
      </c>
      <c r="V1022" s="9">
        <f>IF(OR(M1022=0,U1022=1),0,IF(T1022="GST on Income",ROUND(K1022*0.1,2),ROUND(-K1022*0.1,2)))</f>
        <v>0</v>
      </c>
    </row>
    <row r="1023">
      <c r="A1023" t="inlineStr">
        <is>
          <t>INV-5612-1</t>
        </is>
      </c>
      <c r="B1023" t="inlineStr">
        <is>
          <t>INV-5612</t>
        </is>
      </c>
      <c r="C1023" s="11" t="n">
        <v>45996</v>
      </c>
      <c r="D1023" t="inlineStr">
        <is>
          <t>2025-12</t>
        </is>
      </c>
      <c r="E1023" t="inlineStr">
        <is>
          <t>C0087</t>
        </is>
      </c>
      <c r="F1023" t="inlineStr">
        <is>
          <t>C0087</t>
        </is>
      </c>
      <c r="G1023" t="inlineStr">
        <is>
          <t>Amelia Brown</t>
        </is>
      </c>
      <c r="H1023" t="inlineStr">
        <is>
          <t>S0386</t>
        </is>
      </c>
      <c r="I1023" t="inlineStr">
        <is>
          <t>Tarp kit hire 1 wks (04/12/25-04/12/25) - 1 kits</t>
        </is>
      </c>
      <c r="J1023" t="n">
        <v>1</v>
      </c>
      <c r="K1023" s="9" t="n">
        <v>35</v>
      </c>
      <c r="L1023" t="inlineStr">
        <is>
          <t>PAID</t>
        </is>
      </c>
      <c r="M1023">
        <f>IF(L1023="VOIDED",0,1)</f>
        <v>1</v>
      </c>
      <c r="N1023" t="n">
        <v>200</v>
      </c>
      <c r="O1023" t="inlineStr">
        <is>
          <t>GST on Income</t>
        </is>
      </c>
      <c r="P1023" t="inlineStr">
        <is>
          <t>R06</t>
        </is>
      </c>
      <c r="Q1023" t="inlineStr">
        <is>
          <t>HIRE-TK</t>
        </is>
      </c>
      <c r="R1023">
        <f>IF(OR(Q1023="CONTEXT",Q1023="REVIEW"),"",INDEX('Category Rules'!$D$5:$D$17,MATCH(P1023,'Category Rules'!$A$5:$A$17,0)))</f>
        <v>4010</v>
      </c>
      <c r="S1023" t="str">
        <f>IF(Q1023="CONTEXT","Make-safe",IF(Q1023="REVIEW","",INDEX('Category Rules'!$E$5:$E$17,MATCH(P1023,'Category Rules'!$A$5:$A$17,0))))</f>
        <v>Make-safe</v>
      </c>
      <c r="T1023" t="str">
        <f>IF(Q1023="DEP","BAS Excluded","GST on Income")</f>
        <v>GST on Income</v>
      </c>
      <c r="U1023">
        <f>IF(O1023=T1023,1,0)</f>
        <v>1</v>
      </c>
      <c r="V1023" s="9">
        <f>IF(OR(M1023=0,U1023=1),0,IF(T1023="GST on Income",ROUND(K1023*0.1,2),ROUND(-K1023*0.1,2)))</f>
        <v>0</v>
      </c>
    </row>
    <row r="1024">
      <c r="A1024" t="inlineStr">
        <is>
          <t>INV-4880-1</t>
        </is>
      </c>
      <c r="B1024" t="inlineStr">
        <is>
          <t>INV-4880</t>
        </is>
      </c>
      <c r="C1024" s="11" t="n">
        <v>45997</v>
      </c>
      <c r="D1024" t="inlineStr">
        <is>
          <t>2025-12</t>
        </is>
      </c>
      <c r="E1024" t="inlineStr">
        <is>
          <t>C0119</t>
        </is>
      </c>
      <c r="F1024" t="inlineStr">
        <is>
          <t>C0119</t>
        </is>
      </c>
      <c r="G1024" t="inlineStr">
        <is>
          <t>Northgate Builders Pty Ltd</t>
        </is>
      </c>
      <c r="H1024" t="inlineStr">
        <is>
          <t>S0165</t>
        </is>
      </c>
      <c r="I1024" t="inlineStr">
        <is>
          <t>Temporary fence hire 4 wks (08/11/25-05/12/25) - 140 panels</t>
        </is>
      </c>
      <c r="J1024" t="n">
        <v>560</v>
      </c>
      <c r="K1024" s="9" t="n">
        <v>2520</v>
      </c>
      <c r="L1024" t="inlineStr">
        <is>
          <t>PAID</t>
        </is>
      </c>
      <c r="M1024">
        <f>IF(L1024="VOIDED",0,1)</f>
        <v>1</v>
      </c>
      <c r="N1024" t="n">
        <v>200</v>
      </c>
      <c r="O1024" t="inlineStr">
        <is>
          <t>GST on Income</t>
        </is>
      </c>
      <c r="P1024" t="inlineStr">
        <is>
          <t>R03</t>
        </is>
      </c>
      <c r="Q1024" t="inlineStr">
        <is>
          <t>HIRE-FP</t>
        </is>
      </c>
      <c r="R1024">
        <f>IF(OR(Q1024="CONTEXT",Q1024="REVIEW"),"",INDEX('Category Rules'!$D$5:$D$17,MATCH(P1024,'Category Rules'!$A$5:$A$17,0)))</f>
        <v>4010</v>
      </c>
      <c r="S1024" t="str">
        <f>IF(Q1024="CONTEXT","Fencing",IF(Q1024="REVIEW","",INDEX('Category Rules'!$E$5:$E$17,MATCH(P1024,'Category Rules'!$A$5:$A$17,0))))</f>
        <v>Fencing</v>
      </c>
      <c r="T1024" t="str">
        <f>IF(Q1024="DEP","BAS Excluded","GST on Income")</f>
        <v>GST on Income</v>
      </c>
      <c r="U1024">
        <f>IF(O1024=T1024,1,0)</f>
        <v>1</v>
      </c>
      <c r="V1024" s="9">
        <f>IF(OR(M1024=0,U1024=1),0,IF(T1024="GST on Income",ROUND(K1024*0.1,2),ROUND(-K1024*0.1,2)))</f>
        <v>0</v>
      </c>
    </row>
    <row r="1025">
      <c r="A1025" t="inlineStr">
        <is>
          <t>INV-4945-1</t>
        </is>
      </c>
      <c r="B1025" t="inlineStr">
        <is>
          <t>INV-4945</t>
        </is>
      </c>
      <c r="C1025" s="11" t="n">
        <v>45997</v>
      </c>
      <c r="D1025" t="inlineStr">
        <is>
          <t>2025-12</t>
        </is>
      </c>
      <c r="E1025" t="inlineStr">
        <is>
          <t>C0015</t>
        </is>
      </c>
      <c r="F1025" t="inlineStr">
        <is>
          <t>C0015</t>
        </is>
      </c>
      <c r="G1025" t="inlineStr">
        <is>
          <t>Bluegum Building Group</t>
        </is>
      </c>
      <c r="H1025" t="inlineStr">
        <is>
          <t>S0180</t>
        </is>
      </c>
      <c r="I1025" t="inlineStr">
        <is>
          <t>Temporary fence hire 4 wks (08/11/25-05/12/25) - 34 panels</t>
        </is>
      </c>
      <c r="J1025" t="n">
        <v>136</v>
      </c>
      <c r="K1025" s="9" t="n">
        <v>612</v>
      </c>
      <c r="L1025" t="inlineStr">
        <is>
          <t>PAID</t>
        </is>
      </c>
      <c r="M1025">
        <f>IF(L1025="VOIDED",0,1)</f>
        <v>1</v>
      </c>
      <c r="N1025" t="n">
        <v>200</v>
      </c>
      <c r="O1025" t="inlineStr">
        <is>
          <t>GST on Income</t>
        </is>
      </c>
      <c r="P1025" t="inlineStr">
        <is>
          <t>R03</t>
        </is>
      </c>
      <c r="Q1025" t="inlineStr">
        <is>
          <t>HIRE-FP</t>
        </is>
      </c>
      <c r="R1025">
        <f>IF(OR(Q1025="CONTEXT",Q1025="REVIEW"),"",INDEX('Category Rules'!$D$5:$D$17,MATCH(P1025,'Category Rules'!$A$5:$A$17,0)))</f>
        <v>4010</v>
      </c>
      <c r="S1025" t="str">
        <f>IF(Q1025="CONTEXT","Fencing",IF(Q1025="REVIEW","",INDEX('Category Rules'!$E$5:$E$17,MATCH(P1025,'Category Rules'!$A$5:$A$17,0))))</f>
        <v>Fencing</v>
      </c>
      <c r="T1025" t="str">
        <f>IF(Q1025="DEP","BAS Excluded","GST on Income")</f>
        <v>GST on Income</v>
      </c>
      <c r="U1025">
        <f>IF(O1025=T1025,1,0)</f>
        <v>1</v>
      </c>
      <c r="V1025" s="9">
        <f>IF(OR(M1025=0,U1025=1),0,IF(T1025="GST on Income",ROUND(K1025*0.1,2),ROUND(-K1025*0.1,2)))</f>
        <v>0</v>
      </c>
    </row>
    <row r="1026">
      <c r="A1026" t="inlineStr">
        <is>
          <t>INV-4947-1</t>
        </is>
      </c>
      <c r="B1026" t="inlineStr">
        <is>
          <t>INV-4947</t>
        </is>
      </c>
      <c r="C1026" s="11" t="n">
        <v>45997</v>
      </c>
      <c r="D1026" t="inlineStr">
        <is>
          <t>2025-12</t>
        </is>
      </c>
      <c r="E1026" t="inlineStr">
        <is>
          <t>C0015</t>
        </is>
      </c>
      <c r="F1026" t="inlineStr">
        <is>
          <t>C0015</t>
        </is>
      </c>
      <c r="G1026" t="inlineStr">
        <is>
          <t>Bluegum Building Group</t>
        </is>
      </c>
      <c r="H1026" t="inlineStr">
        <is>
          <t>S0180</t>
        </is>
      </c>
      <c r="I1026" t="inlineStr">
        <is>
          <t>Pedestrian barrier hire 4 wks (08/11/25-05/12/25) - 16 barriers</t>
        </is>
      </c>
      <c r="J1026" t="n">
        <v>64</v>
      </c>
      <c r="K1026" s="9" t="n">
        <v>204.8</v>
      </c>
      <c r="L1026" t="inlineStr">
        <is>
          <t>PAID</t>
        </is>
      </c>
      <c r="M1026">
        <f>IF(L1026="VOIDED",0,1)</f>
        <v>1</v>
      </c>
      <c r="N1026" t="n">
        <v>260</v>
      </c>
      <c r="O1026" t="inlineStr">
        <is>
          <t>GST on Income</t>
        </is>
      </c>
      <c r="P1026" t="inlineStr">
        <is>
          <t>R04</t>
        </is>
      </c>
      <c r="Q1026" t="inlineStr">
        <is>
          <t>HIRE-BR</t>
        </is>
      </c>
      <c r="R1026">
        <f>IF(OR(Q1026="CONTEXT",Q1026="REVIEW"),"",INDEX('Category Rules'!$D$5:$D$17,MATCH(P1026,'Category Rules'!$A$5:$A$17,0)))</f>
        <v>4010</v>
      </c>
      <c r="S1026" t="str">
        <f>IF(Q1026="CONTEXT","Fencing",IF(Q1026="REVIEW","",INDEX('Category Rules'!$E$5:$E$17,MATCH(P1026,'Category Rules'!$A$5:$A$17,0))))</f>
        <v>Fencing</v>
      </c>
      <c r="T1026" t="str">
        <f>IF(Q1026="DEP","BAS Excluded","GST on Income")</f>
        <v>GST on Income</v>
      </c>
      <c r="U1026">
        <f>IF(O1026=T1026,1,0)</f>
        <v>1</v>
      </c>
      <c r="V1026" s="9">
        <f>IF(OR(M1026=0,U1026=1),0,IF(T1026="GST on Income",ROUND(K1026*0.1,2),ROUND(-K1026*0.1,2)))</f>
        <v>0</v>
      </c>
    </row>
    <row r="1027">
      <c r="A1027" t="inlineStr">
        <is>
          <t>INV-4999-1</t>
        </is>
      </c>
      <c r="B1027" t="inlineStr">
        <is>
          <t>INV-4999</t>
        </is>
      </c>
      <c r="C1027" s="11" t="n">
        <v>45997</v>
      </c>
      <c r="D1027" t="inlineStr">
        <is>
          <t>2025-12</t>
        </is>
      </c>
      <c r="E1027" t="inlineStr">
        <is>
          <t>C0022</t>
        </is>
      </c>
      <c r="F1027" t="inlineStr">
        <is>
          <t>C0022</t>
        </is>
      </c>
      <c r="G1027" t="inlineStr">
        <is>
          <t>Highpoint Projects</t>
        </is>
      </c>
      <c r="H1027" t="inlineStr">
        <is>
          <t>S0195</t>
        </is>
      </c>
      <c r="I1027" t="inlineStr">
        <is>
          <t>Temporary fence hire 4 wks (08/11/25-05/12/25) - 16 panels</t>
        </is>
      </c>
      <c r="J1027" t="n">
        <v>64</v>
      </c>
      <c r="K1027" s="9" t="n">
        <v>288</v>
      </c>
      <c r="L1027" t="inlineStr">
        <is>
          <t>PAID</t>
        </is>
      </c>
      <c r="M1027">
        <f>IF(L1027="VOIDED",0,1)</f>
        <v>1</v>
      </c>
      <c r="N1027" t="n">
        <v>200</v>
      </c>
      <c r="O1027" t="inlineStr">
        <is>
          <t>GST on Income</t>
        </is>
      </c>
      <c r="P1027" t="inlineStr">
        <is>
          <t>R03</t>
        </is>
      </c>
      <c r="Q1027" t="inlineStr">
        <is>
          <t>HIRE-FP</t>
        </is>
      </c>
      <c r="R1027">
        <f>IF(OR(Q1027="CONTEXT",Q1027="REVIEW"),"",INDEX('Category Rules'!$D$5:$D$17,MATCH(P1027,'Category Rules'!$A$5:$A$17,0)))</f>
        <v>4010</v>
      </c>
      <c r="S1027" t="str">
        <f>IF(Q1027="CONTEXT","Fencing",IF(Q1027="REVIEW","",INDEX('Category Rules'!$E$5:$E$17,MATCH(P1027,'Category Rules'!$A$5:$A$17,0))))</f>
        <v>Fencing</v>
      </c>
      <c r="T1027" t="str">
        <f>IF(Q1027="DEP","BAS Excluded","GST on Income")</f>
        <v>GST on Income</v>
      </c>
      <c r="U1027">
        <f>IF(O1027=T1027,1,0)</f>
        <v>1</v>
      </c>
      <c r="V1027" s="9">
        <f>IF(OR(M1027=0,U1027=1),0,IF(T1027="GST on Income",ROUND(K1027*0.1,2),ROUND(-K1027*0.1,2)))</f>
        <v>0</v>
      </c>
    </row>
    <row r="1028">
      <c r="A1028" t="inlineStr">
        <is>
          <t>INV-5087-1</t>
        </is>
      </c>
      <c r="B1028" t="inlineStr">
        <is>
          <t>INV-5087</t>
        </is>
      </c>
      <c r="C1028" s="11" t="n">
        <v>45997</v>
      </c>
      <c r="D1028" t="inlineStr">
        <is>
          <t>2025-12</t>
        </is>
      </c>
      <c r="E1028" t="inlineStr">
        <is>
          <t>C0036</t>
        </is>
      </c>
      <c r="F1028" t="inlineStr">
        <is>
          <t>C0036</t>
        </is>
      </c>
      <c r="G1028" t="inlineStr">
        <is>
          <t>Summit Homes Pty Ltd</t>
        </is>
      </c>
      <c r="H1028" t="inlineStr">
        <is>
          <t>S0211</t>
        </is>
      </c>
      <c r="I1028" t="inlineStr">
        <is>
          <t>Delivery and installation - temporary fencing</t>
        </is>
      </c>
      <c r="J1028" t="n">
        <v>1</v>
      </c>
      <c r="K1028" s="9" t="n">
        <v>165</v>
      </c>
      <c r="L1028" t="inlineStr">
        <is>
          <t>PAID</t>
        </is>
      </c>
      <c r="M1028">
        <f>IF(L1028="VOIDED",0,1)</f>
        <v>1</v>
      </c>
      <c r="N1028" t="n">
        <v>260</v>
      </c>
      <c r="O1028" t="inlineStr">
        <is>
          <t>GST on Income</t>
        </is>
      </c>
      <c r="P1028" t="inlineStr">
        <is>
          <t>R07</t>
        </is>
      </c>
      <c r="Q1028" t="inlineStr">
        <is>
          <t>DEL-FP</t>
        </is>
      </c>
      <c r="R1028">
        <f>IF(OR(Q1028="CONTEXT",Q1028="REVIEW"),"",INDEX('Category Rules'!$D$5:$D$17,MATCH(P1028,'Category Rules'!$A$5:$A$17,0)))</f>
        <v>4020</v>
      </c>
      <c r="S1028" t="str">
        <f>IF(Q1028="CONTEXT","Fencing",IF(Q1028="REVIEW","",INDEX('Category Rules'!$E$5:$E$17,MATCH(P1028,'Category Rules'!$A$5:$A$17,0))))</f>
        <v>Fencing</v>
      </c>
      <c r="T1028" t="str">
        <f>IF(Q1028="DEP","BAS Excluded","GST on Income")</f>
        <v>GST on Income</v>
      </c>
      <c r="U1028">
        <f>IF(O1028=T1028,1,0)</f>
        <v>1</v>
      </c>
      <c r="V1028" s="9">
        <f>IF(OR(M1028=0,U1028=1),0,IF(T1028="GST on Income",ROUND(K1028*0.1,2),ROUND(-K1028*0.1,2)))</f>
        <v>0</v>
      </c>
    </row>
    <row r="1029">
      <c r="A1029" t="inlineStr">
        <is>
          <t>INV-5087-2</t>
        </is>
      </c>
      <c r="B1029" t="inlineStr">
        <is>
          <t>INV-5087</t>
        </is>
      </c>
      <c r="C1029" s="11" t="n">
        <v>45997</v>
      </c>
      <c r="D1029" t="inlineStr">
        <is>
          <t>2025-12</t>
        </is>
      </c>
      <c r="E1029" t="inlineStr">
        <is>
          <t>C0036</t>
        </is>
      </c>
      <c r="F1029" t="inlineStr">
        <is>
          <t>C0036</t>
        </is>
      </c>
      <c r="G1029" t="inlineStr">
        <is>
          <t>Summit Homes Pty Ltd</t>
        </is>
      </c>
      <c r="H1029" t="inlineStr">
        <is>
          <t>S0211</t>
        </is>
      </c>
      <c r="I1029" t="inlineStr">
        <is>
          <t>Installation labour - 25 panels @ 2.20</t>
        </is>
      </c>
      <c r="J1029" t="n">
        <v>25</v>
      </c>
      <c r="K1029" s="9" t="n">
        <v>55</v>
      </c>
      <c r="L1029" t="inlineStr">
        <is>
          <t>PAID</t>
        </is>
      </c>
      <c r="M1029">
        <f>IF(L1029="VOIDED",0,1)</f>
        <v>1</v>
      </c>
      <c r="N1029" t="n">
        <v>200</v>
      </c>
      <c r="O1029" t="inlineStr">
        <is>
          <t>GST on Income</t>
        </is>
      </c>
      <c r="P1029" t="inlineStr">
        <is>
          <t>R07</t>
        </is>
      </c>
      <c r="Q1029" t="inlineStr">
        <is>
          <t>DEL-FP</t>
        </is>
      </c>
      <c r="R1029">
        <f>IF(OR(Q1029="CONTEXT",Q1029="REVIEW"),"",INDEX('Category Rules'!$D$5:$D$17,MATCH(P1029,'Category Rules'!$A$5:$A$17,0)))</f>
        <v>4020</v>
      </c>
      <c r="S1029" t="str">
        <f>IF(Q1029="CONTEXT","Fencing",IF(Q1029="REVIEW","",INDEX('Category Rules'!$E$5:$E$17,MATCH(P1029,'Category Rules'!$A$5:$A$17,0))))</f>
        <v>Fencing</v>
      </c>
      <c r="T1029" t="str">
        <f>IF(Q1029="DEP","BAS Excluded","GST on Income")</f>
        <v>GST on Income</v>
      </c>
      <c r="U1029">
        <f>IF(O1029=T1029,1,0)</f>
        <v>1</v>
      </c>
      <c r="V1029" s="9">
        <f>IF(OR(M1029=0,U1029=1),0,IF(T1029="GST on Income",ROUND(K1029*0.1,2),ROUND(-K1029*0.1,2)))</f>
        <v>0</v>
      </c>
    </row>
    <row r="1030">
      <c r="A1030" t="inlineStr">
        <is>
          <t>INV-5232-1</t>
        </is>
      </c>
      <c r="B1030" t="inlineStr">
        <is>
          <t>INV-5232</t>
        </is>
      </c>
      <c r="C1030" s="11" t="n">
        <v>45998</v>
      </c>
      <c r="D1030" t="inlineStr">
        <is>
          <t>2025-12</t>
        </is>
      </c>
      <c r="E1030" t="inlineStr">
        <is>
          <t>C0084</t>
        </is>
      </c>
      <c r="F1030" t="inlineStr">
        <is>
          <t>C0084</t>
        </is>
      </c>
      <c r="G1030" t="inlineStr">
        <is>
          <t>Mia Walker</t>
        </is>
      </c>
      <c r="H1030" t="inlineStr">
        <is>
          <t>S0243</t>
        </is>
      </c>
      <c r="I1030" t="inlineStr">
        <is>
          <t>Scaffold erect - 2 tower(s)</t>
        </is>
      </c>
      <c r="J1030" t="n">
        <v>2</v>
      </c>
      <c r="K1030" s="9" t="n">
        <v>840</v>
      </c>
      <c r="L1030" t="inlineStr">
        <is>
          <t>PAID</t>
        </is>
      </c>
      <c r="M1030">
        <f>IF(L1030="VOIDED",0,1)</f>
        <v>1</v>
      </c>
      <c r="N1030" t="n">
        <v>200</v>
      </c>
      <c r="O1030" t="inlineStr">
        <is>
          <t>GST on Income</t>
        </is>
      </c>
      <c r="P1030" t="inlineStr">
        <is>
          <t>R08</t>
        </is>
      </c>
      <c r="Q1030" t="inlineStr">
        <is>
          <t>LAB-ST</t>
        </is>
      </c>
      <c r="R1030">
        <f>IF(OR(Q1030="CONTEXT",Q1030="REVIEW"),"",INDEX('Category Rules'!$D$5:$D$17,MATCH(P1030,'Category Rules'!$A$5:$A$17,0)))</f>
        <v>4020</v>
      </c>
      <c r="S1030" t="str">
        <f>IF(Q1030="CONTEXT","Scaffolding",IF(Q1030="REVIEW","",INDEX('Category Rules'!$E$5:$E$17,MATCH(P1030,'Category Rules'!$A$5:$A$17,0))))</f>
        <v>Scaffolding</v>
      </c>
      <c r="T1030" t="str">
        <f>IF(Q1030="DEP","BAS Excluded","GST on Income")</f>
        <v>GST on Income</v>
      </c>
      <c r="U1030">
        <f>IF(O1030=T1030,1,0)</f>
        <v>1</v>
      </c>
      <c r="V1030" s="9">
        <f>IF(OR(M1030=0,U1030=1),0,IF(T1030="GST on Income",ROUND(K1030*0.1,2),ROUND(-K1030*0.1,2)))</f>
        <v>0</v>
      </c>
    </row>
    <row r="1031">
      <c r="A1031" t="inlineStr">
        <is>
          <t>INV-5687-1</t>
        </is>
      </c>
      <c r="B1031" t="inlineStr">
        <is>
          <t>INV-5687</t>
        </is>
      </c>
      <c r="C1031" s="11" t="n">
        <v>45998</v>
      </c>
      <c r="D1031" t="inlineStr">
        <is>
          <t>2025-12</t>
        </is>
      </c>
      <c r="E1031" t="inlineStr">
        <is>
          <t>C0008</t>
        </is>
      </c>
      <c r="F1031" t="inlineStr">
        <is>
          <t>C0008</t>
        </is>
      </c>
      <c r="G1031" t="inlineStr">
        <is>
          <t>Redline Builders Pty Ltd</t>
        </is>
      </c>
      <c r="H1031" t="inlineStr">
        <is>
          <t>S0428</t>
        </is>
      </c>
      <c r="I1031" t="inlineStr">
        <is>
          <t>Make safe call-out</t>
        </is>
      </c>
      <c r="J1031" t="n">
        <v>1</v>
      </c>
      <c r="K1031" s="9" t="n">
        <v>385</v>
      </c>
      <c r="L1031" t="inlineStr">
        <is>
          <t>PAID</t>
        </is>
      </c>
      <c r="M1031">
        <f>IF(L1031="VOIDED",0,1)</f>
        <v>1</v>
      </c>
      <c r="N1031" t="n">
        <v>200</v>
      </c>
      <c r="O1031" t="inlineStr">
        <is>
          <t>GST on Income</t>
        </is>
      </c>
      <c r="P1031" t="inlineStr">
        <is>
          <t>R09</t>
        </is>
      </c>
      <c r="Q1031" t="inlineStr">
        <is>
          <t>MS</t>
        </is>
      </c>
      <c r="R1031">
        <f>IF(OR(Q1031="CONTEXT",Q1031="REVIEW"),"",INDEX('Category Rules'!$D$5:$D$17,MATCH(P1031,'Category Rules'!$A$5:$A$17,0)))</f>
        <v>4020</v>
      </c>
      <c r="S1031" t="str">
        <f>IF(Q1031="CONTEXT","Make-safe",IF(Q1031="REVIEW","",INDEX('Category Rules'!$E$5:$E$17,MATCH(P1031,'Category Rules'!$A$5:$A$17,0))))</f>
        <v>Make-safe</v>
      </c>
      <c r="T1031" t="str">
        <f>IF(Q1031="DEP","BAS Excluded","GST on Income")</f>
        <v>GST on Income</v>
      </c>
      <c r="U1031">
        <f>IF(O1031=T1031,1,0)</f>
        <v>1</v>
      </c>
      <c r="V1031" s="9">
        <f>IF(OR(M1031=0,U1031=1),0,IF(T1031="GST on Income",ROUND(K1031*0.1,2),ROUND(-K1031*0.1,2)))</f>
        <v>0</v>
      </c>
    </row>
    <row r="1032">
      <c r="A1032" t="inlineStr">
        <is>
          <t>CN-5949-1</t>
        </is>
      </c>
      <c r="B1032" t="inlineStr">
        <is>
          <t>CN-5949</t>
        </is>
      </c>
      <c r="C1032" s="11" t="n">
        <v>45999</v>
      </c>
      <c r="D1032" t="inlineStr">
        <is>
          <t>2025-12</t>
        </is>
      </c>
      <c r="E1032" t="inlineStr">
        <is>
          <t>C0025</t>
        </is>
      </c>
      <c r="F1032" t="inlineStr">
        <is>
          <t>C0025</t>
        </is>
      </c>
      <c r="G1032" t="inlineStr">
        <is>
          <t>Silverleaf Building Group Pty Ltd</t>
        </is>
      </c>
      <c r="H1032" t="inlineStr">
        <is>
          <t>S0218</t>
        </is>
      </c>
      <c r="I1032" t="inlineStr">
        <is>
          <t>Credit - temporary fence hire overcharge</t>
        </is>
      </c>
      <c r="J1032" t="n">
        <v>1</v>
      </c>
      <c r="K1032" s="9" t="n">
        <v>-315.22</v>
      </c>
      <c r="L1032" t="inlineStr">
        <is>
          <t>PAID</t>
        </is>
      </c>
      <c r="M1032">
        <f>IF(L1032="VOIDED",0,1)</f>
        <v>1</v>
      </c>
      <c r="N1032" t="n">
        <v>200</v>
      </c>
      <c r="O1032" t="inlineStr">
        <is>
          <t>GST on Income</t>
        </is>
      </c>
      <c r="P1032" t="inlineStr">
        <is>
          <t>R03</t>
        </is>
      </c>
      <c r="Q1032" t="inlineStr">
        <is>
          <t>HIRE-FP</t>
        </is>
      </c>
      <c r="R1032">
        <f>IF(OR(Q1032="CONTEXT",Q1032="REVIEW"),"",INDEX('Category Rules'!$D$5:$D$17,MATCH(P1032,'Category Rules'!$A$5:$A$17,0)))</f>
        <v>4010</v>
      </c>
      <c r="S1032" t="str">
        <f>IF(Q1032="CONTEXT","Fencing",IF(Q1032="REVIEW","",INDEX('Category Rules'!$E$5:$E$17,MATCH(P1032,'Category Rules'!$A$5:$A$17,0))))</f>
        <v>Fencing</v>
      </c>
      <c r="T1032" t="str">
        <f>IF(Q1032="DEP","BAS Excluded","GST on Income")</f>
        <v>GST on Income</v>
      </c>
      <c r="U1032">
        <f>IF(O1032=T1032,1,0)</f>
        <v>1</v>
      </c>
      <c r="V1032" s="9">
        <f>IF(OR(M1032=0,U1032=1),0,IF(T1032="GST on Income",ROUND(K1032*0.1,2),ROUND(-K1032*0.1,2)))</f>
        <v>0</v>
      </c>
    </row>
    <row r="1033">
      <c r="A1033" t="inlineStr">
        <is>
          <t>INV-5281-1</t>
        </is>
      </c>
      <c r="B1033" t="inlineStr">
        <is>
          <t>INV-5281</t>
        </is>
      </c>
      <c r="C1033" s="11" t="n">
        <v>45999</v>
      </c>
      <c r="D1033" t="inlineStr">
        <is>
          <t>2025-12</t>
        </is>
      </c>
      <c r="E1033" t="inlineStr">
        <is>
          <t>C0034</t>
        </is>
      </c>
      <c r="F1033" t="inlineStr">
        <is>
          <t>C0034</t>
        </is>
      </c>
      <c r="G1033" t="inlineStr">
        <is>
          <t>Norfolk Constructions Pty Ltd</t>
        </is>
      </c>
      <c r="H1033" t="inlineStr">
        <is>
          <t>S0255</t>
        </is>
      </c>
      <c r="I1033" t="inlineStr">
        <is>
          <t>Scaffold tower hire 3 wks (23/11/25-07/12/25) - 3 towers</t>
        </is>
      </c>
      <c r="J1033" t="n">
        <v>9</v>
      </c>
      <c r="K1033" s="9" t="n">
        <v>855</v>
      </c>
      <c r="L1033" t="inlineStr">
        <is>
          <t>PAID</t>
        </is>
      </c>
      <c r="M1033">
        <f>IF(L1033="VOIDED",0,1)</f>
        <v>1</v>
      </c>
      <c r="N1033" t="n">
        <v>200</v>
      </c>
      <c r="O1033" t="inlineStr">
        <is>
          <t>GST on Income</t>
        </is>
      </c>
      <c r="P1033" t="inlineStr">
        <is>
          <t>R05</t>
        </is>
      </c>
      <c r="Q1033" t="inlineStr">
        <is>
          <t>HIRE-ST</t>
        </is>
      </c>
      <c r="R1033">
        <f>IF(OR(Q1033="CONTEXT",Q1033="REVIEW"),"",INDEX('Category Rules'!$D$5:$D$17,MATCH(P1033,'Category Rules'!$A$5:$A$17,0)))</f>
        <v>4010</v>
      </c>
      <c r="S1033" t="str">
        <f>IF(Q1033="CONTEXT","Scaffolding",IF(Q1033="REVIEW","",INDEX('Category Rules'!$E$5:$E$17,MATCH(P1033,'Category Rules'!$A$5:$A$17,0))))</f>
        <v>Scaffolding</v>
      </c>
      <c r="T1033" t="str">
        <f>IF(Q1033="DEP","BAS Excluded","GST on Income")</f>
        <v>GST on Income</v>
      </c>
      <c r="U1033">
        <f>IF(O1033=T1033,1,0)</f>
        <v>1</v>
      </c>
      <c r="V1033" s="9">
        <f>IF(OR(M1033=0,U1033=1),0,IF(T1033="GST on Income",ROUND(K1033*0.1,2),ROUND(-K1033*0.1,2)))</f>
        <v>0</v>
      </c>
    </row>
    <row r="1034">
      <c r="A1034" t="inlineStr">
        <is>
          <t>INV-5283-1</t>
        </is>
      </c>
      <c r="B1034" t="inlineStr">
        <is>
          <t>INV-5283</t>
        </is>
      </c>
      <c r="C1034" s="11" t="n">
        <v>45999</v>
      </c>
      <c r="D1034" t="inlineStr">
        <is>
          <t>2025-12</t>
        </is>
      </c>
      <c r="E1034" t="inlineStr">
        <is>
          <t>C0034</t>
        </is>
      </c>
      <c r="F1034" t="inlineStr">
        <is>
          <t>C0034</t>
        </is>
      </c>
      <c r="G1034" t="inlineStr">
        <is>
          <t>Norfolk Constructions Pty Ltd</t>
        </is>
      </c>
      <c r="H1034" t="inlineStr">
        <is>
          <t>S0255</t>
        </is>
      </c>
      <c r="I1034" t="inlineStr">
        <is>
          <t>Scaffold dismantle - 3 tower(s)</t>
        </is>
      </c>
      <c r="J1034" t="n">
        <v>3</v>
      </c>
      <c r="K1034" s="9" t="n">
        <v>960</v>
      </c>
      <c r="L1034" t="inlineStr">
        <is>
          <t>PAID</t>
        </is>
      </c>
      <c r="M1034">
        <f>IF(L1034="VOIDED",0,1)</f>
        <v>1</v>
      </c>
      <c r="N1034" t="n">
        <v>200</v>
      </c>
      <c r="O1034" t="inlineStr">
        <is>
          <t>GST on Income</t>
        </is>
      </c>
      <c r="P1034" t="inlineStr">
        <is>
          <t>R08</t>
        </is>
      </c>
      <c r="Q1034" t="inlineStr">
        <is>
          <t>LAB-ST</t>
        </is>
      </c>
      <c r="R1034">
        <f>IF(OR(Q1034="CONTEXT",Q1034="REVIEW"),"",INDEX('Category Rules'!$D$5:$D$17,MATCH(P1034,'Category Rules'!$A$5:$A$17,0)))</f>
        <v>4020</v>
      </c>
      <c r="S1034" t="str">
        <f>IF(Q1034="CONTEXT","Scaffolding",IF(Q1034="REVIEW","",INDEX('Category Rules'!$E$5:$E$17,MATCH(P1034,'Category Rules'!$A$5:$A$17,0))))</f>
        <v>Scaffolding</v>
      </c>
      <c r="T1034" t="str">
        <f>IF(Q1034="DEP","BAS Excluded","GST on Income")</f>
        <v>GST on Income</v>
      </c>
      <c r="U1034">
        <f>IF(O1034=T1034,1,0)</f>
        <v>1</v>
      </c>
      <c r="V1034" s="9">
        <f>IF(OR(M1034=0,U1034=1),0,IF(T1034="GST on Income",ROUND(K1034*0.1,2),ROUND(-K1034*0.1,2)))</f>
        <v>0</v>
      </c>
    </row>
    <row r="1035">
      <c r="A1035" t="inlineStr">
        <is>
          <t>INV-5820-1</t>
        </is>
      </c>
      <c r="B1035" t="inlineStr">
        <is>
          <t>INV-5820</t>
        </is>
      </c>
      <c r="C1035" s="11" t="n">
        <v>45999</v>
      </c>
      <c r="D1035" t="inlineStr">
        <is>
          <t>2025-12</t>
        </is>
      </c>
      <c r="E1035" t="inlineStr">
        <is>
          <t>C0065</t>
        </is>
      </c>
      <c r="F1035" t="inlineStr">
        <is>
          <t>C0065</t>
        </is>
      </c>
      <c r="G1035" t="inlineStr">
        <is>
          <t>Stonebridge Claims Services</t>
        </is>
      </c>
      <c r="H1035" t="inlineStr">
        <is>
          <t>S0501</t>
        </is>
      </c>
      <c r="I1035" t="inlineStr">
        <is>
          <t>Make safe call-out</t>
        </is>
      </c>
      <c r="J1035" t="n">
        <v>1</v>
      </c>
      <c r="K1035" s="9" t="n">
        <v>385</v>
      </c>
      <c r="L1035" t="inlineStr">
        <is>
          <t>PAID</t>
        </is>
      </c>
      <c r="M1035">
        <f>IF(L1035="VOIDED",0,1)</f>
        <v>1</v>
      </c>
      <c r="N1035" t="n">
        <v>200</v>
      </c>
      <c r="O1035" t="inlineStr">
        <is>
          <t>GST on Income</t>
        </is>
      </c>
      <c r="P1035" t="inlineStr">
        <is>
          <t>R09</t>
        </is>
      </c>
      <c r="Q1035" t="inlineStr">
        <is>
          <t>MS</t>
        </is>
      </c>
      <c r="R1035">
        <f>IF(OR(Q1035="CONTEXT",Q1035="REVIEW"),"",INDEX('Category Rules'!$D$5:$D$17,MATCH(P1035,'Category Rules'!$A$5:$A$17,0)))</f>
        <v>4020</v>
      </c>
      <c r="S1035" t="str">
        <f>IF(Q1035="CONTEXT","Make-safe",IF(Q1035="REVIEW","",INDEX('Category Rules'!$E$5:$E$17,MATCH(P1035,'Category Rules'!$A$5:$A$17,0))))</f>
        <v>Make-safe</v>
      </c>
      <c r="T1035" t="str">
        <f>IF(Q1035="DEP","BAS Excluded","GST on Income")</f>
        <v>GST on Income</v>
      </c>
      <c r="U1035">
        <f>IF(O1035=T1035,1,0)</f>
        <v>1</v>
      </c>
      <c r="V1035" s="9">
        <f>IF(OR(M1035=0,U1035=1),0,IF(T1035="GST on Income",ROUND(K1035*0.1,2),ROUND(-K1035*0.1,2)))</f>
        <v>0</v>
      </c>
    </row>
    <row r="1036">
      <c r="A1036" t="inlineStr">
        <is>
          <t>INV-5820-2</t>
        </is>
      </c>
      <c r="B1036" t="inlineStr">
        <is>
          <t>INV-5820</t>
        </is>
      </c>
      <c r="C1036" s="11" t="n">
        <v>45999</v>
      </c>
      <c r="D1036" t="inlineStr">
        <is>
          <t>2025-12</t>
        </is>
      </c>
      <c r="E1036" t="inlineStr">
        <is>
          <t>C0065</t>
        </is>
      </c>
      <c r="F1036" t="inlineStr">
        <is>
          <t>C0065</t>
        </is>
      </c>
      <c r="G1036" t="inlineStr">
        <is>
          <t>Stonebridge Claims Services</t>
        </is>
      </c>
      <c r="H1036" t="inlineStr">
        <is>
          <t>S0501</t>
        </is>
      </c>
      <c r="I1036" t="inlineStr">
        <is>
          <t>Tarp supply and install - 3 tarp(s)</t>
        </is>
      </c>
      <c r="J1036" t="n">
        <v>3</v>
      </c>
      <c r="K1036" s="9" t="n">
        <v>720</v>
      </c>
      <c r="L1036" t="inlineStr">
        <is>
          <t>PAID</t>
        </is>
      </c>
      <c r="M1036">
        <f>IF(L1036="VOIDED",0,1)</f>
        <v>1</v>
      </c>
      <c r="N1036" t="n">
        <v>200</v>
      </c>
      <c r="O1036" t="inlineStr">
        <is>
          <t>GST on Income</t>
        </is>
      </c>
      <c r="P1036" t="inlineStr">
        <is>
          <t>R09</t>
        </is>
      </c>
      <c r="Q1036" t="inlineStr">
        <is>
          <t>MS</t>
        </is>
      </c>
      <c r="R1036">
        <f>IF(OR(Q1036="CONTEXT",Q1036="REVIEW"),"",INDEX('Category Rules'!$D$5:$D$17,MATCH(P1036,'Category Rules'!$A$5:$A$17,0)))</f>
        <v>4020</v>
      </c>
      <c r="S1036" t="str">
        <f>IF(Q1036="CONTEXT","Make-safe",IF(Q1036="REVIEW","",INDEX('Category Rules'!$E$5:$E$17,MATCH(P1036,'Category Rules'!$A$5:$A$17,0))))</f>
        <v>Make-safe</v>
      </c>
      <c r="T1036" t="str">
        <f>IF(Q1036="DEP","BAS Excluded","GST on Income")</f>
        <v>GST on Income</v>
      </c>
      <c r="U1036">
        <f>IF(O1036=T1036,1,0)</f>
        <v>1</v>
      </c>
      <c r="V1036" s="9">
        <f>IF(OR(M1036=0,U1036=1),0,IF(T1036="GST on Income",ROUND(K1036*0.1,2),ROUND(-K1036*0.1,2)))</f>
        <v>0</v>
      </c>
    </row>
    <row r="1037">
      <c r="A1037" t="inlineStr">
        <is>
          <t>INV-4637-1</t>
        </is>
      </c>
      <c r="B1037" t="inlineStr">
        <is>
          <t>INV-4637</t>
        </is>
      </c>
      <c r="C1037" s="11" t="n">
        <v>46000</v>
      </c>
      <c r="D1037" t="inlineStr">
        <is>
          <t>2025-12</t>
        </is>
      </c>
      <c r="E1037" t="inlineStr">
        <is>
          <t>C0014</t>
        </is>
      </c>
      <c r="F1037" t="inlineStr">
        <is>
          <t>C0014</t>
        </is>
      </c>
      <c r="G1037" t="inlineStr">
        <is>
          <t>Riverbend Homes Pty Ltd</t>
        </is>
      </c>
      <c r="H1037" t="inlineStr">
        <is>
          <t>S0109</t>
        </is>
      </c>
      <c r="I1037" t="inlineStr">
        <is>
          <t>Temporary fence hire 4 wks (11/11/25-08/12/25) - 66 panels</t>
        </is>
      </c>
      <c r="J1037" t="n">
        <v>264</v>
      </c>
      <c r="K1037" s="9" t="n">
        <v>1188</v>
      </c>
      <c r="L1037" t="inlineStr">
        <is>
          <t>PAID</t>
        </is>
      </c>
      <c r="M1037">
        <f>IF(L1037="VOIDED",0,1)</f>
        <v>1</v>
      </c>
      <c r="N1037" t="n">
        <v>200</v>
      </c>
      <c r="O1037" t="inlineStr">
        <is>
          <t>GST on Income</t>
        </is>
      </c>
      <c r="P1037" t="inlineStr">
        <is>
          <t>R03</t>
        </is>
      </c>
      <c r="Q1037" t="inlineStr">
        <is>
          <t>HIRE-FP</t>
        </is>
      </c>
      <c r="R1037">
        <f>IF(OR(Q1037="CONTEXT",Q1037="REVIEW"),"",INDEX('Category Rules'!$D$5:$D$17,MATCH(P1037,'Category Rules'!$A$5:$A$17,0)))</f>
        <v>4010</v>
      </c>
      <c r="S1037" t="str">
        <f>IF(Q1037="CONTEXT","Fencing",IF(Q1037="REVIEW","",INDEX('Category Rules'!$E$5:$E$17,MATCH(P1037,'Category Rules'!$A$5:$A$17,0))))</f>
        <v>Fencing</v>
      </c>
      <c r="T1037" t="str">
        <f>IF(Q1037="DEP","BAS Excluded","GST on Income")</f>
        <v>GST on Income</v>
      </c>
      <c r="U1037">
        <f>IF(O1037=T1037,1,0)</f>
        <v>1</v>
      </c>
      <c r="V1037" s="9">
        <f>IF(OR(M1037=0,U1037=1),0,IF(T1037="GST on Income",ROUND(K1037*0.1,2),ROUND(-K1037*0.1,2)))</f>
        <v>0</v>
      </c>
    </row>
    <row r="1038">
      <c r="A1038" t="inlineStr">
        <is>
          <t>INV-4642-1</t>
        </is>
      </c>
      <c r="B1038" t="inlineStr">
        <is>
          <t>INV-4642</t>
        </is>
      </c>
      <c r="C1038" s="11" t="n">
        <v>46000</v>
      </c>
      <c r="D1038" t="inlineStr">
        <is>
          <t>2025-12</t>
        </is>
      </c>
      <c r="E1038" t="inlineStr">
        <is>
          <t>C0108</t>
        </is>
      </c>
      <c r="F1038" t="inlineStr">
        <is>
          <t>C0108</t>
        </is>
      </c>
      <c r="G1038" t="inlineStr">
        <is>
          <t>Mia Papadopoulos</t>
        </is>
      </c>
      <c r="H1038" t="inlineStr">
        <is>
          <t>S0110</t>
        </is>
      </c>
      <c r="I1038" t="inlineStr">
        <is>
          <t>Delivery and installation - temporary fencing</t>
        </is>
      </c>
      <c r="J1038" t="n">
        <v>1</v>
      </c>
      <c r="K1038" s="9" t="n">
        <v>165</v>
      </c>
      <c r="L1038" t="inlineStr">
        <is>
          <t>PAID</t>
        </is>
      </c>
      <c r="M1038">
        <f>IF(L1038="VOIDED",0,1)</f>
        <v>1</v>
      </c>
      <c r="N1038" t="n">
        <v>200</v>
      </c>
      <c r="O1038" t="inlineStr">
        <is>
          <t>GST on Income</t>
        </is>
      </c>
      <c r="P1038" t="inlineStr">
        <is>
          <t>R07</t>
        </is>
      </c>
      <c r="Q1038" t="inlineStr">
        <is>
          <t>DEL-FP</t>
        </is>
      </c>
      <c r="R1038">
        <f>IF(OR(Q1038="CONTEXT",Q1038="REVIEW"),"",INDEX('Category Rules'!$D$5:$D$17,MATCH(P1038,'Category Rules'!$A$5:$A$17,0)))</f>
        <v>4020</v>
      </c>
      <c r="S1038" t="str">
        <f>IF(Q1038="CONTEXT","Fencing",IF(Q1038="REVIEW","",INDEX('Category Rules'!$E$5:$E$17,MATCH(P1038,'Category Rules'!$A$5:$A$17,0))))</f>
        <v>Fencing</v>
      </c>
      <c r="T1038" t="str">
        <f>IF(Q1038="DEP","BAS Excluded","GST on Income")</f>
        <v>GST on Income</v>
      </c>
      <c r="U1038">
        <f>IF(O1038=T1038,1,0)</f>
        <v>1</v>
      </c>
      <c r="V1038" s="9">
        <f>IF(OR(M1038=0,U1038=1),0,IF(T1038="GST on Income",ROUND(K1038*0.1,2),ROUND(-K1038*0.1,2)))</f>
        <v>0</v>
      </c>
    </row>
    <row r="1039">
      <c r="A1039" t="inlineStr">
        <is>
          <t>INV-4642-2</t>
        </is>
      </c>
      <c r="B1039" t="inlineStr">
        <is>
          <t>INV-4642</t>
        </is>
      </c>
      <c r="C1039" s="11" t="n">
        <v>46000</v>
      </c>
      <c r="D1039" t="inlineStr">
        <is>
          <t>2025-12</t>
        </is>
      </c>
      <c r="E1039" t="inlineStr">
        <is>
          <t>C0108</t>
        </is>
      </c>
      <c r="F1039" t="inlineStr">
        <is>
          <t>C0108</t>
        </is>
      </c>
      <c r="G1039" t="inlineStr">
        <is>
          <t>Mia Papadopoulos</t>
        </is>
      </c>
      <c r="H1039" t="inlineStr">
        <is>
          <t>S0110</t>
        </is>
      </c>
      <c r="I1039" t="inlineStr">
        <is>
          <t>Installation labour - 117 panels @ 2.20</t>
        </is>
      </c>
      <c r="J1039" t="n">
        <v>117</v>
      </c>
      <c r="K1039" s="9" t="n">
        <v>257.4</v>
      </c>
      <c r="L1039" t="inlineStr">
        <is>
          <t>PAID</t>
        </is>
      </c>
      <c r="M1039">
        <f>IF(L1039="VOIDED",0,1)</f>
        <v>1</v>
      </c>
      <c r="N1039" t="n">
        <v>200</v>
      </c>
      <c r="O1039" t="inlineStr">
        <is>
          <t>GST on Income</t>
        </is>
      </c>
      <c r="P1039" t="inlineStr">
        <is>
          <t>R07</t>
        </is>
      </c>
      <c r="Q1039" t="inlineStr">
        <is>
          <t>DEL-FP</t>
        </is>
      </c>
      <c r="R1039">
        <f>IF(OR(Q1039="CONTEXT",Q1039="REVIEW"),"",INDEX('Category Rules'!$D$5:$D$17,MATCH(P1039,'Category Rules'!$A$5:$A$17,0)))</f>
        <v>4020</v>
      </c>
      <c r="S1039" t="str">
        <f>IF(Q1039="CONTEXT","Fencing",IF(Q1039="REVIEW","",INDEX('Category Rules'!$E$5:$E$17,MATCH(P1039,'Category Rules'!$A$5:$A$17,0))))</f>
        <v>Fencing</v>
      </c>
      <c r="T1039" t="str">
        <f>IF(Q1039="DEP","BAS Excluded","GST on Income")</f>
        <v>GST on Income</v>
      </c>
      <c r="U1039">
        <f>IF(O1039=T1039,1,0)</f>
        <v>1</v>
      </c>
      <c r="V1039" s="9">
        <f>IF(OR(M1039=0,U1039=1),0,IF(T1039="GST on Income",ROUND(K1039*0.1,2),ROUND(-K1039*0.1,2)))</f>
        <v>0</v>
      </c>
    </row>
    <row r="1040">
      <c r="A1040" t="inlineStr">
        <is>
          <t>INV-4642-3</t>
        </is>
      </c>
      <c r="B1040" t="inlineStr">
        <is>
          <t>INV-4642</t>
        </is>
      </c>
      <c r="C1040" s="11" t="n">
        <v>46000</v>
      </c>
      <c r="D1040" t="inlineStr">
        <is>
          <t>2025-12</t>
        </is>
      </c>
      <c r="E1040" t="inlineStr">
        <is>
          <t>C0108</t>
        </is>
      </c>
      <c r="F1040" t="inlineStr">
        <is>
          <t>C0108</t>
        </is>
      </c>
      <c r="G1040" t="inlineStr">
        <is>
          <t>Mia Papadopoulos</t>
        </is>
      </c>
      <c r="H1040" t="inlineStr">
        <is>
          <t>S0110</t>
        </is>
      </c>
      <c r="I1040" t="inlineStr">
        <is>
          <t>Security deposit - fence panels (refundable)</t>
        </is>
      </c>
      <c r="J1040" t="n">
        <v>1</v>
      </c>
      <c r="K1040" s="9" t="n">
        <v>940</v>
      </c>
      <c r="L1040" t="inlineStr">
        <is>
          <t>PAID</t>
        </is>
      </c>
      <c r="M1040">
        <f>IF(L1040="VOIDED",0,1)</f>
        <v>1</v>
      </c>
      <c r="N1040" t="n">
        <v>200</v>
      </c>
      <c r="O1040" t="inlineStr">
        <is>
          <t>GST on Income</t>
        </is>
      </c>
      <c r="P1040" t="inlineStr">
        <is>
          <t>R01</t>
        </is>
      </c>
      <c r="Q1040" t="inlineStr">
        <is>
          <t>DEP</t>
        </is>
      </c>
      <c r="R1040">
        <f>IF(OR(Q1040="CONTEXT",Q1040="REVIEW"),"",INDEX('Category Rules'!$D$5:$D$17,MATCH(P1040,'Category Rules'!$A$5:$A$17,0)))</f>
        <v>835</v>
      </c>
      <c r="S1040" t="str">
        <f>IF(Q1040="CONTEXT","Fencing",IF(Q1040="REVIEW","",INDEX('Category Rules'!$E$5:$E$17,MATCH(P1040,'Category Rules'!$A$5:$A$17,0))))</f>
        <v>Fencing</v>
      </c>
      <c r="T1040" t="str">
        <f>IF(Q1040="DEP","BAS Excluded","GST on Income")</f>
        <v>BAS Excluded</v>
      </c>
      <c r="U1040">
        <f>IF(O1040=T1040,1,0)</f>
        <v>0</v>
      </c>
      <c r="V1040" s="9">
        <f>IF(OR(M1040=0,U1040=1),0,IF(T1040="GST on Income",ROUND(K1040*0.1,2),ROUND(-K1040*0.1,2)))</f>
        <v>-94</v>
      </c>
    </row>
    <row r="1041">
      <c r="A1041" t="inlineStr">
        <is>
          <t>INV-5185-1</t>
        </is>
      </c>
      <c r="B1041" t="inlineStr">
        <is>
          <t>INV-5185</t>
        </is>
      </c>
      <c r="C1041" s="11" t="n">
        <v>46000</v>
      </c>
      <c r="D1041" t="inlineStr">
        <is>
          <t>2025-12</t>
        </is>
      </c>
      <c r="E1041" t="inlineStr">
        <is>
          <t>C0029</t>
        </is>
      </c>
      <c r="F1041" t="inlineStr">
        <is>
          <t>C0029</t>
        </is>
      </c>
      <c r="G1041" t="inlineStr">
        <is>
          <t>Ironbark Constructions</t>
        </is>
      </c>
      <c r="H1041" t="inlineStr">
        <is>
          <t>S0232</t>
        </is>
      </c>
      <c r="I1041" t="inlineStr">
        <is>
          <t>Temporary fence hire 4 wks (11/11/25-08/12/25) - 43 panels</t>
        </is>
      </c>
      <c r="J1041" t="n">
        <v>172</v>
      </c>
      <c r="K1041" s="9" t="n">
        <v>774</v>
      </c>
      <c r="L1041" t="inlineStr">
        <is>
          <t>PAID</t>
        </is>
      </c>
      <c r="M1041">
        <f>IF(L1041="VOIDED",0,1)</f>
        <v>1</v>
      </c>
      <c r="N1041" t="n">
        <v>200</v>
      </c>
      <c r="O1041" t="inlineStr">
        <is>
          <t>GST on Income</t>
        </is>
      </c>
      <c r="P1041" t="inlineStr">
        <is>
          <t>R03</t>
        </is>
      </c>
      <c r="Q1041" t="inlineStr">
        <is>
          <t>HIRE-FP</t>
        </is>
      </c>
      <c r="R1041">
        <f>IF(OR(Q1041="CONTEXT",Q1041="REVIEW"),"",INDEX('Category Rules'!$D$5:$D$17,MATCH(P1041,'Category Rules'!$A$5:$A$17,0)))</f>
        <v>4010</v>
      </c>
      <c r="S1041" t="str">
        <f>IF(Q1041="CONTEXT","Fencing",IF(Q1041="REVIEW","",INDEX('Category Rules'!$E$5:$E$17,MATCH(P1041,'Category Rules'!$A$5:$A$17,0))))</f>
        <v>Fencing</v>
      </c>
      <c r="T1041" t="str">
        <f>IF(Q1041="DEP","BAS Excluded","GST on Income")</f>
        <v>GST on Income</v>
      </c>
      <c r="U1041">
        <f>IF(O1041=T1041,1,0)</f>
        <v>1</v>
      </c>
      <c r="V1041" s="9">
        <f>IF(OR(M1041=0,U1041=1),0,IF(T1041="GST on Income",ROUND(K1041*0.1,2),ROUND(-K1041*0.1,2)))</f>
        <v>0</v>
      </c>
    </row>
    <row r="1042">
      <c r="A1042" t="inlineStr">
        <is>
          <t>INV-4686-1</t>
        </is>
      </c>
      <c r="B1042" t="inlineStr">
        <is>
          <t>INV-4686</t>
        </is>
      </c>
      <c r="C1042" s="11" t="n">
        <v>46001</v>
      </c>
      <c r="D1042" t="inlineStr">
        <is>
          <t>2025-12</t>
        </is>
      </c>
      <c r="E1042" t="inlineStr">
        <is>
          <t>C0033</t>
        </is>
      </c>
      <c r="F1042" t="inlineStr">
        <is>
          <t>C0033</t>
        </is>
      </c>
      <c r="G1042" t="inlineStr">
        <is>
          <t>Granite Projects Pty Ltd</t>
        </is>
      </c>
      <c r="H1042" t="inlineStr">
        <is>
          <t>S0123</t>
        </is>
      </c>
      <c r="I1042" t="inlineStr">
        <is>
          <t>Temporary fence hire 4 wks (12/11/25-09/12/25) - 135 panels</t>
        </is>
      </c>
      <c r="J1042" t="n">
        <v>540</v>
      </c>
      <c r="K1042" s="9" t="n">
        <v>2430</v>
      </c>
      <c r="L1042" t="inlineStr">
        <is>
          <t>PAID</t>
        </is>
      </c>
      <c r="M1042">
        <f>IF(L1042="VOIDED",0,1)</f>
        <v>1</v>
      </c>
      <c r="N1042" t="n">
        <v>200</v>
      </c>
      <c r="O1042" t="inlineStr">
        <is>
          <t>GST on Income</t>
        </is>
      </c>
      <c r="P1042" t="inlineStr">
        <is>
          <t>R03</t>
        </is>
      </c>
      <c r="Q1042" t="inlineStr">
        <is>
          <t>HIRE-FP</t>
        </is>
      </c>
      <c r="R1042">
        <f>IF(OR(Q1042="CONTEXT",Q1042="REVIEW"),"",INDEX('Category Rules'!$D$5:$D$17,MATCH(P1042,'Category Rules'!$A$5:$A$17,0)))</f>
        <v>4010</v>
      </c>
      <c r="S1042" t="str">
        <f>IF(Q1042="CONTEXT","Fencing",IF(Q1042="REVIEW","",INDEX('Category Rules'!$E$5:$E$17,MATCH(P1042,'Category Rules'!$A$5:$A$17,0))))</f>
        <v>Fencing</v>
      </c>
      <c r="T1042" t="str">
        <f>IF(Q1042="DEP","BAS Excluded","GST on Income")</f>
        <v>GST on Income</v>
      </c>
      <c r="U1042">
        <f>IF(O1042=T1042,1,0)</f>
        <v>1</v>
      </c>
      <c r="V1042" s="9">
        <f>IF(OR(M1042=0,U1042=1),0,IF(T1042="GST on Income",ROUND(K1042*0.1,2),ROUND(-K1042*0.1,2)))</f>
        <v>0</v>
      </c>
    </row>
    <row r="1043">
      <c r="A1043" t="inlineStr">
        <is>
          <t>INV-4764-1</t>
        </is>
      </c>
      <c r="B1043" t="inlineStr">
        <is>
          <t>INV-4764</t>
        </is>
      </c>
      <c r="C1043" s="11" t="n">
        <v>46001</v>
      </c>
      <c r="D1043" t="inlineStr">
        <is>
          <t>2025-12</t>
        </is>
      </c>
      <c r="E1043" t="inlineStr">
        <is>
          <t>C0027</t>
        </is>
      </c>
      <c r="F1043" t="inlineStr">
        <is>
          <t>C0027</t>
        </is>
      </c>
      <c r="G1043" t="inlineStr">
        <is>
          <t>Metro Projects Pty Ltd</t>
        </is>
      </c>
      <c r="H1043" t="inlineStr">
        <is>
          <t>S0139</t>
        </is>
      </c>
      <c r="I1043" t="inlineStr">
        <is>
          <t>Temporary fence hire 2 wks (28/11/25-09/12/25) - 70 panels</t>
        </is>
      </c>
      <c r="J1043" t="n">
        <v>140</v>
      </c>
      <c r="K1043" s="9" t="n">
        <v>630</v>
      </c>
      <c r="L1043" t="inlineStr">
        <is>
          <t>PAID</t>
        </is>
      </c>
      <c r="M1043">
        <f>IF(L1043="VOIDED",0,1)</f>
        <v>1</v>
      </c>
      <c r="N1043" t="n">
        <v>200</v>
      </c>
      <c r="O1043" t="inlineStr">
        <is>
          <t>GST on Income</t>
        </is>
      </c>
      <c r="P1043" t="inlineStr">
        <is>
          <t>R03</t>
        </is>
      </c>
      <c r="Q1043" t="inlineStr">
        <is>
          <t>HIRE-FP</t>
        </is>
      </c>
      <c r="R1043">
        <f>IF(OR(Q1043="CONTEXT",Q1043="REVIEW"),"",INDEX('Category Rules'!$D$5:$D$17,MATCH(P1043,'Category Rules'!$A$5:$A$17,0)))</f>
        <v>4010</v>
      </c>
      <c r="S1043" t="str">
        <f>IF(Q1043="CONTEXT","Fencing",IF(Q1043="REVIEW","",INDEX('Category Rules'!$E$5:$E$17,MATCH(P1043,'Category Rules'!$A$5:$A$17,0))))</f>
        <v>Fencing</v>
      </c>
      <c r="T1043" t="str">
        <f>IF(Q1043="DEP","BAS Excluded","GST on Income")</f>
        <v>GST on Income</v>
      </c>
      <c r="U1043">
        <f>IF(O1043=T1043,1,0)</f>
        <v>1</v>
      </c>
      <c r="V1043" s="9">
        <f>IF(OR(M1043=0,U1043=1),0,IF(T1043="GST on Income",ROUND(K1043*0.1,2),ROUND(-K1043*0.1,2)))</f>
        <v>0</v>
      </c>
    </row>
    <row r="1044">
      <c r="A1044" t="inlineStr">
        <is>
          <t>INV-4766-1</t>
        </is>
      </c>
      <c r="B1044" t="inlineStr">
        <is>
          <t>INV-4766</t>
        </is>
      </c>
      <c r="C1044" s="11" t="n">
        <v>46001</v>
      </c>
      <c r="D1044" t="inlineStr">
        <is>
          <t>2025-12</t>
        </is>
      </c>
      <c r="E1044" t="inlineStr">
        <is>
          <t>C0027</t>
        </is>
      </c>
      <c r="F1044" t="inlineStr">
        <is>
          <t>C0027</t>
        </is>
      </c>
      <c r="G1044" t="inlineStr">
        <is>
          <t>Metro Projects Pty Ltd</t>
        </is>
      </c>
      <c r="H1044" t="inlineStr">
        <is>
          <t>S0139</t>
        </is>
      </c>
      <c r="I1044" t="inlineStr">
        <is>
          <t>Collection and dismantle - temporary fencing</t>
        </is>
      </c>
      <c r="J1044" t="n">
        <v>1</v>
      </c>
      <c r="K1044" s="9" t="n">
        <v>165</v>
      </c>
      <c r="L1044" t="inlineStr">
        <is>
          <t>PAID</t>
        </is>
      </c>
      <c r="M1044">
        <f>IF(L1044="VOIDED",0,1)</f>
        <v>1</v>
      </c>
      <c r="N1044" t="n">
        <v>200</v>
      </c>
      <c r="O1044" t="inlineStr">
        <is>
          <t>GST on Income</t>
        </is>
      </c>
      <c r="P1044" t="inlineStr">
        <is>
          <t>R07</t>
        </is>
      </c>
      <c r="Q1044" t="inlineStr">
        <is>
          <t>DEL-FP</t>
        </is>
      </c>
      <c r="R1044">
        <f>IF(OR(Q1044="CONTEXT",Q1044="REVIEW"),"",INDEX('Category Rules'!$D$5:$D$17,MATCH(P1044,'Category Rules'!$A$5:$A$17,0)))</f>
        <v>4020</v>
      </c>
      <c r="S1044" t="str">
        <f>IF(Q1044="CONTEXT","Fencing",IF(Q1044="REVIEW","",INDEX('Category Rules'!$E$5:$E$17,MATCH(P1044,'Category Rules'!$A$5:$A$17,0))))</f>
        <v>Fencing</v>
      </c>
      <c r="T1044" t="str">
        <f>IF(Q1044="DEP","BAS Excluded","GST on Income")</f>
        <v>GST on Income</v>
      </c>
      <c r="U1044">
        <f>IF(O1044=T1044,1,0)</f>
        <v>1</v>
      </c>
      <c r="V1044" s="9">
        <f>IF(OR(M1044=0,U1044=1),0,IF(T1044="GST on Income",ROUND(K1044*0.1,2),ROUND(-K1044*0.1,2)))</f>
        <v>0</v>
      </c>
    </row>
    <row r="1045">
      <c r="A1045" t="inlineStr">
        <is>
          <t>INV-4846-1</t>
        </is>
      </c>
      <c r="B1045" t="inlineStr">
        <is>
          <t>INV-4846</t>
        </is>
      </c>
      <c r="C1045" s="11" t="n">
        <v>46001</v>
      </c>
      <c r="D1045" t="inlineStr">
        <is>
          <t>2025-12</t>
        </is>
      </c>
      <c r="E1045" t="inlineStr">
        <is>
          <t>C0035</t>
        </is>
      </c>
      <c r="F1045" t="inlineStr">
        <is>
          <t>C0035</t>
        </is>
      </c>
      <c r="G1045" t="inlineStr">
        <is>
          <t>Bayside Homes Pty Ltd</t>
        </is>
      </c>
      <c r="H1045" t="inlineStr">
        <is>
          <t>S0159</t>
        </is>
      </c>
      <c r="I1045" t="inlineStr">
        <is>
          <t>Temporary fence hire 4 wks (12/11/25-09/12/25) - 37 panels</t>
        </is>
      </c>
      <c r="J1045" t="n">
        <v>148</v>
      </c>
      <c r="K1045" s="9" t="n">
        <v>666</v>
      </c>
      <c r="L1045" t="inlineStr">
        <is>
          <t>PAID</t>
        </is>
      </c>
      <c r="M1045">
        <f>IF(L1045="VOIDED",0,1)</f>
        <v>1</v>
      </c>
      <c r="N1045" t="n">
        <v>260</v>
      </c>
      <c r="O1045" t="inlineStr">
        <is>
          <t>GST on Income</t>
        </is>
      </c>
      <c r="P1045" t="inlineStr">
        <is>
          <t>R03</t>
        </is>
      </c>
      <c r="Q1045" t="inlineStr">
        <is>
          <t>HIRE-FP</t>
        </is>
      </c>
      <c r="R1045">
        <f>IF(OR(Q1045="CONTEXT",Q1045="REVIEW"),"",INDEX('Category Rules'!$D$5:$D$17,MATCH(P1045,'Category Rules'!$A$5:$A$17,0)))</f>
        <v>4010</v>
      </c>
      <c r="S1045" t="str">
        <f>IF(Q1045="CONTEXT","Fencing",IF(Q1045="REVIEW","",INDEX('Category Rules'!$E$5:$E$17,MATCH(P1045,'Category Rules'!$A$5:$A$17,0))))</f>
        <v>Fencing</v>
      </c>
      <c r="T1045" t="str">
        <f>IF(Q1045="DEP","BAS Excluded","GST on Income")</f>
        <v>GST on Income</v>
      </c>
      <c r="U1045">
        <f>IF(O1045=T1045,1,0)</f>
        <v>1</v>
      </c>
      <c r="V1045" s="9">
        <f>IF(OR(M1045=0,U1045=1),0,IF(T1045="GST on Income",ROUND(K1045*0.1,2),ROUND(-K1045*0.1,2)))</f>
        <v>0</v>
      </c>
    </row>
    <row r="1046">
      <c r="A1046" t="inlineStr">
        <is>
          <t>INV-5030-1</t>
        </is>
      </c>
      <c r="B1046" t="inlineStr">
        <is>
          <t>INV-5030</t>
        </is>
      </c>
      <c r="C1046" s="11" t="n">
        <v>46001</v>
      </c>
      <c r="D1046" t="inlineStr">
        <is>
          <t>2025-12</t>
        </is>
      </c>
      <c r="E1046" t="inlineStr">
        <is>
          <t>C0043</t>
        </is>
      </c>
      <c r="F1046" t="inlineStr">
        <is>
          <t>C0043</t>
        </is>
      </c>
      <c r="G1046" t="inlineStr">
        <is>
          <t>Banksia Projects Pty Ltd</t>
        </is>
      </c>
      <c r="H1046" t="inlineStr">
        <is>
          <t>S0200</t>
        </is>
      </c>
      <c r="I1046" t="inlineStr">
        <is>
          <t>Delivery and installation - temporary fencing</t>
        </is>
      </c>
      <c r="J1046" t="n">
        <v>1</v>
      </c>
      <c r="K1046" s="9" t="n">
        <v>165</v>
      </c>
      <c r="L1046" t="inlineStr">
        <is>
          <t>PAID</t>
        </is>
      </c>
      <c r="M1046">
        <f>IF(L1046="VOIDED",0,1)</f>
        <v>1</v>
      </c>
      <c r="N1046" t="n">
        <v>200</v>
      </c>
      <c r="O1046" t="inlineStr">
        <is>
          <t>GST on Income</t>
        </is>
      </c>
      <c r="P1046" t="inlineStr">
        <is>
          <t>R07</t>
        </is>
      </c>
      <c r="Q1046" t="inlineStr">
        <is>
          <t>DEL-FP</t>
        </is>
      </c>
      <c r="R1046">
        <f>IF(OR(Q1046="CONTEXT",Q1046="REVIEW"),"",INDEX('Category Rules'!$D$5:$D$17,MATCH(P1046,'Category Rules'!$A$5:$A$17,0)))</f>
        <v>4020</v>
      </c>
      <c r="S1046" t="str">
        <f>IF(Q1046="CONTEXT","Fencing",IF(Q1046="REVIEW","",INDEX('Category Rules'!$E$5:$E$17,MATCH(P1046,'Category Rules'!$A$5:$A$17,0))))</f>
        <v>Fencing</v>
      </c>
      <c r="T1046" t="str">
        <f>IF(Q1046="DEP","BAS Excluded","GST on Income")</f>
        <v>GST on Income</v>
      </c>
      <c r="U1046">
        <f>IF(O1046=T1046,1,0)</f>
        <v>1</v>
      </c>
      <c r="V1046" s="9">
        <f>IF(OR(M1046=0,U1046=1),0,IF(T1046="GST on Income",ROUND(K1046*0.1,2),ROUND(-K1046*0.1,2)))</f>
        <v>0</v>
      </c>
    </row>
    <row r="1047">
      <c r="A1047" t="inlineStr">
        <is>
          <t>INV-5030-2</t>
        </is>
      </c>
      <c r="B1047" t="inlineStr">
        <is>
          <t>INV-5030</t>
        </is>
      </c>
      <c r="C1047" s="11" t="n">
        <v>46001</v>
      </c>
      <c r="D1047" t="inlineStr">
        <is>
          <t>2025-12</t>
        </is>
      </c>
      <c r="E1047" t="inlineStr">
        <is>
          <t>C0043</t>
        </is>
      </c>
      <c r="F1047" t="inlineStr">
        <is>
          <t>C0043</t>
        </is>
      </c>
      <c r="G1047" t="inlineStr">
        <is>
          <t>Banksia Projects Pty Ltd</t>
        </is>
      </c>
      <c r="H1047" t="inlineStr">
        <is>
          <t>S0200</t>
        </is>
      </c>
      <c r="I1047" t="inlineStr">
        <is>
          <t>Installation labour - 116 panels @ 2.20</t>
        </is>
      </c>
      <c r="J1047" t="n">
        <v>116</v>
      </c>
      <c r="K1047" s="9" t="n">
        <v>255.2</v>
      </c>
      <c r="L1047" t="inlineStr">
        <is>
          <t>PAID</t>
        </is>
      </c>
      <c r="M1047">
        <f>IF(L1047="VOIDED",0,1)</f>
        <v>1</v>
      </c>
      <c r="N1047" t="n">
        <v>200</v>
      </c>
      <c r="O1047" t="inlineStr">
        <is>
          <t>GST on Income</t>
        </is>
      </c>
      <c r="P1047" t="inlineStr">
        <is>
          <t>R07</t>
        </is>
      </c>
      <c r="Q1047" t="inlineStr">
        <is>
          <t>DEL-FP</t>
        </is>
      </c>
      <c r="R1047">
        <f>IF(OR(Q1047="CONTEXT",Q1047="REVIEW"),"",INDEX('Category Rules'!$D$5:$D$17,MATCH(P1047,'Category Rules'!$A$5:$A$17,0)))</f>
        <v>4020</v>
      </c>
      <c r="S1047" t="str">
        <f>IF(Q1047="CONTEXT","Fencing",IF(Q1047="REVIEW","",INDEX('Category Rules'!$E$5:$E$17,MATCH(P1047,'Category Rules'!$A$5:$A$17,0))))</f>
        <v>Fencing</v>
      </c>
      <c r="T1047" t="str">
        <f>IF(Q1047="DEP","BAS Excluded","GST on Income")</f>
        <v>GST on Income</v>
      </c>
      <c r="U1047">
        <f>IF(O1047=T1047,1,0)</f>
        <v>1</v>
      </c>
      <c r="V1047" s="9">
        <f>IF(OR(M1047=0,U1047=1),0,IF(T1047="GST on Income",ROUND(K1047*0.1,2),ROUND(-K1047*0.1,2)))</f>
        <v>0</v>
      </c>
    </row>
    <row r="1048">
      <c r="A1048" t="inlineStr">
        <is>
          <t>INV-4352-1</t>
        </is>
      </c>
      <c r="B1048" t="inlineStr">
        <is>
          <t>INV-4352</t>
        </is>
      </c>
      <c r="C1048" s="11" t="n">
        <v>46002</v>
      </c>
      <c r="D1048" t="inlineStr">
        <is>
          <t>2025-12</t>
        </is>
      </c>
      <c r="E1048" t="inlineStr">
        <is>
          <t>C0001</t>
        </is>
      </c>
      <c r="F1048" t="inlineStr">
        <is>
          <t>C0001</t>
        </is>
      </c>
      <c r="G1048" t="inlineStr">
        <is>
          <t>Parkview Projects Pty Ltd</t>
        </is>
      </c>
      <c r="H1048" t="inlineStr">
        <is>
          <t>S0053</t>
        </is>
      </c>
      <c r="I1048" t="inlineStr">
        <is>
          <t>Temporary fence hire 4 wks (13/11/25-10/12/25) - 143 panels</t>
        </is>
      </c>
      <c r="J1048" t="n">
        <v>572</v>
      </c>
      <c r="K1048" s="9" t="n">
        <v>2574</v>
      </c>
      <c r="L1048" t="inlineStr">
        <is>
          <t>PAID</t>
        </is>
      </c>
      <c r="M1048">
        <f>IF(L1048="VOIDED",0,1)</f>
        <v>1</v>
      </c>
      <c r="N1048" t="n">
        <v>200</v>
      </c>
      <c r="O1048" t="inlineStr">
        <is>
          <t>GST on Income</t>
        </is>
      </c>
      <c r="P1048" t="inlineStr">
        <is>
          <t>R03</t>
        </is>
      </c>
      <c r="Q1048" t="inlineStr">
        <is>
          <t>HIRE-FP</t>
        </is>
      </c>
      <c r="R1048">
        <f>IF(OR(Q1048="CONTEXT",Q1048="REVIEW"),"",INDEX('Category Rules'!$D$5:$D$17,MATCH(P1048,'Category Rules'!$A$5:$A$17,0)))</f>
        <v>4010</v>
      </c>
      <c r="S1048" t="str">
        <f>IF(Q1048="CONTEXT","Fencing",IF(Q1048="REVIEW","",INDEX('Category Rules'!$E$5:$E$17,MATCH(P1048,'Category Rules'!$A$5:$A$17,0))))</f>
        <v>Fencing</v>
      </c>
      <c r="T1048" t="str">
        <f>IF(Q1048="DEP","BAS Excluded","GST on Income")</f>
        <v>GST on Income</v>
      </c>
      <c r="U1048">
        <f>IF(O1048=T1048,1,0)</f>
        <v>1</v>
      </c>
      <c r="V1048" s="9">
        <f>IF(OR(M1048=0,U1048=1),0,IF(T1048="GST on Income",ROUND(K1048*0.1,2),ROUND(-K1048*0.1,2)))</f>
        <v>0</v>
      </c>
    </row>
    <row r="1049">
      <c r="A1049" t="inlineStr">
        <is>
          <t>INV-4393-1</t>
        </is>
      </c>
      <c r="B1049" t="inlineStr">
        <is>
          <t>INV-4393</t>
        </is>
      </c>
      <c r="C1049" s="11" t="n">
        <v>46002</v>
      </c>
      <c r="D1049" t="inlineStr">
        <is>
          <t>2025-12</t>
        </is>
      </c>
      <c r="E1049" t="inlineStr">
        <is>
          <t>C0038</t>
        </is>
      </c>
      <c r="F1049" t="inlineStr">
        <is>
          <t>C0038</t>
        </is>
      </c>
      <c r="G1049" t="inlineStr">
        <is>
          <t>Cobalt Constructions Pty Ltd</t>
        </is>
      </c>
      <c r="H1049" t="inlineStr">
        <is>
          <t>S0061</t>
        </is>
      </c>
      <c r="I1049" t="inlineStr">
        <is>
          <t>Pedestrian barrier hire 4 wks (13/11/25-10/12/25) - 12 barriers</t>
        </is>
      </c>
      <c r="J1049" t="n">
        <v>48</v>
      </c>
      <c r="K1049" s="9" t="n">
        <v>153.6</v>
      </c>
      <c r="L1049" t="inlineStr">
        <is>
          <t>PAID</t>
        </is>
      </c>
      <c r="M1049">
        <f>IF(L1049="VOIDED",0,1)</f>
        <v>1</v>
      </c>
      <c r="N1049" t="n">
        <v>200</v>
      </c>
      <c r="O1049" t="inlineStr">
        <is>
          <t>GST on Income</t>
        </is>
      </c>
      <c r="P1049" t="inlineStr">
        <is>
          <t>R04</t>
        </is>
      </c>
      <c r="Q1049" t="inlineStr">
        <is>
          <t>HIRE-BR</t>
        </is>
      </c>
      <c r="R1049">
        <f>IF(OR(Q1049="CONTEXT",Q1049="REVIEW"),"",INDEX('Category Rules'!$D$5:$D$17,MATCH(P1049,'Category Rules'!$A$5:$A$17,0)))</f>
        <v>4010</v>
      </c>
      <c r="S1049" t="str">
        <f>IF(Q1049="CONTEXT","Fencing",IF(Q1049="REVIEW","",INDEX('Category Rules'!$E$5:$E$17,MATCH(P1049,'Category Rules'!$A$5:$A$17,0))))</f>
        <v>Fencing</v>
      </c>
      <c r="T1049" t="str">
        <f>IF(Q1049="DEP","BAS Excluded","GST on Income")</f>
        <v>GST on Income</v>
      </c>
      <c r="U1049">
        <f>IF(O1049=T1049,1,0)</f>
        <v>1</v>
      </c>
      <c r="V1049" s="9">
        <f>IF(OR(M1049=0,U1049=1),0,IF(T1049="GST on Income",ROUND(K1049*0.1,2),ROUND(-K1049*0.1,2)))</f>
        <v>0</v>
      </c>
    </row>
    <row r="1050">
      <c r="A1050" t="inlineStr">
        <is>
          <t>INV-4730-1</t>
        </is>
      </c>
      <c r="B1050" t="inlineStr">
        <is>
          <t>INV-4730</t>
        </is>
      </c>
      <c r="C1050" s="11" t="n">
        <v>46002</v>
      </c>
      <c r="D1050" t="inlineStr">
        <is>
          <t>2025-12</t>
        </is>
      </c>
      <c r="E1050" t="inlineStr">
        <is>
          <t>C0040</t>
        </is>
      </c>
      <c r="F1050" t="inlineStr">
        <is>
          <t>C0040</t>
        </is>
      </c>
      <c r="G1050" t="inlineStr">
        <is>
          <t>Coastline Projects Pty Ltd</t>
        </is>
      </c>
      <c r="H1050" t="inlineStr">
        <is>
          <t>S0132</t>
        </is>
      </c>
      <c r="I1050" t="inlineStr">
        <is>
          <t>Temporary fence hire 4 wks (13/11/25-10/12/25) - 146 panels</t>
        </is>
      </c>
      <c r="J1050" t="n">
        <v>584</v>
      </c>
      <c r="K1050" s="9" t="n">
        <v>2628</v>
      </c>
      <c r="L1050" t="inlineStr">
        <is>
          <t>PAID</t>
        </is>
      </c>
      <c r="M1050">
        <f>IF(L1050="VOIDED",0,1)</f>
        <v>1</v>
      </c>
      <c r="N1050" t="n">
        <v>200</v>
      </c>
      <c r="O1050" t="inlineStr">
        <is>
          <t>GST on Income</t>
        </is>
      </c>
      <c r="P1050" t="inlineStr">
        <is>
          <t>R03</t>
        </is>
      </c>
      <c r="Q1050" t="inlineStr">
        <is>
          <t>HIRE-FP</t>
        </is>
      </c>
      <c r="R1050">
        <f>IF(OR(Q1050="CONTEXT",Q1050="REVIEW"),"",INDEX('Category Rules'!$D$5:$D$17,MATCH(P1050,'Category Rules'!$A$5:$A$17,0)))</f>
        <v>4010</v>
      </c>
      <c r="S1050" t="str">
        <f>IF(Q1050="CONTEXT","Fencing",IF(Q1050="REVIEW","",INDEX('Category Rules'!$E$5:$E$17,MATCH(P1050,'Category Rules'!$A$5:$A$17,0))))</f>
        <v>Fencing</v>
      </c>
      <c r="T1050" t="str">
        <f>IF(Q1050="DEP","BAS Excluded","GST on Income")</f>
        <v>GST on Income</v>
      </c>
      <c r="U1050">
        <f>IF(O1050=T1050,1,0)</f>
        <v>1</v>
      </c>
      <c r="V1050" s="9">
        <f>IF(OR(M1050=0,U1050=1),0,IF(T1050="GST on Income",ROUND(K1050*0.1,2),ROUND(-K1050*0.1,2)))</f>
        <v>0</v>
      </c>
    </row>
    <row r="1051">
      <c r="A1051" t="inlineStr">
        <is>
          <t>INV-4922-1</t>
        </is>
      </c>
      <c r="B1051" t="inlineStr">
        <is>
          <t>INV-4922</t>
        </is>
      </c>
      <c r="C1051" s="11" t="n">
        <v>46002</v>
      </c>
      <c r="D1051" t="inlineStr">
        <is>
          <t>2025-12</t>
        </is>
      </c>
      <c r="E1051" t="inlineStr">
        <is>
          <t>C0075</t>
        </is>
      </c>
      <c r="F1051" t="inlineStr">
        <is>
          <t>C0075</t>
        </is>
      </c>
      <c r="G1051" t="inlineStr">
        <is>
          <t>Oakridge Productions</t>
        </is>
      </c>
      <c r="H1051" t="inlineStr">
        <is>
          <t>S0174</t>
        </is>
      </c>
      <c r="I1051" t="inlineStr">
        <is>
          <t>Temporary fence hire 2 wks (03/12/25-10/12/25) - 116 panels</t>
        </is>
      </c>
      <c r="J1051" t="n">
        <v>232</v>
      </c>
      <c r="K1051" s="9" t="n">
        <v>1044</v>
      </c>
      <c r="L1051" t="inlineStr">
        <is>
          <t>PAID</t>
        </is>
      </c>
      <c r="M1051">
        <f>IF(L1051="VOIDED",0,1)</f>
        <v>1</v>
      </c>
      <c r="N1051" t="n">
        <v>200</v>
      </c>
      <c r="O1051" t="inlineStr">
        <is>
          <t>GST on Income</t>
        </is>
      </c>
      <c r="P1051" t="inlineStr">
        <is>
          <t>R03</t>
        </is>
      </c>
      <c r="Q1051" t="inlineStr">
        <is>
          <t>HIRE-FP</t>
        </is>
      </c>
      <c r="R1051">
        <f>IF(OR(Q1051="CONTEXT",Q1051="REVIEW"),"",INDEX('Category Rules'!$D$5:$D$17,MATCH(P1051,'Category Rules'!$A$5:$A$17,0)))</f>
        <v>4010</v>
      </c>
      <c r="S1051" t="str">
        <f>IF(Q1051="CONTEXT","Fencing",IF(Q1051="REVIEW","",INDEX('Category Rules'!$E$5:$E$17,MATCH(P1051,'Category Rules'!$A$5:$A$17,0))))</f>
        <v>Fencing</v>
      </c>
      <c r="T1051" t="str">
        <f>IF(Q1051="DEP","BAS Excluded","GST on Income")</f>
        <v>GST on Income</v>
      </c>
      <c r="U1051">
        <f>IF(O1051=T1051,1,0)</f>
        <v>1</v>
      </c>
      <c r="V1051" s="9">
        <f>IF(OR(M1051=0,U1051=1),0,IF(T1051="GST on Income",ROUND(K1051*0.1,2),ROUND(-K1051*0.1,2)))</f>
        <v>0</v>
      </c>
    </row>
    <row r="1052">
      <c r="A1052" t="inlineStr">
        <is>
          <t>INV-4924-1</t>
        </is>
      </c>
      <c r="B1052" t="inlineStr">
        <is>
          <t>INV-4924</t>
        </is>
      </c>
      <c r="C1052" s="11" t="n">
        <v>46002</v>
      </c>
      <c r="D1052" t="inlineStr">
        <is>
          <t>2025-12</t>
        </is>
      </c>
      <c r="E1052" t="inlineStr">
        <is>
          <t>C0075</t>
        </is>
      </c>
      <c r="F1052" t="inlineStr">
        <is>
          <t>C0075</t>
        </is>
      </c>
      <c r="G1052" t="inlineStr">
        <is>
          <t>Oakridge Productions</t>
        </is>
      </c>
      <c r="H1052" t="inlineStr">
        <is>
          <t>S0174</t>
        </is>
      </c>
      <c r="I1052" t="inlineStr">
        <is>
          <t>Collection and dismantle - temporary fencing</t>
        </is>
      </c>
      <c r="J1052" t="n">
        <v>1</v>
      </c>
      <c r="K1052" s="9" t="n">
        <v>165</v>
      </c>
      <c r="L1052" t="inlineStr">
        <is>
          <t>PAID</t>
        </is>
      </c>
      <c r="M1052">
        <f>IF(L1052="VOIDED",0,1)</f>
        <v>1</v>
      </c>
      <c r="N1052" t="n">
        <v>200</v>
      </c>
      <c r="O1052" t="inlineStr">
        <is>
          <t>GST on Income</t>
        </is>
      </c>
      <c r="P1052" t="inlineStr">
        <is>
          <t>R07</t>
        </is>
      </c>
      <c r="Q1052" t="inlineStr">
        <is>
          <t>DEL-FP</t>
        </is>
      </c>
      <c r="R1052">
        <f>IF(OR(Q1052="CONTEXT",Q1052="REVIEW"),"",INDEX('Category Rules'!$D$5:$D$17,MATCH(P1052,'Category Rules'!$A$5:$A$17,0)))</f>
        <v>4020</v>
      </c>
      <c r="S1052" t="str">
        <f>IF(Q1052="CONTEXT","Fencing",IF(Q1052="REVIEW","",INDEX('Category Rules'!$E$5:$E$17,MATCH(P1052,'Category Rules'!$A$5:$A$17,0))))</f>
        <v>Fencing</v>
      </c>
      <c r="T1052" t="str">
        <f>IF(Q1052="DEP","BAS Excluded","GST on Income")</f>
        <v>GST on Income</v>
      </c>
      <c r="U1052">
        <f>IF(O1052=T1052,1,0)</f>
        <v>1</v>
      </c>
      <c r="V1052" s="9">
        <f>IF(OR(M1052=0,U1052=1),0,IF(T1052="GST on Income",ROUND(K1052*0.1,2),ROUND(-K1052*0.1,2)))</f>
        <v>0</v>
      </c>
    </row>
    <row r="1053">
      <c r="A1053" t="inlineStr">
        <is>
          <t>INV-5452-1</t>
        </is>
      </c>
      <c r="B1053" t="inlineStr">
        <is>
          <t>INV-5452</t>
        </is>
      </c>
      <c r="C1053" s="11" t="n">
        <v>46002</v>
      </c>
      <c r="D1053" t="inlineStr">
        <is>
          <t>2025-12</t>
        </is>
      </c>
      <c r="E1053" t="inlineStr">
        <is>
          <t>C0059</t>
        </is>
      </c>
      <c r="F1053" t="inlineStr">
        <is>
          <t>C0059</t>
        </is>
      </c>
      <c r="G1053" t="inlineStr">
        <is>
          <t>Silverleaf Insurance Repairs Pty Ltd</t>
        </is>
      </c>
      <c r="H1053" t="inlineStr">
        <is>
          <t>S0298</t>
        </is>
      </c>
      <c r="I1053" t="inlineStr">
        <is>
          <t>Make safe call-out</t>
        </is>
      </c>
      <c r="J1053" t="n">
        <v>1</v>
      </c>
      <c r="K1053" s="9" t="n">
        <v>385</v>
      </c>
      <c r="L1053" t="inlineStr">
        <is>
          <t>PAID</t>
        </is>
      </c>
      <c r="M1053">
        <f>IF(L1053="VOIDED",0,1)</f>
        <v>1</v>
      </c>
      <c r="N1053" t="n">
        <v>200</v>
      </c>
      <c r="O1053" t="inlineStr">
        <is>
          <t>GST on Income</t>
        </is>
      </c>
      <c r="P1053" t="inlineStr">
        <is>
          <t>R09</t>
        </is>
      </c>
      <c r="Q1053" t="inlineStr">
        <is>
          <t>MS</t>
        </is>
      </c>
      <c r="R1053">
        <f>IF(OR(Q1053="CONTEXT",Q1053="REVIEW"),"",INDEX('Category Rules'!$D$5:$D$17,MATCH(P1053,'Category Rules'!$A$5:$A$17,0)))</f>
        <v>4020</v>
      </c>
      <c r="S1053" t="str">
        <f>IF(Q1053="CONTEXT","Make-safe",IF(Q1053="REVIEW","",INDEX('Category Rules'!$E$5:$E$17,MATCH(P1053,'Category Rules'!$A$5:$A$17,0))))</f>
        <v>Make-safe</v>
      </c>
      <c r="T1053" t="str">
        <f>IF(Q1053="DEP","BAS Excluded","GST on Income")</f>
        <v>GST on Income</v>
      </c>
      <c r="U1053">
        <f>IF(O1053=T1053,1,0)</f>
        <v>1</v>
      </c>
      <c r="V1053" s="9">
        <f>IF(OR(M1053=0,U1053=1),0,IF(T1053="GST on Income",ROUND(K1053*0.1,2),ROUND(-K1053*0.1,2)))</f>
        <v>0</v>
      </c>
    </row>
    <row r="1054">
      <c r="A1054" t="inlineStr">
        <is>
          <t>INV-5452-2</t>
        </is>
      </c>
      <c r="B1054" t="inlineStr">
        <is>
          <t>INV-5452</t>
        </is>
      </c>
      <c r="C1054" s="11" t="n">
        <v>46002</v>
      </c>
      <c r="D1054" t="inlineStr">
        <is>
          <t>2025-12</t>
        </is>
      </c>
      <c r="E1054" t="inlineStr">
        <is>
          <t>C0059</t>
        </is>
      </c>
      <c r="F1054" t="inlineStr">
        <is>
          <t>C0059</t>
        </is>
      </c>
      <c r="G1054" t="inlineStr">
        <is>
          <t>Silverleaf Insurance Repairs Pty Ltd</t>
        </is>
      </c>
      <c r="H1054" t="inlineStr">
        <is>
          <t>S0298</t>
        </is>
      </c>
      <c r="I1054" t="inlineStr">
        <is>
          <t>Tarp supply and install - 2 tarp(s)</t>
        </is>
      </c>
      <c r="J1054" t="n">
        <v>2</v>
      </c>
      <c r="K1054" s="9" t="n">
        <v>480</v>
      </c>
      <c r="L1054" t="inlineStr">
        <is>
          <t>PAID</t>
        </is>
      </c>
      <c r="M1054">
        <f>IF(L1054="VOIDED",0,1)</f>
        <v>1</v>
      </c>
      <c r="N1054" t="n">
        <v>200</v>
      </c>
      <c r="O1054" t="inlineStr">
        <is>
          <t>GST on Income</t>
        </is>
      </c>
      <c r="P1054" t="inlineStr">
        <is>
          <t>R09</t>
        </is>
      </c>
      <c r="Q1054" t="inlineStr">
        <is>
          <t>MS</t>
        </is>
      </c>
      <c r="R1054">
        <f>IF(OR(Q1054="CONTEXT",Q1054="REVIEW"),"",INDEX('Category Rules'!$D$5:$D$17,MATCH(P1054,'Category Rules'!$A$5:$A$17,0)))</f>
        <v>4020</v>
      </c>
      <c r="S1054" t="str">
        <f>IF(Q1054="CONTEXT","Make-safe",IF(Q1054="REVIEW","",INDEX('Category Rules'!$E$5:$E$17,MATCH(P1054,'Category Rules'!$A$5:$A$17,0))))</f>
        <v>Make-safe</v>
      </c>
      <c r="T1054" t="str">
        <f>IF(Q1054="DEP","BAS Excluded","GST on Income")</f>
        <v>GST on Income</v>
      </c>
      <c r="U1054">
        <f>IF(O1054=T1054,1,0)</f>
        <v>1</v>
      </c>
      <c r="V1054" s="9">
        <f>IF(OR(M1054=0,U1054=1),0,IF(T1054="GST on Income",ROUND(K1054*0.1,2),ROUND(-K1054*0.1,2)))</f>
        <v>0</v>
      </c>
    </row>
    <row r="1055">
      <c r="A1055" t="inlineStr">
        <is>
          <t>INV-5498-1</t>
        </is>
      </c>
      <c r="B1055" t="inlineStr">
        <is>
          <t>INV-5498</t>
        </is>
      </c>
      <c r="C1055" s="11" t="n">
        <v>46002</v>
      </c>
      <c r="D1055" t="inlineStr">
        <is>
          <t>2025-12</t>
        </is>
      </c>
      <c r="E1055" t="inlineStr">
        <is>
          <t>C0099</t>
        </is>
      </c>
      <c r="F1055" t="inlineStr">
        <is>
          <t>C0099</t>
        </is>
      </c>
      <c r="G1055" t="inlineStr">
        <is>
          <t>Ruby Rossi</t>
        </is>
      </c>
      <c r="H1055" t="inlineStr">
        <is>
          <t>S0326</t>
        </is>
      </c>
      <c r="I1055" t="inlineStr">
        <is>
          <t>Roof repair labour - 24 hrs</t>
        </is>
      </c>
      <c r="J1055" t="n">
        <v>24</v>
      </c>
      <c r="K1055" s="9" t="n">
        <v>2352</v>
      </c>
      <c r="L1055" t="inlineStr">
        <is>
          <t>PAID</t>
        </is>
      </c>
      <c r="M1055">
        <f>IF(L1055="VOIDED",0,1)</f>
        <v>1</v>
      </c>
      <c r="N1055" t="n">
        <v>200</v>
      </c>
      <c r="O1055" t="inlineStr">
        <is>
          <t>GST on Income</t>
        </is>
      </c>
      <c r="P1055" t="inlineStr">
        <is>
          <t>R10</t>
        </is>
      </c>
      <c r="Q1055" t="inlineStr">
        <is>
          <t>LAB-RF</t>
        </is>
      </c>
      <c r="R1055">
        <f>IF(OR(Q1055="CONTEXT",Q1055="REVIEW"),"",INDEX('Category Rules'!$D$5:$D$17,MATCH(P1055,'Category Rules'!$A$5:$A$17,0)))</f>
        <v>4020</v>
      </c>
      <c r="S1055" t="str">
        <f>IF(Q1055="CONTEXT","Roofing",IF(Q1055="REVIEW","",INDEX('Category Rules'!$E$5:$E$17,MATCH(P1055,'Category Rules'!$A$5:$A$17,0))))</f>
        <v>Roofing</v>
      </c>
      <c r="T1055" t="str">
        <f>IF(Q1055="DEP","BAS Excluded","GST on Income")</f>
        <v>GST on Income</v>
      </c>
      <c r="U1055">
        <f>IF(O1055=T1055,1,0)</f>
        <v>1</v>
      </c>
      <c r="V1055" s="9">
        <f>IF(OR(M1055=0,U1055=1),0,IF(T1055="GST on Income",ROUND(K1055*0.1,2),ROUND(-K1055*0.1,2)))</f>
        <v>0</v>
      </c>
    </row>
    <row r="1056">
      <c r="A1056" t="inlineStr">
        <is>
          <t>INV-5498-2</t>
        </is>
      </c>
      <c r="B1056" t="inlineStr">
        <is>
          <t>INV-5498</t>
        </is>
      </c>
      <c r="C1056" s="11" t="n">
        <v>46002</v>
      </c>
      <c r="D1056" t="inlineStr">
        <is>
          <t>2025-12</t>
        </is>
      </c>
      <c r="E1056" t="inlineStr">
        <is>
          <t>C0099</t>
        </is>
      </c>
      <c r="F1056" t="inlineStr">
        <is>
          <t>C0099</t>
        </is>
      </c>
      <c r="G1056" t="inlineStr">
        <is>
          <t>Ruby Rossi</t>
        </is>
      </c>
      <c r="H1056" t="inlineStr">
        <is>
          <t>S0326</t>
        </is>
      </c>
      <c r="I1056" t="inlineStr">
        <is>
          <t>Materials - sealant and fixings</t>
        </is>
      </c>
      <c r="J1056" t="n">
        <v>1</v>
      </c>
      <c r="K1056" s="9" t="n">
        <v>1067.67</v>
      </c>
      <c r="L1056" t="inlineStr">
        <is>
          <t>PAID</t>
        </is>
      </c>
      <c r="M1056">
        <f>IF(L1056="VOIDED",0,1)</f>
        <v>1</v>
      </c>
      <c r="N1056" t="n">
        <v>200</v>
      </c>
      <c r="O1056" t="inlineStr">
        <is>
          <t>GST on Income</t>
        </is>
      </c>
      <c r="P1056" t="inlineStr">
        <is>
          <t>R11</t>
        </is>
      </c>
      <c r="Q1056" t="inlineStr">
        <is>
          <t>MAT-RF</t>
        </is>
      </c>
      <c r="R1056">
        <f>IF(OR(Q1056="CONTEXT",Q1056="REVIEW"),"",INDEX('Category Rules'!$D$5:$D$17,MATCH(P1056,'Category Rules'!$A$5:$A$17,0)))</f>
        <v>4030</v>
      </c>
      <c r="S1056" t="str">
        <f>IF(Q1056="CONTEXT","Roofing",IF(Q1056="REVIEW","",INDEX('Category Rules'!$E$5:$E$17,MATCH(P1056,'Category Rules'!$A$5:$A$17,0))))</f>
        <v>Roofing</v>
      </c>
      <c r="T1056" t="str">
        <f>IF(Q1056="DEP","BAS Excluded","GST on Income")</f>
        <v>GST on Income</v>
      </c>
      <c r="U1056">
        <f>IF(O1056=T1056,1,0)</f>
        <v>1</v>
      </c>
      <c r="V1056" s="9">
        <f>IF(OR(M1056=0,U1056=1),0,IF(T1056="GST on Income",ROUND(K1056*0.1,2),ROUND(-K1056*0.1,2)))</f>
        <v>0</v>
      </c>
    </row>
    <row r="1057">
      <c r="A1057" t="inlineStr">
        <is>
          <t>INV-5498-3</t>
        </is>
      </c>
      <c r="B1057" t="inlineStr">
        <is>
          <t>INV-5498</t>
        </is>
      </c>
      <c r="C1057" s="11" t="n">
        <v>46002</v>
      </c>
      <c r="D1057" t="inlineStr">
        <is>
          <t>2025-12</t>
        </is>
      </c>
      <c r="E1057" t="inlineStr">
        <is>
          <t>C0099</t>
        </is>
      </c>
      <c r="F1057" t="inlineStr">
        <is>
          <t>C0099</t>
        </is>
      </c>
      <c r="G1057" t="inlineStr">
        <is>
          <t>Ruby Rossi</t>
        </is>
      </c>
      <c r="H1057" t="inlineStr">
        <is>
          <t>S0326</t>
        </is>
      </c>
      <c r="I1057" t="inlineStr">
        <is>
          <t>Materials - flashing</t>
        </is>
      </c>
      <c r="J1057" t="n">
        <v>1</v>
      </c>
      <c r="K1057" s="9" t="n">
        <v>1360.7</v>
      </c>
      <c r="L1057" t="inlineStr">
        <is>
          <t>PAID</t>
        </is>
      </c>
      <c r="M1057">
        <f>IF(L1057="VOIDED",0,1)</f>
        <v>1</v>
      </c>
      <c r="N1057" t="n">
        <v>200</v>
      </c>
      <c r="O1057" t="inlineStr">
        <is>
          <t>GST on Income</t>
        </is>
      </c>
      <c r="P1057" t="inlineStr">
        <is>
          <t>R11</t>
        </is>
      </c>
      <c r="Q1057" t="inlineStr">
        <is>
          <t>MAT-RF</t>
        </is>
      </c>
      <c r="R1057">
        <f>IF(OR(Q1057="CONTEXT",Q1057="REVIEW"),"",INDEX('Category Rules'!$D$5:$D$17,MATCH(P1057,'Category Rules'!$A$5:$A$17,0)))</f>
        <v>4030</v>
      </c>
      <c r="S1057" t="str">
        <f>IF(Q1057="CONTEXT","Roofing",IF(Q1057="REVIEW","",INDEX('Category Rules'!$E$5:$E$17,MATCH(P1057,'Category Rules'!$A$5:$A$17,0))))</f>
        <v>Roofing</v>
      </c>
      <c r="T1057" t="str">
        <f>IF(Q1057="DEP","BAS Excluded","GST on Income")</f>
        <v>GST on Income</v>
      </c>
      <c r="U1057">
        <f>IF(O1057=T1057,1,0)</f>
        <v>1</v>
      </c>
      <c r="V1057" s="9">
        <f>IF(OR(M1057=0,U1057=1),0,IF(T1057="GST on Income",ROUND(K1057*0.1,2),ROUND(-K1057*0.1,2)))</f>
        <v>0</v>
      </c>
    </row>
    <row r="1058">
      <c r="A1058" t="inlineStr">
        <is>
          <t>INV-5498-4</t>
        </is>
      </c>
      <c r="B1058" t="inlineStr">
        <is>
          <t>INV-5498</t>
        </is>
      </c>
      <c r="C1058" s="11" t="n">
        <v>46002</v>
      </c>
      <c r="D1058" t="inlineStr">
        <is>
          <t>2025-12</t>
        </is>
      </c>
      <c r="E1058" t="inlineStr">
        <is>
          <t>C0099</t>
        </is>
      </c>
      <c r="F1058" t="inlineStr">
        <is>
          <t>C0099</t>
        </is>
      </c>
      <c r="G1058" t="inlineStr">
        <is>
          <t>Ruby Rossi</t>
        </is>
      </c>
      <c r="H1058" t="inlineStr">
        <is>
          <t>S0326</t>
        </is>
      </c>
      <c r="I1058" t="inlineStr">
        <is>
          <t>Materials - Colorbond sheet</t>
        </is>
      </c>
      <c r="J1058" t="n">
        <v>1</v>
      </c>
      <c r="K1058" s="9" t="n">
        <v>528.72</v>
      </c>
      <c r="L1058" t="inlineStr">
        <is>
          <t>PAID</t>
        </is>
      </c>
      <c r="M1058">
        <f>IF(L1058="VOIDED",0,1)</f>
        <v>1</v>
      </c>
      <c r="N1058" t="n">
        <v>260</v>
      </c>
      <c r="O1058" t="inlineStr">
        <is>
          <t>GST on Income</t>
        </is>
      </c>
      <c r="P1058" t="inlineStr">
        <is>
          <t>R11</t>
        </is>
      </c>
      <c r="Q1058" t="inlineStr">
        <is>
          <t>MAT-RF</t>
        </is>
      </c>
      <c r="R1058">
        <f>IF(OR(Q1058="CONTEXT",Q1058="REVIEW"),"",INDEX('Category Rules'!$D$5:$D$17,MATCH(P1058,'Category Rules'!$A$5:$A$17,0)))</f>
        <v>4030</v>
      </c>
      <c r="S1058" t="str">
        <f>IF(Q1058="CONTEXT","Roofing",IF(Q1058="REVIEW","",INDEX('Category Rules'!$E$5:$E$17,MATCH(P1058,'Category Rules'!$A$5:$A$17,0))))</f>
        <v>Roofing</v>
      </c>
      <c r="T1058" t="str">
        <f>IF(Q1058="DEP","BAS Excluded","GST on Income")</f>
        <v>GST on Income</v>
      </c>
      <c r="U1058">
        <f>IF(O1058=T1058,1,0)</f>
        <v>1</v>
      </c>
      <c r="V1058" s="9">
        <f>IF(OR(M1058=0,U1058=1),0,IF(T1058="GST on Income",ROUND(K1058*0.1,2),ROUND(-K1058*0.1,2)))</f>
        <v>0</v>
      </c>
    </row>
    <row r="1059">
      <c r="A1059" t="inlineStr">
        <is>
          <t>INV-4330-1</t>
        </is>
      </c>
      <c r="B1059" t="inlineStr">
        <is>
          <t>INV-4330</t>
        </is>
      </c>
      <c r="C1059" s="11" t="n">
        <v>46003</v>
      </c>
      <c r="D1059" t="inlineStr">
        <is>
          <t>2025-12</t>
        </is>
      </c>
      <c r="E1059" t="inlineStr">
        <is>
          <t>C0148</t>
        </is>
      </c>
      <c r="F1059" t="inlineStr">
        <is>
          <t>C0042</t>
        </is>
      </c>
      <c r="G1059" t="inlineStr">
        <is>
          <t>Lakeside Constructions Pty Ltd</t>
        </is>
      </c>
      <c r="H1059" t="inlineStr">
        <is>
          <t>S0049</t>
        </is>
      </c>
      <c r="I1059" t="inlineStr">
        <is>
          <t>Temporary fence hire 4 wks (14/11/25-11/12/25) - 12 panels</t>
        </is>
      </c>
      <c r="J1059" t="n">
        <v>48</v>
      </c>
      <c r="K1059" s="9" t="n">
        <v>216</v>
      </c>
      <c r="L1059" t="inlineStr">
        <is>
          <t>PAID</t>
        </is>
      </c>
      <c r="M1059">
        <f>IF(L1059="VOIDED",0,1)</f>
        <v>1</v>
      </c>
      <c r="N1059" t="n">
        <v>200</v>
      </c>
      <c r="O1059" t="inlineStr">
        <is>
          <t>GST on Income</t>
        </is>
      </c>
      <c r="P1059" t="inlineStr">
        <is>
          <t>R03</t>
        </is>
      </c>
      <c r="Q1059" t="inlineStr">
        <is>
          <t>HIRE-FP</t>
        </is>
      </c>
      <c r="R1059">
        <f>IF(OR(Q1059="CONTEXT",Q1059="REVIEW"),"",INDEX('Category Rules'!$D$5:$D$17,MATCH(P1059,'Category Rules'!$A$5:$A$17,0)))</f>
        <v>4010</v>
      </c>
      <c r="S1059" t="str">
        <f>IF(Q1059="CONTEXT","Fencing",IF(Q1059="REVIEW","",INDEX('Category Rules'!$E$5:$E$17,MATCH(P1059,'Category Rules'!$A$5:$A$17,0))))</f>
        <v>Fencing</v>
      </c>
      <c r="T1059" t="str">
        <f>IF(Q1059="DEP","BAS Excluded","GST on Income")</f>
        <v>GST on Income</v>
      </c>
      <c r="U1059">
        <f>IF(O1059=T1059,1,0)</f>
        <v>1</v>
      </c>
      <c r="V1059" s="9">
        <f>IF(OR(M1059=0,U1059=1),0,IF(T1059="GST on Income",ROUND(K1059*0.1,2),ROUND(-K1059*0.1,2)))</f>
        <v>0</v>
      </c>
    </row>
    <row r="1060">
      <c r="A1060" t="inlineStr">
        <is>
          <t>INV-4644-1</t>
        </is>
      </c>
      <c r="B1060" t="inlineStr">
        <is>
          <t>INV-4644</t>
        </is>
      </c>
      <c r="C1060" s="11" t="n">
        <v>46003</v>
      </c>
      <c r="D1060" t="inlineStr">
        <is>
          <t>2025-12</t>
        </is>
      </c>
      <c r="E1060" t="inlineStr">
        <is>
          <t>C0151</t>
        </is>
      </c>
      <c r="F1060" t="inlineStr">
        <is>
          <t>C0040</t>
        </is>
      </c>
      <c r="G1060" t="inlineStr">
        <is>
          <t>Coastline Projects Pty Ltd</t>
        </is>
      </c>
      <c r="H1060" t="inlineStr">
        <is>
          <t>S0111</t>
        </is>
      </c>
      <c r="I1060" t="inlineStr">
        <is>
          <t>Temporary fence hire 4 wks (14/11/25-11/12/25) - 35 panels</t>
        </is>
      </c>
      <c r="J1060" t="n">
        <v>140</v>
      </c>
      <c r="K1060" s="9" t="n">
        <v>630</v>
      </c>
      <c r="L1060" t="inlineStr">
        <is>
          <t>PAID</t>
        </is>
      </c>
      <c r="M1060">
        <f>IF(L1060="VOIDED",0,1)</f>
        <v>1</v>
      </c>
      <c r="N1060" t="n">
        <v>200</v>
      </c>
      <c r="O1060" t="inlineStr">
        <is>
          <t>GST on Income</t>
        </is>
      </c>
      <c r="P1060" t="inlineStr">
        <is>
          <t>R03</t>
        </is>
      </c>
      <c r="Q1060" t="inlineStr">
        <is>
          <t>HIRE-FP</t>
        </is>
      </c>
      <c r="R1060">
        <f>IF(OR(Q1060="CONTEXT",Q1060="REVIEW"),"",INDEX('Category Rules'!$D$5:$D$17,MATCH(P1060,'Category Rules'!$A$5:$A$17,0)))</f>
        <v>4010</v>
      </c>
      <c r="S1060" t="str">
        <f>IF(Q1060="CONTEXT","Fencing",IF(Q1060="REVIEW","",INDEX('Category Rules'!$E$5:$E$17,MATCH(P1060,'Category Rules'!$A$5:$A$17,0))))</f>
        <v>Fencing</v>
      </c>
      <c r="T1060" t="str">
        <f>IF(Q1060="DEP","BAS Excluded","GST on Income")</f>
        <v>GST on Income</v>
      </c>
      <c r="U1060">
        <f>IF(O1060=T1060,1,0)</f>
        <v>1</v>
      </c>
      <c r="V1060" s="9">
        <f>IF(OR(M1060=0,U1060=1),0,IF(T1060="GST on Income",ROUND(K1060*0.1,2),ROUND(-K1060*0.1,2)))</f>
        <v>0</v>
      </c>
    </row>
    <row r="1061">
      <c r="A1061" t="inlineStr">
        <is>
          <t>INV-4814-1</t>
        </is>
      </c>
      <c r="B1061" t="inlineStr">
        <is>
          <t>INV-4814</t>
        </is>
      </c>
      <c r="C1061" s="11" t="n">
        <v>46003</v>
      </c>
      <c r="D1061" t="inlineStr">
        <is>
          <t>2025-12</t>
        </is>
      </c>
      <c r="E1061" t="inlineStr">
        <is>
          <t>C0102</t>
        </is>
      </c>
      <c r="F1061" t="inlineStr">
        <is>
          <t>C0102</t>
        </is>
      </c>
      <c r="G1061" t="inlineStr">
        <is>
          <t>Arjun Doyle</t>
        </is>
      </c>
      <c r="H1061" t="inlineStr">
        <is>
          <t>S0153</t>
        </is>
      </c>
      <c r="I1061" t="inlineStr">
        <is>
          <t>Temporary fence hire 4 wks (14/11/25-11/12/25) - 40 panels</t>
        </is>
      </c>
      <c r="J1061" t="n">
        <v>160</v>
      </c>
      <c r="K1061" s="9" t="n">
        <v>720</v>
      </c>
      <c r="L1061" t="inlineStr">
        <is>
          <t>PAID</t>
        </is>
      </c>
      <c r="M1061">
        <f>IF(L1061="VOIDED",0,1)</f>
        <v>1</v>
      </c>
      <c r="N1061" t="n">
        <v>200</v>
      </c>
      <c r="O1061" t="inlineStr">
        <is>
          <t>GST on Income</t>
        </is>
      </c>
      <c r="P1061" t="inlineStr">
        <is>
          <t>R03</t>
        </is>
      </c>
      <c r="Q1061" t="inlineStr">
        <is>
          <t>HIRE-FP</t>
        </is>
      </c>
      <c r="R1061">
        <f>IF(OR(Q1061="CONTEXT",Q1061="REVIEW"),"",INDEX('Category Rules'!$D$5:$D$17,MATCH(P1061,'Category Rules'!$A$5:$A$17,0)))</f>
        <v>4010</v>
      </c>
      <c r="S1061" t="str">
        <f>IF(Q1061="CONTEXT","Fencing",IF(Q1061="REVIEW","",INDEX('Category Rules'!$E$5:$E$17,MATCH(P1061,'Category Rules'!$A$5:$A$17,0))))</f>
        <v>Fencing</v>
      </c>
      <c r="T1061" t="str">
        <f>IF(Q1061="DEP","BAS Excluded","GST on Income")</f>
        <v>GST on Income</v>
      </c>
      <c r="U1061">
        <f>IF(O1061=T1061,1,0)</f>
        <v>1</v>
      </c>
      <c r="V1061" s="9">
        <f>IF(OR(M1061=0,U1061=1),0,IF(T1061="GST on Income",ROUND(K1061*0.1,2),ROUND(-K1061*0.1,2)))</f>
        <v>0</v>
      </c>
    </row>
    <row r="1062">
      <c r="A1062" t="inlineStr">
        <is>
          <t>INV-5396-1</t>
        </is>
      </c>
      <c r="B1062" t="inlineStr">
        <is>
          <t>INV-5396</t>
        </is>
      </c>
      <c r="C1062" s="11" t="n">
        <v>46003</v>
      </c>
      <c r="D1062" t="inlineStr">
        <is>
          <t>2025-12</t>
        </is>
      </c>
      <c r="E1062" t="inlineStr">
        <is>
          <t>C0005</t>
        </is>
      </c>
      <c r="F1062" t="inlineStr">
        <is>
          <t>C0005</t>
        </is>
      </c>
      <c r="G1062" t="inlineStr">
        <is>
          <t>Fairway Developments</t>
        </is>
      </c>
      <c r="H1062" t="inlineStr">
        <is>
          <t>S0282</t>
        </is>
      </c>
      <c r="I1062" t="inlineStr">
        <is>
          <t>Scaffold tower hire 4 wks (14/11/25-11/12/25) - 1 towers</t>
        </is>
      </c>
      <c r="J1062" t="n">
        <v>4</v>
      </c>
      <c r="K1062" s="9" t="n">
        <v>380</v>
      </c>
      <c r="L1062" t="inlineStr">
        <is>
          <t>PAID</t>
        </is>
      </c>
      <c r="M1062">
        <f>IF(L1062="VOIDED",0,1)</f>
        <v>1</v>
      </c>
      <c r="N1062" t="n">
        <v>260</v>
      </c>
      <c r="O1062" t="inlineStr">
        <is>
          <t>GST on Income</t>
        </is>
      </c>
      <c r="P1062" t="inlineStr">
        <is>
          <t>R05</t>
        </is>
      </c>
      <c r="Q1062" t="inlineStr">
        <is>
          <t>HIRE-ST</t>
        </is>
      </c>
      <c r="R1062">
        <f>IF(OR(Q1062="CONTEXT",Q1062="REVIEW"),"",INDEX('Category Rules'!$D$5:$D$17,MATCH(P1062,'Category Rules'!$A$5:$A$17,0)))</f>
        <v>4010</v>
      </c>
      <c r="S1062" t="str">
        <f>IF(Q1062="CONTEXT","Scaffolding",IF(Q1062="REVIEW","",INDEX('Category Rules'!$E$5:$E$17,MATCH(P1062,'Category Rules'!$A$5:$A$17,0))))</f>
        <v>Scaffolding</v>
      </c>
      <c r="T1062" t="str">
        <f>IF(Q1062="DEP","BAS Excluded","GST on Income")</f>
        <v>GST on Income</v>
      </c>
      <c r="U1062">
        <f>IF(O1062=T1062,1,0)</f>
        <v>1</v>
      </c>
      <c r="V1062" s="9">
        <f>IF(OR(M1062=0,U1062=1),0,IF(T1062="GST on Income",ROUND(K1062*0.1,2),ROUND(-K1062*0.1,2)))</f>
        <v>0</v>
      </c>
    </row>
    <row r="1063">
      <c r="A1063" t="inlineStr">
        <is>
          <t>INV-5651-1</t>
        </is>
      </c>
      <c r="B1063" t="inlineStr">
        <is>
          <t>INV-5651</t>
        </is>
      </c>
      <c r="C1063" s="11" t="n">
        <v>46003</v>
      </c>
      <c r="D1063" t="inlineStr">
        <is>
          <t>2025-12</t>
        </is>
      </c>
      <c r="E1063" t="inlineStr">
        <is>
          <t>C0008</t>
        </is>
      </c>
      <c r="F1063" t="inlineStr">
        <is>
          <t>C0008</t>
        </is>
      </c>
      <c r="G1063" t="inlineStr">
        <is>
          <t>Redline Builders Pty Ltd</t>
        </is>
      </c>
      <c r="H1063" t="inlineStr">
        <is>
          <t>S0408</t>
        </is>
      </c>
      <c r="I1063" t="inlineStr">
        <is>
          <t>Tarp kit hire 4 wks (14/11/25-11/12/25) - 3 kits</t>
        </is>
      </c>
      <c r="J1063" t="n">
        <v>12</v>
      </c>
      <c r="K1063" s="9" t="n">
        <v>420</v>
      </c>
      <c r="L1063" t="inlineStr">
        <is>
          <t>PAID</t>
        </is>
      </c>
      <c r="M1063">
        <f>IF(L1063="VOIDED",0,1)</f>
        <v>1</v>
      </c>
      <c r="N1063" t="n">
        <v>200</v>
      </c>
      <c r="O1063" t="inlineStr">
        <is>
          <t>GST on Income</t>
        </is>
      </c>
      <c r="P1063" t="inlineStr">
        <is>
          <t>R06</t>
        </is>
      </c>
      <c r="Q1063" t="inlineStr">
        <is>
          <t>HIRE-TK</t>
        </is>
      </c>
      <c r="R1063">
        <f>IF(OR(Q1063="CONTEXT",Q1063="REVIEW"),"",INDEX('Category Rules'!$D$5:$D$17,MATCH(P1063,'Category Rules'!$A$5:$A$17,0)))</f>
        <v>4010</v>
      </c>
      <c r="S1063" t="str">
        <f>IF(Q1063="CONTEXT","Make-safe",IF(Q1063="REVIEW","",INDEX('Category Rules'!$E$5:$E$17,MATCH(P1063,'Category Rules'!$A$5:$A$17,0))))</f>
        <v>Make-safe</v>
      </c>
      <c r="T1063" t="str">
        <f>IF(Q1063="DEP","BAS Excluded","GST on Income")</f>
        <v>GST on Income</v>
      </c>
      <c r="U1063">
        <f>IF(O1063=T1063,1,0)</f>
        <v>1</v>
      </c>
      <c r="V1063" s="9">
        <f>IF(OR(M1063=0,U1063=1),0,IF(T1063="GST on Income",ROUND(K1063*0.1,2),ROUND(-K1063*0.1,2)))</f>
        <v>0</v>
      </c>
    </row>
    <row r="1064">
      <c r="A1064" t="inlineStr">
        <is>
          <t>INV-4172-1</t>
        </is>
      </c>
      <c r="B1064" t="inlineStr">
        <is>
          <t>INV-4172</t>
        </is>
      </c>
      <c r="C1064" s="11" t="n">
        <v>46004</v>
      </c>
      <c r="D1064" t="inlineStr">
        <is>
          <t>2025-12</t>
        </is>
      </c>
      <c r="E1064" t="inlineStr">
        <is>
          <t>C0077</t>
        </is>
      </c>
      <c r="F1064" t="inlineStr">
        <is>
          <t>C0077</t>
        </is>
      </c>
      <c r="G1064" t="inlineStr">
        <is>
          <t>Corner Events Pty Ltd</t>
        </is>
      </c>
      <c r="H1064" t="inlineStr">
        <is>
          <t>S0013</t>
        </is>
      </c>
      <c r="I1064" t="inlineStr">
        <is>
          <t>Delivery and installation - temporary fencing</t>
        </is>
      </c>
      <c r="J1064" t="n">
        <v>1</v>
      </c>
      <c r="K1064" s="9" t="n">
        <v>165</v>
      </c>
      <c r="L1064" t="inlineStr">
        <is>
          <t>PAID</t>
        </is>
      </c>
      <c r="M1064">
        <f>IF(L1064="VOIDED",0,1)</f>
        <v>1</v>
      </c>
      <c r="N1064" t="n">
        <v>200</v>
      </c>
      <c r="O1064" t="inlineStr">
        <is>
          <t>GST on Income</t>
        </is>
      </c>
      <c r="P1064" t="inlineStr">
        <is>
          <t>R07</t>
        </is>
      </c>
      <c r="Q1064" t="inlineStr">
        <is>
          <t>DEL-FP</t>
        </is>
      </c>
      <c r="R1064">
        <f>IF(OR(Q1064="CONTEXT",Q1064="REVIEW"),"",INDEX('Category Rules'!$D$5:$D$17,MATCH(P1064,'Category Rules'!$A$5:$A$17,0)))</f>
        <v>4020</v>
      </c>
      <c r="S1064" t="str">
        <f>IF(Q1064="CONTEXT","Fencing",IF(Q1064="REVIEW","",INDEX('Category Rules'!$E$5:$E$17,MATCH(P1064,'Category Rules'!$A$5:$A$17,0))))</f>
        <v>Fencing</v>
      </c>
      <c r="T1064" t="str">
        <f>IF(Q1064="DEP","BAS Excluded","GST on Income")</f>
        <v>GST on Income</v>
      </c>
      <c r="U1064">
        <f>IF(O1064=T1064,1,0)</f>
        <v>1</v>
      </c>
      <c r="V1064" s="9">
        <f>IF(OR(M1064=0,U1064=1),0,IF(T1064="GST on Income",ROUND(K1064*0.1,2),ROUND(-K1064*0.1,2)))</f>
        <v>0</v>
      </c>
    </row>
    <row r="1065">
      <c r="A1065" t="inlineStr">
        <is>
          <t>INV-4172-2</t>
        </is>
      </c>
      <c r="B1065" t="inlineStr">
        <is>
          <t>INV-4172</t>
        </is>
      </c>
      <c r="C1065" s="11" t="n">
        <v>46004</v>
      </c>
      <c r="D1065" t="inlineStr">
        <is>
          <t>2025-12</t>
        </is>
      </c>
      <c r="E1065" t="inlineStr">
        <is>
          <t>C0077</t>
        </is>
      </c>
      <c r="F1065" t="inlineStr">
        <is>
          <t>C0077</t>
        </is>
      </c>
      <c r="G1065" t="inlineStr">
        <is>
          <t>Corner Events Pty Ltd</t>
        </is>
      </c>
      <c r="H1065" t="inlineStr">
        <is>
          <t>S0013</t>
        </is>
      </c>
      <c r="I1065" t="inlineStr">
        <is>
          <t>Installation labour - 110 panels @ 2.20</t>
        </is>
      </c>
      <c r="J1065" t="n">
        <v>110</v>
      </c>
      <c r="K1065" s="9" t="n">
        <v>242</v>
      </c>
      <c r="L1065" t="inlineStr">
        <is>
          <t>PAID</t>
        </is>
      </c>
      <c r="M1065">
        <f>IF(L1065="VOIDED",0,1)</f>
        <v>1</v>
      </c>
      <c r="N1065" t="n">
        <v>200</v>
      </c>
      <c r="O1065" t="inlineStr">
        <is>
          <t>GST on Income</t>
        </is>
      </c>
      <c r="P1065" t="inlineStr">
        <is>
          <t>R07</t>
        </is>
      </c>
      <c r="Q1065" t="inlineStr">
        <is>
          <t>DEL-FP</t>
        </is>
      </c>
      <c r="R1065">
        <f>IF(OR(Q1065="CONTEXT",Q1065="REVIEW"),"",INDEX('Category Rules'!$D$5:$D$17,MATCH(P1065,'Category Rules'!$A$5:$A$17,0)))</f>
        <v>4020</v>
      </c>
      <c r="S1065" t="str">
        <f>IF(Q1065="CONTEXT","Fencing",IF(Q1065="REVIEW","",INDEX('Category Rules'!$E$5:$E$17,MATCH(P1065,'Category Rules'!$A$5:$A$17,0))))</f>
        <v>Fencing</v>
      </c>
      <c r="T1065" t="str">
        <f>IF(Q1065="DEP","BAS Excluded","GST on Income")</f>
        <v>GST on Income</v>
      </c>
      <c r="U1065">
        <f>IF(O1065=T1065,1,0)</f>
        <v>1</v>
      </c>
      <c r="V1065" s="9">
        <f>IF(OR(M1065=0,U1065=1),0,IF(T1065="GST on Income",ROUND(K1065*0.1,2),ROUND(-K1065*0.1,2)))</f>
        <v>0</v>
      </c>
    </row>
    <row r="1066">
      <c r="A1066" t="inlineStr">
        <is>
          <t>INV-4427-1</t>
        </is>
      </c>
      <c r="B1066" t="inlineStr">
        <is>
          <t>INV-4427</t>
        </is>
      </c>
      <c r="C1066" s="11" t="n">
        <v>46004</v>
      </c>
      <c r="D1066" t="inlineStr">
        <is>
          <t>2025-12</t>
        </is>
      </c>
      <c r="E1066" t="inlineStr">
        <is>
          <t>C0061</t>
        </is>
      </c>
      <c r="F1066" t="inlineStr">
        <is>
          <t>C0061</t>
        </is>
      </c>
      <c r="G1066" t="inlineStr">
        <is>
          <t>Southbank Claims Services Pty Ltd</t>
        </is>
      </c>
      <c r="H1066" t="inlineStr">
        <is>
          <t>S0065</t>
        </is>
      </c>
      <c r="I1066" t="inlineStr">
        <is>
          <t>Temporary fence hire 4 wks (15/11/25-12/12/25) - 130 panels</t>
        </is>
      </c>
      <c r="J1066" t="n">
        <v>520</v>
      </c>
      <c r="K1066" s="9" t="n">
        <v>2340</v>
      </c>
      <c r="L1066" t="inlineStr">
        <is>
          <t>PAID</t>
        </is>
      </c>
      <c r="M1066">
        <f>IF(L1066="VOIDED",0,1)</f>
        <v>1</v>
      </c>
      <c r="N1066" t="n">
        <v>200</v>
      </c>
      <c r="O1066" t="inlineStr">
        <is>
          <t>GST on Income</t>
        </is>
      </c>
      <c r="P1066" t="inlineStr">
        <is>
          <t>R03</t>
        </is>
      </c>
      <c r="Q1066" t="inlineStr">
        <is>
          <t>HIRE-FP</t>
        </is>
      </c>
      <c r="R1066">
        <f>IF(OR(Q1066="CONTEXT",Q1066="REVIEW"),"",INDEX('Category Rules'!$D$5:$D$17,MATCH(P1066,'Category Rules'!$A$5:$A$17,0)))</f>
        <v>4010</v>
      </c>
      <c r="S1066" t="str">
        <f>IF(Q1066="CONTEXT","Fencing",IF(Q1066="REVIEW","",INDEX('Category Rules'!$E$5:$E$17,MATCH(P1066,'Category Rules'!$A$5:$A$17,0))))</f>
        <v>Fencing</v>
      </c>
      <c r="T1066" t="str">
        <f>IF(Q1066="DEP","BAS Excluded","GST on Income")</f>
        <v>GST on Income</v>
      </c>
      <c r="U1066">
        <f>IF(O1066=T1066,1,0)</f>
        <v>1</v>
      </c>
      <c r="V1066" s="9">
        <f>IF(OR(M1066=0,U1066=1),0,IF(T1066="GST on Income",ROUND(K1066*0.1,2),ROUND(-K1066*0.1,2)))</f>
        <v>0</v>
      </c>
    </row>
    <row r="1067">
      <c r="A1067" t="inlineStr">
        <is>
          <t>INV-4833-1</t>
        </is>
      </c>
      <c r="B1067" t="inlineStr">
        <is>
          <t>INV-4833</t>
        </is>
      </c>
      <c r="C1067" s="11" t="n">
        <v>46004</v>
      </c>
      <c r="D1067" t="inlineStr">
        <is>
          <t>2025-12</t>
        </is>
      </c>
      <c r="E1067" t="inlineStr">
        <is>
          <t>C0072</t>
        </is>
      </c>
      <c r="F1067" t="inlineStr">
        <is>
          <t>C0072</t>
        </is>
      </c>
      <c r="G1067" t="inlineStr">
        <is>
          <t>Kingston City Council</t>
        </is>
      </c>
      <c r="H1067" t="inlineStr">
        <is>
          <t>S0157</t>
        </is>
      </c>
      <c r="I1067" t="inlineStr">
        <is>
          <t>Delivery and installation - temporary fencing</t>
        </is>
      </c>
      <c r="J1067" t="n">
        <v>1</v>
      </c>
      <c r="K1067" s="9" t="n">
        <v>165</v>
      </c>
      <c r="L1067" t="inlineStr">
        <is>
          <t>PAID</t>
        </is>
      </c>
      <c r="M1067">
        <f>IF(L1067="VOIDED",0,1)</f>
        <v>1</v>
      </c>
      <c r="N1067" t="n">
        <v>200</v>
      </c>
      <c r="O1067" t="inlineStr">
        <is>
          <t>GST on Income</t>
        </is>
      </c>
      <c r="P1067" t="inlineStr">
        <is>
          <t>R07</t>
        </is>
      </c>
      <c r="Q1067" t="inlineStr">
        <is>
          <t>DEL-FP</t>
        </is>
      </c>
      <c r="R1067">
        <f>IF(OR(Q1067="CONTEXT",Q1067="REVIEW"),"",INDEX('Category Rules'!$D$5:$D$17,MATCH(P1067,'Category Rules'!$A$5:$A$17,0)))</f>
        <v>4020</v>
      </c>
      <c r="S1067" t="str">
        <f>IF(Q1067="CONTEXT","Fencing",IF(Q1067="REVIEW","",INDEX('Category Rules'!$E$5:$E$17,MATCH(P1067,'Category Rules'!$A$5:$A$17,0))))</f>
        <v>Fencing</v>
      </c>
      <c r="T1067" t="str">
        <f>IF(Q1067="DEP","BAS Excluded","GST on Income")</f>
        <v>GST on Income</v>
      </c>
      <c r="U1067">
        <f>IF(O1067=T1067,1,0)</f>
        <v>1</v>
      </c>
      <c r="V1067" s="9">
        <f>IF(OR(M1067=0,U1067=1),0,IF(T1067="GST on Income",ROUND(K1067*0.1,2),ROUND(-K1067*0.1,2)))</f>
        <v>0</v>
      </c>
    </row>
    <row r="1068">
      <c r="A1068" t="inlineStr">
        <is>
          <t>INV-4833-2</t>
        </is>
      </c>
      <c r="B1068" t="inlineStr">
        <is>
          <t>INV-4833</t>
        </is>
      </c>
      <c r="C1068" s="11" t="n">
        <v>46004</v>
      </c>
      <c r="D1068" t="inlineStr">
        <is>
          <t>2025-12</t>
        </is>
      </c>
      <c r="E1068" t="inlineStr">
        <is>
          <t>C0072</t>
        </is>
      </c>
      <c r="F1068" t="inlineStr">
        <is>
          <t>C0072</t>
        </is>
      </c>
      <c r="G1068" t="inlineStr">
        <is>
          <t>Kingston City Council</t>
        </is>
      </c>
      <c r="H1068" t="inlineStr">
        <is>
          <t>S0157</t>
        </is>
      </c>
      <c r="I1068" t="inlineStr">
        <is>
          <t>Installation labour - 145 panels @ 2.20</t>
        </is>
      </c>
      <c r="J1068" t="n">
        <v>145</v>
      </c>
      <c r="K1068" s="9" t="n">
        <v>319</v>
      </c>
      <c r="L1068" t="inlineStr">
        <is>
          <t>PAID</t>
        </is>
      </c>
      <c r="M1068">
        <f>IF(L1068="VOIDED",0,1)</f>
        <v>1</v>
      </c>
      <c r="N1068" t="n">
        <v>200</v>
      </c>
      <c r="O1068" t="inlineStr">
        <is>
          <t>GST on Income</t>
        </is>
      </c>
      <c r="P1068" t="inlineStr">
        <is>
          <t>R07</t>
        </is>
      </c>
      <c r="Q1068" t="inlineStr">
        <is>
          <t>DEL-FP</t>
        </is>
      </c>
      <c r="R1068">
        <f>IF(OR(Q1068="CONTEXT",Q1068="REVIEW"),"",INDEX('Category Rules'!$D$5:$D$17,MATCH(P1068,'Category Rules'!$A$5:$A$17,0)))</f>
        <v>4020</v>
      </c>
      <c r="S1068" t="str">
        <f>IF(Q1068="CONTEXT","Fencing",IF(Q1068="REVIEW","",INDEX('Category Rules'!$E$5:$E$17,MATCH(P1068,'Category Rules'!$A$5:$A$17,0))))</f>
        <v>Fencing</v>
      </c>
      <c r="T1068" t="str">
        <f>IF(Q1068="DEP","BAS Excluded","GST on Income")</f>
        <v>GST on Income</v>
      </c>
      <c r="U1068">
        <f>IF(O1068=T1068,1,0)</f>
        <v>1</v>
      </c>
      <c r="V1068" s="9">
        <f>IF(OR(M1068=0,U1068=1),0,IF(T1068="GST on Income",ROUND(K1068*0.1,2),ROUND(-K1068*0.1,2)))</f>
        <v>0</v>
      </c>
    </row>
    <row r="1069">
      <c r="A1069" t="inlineStr">
        <is>
          <t>INV-5141-1</t>
        </is>
      </c>
      <c r="B1069" t="inlineStr">
        <is>
          <t>INV-5141</t>
        </is>
      </c>
      <c r="C1069" s="11" t="n">
        <v>46004</v>
      </c>
      <c r="D1069" t="inlineStr">
        <is>
          <t>2025-12</t>
        </is>
      </c>
      <c r="E1069" t="inlineStr">
        <is>
          <t>C0102</t>
        </is>
      </c>
      <c r="F1069" t="inlineStr">
        <is>
          <t>C0102</t>
        </is>
      </c>
      <c r="G1069" t="inlineStr">
        <is>
          <t>Arjun Doyle</t>
        </is>
      </c>
      <c r="H1069" t="inlineStr">
        <is>
          <t>S0223</t>
        </is>
      </c>
      <c r="I1069" t="inlineStr">
        <is>
          <t>Temporary fence hire 4 wks (15/11/25-12/12/25) - 25 panels</t>
        </is>
      </c>
      <c r="J1069" t="n">
        <v>100</v>
      </c>
      <c r="K1069" s="9" t="n">
        <v>450</v>
      </c>
      <c r="L1069" t="inlineStr">
        <is>
          <t>PAID</t>
        </is>
      </c>
      <c r="M1069">
        <f>IF(L1069="VOIDED",0,1)</f>
        <v>1</v>
      </c>
      <c r="N1069" t="n">
        <v>200</v>
      </c>
      <c r="O1069" t="inlineStr">
        <is>
          <t>GST on Income</t>
        </is>
      </c>
      <c r="P1069" t="inlineStr">
        <is>
          <t>R03</t>
        </is>
      </c>
      <c r="Q1069" t="inlineStr">
        <is>
          <t>HIRE-FP</t>
        </is>
      </c>
      <c r="R1069">
        <f>IF(OR(Q1069="CONTEXT",Q1069="REVIEW"),"",INDEX('Category Rules'!$D$5:$D$17,MATCH(P1069,'Category Rules'!$A$5:$A$17,0)))</f>
        <v>4010</v>
      </c>
      <c r="S1069" t="str">
        <f>IF(Q1069="CONTEXT","Fencing",IF(Q1069="REVIEW","",INDEX('Category Rules'!$E$5:$E$17,MATCH(P1069,'Category Rules'!$A$5:$A$17,0))))</f>
        <v>Fencing</v>
      </c>
      <c r="T1069" t="str">
        <f>IF(Q1069="DEP","BAS Excluded","GST on Income")</f>
        <v>GST on Income</v>
      </c>
      <c r="U1069">
        <f>IF(O1069=T1069,1,0)</f>
        <v>1</v>
      </c>
      <c r="V1069" s="9">
        <f>IF(OR(M1069=0,U1069=1),0,IF(T1069="GST on Income",ROUND(K1069*0.1,2),ROUND(-K1069*0.1,2)))</f>
        <v>0</v>
      </c>
    </row>
    <row r="1070">
      <c r="A1070" t="inlineStr">
        <is>
          <t>INV-5186-1</t>
        </is>
      </c>
      <c r="B1070" t="inlineStr">
        <is>
          <t>INV-5186</t>
        </is>
      </c>
      <c r="C1070" s="11" t="n">
        <v>46004</v>
      </c>
      <c r="D1070" t="inlineStr">
        <is>
          <t>2025-12</t>
        </is>
      </c>
      <c r="E1070" t="inlineStr">
        <is>
          <t>C0029</t>
        </is>
      </c>
      <c r="F1070" t="inlineStr">
        <is>
          <t>C0029</t>
        </is>
      </c>
      <c r="G1070" t="inlineStr">
        <is>
          <t>Ironbark Constructions</t>
        </is>
      </c>
      <c r="H1070" t="inlineStr">
        <is>
          <t>S0232</t>
        </is>
      </c>
      <c r="I1070" t="inlineStr">
        <is>
          <t>Temporary fence hire 1 wks (09/12/25-12/12/25) - 43 panels</t>
        </is>
      </c>
      <c r="J1070" t="n">
        <v>43</v>
      </c>
      <c r="K1070" s="9" t="n">
        <v>193.5</v>
      </c>
      <c r="L1070" t="inlineStr">
        <is>
          <t>PAID</t>
        </is>
      </c>
      <c r="M1070">
        <f>IF(L1070="VOIDED",0,1)</f>
        <v>1</v>
      </c>
      <c r="N1070" t="n">
        <v>200</v>
      </c>
      <c r="O1070" t="inlineStr">
        <is>
          <t>GST on Income</t>
        </is>
      </c>
      <c r="P1070" t="inlineStr">
        <is>
          <t>R03</t>
        </is>
      </c>
      <c r="Q1070" t="inlineStr">
        <is>
          <t>HIRE-FP</t>
        </is>
      </c>
      <c r="R1070">
        <f>IF(OR(Q1070="CONTEXT",Q1070="REVIEW"),"",INDEX('Category Rules'!$D$5:$D$17,MATCH(P1070,'Category Rules'!$A$5:$A$17,0)))</f>
        <v>4010</v>
      </c>
      <c r="S1070" t="str">
        <f>IF(Q1070="CONTEXT","Fencing",IF(Q1070="REVIEW","",INDEX('Category Rules'!$E$5:$E$17,MATCH(P1070,'Category Rules'!$A$5:$A$17,0))))</f>
        <v>Fencing</v>
      </c>
      <c r="T1070" t="str">
        <f>IF(Q1070="DEP","BAS Excluded","GST on Income")</f>
        <v>GST on Income</v>
      </c>
      <c r="U1070">
        <f>IF(O1070=T1070,1,0)</f>
        <v>1</v>
      </c>
      <c r="V1070" s="9">
        <f>IF(OR(M1070=0,U1070=1),0,IF(T1070="GST on Income",ROUND(K1070*0.1,2),ROUND(-K1070*0.1,2)))</f>
        <v>0</v>
      </c>
    </row>
    <row r="1071">
      <c r="A1071" t="inlineStr">
        <is>
          <t>INV-5188-1</t>
        </is>
      </c>
      <c r="B1071" t="inlineStr">
        <is>
          <t>INV-5188</t>
        </is>
      </c>
      <c r="C1071" s="11" t="n">
        <v>46004</v>
      </c>
      <c r="D1071" t="inlineStr">
        <is>
          <t>2025-12</t>
        </is>
      </c>
      <c r="E1071" t="inlineStr">
        <is>
          <t>C0029</t>
        </is>
      </c>
      <c r="F1071" t="inlineStr">
        <is>
          <t>C0029</t>
        </is>
      </c>
      <c r="G1071" t="inlineStr">
        <is>
          <t>Ironbark Constructions</t>
        </is>
      </c>
      <c r="H1071" t="inlineStr">
        <is>
          <t>S0232</t>
        </is>
      </c>
      <c r="I1071" t="inlineStr">
        <is>
          <t>Collection and dismantle - temporary fencing</t>
        </is>
      </c>
      <c r="J1071" t="n">
        <v>1</v>
      </c>
      <c r="K1071" s="9" t="n">
        <v>165</v>
      </c>
      <c r="L1071" t="inlineStr">
        <is>
          <t>PAID</t>
        </is>
      </c>
      <c r="M1071">
        <f>IF(L1071="VOIDED",0,1)</f>
        <v>1</v>
      </c>
      <c r="N1071" t="n">
        <v>200</v>
      </c>
      <c r="O1071" t="inlineStr">
        <is>
          <t>GST Free Income</t>
        </is>
      </c>
      <c r="P1071" t="inlineStr">
        <is>
          <t>R07</t>
        </is>
      </c>
      <c r="Q1071" t="inlineStr">
        <is>
          <t>DEL-FP</t>
        </is>
      </c>
      <c r="R1071">
        <f>IF(OR(Q1071="CONTEXT",Q1071="REVIEW"),"",INDEX('Category Rules'!$D$5:$D$17,MATCH(P1071,'Category Rules'!$A$5:$A$17,0)))</f>
        <v>4020</v>
      </c>
      <c r="S1071" t="str">
        <f>IF(Q1071="CONTEXT","Fencing",IF(Q1071="REVIEW","",INDEX('Category Rules'!$E$5:$E$17,MATCH(P1071,'Category Rules'!$A$5:$A$17,0))))</f>
        <v>Fencing</v>
      </c>
      <c r="T1071" t="str">
        <f>IF(Q1071="DEP","BAS Excluded","GST on Income")</f>
        <v>GST on Income</v>
      </c>
      <c r="U1071">
        <f>IF(O1071=T1071,1,0)</f>
        <v>0</v>
      </c>
      <c r="V1071" s="9">
        <f>IF(OR(M1071=0,U1071=1),0,IF(T1071="GST on Income",ROUND(K1071*0.1,2),ROUND(-K1071*0.1,2)))</f>
        <v>16.5</v>
      </c>
    </row>
    <row r="1072">
      <c r="A1072" t="inlineStr">
        <is>
          <t>INV-5316-1</t>
        </is>
      </c>
      <c r="B1072" t="inlineStr">
        <is>
          <t>INV-5316</t>
        </is>
      </c>
      <c r="C1072" s="11" t="n">
        <v>46004</v>
      </c>
      <c r="D1072" t="inlineStr">
        <is>
          <t>2025-12</t>
        </is>
      </c>
      <c r="E1072" t="inlineStr">
        <is>
          <t>C0014</t>
        </is>
      </c>
      <c r="F1072" t="inlineStr">
        <is>
          <t>C0014</t>
        </is>
      </c>
      <c r="G1072" t="inlineStr">
        <is>
          <t>Riverbend Homes Pty Ltd</t>
        </is>
      </c>
      <c r="H1072" t="inlineStr">
        <is>
          <t>S0263</t>
        </is>
      </c>
      <c r="I1072" t="inlineStr">
        <is>
          <t>Scaffold erect - 3 tower(s)</t>
        </is>
      </c>
      <c r="J1072" t="n">
        <v>3</v>
      </c>
      <c r="K1072" s="9" t="n">
        <v>1260</v>
      </c>
      <c r="L1072" t="inlineStr">
        <is>
          <t>PAID</t>
        </is>
      </c>
      <c r="M1072">
        <f>IF(L1072="VOIDED",0,1)</f>
        <v>1</v>
      </c>
      <c r="N1072" t="n">
        <v>200</v>
      </c>
      <c r="O1072" t="inlineStr">
        <is>
          <t>GST on Income</t>
        </is>
      </c>
      <c r="P1072" t="inlineStr">
        <is>
          <t>R08</t>
        </is>
      </c>
      <c r="Q1072" t="inlineStr">
        <is>
          <t>LAB-ST</t>
        </is>
      </c>
      <c r="R1072">
        <f>IF(OR(Q1072="CONTEXT",Q1072="REVIEW"),"",INDEX('Category Rules'!$D$5:$D$17,MATCH(P1072,'Category Rules'!$A$5:$A$17,0)))</f>
        <v>4020</v>
      </c>
      <c r="S1072" t="str">
        <f>IF(Q1072="CONTEXT","Scaffolding",IF(Q1072="REVIEW","",INDEX('Category Rules'!$E$5:$E$17,MATCH(P1072,'Category Rules'!$A$5:$A$17,0))))</f>
        <v>Scaffolding</v>
      </c>
      <c r="T1072" t="str">
        <f>IF(Q1072="DEP","BAS Excluded","GST on Income")</f>
        <v>GST on Income</v>
      </c>
      <c r="U1072">
        <f>IF(O1072=T1072,1,0)</f>
        <v>1</v>
      </c>
      <c r="V1072" s="9">
        <f>IF(OR(M1072=0,U1072=1),0,IF(T1072="GST on Income",ROUND(K1072*0.1,2),ROUND(-K1072*0.1,2)))</f>
        <v>0</v>
      </c>
    </row>
    <row r="1073">
      <c r="A1073" t="inlineStr">
        <is>
          <t>INV-5363-1</t>
        </is>
      </c>
      <c r="B1073" t="inlineStr">
        <is>
          <t>INV-5363</t>
        </is>
      </c>
      <c r="C1073" s="11" t="n">
        <v>46004</v>
      </c>
      <c r="D1073" t="inlineStr">
        <is>
          <t>2025-12</t>
        </is>
      </c>
      <c r="E1073" t="inlineStr">
        <is>
          <t>C0096</t>
        </is>
      </c>
      <c r="F1073" t="inlineStr">
        <is>
          <t>C0096</t>
        </is>
      </c>
      <c r="G1073" t="inlineStr">
        <is>
          <t>Lucas Kelly</t>
        </is>
      </c>
      <c r="H1073" t="inlineStr">
        <is>
          <t>S0274</t>
        </is>
      </c>
      <c r="I1073" t="inlineStr">
        <is>
          <t>Scaffold tower hire 4 wks (15/11/25-12/12/25) - 1 towers</t>
        </is>
      </c>
      <c r="J1073" t="n">
        <v>4</v>
      </c>
      <c r="K1073" s="9" t="n">
        <v>380</v>
      </c>
      <c r="L1073" t="inlineStr">
        <is>
          <t>PAID</t>
        </is>
      </c>
      <c r="M1073">
        <f>IF(L1073="VOIDED",0,1)</f>
        <v>1</v>
      </c>
      <c r="N1073" t="n">
        <v>200</v>
      </c>
      <c r="O1073" t="inlineStr">
        <is>
          <t>GST on Income</t>
        </is>
      </c>
      <c r="P1073" t="inlineStr">
        <is>
          <t>R05</t>
        </is>
      </c>
      <c r="Q1073" t="inlineStr">
        <is>
          <t>HIRE-ST</t>
        </is>
      </c>
      <c r="R1073">
        <f>IF(OR(Q1073="CONTEXT",Q1073="REVIEW"),"",INDEX('Category Rules'!$D$5:$D$17,MATCH(P1073,'Category Rules'!$A$5:$A$17,0)))</f>
        <v>4010</v>
      </c>
      <c r="S1073" t="str">
        <f>IF(Q1073="CONTEXT","Scaffolding",IF(Q1073="REVIEW","",INDEX('Category Rules'!$E$5:$E$17,MATCH(P1073,'Category Rules'!$A$5:$A$17,0))))</f>
        <v>Scaffolding</v>
      </c>
      <c r="T1073" t="str">
        <f>IF(Q1073="DEP","BAS Excluded","GST on Income")</f>
        <v>GST on Income</v>
      </c>
      <c r="U1073">
        <f>IF(O1073=T1073,1,0)</f>
        <v>1</v>
      </c>
      <c r="V1073" s="9">
        <f>IF(OR(M1073=0,U1073=1),0,IF(T1073="GST on Income",ROUND(K1073*0.1,2),ROUND(-K1073*0.1,2)))</f>
        <v>0</v>
      </c>
    </row>
    <row r="1074">
      <c r="A1074" t="inlineStr">
        <is>
          <t>INV-5434-1</t>
        </is>
      </c>
      <c r="B1074" t="inlineStr">
        <is>
          <t>INV-5434</t>
        </is>
      </c>
      <c r="C1074" s="11" t="n">
        <v>46004</v>
      </c>
      <c r="D1074" t="inlineStr">
        <is>
          <t>2025-12</t>
        </is>
      </c>
      <c r="E1074" t="inlineStr">
        <is>
          <t>C0092</t>
        </is>
      </c>
      <c r="F1074" t="inlineStr">
        <is>
          <t>C0092</t>
        </is>
      </c>
      <c r="G1074" t="inlineStr">
        <is>
          <t>Leo Jones</t>
        </is>
      </c>
      <c r="H1074" t="inlineStr">
        <is>
          <t>S0293</t>
        </is>
      </c>
      <c r="I1074" t="inlineStr">
        <is>
          <t>Scaffold tower hire 1 wks (12/12/25-12/12/25) - 6 towers</t>
        </is>
      </c>
      <c r="J1074" t="n">
        <v>6</v>
      </c>
      <c r="K1074" s="9" t="n">
        <v>570</v>
      </c>
      <c r="L1074" t="inlineStr">
        <is>
          <t>PAID</t>
        </is>
      </c>
      <c r="M1074">
        <f>IF(L1074="VOIDED",0,1)</f>
        <v>1</v>
      </c>
      <c r="N1074" t="n">
        <v>200</v>
      </c>
      <c r="O1074" t="inlineStr">
        <is>
          <t>BAS Excluded</t>
        </is>
      </c>
      <c r="P1074" t="inlineStr">
        <is>
          <t>R05</t>
        </is>
      </c>
      <c r="Q1074" t="inlineStr">
        <is>
          <t>HIRE-ST</t>
        </is>
      </c>
      <c r="R1074">
        <f>IF(OR(Q1074="CONTEXT",Q1074="REVIEW"),"",INDEX('Category Rules'!$D$5:$D$17,MATCH(P1074,'Category Rules'!$A$5:$A$17,0)))</f>
        <v>4010</v>
      </c>
      <c r="S1074" t="str">
        <f>IF(Q1074="CONTEXT","Scaffolding",IF(Q1074="REVIEW","",INDEX('Category Rules'!$E$5:$E$17,MATCH(P1074,'Category Rules'!$A$5:$A$17,0))))</f>
        <v>Scaffolding</v>
      </c>
      <c r="T1074" t="str">
        <f>IF(Q1074="DEP","BAS Excluded","GST on Income")</f>
        <v>GST on Income</v>
      </c>
      <c r="U1074">
        <f>IF(O1074=T1074,1,0)</f>
        <v>0</v>
      </c>
      <c r="V1074" s="9">
        <f>IF(OR(M1074=0,U1074=1),0,IF(T1074="GST on Income",ROUND(K1074*0.1,2),ROUND(-K1074*0.1,2)))</f>
        <v>57</v>
      </c>
    </row>
    <row r="1075">
      <c r="A1075" t="inlineStr">
        <is>
          <t>INV-5436-1</t>
        </is>
      </c>
      <c r="B1075" t="inlineStr">
        <is>
          <t>INV-5436</t>
        </is>
      </c>
      <c r="C1075" s="11" t="n">
        <v>46004</v>
      </c>
      <c r="D1075" t="inlineStr">
        <is>
          <t>2025-12</t>
        </is>
      </c>
      <c r="E1075" t="inlineStr">
        <is>
          <t>C0092</t>
        </is>
      </c>
      <c r="F1075" t="inlineStr">
        <is>
          <t>C0092</t>
        </is>
      </c>
      <c r="G1075" t="inlineStr">
        <is>
          <t>Leo Jones</t>
        </is>
      </c>
      <c r="H1075" t="inlineStr">
        <is>
          <t>S0293</t>
        </is>
      </c>
      <c r="I1075" t="inlineStr">
        <is>
          <t>Scaffold dismantle - 6 tower(s)</t>
        </is>
      </c>
      <c r="J1075" t="n">
        <v>6</v>
      </c>
      <c r="K1075" s="9" t="n">
        <v>1920</v>
      </c>
      <c r="L1075" t="inlineStr">
        <is>
          <t>VOIDED</t>
        </is>
      </c>
      <c r="M1075">
        <f>IF(L1075="VOIDED",0,1)</f>
        <v>0</v>
      </c>
      <c r="N1075" t="n">
        <v>200</v>
      </c>
      <c r="O1075" t="inlineStr">
        <is>
          <t>GST on Income</t>
        </is>
      </c>
      <c r="P1075" t="inlineStr">
        <is>
          <t>R08</t>
        </is>
      </c>
      <c r="Q1075" t="inlineStr">
        <is>
          <t>LAB-ST</t>
        </is>
      </c>
      <c r="R1075">
        <f>IF(OR(Q1075="CONTEXT",Q1075="REVIEW"),"",INDEX('Category Rules'!$D$5:$D$17,MATCH(P1075,'Category Rules'!$A$5:$A$17,0)))</f>
        <v>4020</v>
      </c>
      <c r="S1075" t="str">
        <f>IF(Q1075="CONTEXT","Scaffolding",IF(Q1075="REVIEW","",INDEX('Category Rules'!$E$5:$E$17,MATCH(P1075,'Category Rules'!$A$5:$A$17,0))))</f>
        <v>Scaffolding</v>
      </c>
      <c r="T1075" t="str">
        <f>IF(Q1075="DEP","BAS Excluded","GST on Income")</f>
        <v>GST on Income</v>
      </c>
      <c r="U1075">
        <f>IF(O1075=T1075,1,0)</f>
        <v>1</v>
      </c>
      <c r="V1075" s="9">
        <f>IF(OR(M1075=0,U1075=1),0,IF(T1075="GST on Income",ROUND(K1075*0.1,2),ROUND(-K1075*0.1,2)))</f>
        <v>0</v>
      </c>
    </row>
    <row r="1076">
      <c r="A1076" t="inlineStr">
        <is>
          <t>INV-5652-1</t>
        </is>
      </c>
      <c r="B1076" t="inlineStr">
        <is>
          <t>INV-5652</t>
        </is>
      </c>
      <c r="C1076" s="11" t="n">
        <v>46004</v>
      </c>
      <c r="D1076" t="inlineStr">
        <is>
          <t>2025-12</t>
        </is>
      </c>
      <c r="E1076" t="inlineStr">
        <is>
          <t>C0008</t>
        </is>
      </c>
      <c r="F1076" t="inlineStr">
        <is>
          <t>C0008</t>
        </is>
      </c>
      <c r="G1076" t="inlineStr">
        <is>
          <t>Redline Builders Pty Ltd</t>
        </is>
      </c>
      <c r="H1076" t="inlineStr">
        <is>
          <t>S0408</t>
        </is>
      </c>
      <c r="I1076" t="inlineStr">
        <is>
          <t>Tarp kit hire 1 wks (12/12/25-12/12/25) - 3 kits</t>
        </is>
      </c>
      <c r="J1076" t="n">
        <v>3</v>
      </c>
      <c r="K1076" s="9" t="n">
        <v>105</v>
      </c>
      <c r="L1076" t="inlineStr">
        <is>
          <t>PAID</t>
        </is>
      </c>
      <c r="M1076">
        <f>IF(L1076="VOIDED",0,1)</f>
        <v>1</v>
      </c>
      <c r="N1076" t="n">
        <v>200</v>
      </c>
      <c r="O1076" t="inlineStr">
        <is>
          <t>GST on Income</t>
        </is>
      </c>
      <c r="P1076" t="inlineStr">
        <is>
          <t>R06</t>
        </is>
      </c>
      <c r="Q1076" t="inlineStr">
        <is>
          <t>HIRE-TK</t>
        </is>
      </c>
      <c r="R1076">
        <f>IF(OR(Q1076="CONTEXT",Q1076="REVIEW"),"",INDEX('Category Rules'!$D$5:$D$17,MATCH(P1076,'Category Rules'!$A$5:$A$17,0)))</f>
        <v>4010</v>
      </c>
      <c r="S1076" t="str">
        <f>IF(Q1076="CONTEXT","Make-safe",IF(Q1076="REVIEW","",INDEX('Category Rules'!$E$5:$E$17,MATCH(P1076,'Category Rules'!$A$5:$A$17,0))))</f>
        <v>Make-safe</v>
      </c>
      <c r="T1076" t="str">
        <f>IF(Q1076="DEP","BAS Excluded","GST on Income")</f>
        <v>GST on Income</v>
      </c>
      <c r="U1076">
        <f>IF(O1076=T1076,1,0)</f>
        <v>1</v>
      </c>
      <c r="V1076" s="9">
        <f>IF(OR(M1076=0,U1076=1),0,IF(T1076="GST on Income",ROUND(K1076*0.1,2),ROUND(-K1076*0.1,2)))</f>
        <v>0</v>
      </c>
    </row>
    <row r="1077">
      <c r="A1077" t="inlineStr">
        <is>
          <t>INV-4235-1</t>
        </is>
      </c>
      <c r="B1077" t="inlineStr">
        <is>
          <t>INV-4235</t>
        </is>
      </c>
      <c r="C1077" s="11" t="n">
        <v>46005</v>
      </c>
      <c r="D1077" t="inlineStr">
        <is>
          <t>2025-12</t>
        </is>
      </c>
      <c r="E1077" t="inlineStr">
        <is>
          <t>C0105</t>
        </is>
      </c>
      <c r="F1077" t="inlineStr">
        <is>
          <t>C0105</t>
        </is>
      </c>
      <c r="G1077" t="inlineStr">
        <is>
          <t>Priya Walker</t>
        </is>
      </c>
      <c r="H1077" t="inlineStr">
        <is>
          <t>S0025</t>
        </is>
      </c>
      <c r="I1077" t="inlineStr">
        <is>
          <t>Temporary fence hire 4 wks (16/11/25-13/12/25) - 76 panels</t>
        </is>
      </c>
      <c r="J1077" t="n">
        <v>304</v>
      </c>
      <c r="K1077" s="9" t="n">
        <v>1368</v>
      </c>
      <c r="L1077" t="inlineStr">
        <is>
          <t>PAID</t>
        </is>
      </c>
      <c r="M1077">
        <f>IF(L1077="VOIDED",0,1)</f>
        <v>1</v>
      </c>
      <c r="N1077" t="n">
        <v>200</v>
      </c>
      <c r="O1077" t="inlineStr">
        <is>
          <t>GST on Income</t>
        </is>
      </c>
      <c r="P1077" t="inlineStr">
        <is>
          <t>R03</t>
        </is>
      </c>
      <c r="Q1077" t="inlineStr">
        <is>
          <t>HIRE-FP</t>
        </is>
      </c>
      <c r="R1077">
        <f>IF(OR(Q1077="CONTEXT",Q1077="REVIEW"),"",INDEX('Category Rules'!$D$5:$D$17,MATCH(P1077,'Category Rules'!$A$5:$A$17,0)))</f>
        <v>4010</v>
      </c>
      <c r="S1077" t="str">
        <f>IF(Q1077="CONTEXT","Fencing",IF(Q1077="REVIEW","",INDEX('Category Rules'!$E$5:$E$17,MATCH(P1077,'Category Rules'!$A$5:$A$17,0))))</f>
        <v>Fencing</v>
      </c>
      <c r="T1077" t="str">
        <f>IF(Q1077="DEP","BAS Excluded","GST on Income")</f>
        <v>GST on Income</v>
      </c>
      <c r="U1077">
        <f>IF(O1077=T1077,1,0)</f>
        <v>1</v>
      </c>
      <c r="V1077" s="9">
        <f>IF(OR(M1077=0,U1077=1),0,IF(T1077="GST on Income",ROUND(K1077*0.1,2),ROUND(-K1077*0.1,2)))</f>
        <v>0</v>
      </c>
    </row>
    <row r="1078">
      <c r="A1078" t="inlineStr">
        <is>
          <t>INV-4282-1</t>
        </is>
      </c>
      <c r="B1078" t="inlineStr">
        <is>
          <t>INV-4282</t>
        </is>
      </c>
      <c r="C1078" s="11" t="n">
        <v>46005</v>
      </c>
      <c r="D1078" t="inlineStr">
        <is>
          <t>2025-12</t>
        </is>
      </c>
      <c r="E1078" t="inlineStr">
        <is>
          <t>C0015</t>
        </is>
      </c>
      <c r="F1078" t="inlineStr">
        <is>
          <t>C0015</t>
        </is>
      </c>
      <c r="G1078" t="inlineStr">
        <is>
          <t>Bluegum Building Group</t>
        </is>
      </c>
      <c r="H1078" t="inlineStr">
        <is>
          <t>S0038</t>
        </is>
      </c>
      <c r="I1078" t="inlineStr">
        <is>
          <t>Temporary fence hire 4 wks (16/11/25-13/12/25) - 137 panels</t>
        </is>
      </c>
      <c r="J1078" t="n">
        <v>548</v>
      </c>
      <c r="K1078" s="9" t="n">
        <v>2466</v>
      </c>
      <c r="L1078" t="inlineStr">
        <is>
          <t>PAID</t>
        </is>
      </c>
      <c r="M1078">
        <f>IF(L1078="VOIDED",0,1)</f>
        <v>1</v>
      </c>
      <c r="N1078" t="n">
        <v>200</v>
      </c>
      <c r="O1078" t="inlineStr">
        <is>
          <t>GST on Income</t>
        </is>
      </c>
      <c r="P1078" t="inlineStr">
        <is>
          <t>R03</t>
        </is>
      </c>
      <c r="Q1078" t="inlineStr">
        <is>
          <t>HIRE-FP</t>
        </is>
      </c>
      <c r="R1078">
        <f>IF(OR(Q1078="CONTEXT",Q1078="REVIEW"),"",INDEX('Category Rules'!$D$5:$D$17,MATCH(P1078,'Category Rules'!$A$5:$A$17,0)))</f>
        <v>4010</v>
      </c>
      <c r="S1078" t="str">
        <f>IF(Q1078="CONTEXT","Fencing",IF(Q1078="REVIEW","",INDEX('Category Rules'!$E$5:$E$17,MATCH(P1078,'Category Rules'!$A$5:$A$17,0))))</f>
        <v>Fencing</v>
      </c>
      <c r="T1078" t="str">
        <f>IF(Q1078="DEP","BAS Excluded","GST on Income")</f>
        <v>GST on Income</v>
      </c>
      <c r="U1078">
        <f>IF(O1078=T1078,1,0)</f>
        <v>1</v>
      </c>
      <c r="V1078" s="9">
        <f>IF(OR(M1078=0,U1078=1),0,IF(T1078="GST on Income",ROUND(K1078*0.1,2),ROUND(-K1078*0.1,2)))</f>
        <v>0</v>
      </c>
    </row>
    <row r="1079">
      <c r="A1079" t="inlineStr">
        <is>
          <t>INV-4287-1</t>
        </is>
      </c>
      <c r="B1079" t="inlineStr">
        <is>
          <t>INV-4287</t>
        </is>
      </c>
      <c r="C1079" s="11" t="n">
        <v>46005</v>
      </c>
      <c r="D1079" t="inlineStr">
        <is>
          <t>2025-12</t>
        </is>
      </c>
      <c r="E1079" t="inlineStr">
        <is>
          <t>C0015</t>
        </is>
      </c>
      <c r="F1079" t="inlineStr">
        <is>
          <t>C0015</t>
        </is>
      </c>
      <c r="G1079" t="inlineStr">
        <is>
          <t>Bluegum Building Group</t>
        </is>
      </c>
      <c r="H1079" t="inlineStr">
        <is>
          <t>S0038</t>
        </is>
      </c>
      <c r="I1079" t="inlineStr">
        <is>
          <t>Pedestrian barrier hire 4 wks (16/11/25-13/12/25) - 20 barriers</t>
        </is>
      </c>
      <c r="J1079" t="n">
        <v>80</v>
      </c>
      <c r="K1079" s="9" t="n">
        <v>256</v>
      </c>
      <c r="L1079" t="inlineStr">
        <is>
          <t>PAID</t>
        </is>
      </c>
      <c r="M1079">
        <f>IF(L1079="VOIDED",0,1)</f>
        <v>1</v>
      </c>
      <c r="N1079" t="n">
        <v>200</v>
      </c>
      <c r="O1079" t="inlineStr">
        <is>
          <t>GST on Income</t>
        </is>
      </c>
      <c r="P1079" t="inlineStr">
        <is>
          <t>R04</t>
        </is>
      </c>
      <c r="Q1079" t="inlineStr">
        <is>
          <t>HIRE-BR</t>
        </is>
      </c>
      <c r="R1079">
        <f>IF(OR(Q1079="CONTEXT",Q1079="REVIEW"),"",INDEX('Category Rules'!$D$5:$D$17,MATCH(P1079,'Category Rules'!$A$5:$A$17,0)))</f>
        <v>4010</v>
      </c>
      <c r="S1079" t="str">
        <f>IF(Q1079="CONTEXT","Fencing",IF(Q1079="REVIEW","",INDEX('Category Rules'!$E$5:$E$17,MATCH(P1079,'Category Rules'!$A$5:$A$17,0))))</f>
        <v>Fencing</v>
      </c>
      <c r="T1079" t="str">
        <f>IF(Q1079="DEP","BAS Excluded","GST on Income")</f>
        <v>GST on Income</v>
      </c>
      <c r="U1079">
        <f>IF(O1079=T1079,1,0)</f>
        <v>1</v>
      </c>
      <c r="V1079" s="9">
        <f>IF(OR(M1079=0,U1079=1),0,IF(T1079="GST on Income",ROUND(K1079*0.1,2),ROUND(-K1079*0.1,2)))</f>
        <v>0</v>
      </c>
    </row>
    <row r="1080">
      <c r="A1080" t="inlineStr">
        <is>
          <t>INV-4570-1</t>
        </is>
      </c>
      <c r="B1080" t="inlineStr">
        <is>
          <t>INV-4570</t>
        </is>
      </c>
      <c r="C1080" s="11" t="n">
        <v>46005</v>
      </c>
      <c r="D1080" t="inlineStr">
        <is>
          <t>2025-12</t>
        </is>
      </c>
      <c r="E1080" t="inlineStr">
        <is>
          <t>C0143</t>
        </is>
      </c>
      <c r="F1080" t="inlineStr">
        <is>
          <t>C0043</t>
        </is>
      </c>
      <c r="G1080" t="inlineStr">
        <is>
          <t>Banksia Projects Pty Ltd</t>
        </is>
      </c>
      <c r="H1080" t="inlineStr">
        <is>
          <t>S0095</t>
        </is>
      </c>
      <c r="I1080" t="inlineStr">
        <is>
          <t>Temporary fence hire 4 wks (16/11/25-13/12/25) - 129 panels</t>
        </is>
      </c>
      <c r="J1080" t="n">
        <v>516</v>
      </c>
      <c r="K1080" s="9" t="n">
        <v>2322</v>
      </c>
      <c r="L1080" t="inlineStr">
        <is>
          <t>PAID</t>
        </is>
      </c>
      <c r="M1080">
        <f>IF(L1080="VOIDED",0,1)</f>
        <v>1</v>
      </c>
      <c r="N1080" t="n">
        <v>200</v>
      </c>
      <c r="O1080" t="inlineStr">
        <is>
          <t>GST on Income</t>
        </is>
      </c>
      <c r="P1080" t="inlineStr">
        <is>
          <t>R03</t>
        </is>
      </c>
      <c r="Q1080" t="inlineStr">
        <is>
          <t>HIRE-FP</t>
        </is>
      </c>
      <c r="R1080">
        <f>IF(OR(Q1080="CONTEXT",Q1080="REVIEW"),"",INDEX('Category Rules'!$D$5:$D$17,MATCH(P1080,'Category Rules'!$A$5:$A$17,0)))</f>
        <v>4010</v>
      </c>
      <c r="S1080" t="str">
        <f>IF(Q1080="CONTEXT","Fencing",IF(Q1080="REVIEW","",INDEX('Category Rules'!$E$5:$E$17,MATCH(P1080,'Category Rules'!$A$5:$A$17,0))))</f>
        <v>Fencing</v>
      </c>
      <c r="T1080" t="str">
        <f>IF(Q1080="DEP","BAS Excluded","GST on Income")</f>
        <v>GST on Income</v>
      </c>
      <c r="U1080">
        <f>IF(O1080=T1080,1,0)</f>
        <v>1</v>
      </c>
      <c r="V1080" s="9">
        <f>IF(OR(M1080=0,U1080=1),0,IF(T1080="GST on Income",ROUND(K1080*0.1,2),ROUND(-K1080*0.1,2)))</f>
        <v>0</v>
      </c>
    </row>
    <row r="1081">
      <c r="A1081" t="inlineStr">
        <is>
          <t>INV-4788-1</t>
        </is>
      </c>
      <c r="B1081" t="inlineStr">
        <is>
          <t>INV-4788</t>
        </is>
      </c>
      <c r="C1081" s="11" t="n">
        <v>46005</v>
      </c>
      <c r="D1081" t="inlineStr">
        <is>
          <t>2025-12</t>
        </is>
      </c>
      <c r="E1081" t="inlineStr">
        <is>
          <t>C0029</t>
        </is>
      </c>
      <c r="F1081" t="inlineStr">
        <is>
          <t>C0029</t>
        </is>
      </c>
      <c r="G1081" t="inlineStr">
        <is>
          <t>Ironbark Constructions</t>
        </is>
      </c>
      <c r="H1081" t="inlineStr">
        <is>
          <t>S0147</t>
        </is>
      </c>
      <c r="I1081" t="inlineStr">
        <is>
          <t>Temporary fence hire 4 wks (16/11/25-13/12/25) - 13 panels</t>
        </is>
      </c>
      <c r="J1081" t="n">
        <v>52</v>
      </c>
      <c r="K1081" s="9" t="n">
        <v>234</v>
      </c>
      <c r="L1081" t="inlineStr">
        <is>
          <t>PAID</t>
        </is>
      </c>
      <c r="M1081">
        <f>IF(L1081="VOIDED",0,1)</f>
        <v>1</v>
      </c>
      <c r="N1081" t="n">
        <v>200</v>
      </c>
      <c r="O1081" t="inlineStr">
        <is>
          <t>GST on Income</t>
        </is>
      </c>
      <c r="P1081" t="inlineStr">
        <is>
          <t>R03</t>
        </is>
      </c>
      <c r="Q1081" t="inlineStr">
        <is>
          <t>HIRE-FP</t>
        </is>
      </c>
      <c r="R1081">
        <f>IF(OR(Q1081="CONTEXT",Q1081="REVIEW"),"",INDEX('Category Rules'!$D$5:$D$17,MATCH(P1081,'Category Rules'!$A$5:$A$17,0)))</f>
        <v>4010</v>
      </c>
      <c r="S1081" t="str">
        <f>IF(Q1081="CONTEXT","Fencing",IF(Q1081="REVIEW","",INDEX('Category Rules'!$E$5:$E$17,MATCH(P1081,'Category Rules'!$A$5:$A$17,0))))</f>
        <v>Fencing</v>
      </c>
      <c r="T1081" t="str">
        <f>IF(Q1081="DEP","BAS Excluded","GST on Income")</f>
        <v>GST on Income</v>
      </c>
      <c r="U1081">
        <f>IF(O1081=T1081,1,0)</f>
        <v>1</v>
      </c>
      <c r="V1081" s="9">
        <f>IF(OR(M1081=0,U1081=1),0,IF(T1081="GST on Income",ROUND(K1081*0.1,2),ROUND(-K1081*0.1,2)))</f>
        <v>0</v>
      </c>
    </row>
    <row r="1082">
      <c r="A1082" t="inlineStr">
        <is>
          <t>INV-5466-1</t>
        </is>
      </c>
      <c r="B1082" t="inlineStr">
        <is>
          <t>INV-5466</t>
        </is>
      </c>
      <c r="C1082" s="11" t="n">
        <v>46005</v>
      </c>
      <c r="D1082" t="inlineStr">
        <is>
          <t>2025-12</t>
        </is>
      </c>
      <c r="E1082" t="inlineStr">
        <is>
          <t>C0147</t>
        </is>
      </c>
      <c r="F1082" t="inlineStr">
        <is>
          <t>C0067</t>
        </is>
      </c>
      <c r="G1082" t="inlineStr">
        <is>
          <t>Banksia Claims Services Pty Ltd</t>
        </is>
      </c>
      <c r="H1082" t="inlineStr">
        <is>
          <t>S0305</t>
        </is>
      </c>
      <c r="I1082" t="inlineStr">
        <is>
          <t>Tarp kit hire 3 wks (29/11/25-13/12/25) - 2 kits</t>
        </is>
      </c>
      <c r="J1082" t="n">
        <v>6</v>
      </c>
      <c r="K1082" s="9" t="n">
        <v>210</v>
      </c>
      <c r="L1082" t="inlineStr">
        <is>
          <t>PAID</t>
        </is>
      </c>
      <c r="M1082">
        <f>IF(L1082="VOIDED",0,1)</f>
        <v>1</v>
      </c>
      <c r="N1082" t="n">
        <v>200</v>
      </c>
      <c r="O1082" t="inlineStr">
        <is>
          <t>GST on Income</t>
        </is>
      </c>
      <c r="P1082" t="inlineStr">
        <is>
          <t>R06</t>
        </is>
      </c>
      <c r="Q1082" t="inlineStr">
        <is>
          <t>HIRE-TK</t>
        </is>
      </c>
      <c r="R1082">
        <f>IF(OR(Q1082="CONTEXT",Q1082="REVIEW"),"",INDEX('Category Rules'!$D$5:$D$17,MATCH(P1082,'Category Rules'!$A$5:$A$17,0)))</f>
        <v>4010</v>
      </c>
      <c r="S1082" t="str">
        <f>IF(Q1082="CONTEXT","Make-safe",IF(Q1082="REVIEW","",INDEX('Category Rules'!$E$5:$E$17,MATCH(P1082,'Category Rules'!$A$5:$A$17,0))))</f>
        <v>Make-safe</v>
      </c>
      <c r="T1082" t="str">
        <f>IF(Q1082="DEP","BAS Excluded","GST on Income")</f>
        <v>GST on Income</v>
      </c>
      <c r="U1082">
        <f>IF(O1082=T1082,1,0)</f>
        <v>1</v>
      </c>
      <c r="V1082" s="9">
        <f>IF(OR(M1082=0,U1082=1),0,IF(T1082="GST on Income",ROUND(K1082*0.1,2),ROUND(-K1082*0.1,2)))</f>
        <v>0</v>
      </c>
    </row>
    <row r="1083">
      <c r="A1083" t="inlineStr">
        <is>
          <t>INV-4710-1</t>
        </is>
      </c>
      <c r="B1083" t="inlineStr">
        <is>
          <t>INV-4710</t>
        </is>
      </c>
      <c r="C1083" s="11" t="n">
        <v>46006</v>
      </c>
      <c r="D1083" t="inlineStr">
        <is>
          <t>2025-12</t>
        </is>
      </c>
      <c r="E1083" t="inlineStr">
        <is>
          <t>C0030</t>
        </is>
      </c>
      <c r="F1083" t="inlineStr">
        <is>
          <t>C0030</t>
        </is>
      </c>
      <c r="G1083" t="inlineStr">
        <is>
          <t>Bluegum Developments</t>
        </is>
      </c>
      <c r="H1083" t="inlineStr">
        <is>
          <t>S0126</t>
        </is>
      </c>
      <c r="I1083" t="inlineStr">
        <is>
          <t>Temporary fence hire 4 wks (17/11/25-14/12/25) - 129 panels</t>
        </is>
      </c>
      <c r="J1083" t="n">
        <v>516</v>
      </c>
      <c r="K1083" s="9" t="n">
        <v>2322</v>
      </c>
      <c r="L1083" t="inlineStr">
        <is>
          <t>PAID</t>
        </is>
      </c>
      <c r="M1083">
        <f>IF(L1083="VOIDED",0,1)</f>
        <v>1</v>
      </c>
      <c r="N1083" t="n">
        <v>200</v>
      </c>
      <c r="O1083" t="inlineStr">
        <is>
          <t>GST on Income</t>
        </is>
      </c>
      <c r="P1083" t="inlineStr">
        <is>
          <t>R03</t>
        </is>
      </c>
      <c r="Q1083" t="inlineStr">
        <is>
          <t>HIRE-FP</t>
        </is>
      </c>
      <c r="R1083">
        <f>IF(OR(Q1083="CONTEXT",Q1083="REVIEW"),"",INDEX('Category Rules'!$D$5:$D$17,MATCH(P1083,'Category Rules'!$A$5:$A$17,0)))</f>
        <v>4010</v>
      </c>
      <c r="S1083" t="str">
        <f>IF(Q1083="CONTEXT","Fencing",IF(Q1083="REVIEW","",INDEX('Category Rules'!$E$5:$E$17,MATCH(P1083,'Category Rules'!$A$5:$A$17,0))))</f>
        <v>Fencing</v>
      </c>
      <c r="T1083" t="str">
        <f>IF(Q1083="DEP","BAS Excluded","GST on Income")</f>
        <v>GST on Income</v>
      </c>
      <c r="U1083">
        <f>IF(O1083=T1083,1,0)</f>
        <v>1</v>
      </c>
      <c r="V1083" s="9">
        <f>IF(OR(M1083=0,U1083=1),0,IF(T1083="GST on Income",ROUND(K1083*0.1,2),ROUND(-K1083*0.1,2)))</f>
        <v>0</v>
      </c>
    </row>
    <row r="1084">
      <c r="A1084" t="inlineStr">
        <is>
          <t>INV-4996-1</t>
        </is>
      </c>
      <c r="B1084" t="inlineStr">
        <is>
          <t>INV-4996</t>
        </is>
      </c>
      <c r="C1084" s="11" t="n">
        <v>46006</v>
      </c>
      <c r="D1084" t="inlineStr">
        <is>
          <t>2025-12</t>
        </is>
      </c>
      <c r="E1084" t="inlineStr">
        <is>
          <t>C0075</t>
        </is>
      </c>
      <c r="F1084" t="inlineStr">
        <is>
          <t>C0075</t>
        </is>
      </c>
      <c r="G1084" t="inlineStr">
        <is>
          <t>Oakridge Productions</t>
        </is>
      </c>
      <c r="H1084" t="inlineStr">
        <is>
          <t>S0194</t>
        </is>
      </c>
      <c r="I1084" t="inlineStr">
        <is>
          <t>Temporary fence hire 3 wks (30/11/25-14/12/25) - 66 panels</t>
        </is>
      </c>
      <c r="J1084" t="n">
        <v>198</v>
      </c>
      <c r="K1084" s="9" t="n">
        <v>891</v>
      </c>
      <c r="L1084" t="inlineStr">
        <is>
          <t>PAID</t>
        </is>
      </c>
      <c r="M1084">
        <f>IF(L1084="VOIDED",0,1)</f>
        <v>1</v>
      </c>
      <c r="N1084" t="n">
        <v>200</v>
      </c>
      <c r="O1084" t="inlineStr">
        <is>
          <t>GST on Income</t>
        </is>
      </c>
      <c r="P1084" t="inlineStr">
        <is>
          <t>R03</t>
        </is>
      </c>
      <c r="Q1084" t="inlineStr">
        <is>
          <t>HIRE-FP</t>
        </is>
      </c>
      <c r="R1084">
        <f>IF(OR(Q1084="CONTEXT",Q1084="REVIEW"),"",INDEX('Category Rules'!$D$5:$D$17,MATCH(P1084,'Category Rules'!$A$5:$A$17,0)))</f>
        <v>4010</v>
      </c>
      <c r="S1084" t="str">
        <f>IF(Q1084="CONTEXT","Fencing",IF(Q1084="REVIEW","",INDEX('Category Rules'!$E$5:$E$17,MATCH(P1084,'Category Rules'!$A$5:$A$17,0))))</f>
        <v>Fencing</v>
      </c>
      <c r="T1084" t="str">
        <f>IF(Q1084="DEP","BAS Excluded","GST on Income")</f>
        <v>GST on Income</v>
      </c>
      <c r="U1084">
        <f>IF(O1084=T1084,1,0)</f>
        <v>1</v>
      </c>
      <c r="V1084" s="9">
        <f>IF(OR(M1084=0,U1084=1),0,IF(T1084="GST on Income",ROUND(K1084*0.1,2),ROUND(-K1084*0.1,2)))</f>
        <v>0</v>
      </c>
    </row>
    <row r="1085">
      <c r="A1085" t="inlineStr">
        <is>
          <t>INV-4998-1</t>
        </is>
      </c>
      <c r="B1085" t="inlineStr">
        <is>
          <t>INV-4998</t>
        </is>
      </c>
      <c r="C1085" s="11" t="n">
        <v>46006</v>
      </c>
      <c r="D1085" t="inlineStr">
        <is>
          <t>2025-12</t>
        </is>
      </c>
      <c r="E1085" t="inlineStr">
        <is>
          <t>C0075</t>
        </is>
      </c>
      <c r="F1085" t="inlineStr">
        <is>
          <t>C0075</t>
        </is>
      </c>
      <c r="G1085" t="inlineStr">
        <is>
          <t>Oakridge Productions</t>
        </is>
      </c>
      <c r="H1085" t="inlineStr">
        <is>
          <t>S0194</t>
        </is>
      </c>
      <c r="I1085" t="inlineStr">
        <is>
          <t>Collection and dismantle - temporary fencing</t>
        </is>
      </c>
      <c r="J1085" t="n">
        <v>1</v>
      </c>
      <c r="K1085" s="9" t="n">
        <v>165</v>
      </c>
      <c r="L1085" t="inlineStr">
        <is>
          <t>PAID</t>
        </is>
      </c>
      <c r="M1085">
        <f>IF(L1085="VOIDED",0,1)</f>
        <v>1</v>
      </c>
      <c r="N1085" t="n">
        <v>200</v>
      </c>
      <c r="O1085" t="inlineStr">
        <is>
          <t>GST on Income</t>
        </is>
      </c>
      <c r="P1085" t="inlineStr">
        <is>
          <t>R07</t>
        </is>
      </c>
      <c r="Q1085" t="inlineStr">
        <is>
          <t>DEL-FP</t>
        </is>
      </c>
      <c r="R1085">
        <f>IF(OR(Q1085="CONTEXT",Q1085="REVIEW"),"",INDEX('Category Rules'!$D$5:$D$17,MATCH(P1085,'Category Rules'!$A$5:$A$17,0)))</f>
        <v>4020</v>
      </c>
      <c r="S1085" t="str">
        <f>IF(Q1085="CONTEXT","Fencing",IF(Q1085="REVIEW","",INDEX('Category Rules'!$E$5:$E$17,MATCH(P1085,'Category Rules'!$A$5:$A$17,0))))</f>
        <v>Fencing</v>
      </c>
      <c r="T1085" t="str">
        <f>IF(Q1085="DEP","BAS Excluded","GST on Income")</f>
        <v>GST on Income</v>
      </c>
      <c r="U1085">
        <f>IF(O1085=T1085,1,0)</f>
        <v>1</v>
      </c>
      <c r="V1085" s="9">
        <f>IF(OR(M1085=0,U1085=1),0,IF(T1085="GST on Income",ROUND(K1085*0.1,2),ROUND(-K1085*0.1,2)))</f>
        <v>0</v>
      </c>
    </row>
    <row r="1086">
      <c r="A1086" t="inlineStr">
        <is>
          <t>INV-4998-2</t>
        </is>
      </c>
      <c r="B1086" t="inlineStr">
        <is>
          <t>INV-4998</t>
        </is>
      </c>
      <c r="C1086" s="11" t="n">
        <v>46006</v>
      </c>
      <c r="D1086" t="inlineStr">
        <is>
          <t>2025-12</t>
        </is>
      </c>
      <c r="E1086" t="inlineStr">
        <is>
          <t>C0075</t>
        </is>
      </c>
      <c r="F1086" t="inlineStr">
        <is>
          <t>C0075</t>
        </is>
      </c>
      <c r="G1086" t="inlineStr">
        <is>
          <t>Oakridge Productions</t>
        </is>
      </c>
      <c r="H1086" t="inlineStr">
        <is>
          <t>S0194</t>
        </is>
      </c>
      <c r="I1086" t="inlineStr">
        <is>
          <t>Lost/damaged panels charged - 5 @ 145.00</t>
        </is>
      </c>
      <c r="J1086" t="n">
        <v>5</v>
      </c>
      <c r="K1086" s="9" t="n">
        <v>725</v>
      </c>
      <c r="L1086" t="inlineStr">
        <is>
          <t>PAID</t>
        </is>
      </c>
      <c r="M1086">
        <f>IF(L1086="VOIDED",0,1)</f>
        <v>1</v>
      </c>
      <c r="N1086" t="n">
        <v>200</v>
      </c>
      <c r="O1086" t="inlineStr">
        <is>
          <t>GST on Income</t>
        </is>
      </c>
      <c r="P1086" t="inlineStr">
        <is>
          <t>R02</t>
        </is>
      </c>
      <c r="Q1086" t="inlineStr">
        <is>
          <t>LOSS</t>
        </is>
      </c>
      <c r="R1086">
        <f>IF(OR(Q1086="CONTEXT",Q1086="REVIEW"),"",INDEX('Category Rules'!$D$5:$D$17,MATCH(P1086,'Category Rules'!$A$5:$A$17,0)))</f>
        <v>4040</v>
      </c>
      <c r="S1086" t="str">
        <f>IF(Q1086="CONTEXT","Fencing",IF(Q1086="REVIEW","",INDEX('Category Rules'!$E$5:$E$17,MATCH(P1086,'Category Rules'!$A$5:$A$17,0))))</f>
        <v>Fencing</v>
      </c>
      <c r="T1086" t="str">
        <f>IF(Q1086="DEP","BAS Excluded","GST on Income")</f>
        <v>GST on Income</v>
      </c>
      <c r="U1086">
        <f>IF(O1086=T1086,1,0)</f>
        <v>1</v>
      </c>
      <c r="V1086" s="9">
        <f>IF(OR(M1086=0,U1086=1),0,IF(T1086="GST on Income",ROUND(K1086*0.1,2),ROUND(-K1086*0.1,2)))</f>
        <v>0</v>
      </c>
    </row>
    <row r="1087">
      <c r="A1087" t="inlineStr">
        <is>
          <t>INV-5380-1</t>
        </is>
      </c>
      <c r="B1087" t="inlineStr">
        <is>
          <t>INV-5380</t>
        </is>
      </c>
      <c r="C1087" s="11" t="n">
        <v>46006</v>
      </c>
      <c r="D1087" t="inlineStr">
        <is>
          <t>2025-12</t>
        </is>
      </c>
      <c r="E1087" t="inlineStr">
        <is>
          <t>C0047</t>
        </is>
      </c>
      <c r="F1087" t="inlineStr">
        <is>
          <t>C0047</t>
        </is>
      </c>
      <c r="G1087" t="inlineStr">
        <is>
          <t>Fairway Owners Corporation Services</t>
        </is>
      </c>
      <c r="H1087" t="inlineStr">
        <is>
          <t>S0278</t>
        </is>
      </c>
      <c r="I1087" t="inlineStr">
        <is>
          <t>Scaffold erect - 2 tower(s)</t>
        </is>
      </c>
      <c r="J1087" t="n">
        <v>2</v>
      </c>
      <c r="K1087" s="9" t="n">
        <v>840</v>
      </c>
      <c r="L1087" t="inlineStr">
        <is>
          <t>PAID</t>
        </is>
      </c>
      <c r="M1087">
        <f>IF(L1087="VOIDED",0,1)</f>
        <v>1</v>
      </c>
      <c r="N1087" t="n">
        <v>200</v>
      </c>
      <c r="O1087" t="inlineStr">
        <is>
          <t>GST on Income</t>
        </is>
      </c>
      <c r="P1087" t="inlineStr">
        <is>
          <t>R08</t>
        </is>
      </c>
      <c r="Q1087" t="inlineStr">
        <is>
          <t>LAB-ST</t>
        </is>
      </c>
      <c r="R1087">
        <f>IF(OR(Q1087="CONTEXT",Q1087="REVIEW"),"",INDEX('Category Rules'!$D$5:$D$17,MATCH(P1087,'Category Rules'!$A$5:$A$17,0)))</f>
        <v>4020</v>
      </c>
      <c r="S1087" t="str">
        <f>IF(Q1087="CONTEXT","Scaffolding",IF(Q1087="REVIEW","",INDEX('Category Rules'!$E$5:$E$17,MATCH(P1087,'Category Rules'!$A$5:$A$17,0))))</f>
        <v>Scaffolding</v>
      </c>
      <c r="T1087" t="str">
        <f>IF(Q1087="DEP","BAS Excluded","GST on Income")</f>
        <v>GST on Income</v>
      </c>
      <c r="U1087">
        <f>IF(O1087=T1087,1,0)</f>
        <v>1</v>
      </c>
      <c r="V1087" s="9">
        <f>IF(OR(M1087=0,U1087=1),0,IF(T1087="GST on Income",ROUND(K1087*0.1,2),ROUND(-K1087*0.1,2)))</f>
        <v>0</v>
      </c>
    </row>
    <row r="1088">
      <c r="A1088" t="inlineStr">
        <is>
          <t>INV-4494-1</t>
        </is>
      </c>
      <c r="B1088" t="inlineStr">
        <is>
          <t>INV-4494</t>
        </is>
      </c>
      <c r="C1088" s="11" t="n">
        <v>46007</v>
      </c>
      <c r="D1088" t="inlineStr">
        <is>
          <t>2025-12</t>
        </is>
      </c>
      <c r="E1088" t="inlineStr">
        <is>
          <t>C0070</t>
        </is>
      </c>
      <c r="F1088" t="inlineStr">
        <is>
          <t>C0070</t>
        </is>
      </c>
      <c r="G1088" t="inlineStr">
        <is>
          <t>Banyule City Council</t>
        </is>
      </c>
      <c r="H1088" t="inlineStr">
        <is>
          <t>S0082</t>
        </is>
      </c>
      <c r="I1088" t="inlineStr">
        <is>
          <t>Temporary fence hire 4 wks (18/11/25-15/12/25) - 158 panels</t>
        </is>
      </c>
      <c r="J1088" t="n">
        <v>632</v>
      </c>
      <c r="K1088" s="9" t="n">
        <v>2844</v>
      </c>
      <c r="L1088" t="inlineStr">
        <is>
          <t>PAID</t>
        </is>
      </c>
      <c r="M1088">
        <f>IF(L1088="VOIDED",0,1)</f>
        <v>1</v>
      </c>
      <c r="N1088" t="n">
        <v>200</v>
      </c>
      <c r="O1088" t="inlineStr">
        <is>
          <t>GST on Income</t>
        </is>
      </c>
      <c r="P1088" t="inlineStr">
        <is>
          <t>R03</t>
        </is>
      </c>
      <c r="Q1088" t="inlineStr">
        <is>
          <t>HIRE-FP</t>
        </is>
      </c>
      <c r="R1088">
        <f>IF(OR(Q1088="CONTEXT",Q1088="REVIEW"),"",INDEX('Category Rules'!$D$5:$D$17,MATCH(P1088,'Category Rules'!$A$5:$A$17,0)))</f>
        <v>4010</v>
      </c>
      <c r="S1088" t="str">
        <f>IF(Q1088="CONTEXT","Fencing",IF(Q1088="REVIEW","",INDEX('Category Rules'!$E$5:$E$17,MATCH(P1088,'Category Rules'!$A$5:$A$17,0))))</f>
        <v>Fencing</v>
      </c>
      <c r="T1088" t="str">
        <f>IF(Q1088="DEP","BAS Excluded","GST on Income")</f>
        <v>GST on Income</v>
      </c>
      <c r="U1088">
        <f>IF(O1088=T1088,1,0)</f>
        <v>1</v>
      </c>
      <c r="V1088" s="9">
        <f>IF(OR(M1088=0,U1088=1),0,IF(T1088="GST on Income",ROUND(K1088*0.1,2),ROUND(-K1088*0.1,2)))</f>
        <v>0</v>
      </c>
    </row>
    <row r="1089">
      <c r="A1089" t="inlineStr">
        <is>
          <t>INV-5017-1</t>
        </is>
      </c>
      <c r="B1089" t="inlineStr">
        <is>
          <t>INV-5017</t>
        </is>
      </c>
      <c r="C1089" s="11" t="n">
        <v>46007</v>
      </c>
      <c r="D1089" t="inlineStr">
        <is>
          <t>2025-12</t>
        </is>
      </c>
      <c r="E1089" t="inlineStr">
        <is>
          <t>C0024</t>
        </is>
      </c>
      <c r="F1089" t="inlineStr">
        <is>
          <t>C0024</t>
        </is>
      </c>
      <c r="G1089" t="inlineStr">
        <is>
          <t>Parkview Homes Pty Ltd</t>
        </is>
      </c>
      <c r="H1089" t="inlineStr">
        <is>
          <t>S0197</t>
        </is>
      </c>
      <c r="I1089" t="inlineStr">
        <is>
          <t>Delivery and installation - temporary fencing</t>
        </is>
      </c>
      <c r="J1089" t="n">
        <v>1</v>
      </c>
      <c r="K1089" s="9" t="n">
        <v>165</v>
      </c>
      <c r="L1089" t="inlineStr">
        <is>
          <t>PAID</t>
        </is>
      </c>
      <c r="M1089">
        <f>IF(L1089="VOIDED",0,1)</f>
        <v>1</v>
      </c>
      <c r="N1089" t="n">
        <v>200</v>
      </c>
      <c r="O1089" t="inlineStr">
        <is>
          <t>GST on Income</t>
        </is>
      </c>
      <c r="P1089" t="inlineStr">
        <is>
          <t>R07</t>
        </is>
      </c>
      <c r="Q1089" t="inlineStr">
        <is>
          <t>DEL-FP</t>
        </is>
      </c>
      <c r="R1089">
        <f>IF(OR(Q1089="CONTEXT",Q1089="REVIEW"),"",INDEX('Category Rules'!$D$5:$D$17,MATCH(P1089,'Category Rules'!$A$5:$A$17,0)))</f>
        <v>4020</v>
      </c>
      <c r="S1089" t="str">
        <f>IF(Q1089="CONTEXT","Fencing",IF(Q1089="REVIEW","",INDEX('Category Rules'!$E$5:$E$17,MATCH(P1089,'Category Rules'!$A$5:$A$17,0))))</f>
        <v>Fencing</v>
      </c>
      <c r="T1089" t="str">
        <f>IF(Q1089="DEP","BAS Excluded","GST on Income")</f>
        <v>GST on Income</v>
      </c>
      <c r="U1089">
        <f>IF(O1089=T1089,1,0)</f>
        <v>1</v>
      </c>
      <c r="V1089" s="9">
        <f>IF(OR(M1089=0,U1089=1),0,IF(T1089="GST on Income",ROUND(K1089*0.1,2),ROUND(-K1089*0.1,2)))</f>
        <v>0</v>
      </c>
    </row>
    <row r="1090">
      <c r="A1090" t="inlineStr">
        <is>
          <t>INV-5017-2</t>
        </is>
      </c>
      <c r="B1090" t="inlineStr">
        <is>
          <t>INV-5017</t>
        </is>
      </c>
      <c r="C1090" s="11" t="n">
        <v>46007</v>
      </c>
      <c r="D1090" t="inlineStr">
        <is>
          <t>2025-12</t>
        </is>
      </c>
      <c r="E1090" t="inlineStr">
        <is>
          <t>C0024</t>
        </is>
      </c>
      <c r="F1090" t="inlineStr">
        <is>
          <t>C0024</t>
        </is>
      </c>
      <c r="G1090" t="inlineStr">
        <is>
          <t>Parkview Homes Pty Ltd</t>
        </is>
      </c>
      <c r="H1090" t="inlineStr">
        <is>
          <t>S0197</t>
        </is>
      </c>
      <c r="I1090" t="inlineStr">
        <is>
          <t>Installation labour - 74 panels @ 2.20</t>
        </is>
      </c>
      <c r="J1090" t="n">
        <v>74</v>
      </c>
      <c r="K1090" s="9" t="n">
        <v>162.8</v>
      </c>
      <c r="L1090" t="inlineStr">
        <is>
          <t>PAID</t>
        </is>
      </c>
      <c r="M1090">
        <f>IF(L1090="VOIDED",0,1)</f>
        <v>1</v>
      </c>
      <c r="N1090" t="n">
        <v>200</v>
      </c>
      <c r="O1090" t="inlineStr">
        <is>
          <t>GST on Income</t>
        </is>
      </c>
      <c r="P1090" t="inlineStr">
        <is>
          <t>R07</t>
        </is>
      </c>
      <c r="Q1090" t="inlineStr">
        <is>
          <t>DEL-FP</t>
        </is>
      </c>
      <c r="R1090">
        <f>IF(OR(Q1090="CONTEXT",Q1090="REVIEW"),"",INDEX('Category Rules'!$D$5:$D$17,MATCH(P1090,'Category Rules'!$A$5:$A$17,0)))</f>
        <v>4020</v>
      </c>
      <c r="S1090" t="str">
        <f>IF(Q1090="CONTEXT","Fencing",IF(Q1090="REVIEW","",INDEX('Category Rules'!$E$5:$E$17,MATCH(P1090,'Category Rules'!$A$5:$A$17,0))))</f>
        <v>Fencing</v>
      </c>
      <c r="T1090" t="str">
        <f>IF(Q1090="DEP","BAS Excluded","GST on Income")</f>
        <v>GST on Income</v>
      </c>
      <c r="U1090">
        <f>IF(O1090=T1090,1,0)</f>
        <v>1</v>
      </c>
      <c r="V1090" s="9">
        <f>IF(OR(M1090=0,U1090=1),0,IF(T1090="GST on Income",ROUND(K1090*0.1,2),ROUND(-K1090*0.1,2)))</f>
        <v>0</v>
      </c>
    </row>
    <row r="1091">
      <c r="A1091" t="inlineStr">
        <is>
          <t>INV-5017-3</t>
        </is>
      </c>
      <c r="B1091" t="inlineStr">
        <is>
          <t>INV-5017</t>
        </is>
      </c>
      <c r="C1091" s="11" t="n">
        <v>46007</v>
      </c>
      <c r="D1091" t="inlineStr">
        <is>
          <t>2025-12</t>
        </is>
      </c>
      <c r="E1091" t="inlineStr">
        <is>
          <t>C0024</t>
        </is>
      </c>
      <c r="F1091" t="inlineStr">
        <is>
          <t>C0024</t>
        </is>
      </c>
      <c r="G1091" t="inlineStr">
        <is>
          <t>Parkview Homes Pty Ltd</t>
        </is>
      </c>
      <c r="H1091" t="inlineStr">
        <is>
          <t>S0197</t>
        </is>
      </c>
      <c r="I1091" t="inlineStr">
        <is>
          <t>Security deposit - fence panels (refundable)</t>
        </is>
      </c>
      <c r="J1091" t="n">
        <v>1</v>
      </c>
      <c r="K1091" s="9" t="n">
        <v>590</v>
      </c>
      <c r="L1091" t="inlineStr">
        <is>
          <t>PAID</t>
        </is>
      </c>
      <c r="M1091">
        <f>IF(L1091="VOIDED",0,1)</f>
        <v>1</v>
      </c>
      <c r="N1091" t="n">
        <v>200</v>
      </c>
      <c r="O1091" t="inlineStr">
        <is>
          <t>GST on Income</t>
        </is>
      </c>
      <c r="P1091" t="inlineStr">
        <is>
          <t>R01</t>
        </is>
      </c>
      <c r="Q1091" t="inlineStr">
        <is>
          <t>DEP</t>
        </is>
      </c>
      <c r="R1091">
        <f>IF(OR(Q1091="CONTEXT",Q1091="REVIEW"),"",INDEX('Category Rules'!$D$5:$D$17,MATCH(P1091,'Category Rules'!$A$5:$A$17,0)))</f>
        <v>835</v>
      </c>
      <c r="S1091" t="str">
        <f>IF(Q1091="CONTEXT","Fencing",IF(Q1091="REVIEW","",INDEX('Category Rules'!$E$5:$E$17,MATCH(P1091,'Category Rules'!$A$5:$A$17,0))))</f>
        <v>Fencing</v>
      </c>
      <c r="T1091" t="str">
        <f>IF(Q1091="DEP","BAS Excluded","GST on Income")</f>
        <v>BAS Excluded</v>
      </c>
      <c r="U1091">
        <f>IF(O1091=T1091,1,0)</f>
        <v>0</v>
      </c>
      <c r="V1091" s="9">
        <f>IF(OR(M1091=0,U1091=1),0,IF(T1091="GST on Income",ROUND(K1091*0.1,2),ROUND(-K1091*0.1,2)))</f>
        <v>-59</v>
      </c>
    </row>
    <row r="1092">
      <c r="A1092" t="inlineStr">
        <is>
          <t>INV-5127-1</t>
        </is>
      </c>
      <c r="B1092" t="inlineStr">
        <is>
          <t>INV-5127</t>
        </is>
      </c>
      <c r="C1092" s="11" t="n">
        <v>46007</v>
      </c>
      <c r="D1092" t="inlineStr">
        <is>
          <t>2025-12</t>
        </is>
      </c>
      <c r="E1092" t="inlineStr">
        <is>
          <t>C0098</t>
        </is>
      </c>
      <c r="F1092" t="inlineStr">
        <is>
          <t>C0098</t>
        </is>
      </c>
      <c r="G1092" t="inlineStr">
        <is>
          <t>Ethan Walker</t>
        </is>
      </c>
      <c r="H1092" t="inlineStr">
        <is>
          <t>S0220</t>
        </is>
      </c>
      <c r="I1092" t="inlineStr">
        <is>
          <t>Temporary fence hire 4 wks (18/11/25-15/12/25) - 114 panels</t>
        </is>
      </c>
      <c r="J1092" t="n">
        <v>456</v>
      </c>
      <c r="K1092" s="9" t="n">
        <v>2052</v>
      </c>
      <c r="L1092" t="inlineStr">
        <is>
          <t>PAID</t>
        </is>
      </c>
      <c r="M1092">
        <f>IF(L1092="VOIDED",0,1)</f>
        <v>1</v>
      </c>
      <c r="N1092" t="n">
        <v>200</v>
      </c>
      <c r="O1092" t="inlineStr">
        <is>
          <t>GST on Income</t>
        </is>
      </c>
      <c r="P1092" t="inlineStr">
        <is>
          <t>R03</t>
        </is>
      </c>
      <c r="Q1092" t="inlineStr">
        <is>
          <t>HIRE-FP</t>
        </is>
      </c>
      <c r="R1092">
        <f>IF(OR(Q1092="CONTEXT",Q1092="REVIEW"),"",INDEX('Category Rules'!$D$5:$D$17,MATCH(P1092,'Category Rules'!$A$5:$A$17,0)))</f>
        <v>4010</v>
      </c>
      <c r="S1092" t="str">
        <f>IF(Q1092="CONTEXT","Fencing",IF(Q1092="REVIEW","",INDEX('Category Rules'!$E$5:$E$17,MATCH(P1092,'Category Rules'!$A$5:$A$17,0))))</f>
        <v>Fencing</v>
      </c>
      <c r="T1092" t="str">
        <f>IF(Q1092="DEP","BAS Excluded","GST on Income")</f>
        <v>GST on Income</v>
      </c>
      <c r="U1092">
        <f>IF(O1092=T1092,1,0)</f>
        <v>1</v>
      </c>
      <c r="V1092" s="9">
        <f>IF(OR(M1092=0,U1092=1),0,IF(T1092="GST on Income",ROUND(K1092*0.1,2),ROUND(-K1092*0.1,2)))</f>
        <v>0</v>
      </c>
    </row>
    <row r="1093">
      <c r="A1093" t="inlineStr">
        <is>
          <t>INV-5549-1</t>
        </is>
      </c>
      <c r="B1093" t="inlineStr">
        <is>
          <t>INV-5549</t>
        </is>
      </c>
      <c r="C1093" s="11" t="n">
        <v>46007</v>
      </c>
      <c r="D1093" t="inlineStr">
        <is>
          <t>2025-12</t>
        </is>
      </c>
      <c r="E1093" t="inlineStr">
        <is>
          <t>C0060</t>
        </is>
      </c>
      <c r="F1093" t="inlineStr">
        <is>
          <t>C0060</t>
        </is>
      </c>
      <c r="G1093" t="inlineStr">
        <is>
          <t>Redline Claims Services</t>
        </is>
      </c>
      <c r="H1093" t="inlineStr">
        <is>
          <t>S0348</t>
        </is>
      </c>
      <c r="I1093" t="inlineStr">
        <is>
          <t>Roof repair labour - 8 hrs</t>
        </is>
      </c>
      <c r="J1093" t="n">
        <v>8</v>
      </c>
      <c r="K1093" s="9" t="n">
        <v>784</v>
      </c>
      <c r="L1093" t="inlineStr">
        <is>
          <t>PAID</t>
        </is>
      </c>
      <c r="M1093">
        <f>IF(L1093="VOIDED",0,1)</f>
        <v>1</v>
      </c>
      <c r="N1093" t="n">
        <v>200</v>
      </c>
      <c r="O1093" t="inlineStr">
        <is>
          <t>GST on Income</t>
        </is>
      </c>
      <c r="P1093" t="inlineStr">
        <is>
          <t>R10</t>
        </is>
      </c>
      <c r="Q1093" t="inlineStr">
        <is>
          <t>LAB-RF</t>
        </is>
      </c>
      <c r="R1093">
        <f>IF(OR(Q1093="CONTEXT",Q1093="REVIEW"),"",INDEX('Category Rules'!$D$5:$D$17,MATCH(P1093,'Category Rules'!$A$5:$A$17,0)))</f>
        <v>4020</v>
      </c>
      <c r="S1093" t="str">
        <f>IF(Q1093="CONTEXT","Roofing",IF(Q1093="REVIEW","",INDEX('Category Rules'!$E$5:$E$17,MATCH(P1093,'Category Rules'!$A$5:$A$17,0))))</f>
        <v>Roofing</v>
      </c>
      <c r="T1093" t="str">
        <f>IF(Q1093="DEP","BAS Excluded","GST on Income")</f>
        <v>GST on Income</v>
      </c>
      <c r="U1093">
        <f>IF(O1093=T1093,1,0)</f>
        <v>1</v>
      </c>
      <c r="V1093" s="9">
        <f>IF(OR(M1093=0,U1093=1),0,IF(T1093="GST on Income",ROUND(K1093*0.1,2),ROUND(-K1093*0.1,2)))</f>
        <v>0</v>
      </c>
    </row>
    <row r="1094">
      <c r="A1094" t="inlineStr">
        <is>
          <t>INV-5549-2</t>
        </is>
      </c>
      <c r="B1094" t="inlineStr">
        <is>
          <t>INV-5549</t>
        </is>
      </c>
      <c r="C1094" s="11" t="n">
        <v>46007</v>
      </c>
      <c r="D1094" t="inlineStr">
        <is>
          <t>2025-12</t>
        </is>
      </c>
      <c r="E1094" t="inlineStr">
        <is>
          <t>C0060</t>
        </is>
      </c>
      <c r="F1094" t="inlineStr">
        <is>
          <t>C0060</t>
        </is>
      </c>
      <c r="G1094" t="inlineStr">
        <is>
          <t>Redline Claims Services</t>
        </is>
      </c>
      <c r="H1094" t="inlineStr">
        <is>
          <t>S0348</t>
        </is>
      </c>
      <c r="I1094" t="inlineStr">
        <is>
          <t>Materials - Colorbond sheet</t>
        </is>
      </c>
      <c r="J1094" t="n">
        <v>1</v>
      </c>
      <c r="K1094" s="9" t="n">
        <v>1032.96</v>
      </c>
      <c r="L1094" t="inlineStr">
        <is>
          <t>PAID</t>
        </is>
      </c>
      <c r="M1094">
        <f>IF(L1094="VOIDED",0,1)</f>
        <v>1</v>
      </c>
      <c r="N1094" t="n">
        <v>200</v>
      </c>
      <c r="O1094" t="inlineStr">
        <is>
          <t>GST on Income</t>
        </is>
      </c>
      <c r="P1094" t="inlineStr">
        <is>
          <t>R11</t>
        </is>
      </c>
      <c r="Q1094" t="inlineStr">
        <is>
          <t>MAT-RF</t>
        </is>
      </c>
      <c r="R1094">
        <f>IF(OR(Q1094="CONTEXT",Q1094="REVIEW"),"",INDEX('Category Rules'!$D$5:$D$17,MATCH(P1094,'Category Rules'!$A$5:$A$17,0)))</f>
        <v>4030</v>
      </c>
      <c r="S1094" t="str">
        <f>IF(Q1094="CONTEXT","Roofing",IF(Q1094="REVIEW","",INDEX('Category Rules'!$E$5:$E$17,MATCH(P1094,'Category Rules'!$A$5:$A$17,0))))</f>
        <v>Roofing</v>
      </c>
      <c r="T1094" t="str">
        <f>IF(Q1094="DEP","BAS Excluded","GST on Income")</f>
        <v>GST on Income</v>
      </c>
      <c r="U1094">
        <f>IF(O1094=T1094,1,0)</f>
        <v>1</v>
      </c>
      <c r="V1094" s="9">
        <f>IF(OR(M1094=0,U1094=1),0,IF(T1094="GST on Income",ROUND(K1094*0.1,2),ROUND(-K1094*0.1,2)))</f>
        <v>0</v>
      </c>
    </row>
    <row r="1095">
      <c r="A1095" t="inlineStr">
        <is>
          <t>INV-5549-3</t>
        </is>
      </c>
      <c r="B1095" t="inlineStr">
        <is>
          <t>INV-5549</t>
        </is>
      </c>
      <c r="C1095" s="11" t="n">
        <v>46007</v>
      </c>
      <c r="D1095" t="inlineStr">
        <is>
          <t>2025-12</t>
        </is>
      </c>
      <c r="E1095" t="inlineStr">
        <is>
          <t>C0060</t>
        </is>
      </c>
      <c r="F1095" t="inlineStr">
        <is>
          <t>C0060</t>
        </is>
      </c>
      <c r="G1095" t="inlineStr">
        <is>
          <t>Redline Claims Services</t>
        </is>
      </c>
      <c r="H1095" t="inlineStr">
        <is>
          <t>S0348</t>
        </is>
      </c>
      <c r="I1095" t="inlineStr">
        <is>
          <t>Materials - gutter and downpipe</t>
        </is>
      </c>
      <c r="J1095" t="n">
        <v>1</v>
      </c>
      <c r="K1095" s="9" t="n">
        <v>1298.54</v>
      </c>
      <c r="L1095" t="inlineStr">
        <is>
          <t>PAID</t>
        </is>
      </c>
      <c r="M1095">
        <f>IF(L1095="VOIDED",0,1)</f>
        <v>1</v>
      </c>
      <c r="N1095" t="n">
        <v>200</v>
      </c>
      <c r="O1095" t="inlineStr">
        <is>
          <t>GST on Income</t>
        </is>
      </c>
      <c r="P1095" t="inlineStr">
        <is>
          <t>R11</t>
        </is>
      </c>
      <c r="Q1095" t="inlineStr">
        <is>
          <t>MAT-RF</t>
        </is>
      </c>
      <c r="R1095">
        <f>IF(OR(Q1095="CONTEXT",Q1095="REVIEW"),"",INDEX('Category Rules'!$D$5:$D$17,MATCH(P1095,'Category Rules'!$A$5:$A$17,0)))</f>
        <v>4030</v>
      </c>
      <c r="S1095" t="str">
        <f>IF(Q1095="CONTEXT","Roofing",IF(Q1095="REVIEW","",INDEX('Category Rules'!$E$5:$E$17,MATCH(P1095,'Category Rules'!$A$5:$A$17,0))))</f>
        <v>Roofing</v>
      </c>
      <c r="T1095" t="str">
        <f>IF(Q1095="DEP","BAS Excluded","GST on Income")</f>
        <v>GST on Income</v>
      </c>
      <c r="U1095">
        <f>IF(O1095=T1095,1,0)</f>
        <v>1</v>
      </c>
      <c r="V1095" s="9">
        <f>IF(OR(M1095=0,U1095=1),0,IF(T1095="GST on Income",ROUND(K1095*0.1,2),ROUND(-K1095*0.1,2)))</f>
        <v>0</v>
      </c>
    </row>
    <row r="1096">
      <c r="A1096" t="inlineStr">
        <is>
          <t>INV-4103-1</t>
        </is>
      </c>
      <c r="B1096" t="inlineStr">
        <is>
          <t>INV-4103</t>
        </is>
      </c>
      <c r="C1096" s="11" t="n">
        <v>46008</v>
      </c>
      <c r="D1096" t="inlineStr">
        <is>
          <t>2025-12</t>
        </is>
      </c>
      <c r="E1096" t="inlineStr">
        <is>
          <t>C0120</t>
        </is>
      </c>
      <c r="F1096" t="inlineStr">
        <is>
          <t>C0120</t>
        </is>
      </c>
      <c r="G1096" t="inlineStr">
        <is>
          <t>Northgate Building Group</t>
        </is>
      </c>
      <c r="H1096" t="inlineStr">
        <is>
          <t>S0001</t>
        </is>
      </c>
      <c r="I1096" t="inlineStr">
        <is>
          <t>Temporary fence hire 4 wks (19/11/25-16/12/25) - 101 panels</t>
        </is>
      </c>
      <c r="J1096" t="n">
        <v>404</v>
      </c>
      <c r="K1096" s="9" t="n">
        <v>1818</v>
      </c>
      <c r="L1096" t="inlineStr">
        <is>
          <t>PAID</t>
        </is>
      </c>
      <c r="M1096">
        <f>IF(L1096="VOIDED",0,1)</f>
        <v>1</v>
      </c>
      <c r="N1096" t="n">
        <v>200</v>
      </c>
      <c r="O1096" t="inlineStr">
        <is>
          <t>GST on Income</t>
        </is>
      </c>
      <c r="P1096" t="inlineStr">
        <is>
          <t>R03</t>
        </is>
      </c>
      <c r="Q1096" t="inlineStr">
        <is>
          <t>HIRE-FP</t>
        </is>
      </c>
      <c r="R1096">
        <f>IF(OR(Q1096="CONTEXT",Q1096="REVIEW"),"",INDEX('Category Rules'!$D$5:$D$17,MATCH(P1096,'Category Rules'!$A$5:$A$17,0)))</f>
        <v>4010</v>
      </c>
      <c r="S1096" t="str">
        <f>IF(Q1096="CONTEXT","Fencing",IF(Q1096="REVIEW","",INDEX('Category Rules'!$E$5:$E$17,MATCH(P1096,'Category Rules'!$A$5:$A$17,0))))</f>
        <v>Fencing</v>
      </c>
      <c r="T1096" t="str">
        <f>IF(Q1096="DEP","BAS Excluded","GST on Income")</f>
        <v>GST on Income</v>
      </c>
      <c r="U1096">
        <f>IF(O1096=T1096,1,0)</f>
        <v>1</v>
      </c>
      <c r="V1096" s="9">
        <f>IF(OR(M1096=0,U1096=1),0,IF(T1096="GST on Income",ROUND(K1096*0.1,2),ROUND(-K1096*0.1,2)))</f>
        <v>0</v>
      </c>
    </row>
    <row r="1097">
      <c r="A1097" t="inlineStr">
        <is>
          <t>INV-4158-1</t>
        </is>
      </c>
      <c r="B1097" t="inlineStr">
        <is>
          <t>INV-4158</t>
        </is>
      </c>
      <c r="C1097" s="11" t="n">
        <v>46008</v>
      </c>
      <c r="D1097" t="inlineStr">
        <is>
          <t>2025-12</t>
        </is>
      </c>
      <c r="E1097" t="inlineStr">
        <is>
          <t>C0015</t>
        </is>
      </c>
      <c r="F1097" t="inlineStr">
        <is>
          <t>C0015</t>
        </is>
      </c>
      <c r="G1097" t="inlineStr">
        <is>
          <t>Bluegum Building Group</t>
        </is>
      </c>
      <c r="H1097" t="inlineStr">
        <is>
          <t>S0011</t>
        </is>
      </c>
      <c r="I1097" t="inlineStr">
        <is>
          <t>Temporary fence hire 4 wks (19/11/25-16/12/25) - 96 panels</t>
        </is>
      </c>
      <c r="J1097" t="n">
        <v>384</v>
      </c>
      <c r="K1097" s="9" t="n">
        <v>1728</v>
      </c>
      <c r="L1097" t="inlineStr">
        <is>
          <t>PAID</t>
        </is>
      </c>
      <c r="M1097">
        <f>IF(L1097="VOIDED",0,1)</f>
        <v>1</v>
      </c>
      <c r="N1097" t="n">
        <v>200</v>
      </c>
      <c r="O1097" t="inlineStr">
        <is>
          <t>GST on Income</t>
        </is>
      </c>
      <c r="P1097" t="inlineStr">
        <is>
          <t>R03</t>
        </is>
      </c>
      <c r="Q1097" t="inlineStr">
        <is>
          <t>HIRE-FP</t>
        </is>
      </c>
      <c r="R1097">
        <f>IF(OR(Q1097="CONTEXT",Q1097="REVIEW"),"",INDEX('Category Rules'!$D$5:$D$17,MATCH(P1097,'Category Rules'!$A$5:$A$17,0)))</f>
        <v>4010</v>
      </c>
      <c r="S1097" t="str">
        <f>IF(Q1097="CONTEXT","Fencing",IF(Q1097="REVIEW","",INDEX('Category Rules'!$E$5:$E$17,MATCH(P1097,'Category Rules'!$A$5:$A$17,0))))</f>
        <v>Fencing</v>
      </c>
      <c r="T1097" t="str">
        <f>IF(Q1097="DEP","BAS Excluded","GST on Income")</f>
        <v>GST on Income</v>
      </c>
      <c r="U1097">
        <f>IF(O1097=T1097,1,0)</f>
        <v>1</v>
      </c>
      <c r="V1097" s="9">
        <f>IF(OR(M1097=0,U1097=1),0,IF(T1097="GST on Income",ROUND(K1097*0.1,2),ROUND(-K1097*0.1,2)))</f>
        <v>0</v>
      </c>
    </row>
    <row r="1098">
      <c r="A1098" t="inlineStr">
        <is>
          <t>INV-5590-1</t>
        </is>
      </c>
      <c r="B1098" t="inlineStr">
        <is>
          <t>INV-5590</t>
        </is>
      </c>
      <c r="C1098" s="11" t="n">
        <v>46008</v>
      </c>
      <c r="D1098" t="inlineStr">
        <is>
          <t>2025-12</t>
        </is>
      </c>
      <c r="E1098" t="inlineStr">
        <is>
          <t>C0051</t>
        </is>
      </c>
      <c r="F1098" t="inlineStr">
        <is>
          <t>C0051</t>
        </is>
      </c>
      <c r="G1098" t="inlineStr">
        <is>
          <t>Granite Body Corporate Pty Ltd</t>
        </is>
      </c>
      <c r="H1098" t="inlineStr">
        <is>
          <t>S0375</t>
        </is>
      </c>
      <c r="I1098" t="inlineStr">
        <is>
          <t>Make safe call-out</t>
        </is>
      </c>
      <c r="J1098" t="n">
        <v>1</v>
      </c>
      <c r="K1098" s="9" t="n">
        <v>385</v>
      </c>
      <c r="L1098" t="inlineStr">
        <is>
          <t>PAID</t>
        </is>
      </c>
      <c r="M1098">
        <f>IF(L1098="VOIDED",0,1)</f>
        <v>1</v>
      </c>
      <c r="N1098" t="n">
        <v>200</v>
      </c>
      <c r="O1098" t="inlineStr">
        <is>
          <t>GST on Income</t>
        </is>
      </c>
      <c r="P1098" t="inlineStr">
        <is>
          <t>R09</t>
        </is>
      </c>
      <c r="Q1098" t="inlineStr">
        <is>
          <t>MS</t>
        </is>
      </c>
      <c r="R1098">
        <f>IF(OR(Q1098="CONTEXT",Q1098="REVIEW"),"",INDEX('Category Rules'!$D$5:$D$17,MATCH(P1098,'Category Rules'!$A$5:$A$17,0)))</f>
        <v>4020</v>
      </c>
      <c r="S1098" t="str">
        <f>IF(Q1098="CONTEXT","Make-safe",IF(Q1098="REVIEW","",INDEX('Category Rules'!$E$5:$E$17,MATCH(P1098,'Category Rules'!$A$5:$A$17,0))))</f>
        <v>Make-safe</v>
      </c>
      <c r="T1098" t="str">
        <f>IF(Q1098="DEP","BAS Excluded","GST on Income")</f>
        <v>GST on Income</v>
      </c>
      <c r="U1098">
        <f>IF(O1098=T1098,1,0)</f>
        <v>1</v>
      </c>
      <c r="V1098" s="9">
        <f>IF(OR(M1098=0,U1098=1),0,IF(T1098="GST on Income",ROUND(K1098*0.1,2),ROUND(-K1098*0.1,2)))</f>
        <v>0</v>
      </c>
    </row>
    <row r="1099">
      <c r="A1099" t="inlineStr">
        <is>
          <t>INV-5590-2</t>
        </is>
      </c>
      <c r="B1099" t="inlineStr">
        <is>
          <t>INV-5590</t>
        </is>
      </c>
      <c r="C1099" s="11" t="n">
        <v>46008</v>
      </c>
      <c r="D1099" t="inlineStr">
        <is>
          <t>2025-12</t>
        </is>
      </c>
      <c r="E1099" t="inlineStr">
        <is>
          <t>C0051</t>
        </is>
      </c>
      <c r="F1099" t="inlineStr">
        <is>
          <t>C0051</t>
        </is>
      </c>
      <c r="G1099" t="inlineStr">
        <is>
          <t>Granite Body Corporate Pty Ltd</t>
        </is>
      </c>
      <c r="H1099" t="inlineStr">
        <is>
          <t>S0375</t>
        </is>
      </c>
      <c r="I1099" t="inlineStr">
        <is>
          <t>Tarp supply and install - 1 tarp(s)</t>
        </is>
      </c>
      <c r="J1099" t="n">
        <v>1</v>
      </c>
      <c r="K1099" s="9" t="n">
        <v>240</v>
      </c>
      <c r="L1099" t="inlineStr">
        <is>
          <t>PAID</t>
        </is>
      </c>
      <c r="M1099">
        <f>IF(L1099="VOIDED",0,1)</f>
        <v>1</v>
      </c>
      <c r="N1099" t="n">
        <v>200</v>
      </c>
      <c r="O1099" t="inlineStr">
        <is>
          <t>GST on Income</t>
        </is>
      </c>
      <c r="P1099" t="inlineStr">
        <is>
          <t>R09</t>
        </is>
      </c>
      <c r="Q1099" t="inlineStr">
        <is>
          <t>MS</t>
        </is>
      </c>
      <c r="R1099">
        <f>IF(OR(Q1099="CONTEXT",Q1099="REVIEW"),"",INDEX('Category Rules'!$D$5:$D$17,MATCH(P1099,'Category Rules'!$A$5:$A$17,0)))</f>
        <v>4020</v>
      </c>
      <c r="S1099" t="str">
        <f>IF(Q1099="CONTEXT","Make-safe",IF(Q1099="REVIEW","",INDEX('Category Rules'!$E$5:$E$17,MATCH(P1099,'Category Rules'!$A$5:$A$17,0))))</f>
        <v>Make-safe</v>
      </c>
      <c r="T1099" t="str">
        <f>IF(Q1099="DEP","BAS Excluded","GST on Income")</f>
        <v>GST on Income</v>
      </c>
      <c r="U1099">
        <f>IF(O1099=T1099,1,0)</f>
        <v>1</v>
      </c>
      <c r="V1099" s="9">
        <f>IF(OR(M1099=0,U1099=1),0,IF(T1099="GST on Income",ROUND(K1099*0.1,2),ROUND(-K1099*0.1,2)))</f>
        <v>0</v>
      </c>
    </row>
    <row r="1100">
      <c r="A1100" t="inlineStr">
        <is>
          <t>INV-4238-1</t>
        </is>
      </c>
      <c r="B1100" t="inlineStr">
        <is>
          <t>INV-4238</t>
        </is>
      </c>
      <c r="C1100" s="11" t="n">
        <v>46009</v>
      </c>
      <c r="D1100" t="inlineStr">
        <is>
          <t>2025-12</t>
        </is>
      </c>
      <c r="E1100" t="inlineStr">
        <is>
          <t>C0074</t>
        </is>
      </c>
      <c r="F1100" t="inlineStr">
        <is>
          <t>C0074</t>
        </is>
      </c>
      <c r="G1100" t="inlineStr">
        <is>
          <t>Ironbark Events Pty Ltd</t>
        </is>
      </c>
      <c r="H1100" t="inlineStr">
        <is>
          <t>S0026</t>
        </is>
      </c>
      <c r="I1100" t="inlineStr">
        <is>
          <t>Temporary fence hire 4 wks (26/11/25-17/12/25) - 87 panels</t>
        </is>
      </c>
      <c r="J1100" t="n">
        <v>348</v>
      </c>
      <c r="K1100" s="9" t="n">
        <v>1566</v>
      </c>
      <c r="L1100" t="inlineStr">
        <is>
          <t>PAID</t>
        </is>
      </c>
      <c r="M1100">
        <f>IF(L1100="VOIDED",0,1)</f>
        <v>1</v>
      </c>
      <c r="N1100" t="n">
        <v>200</v>
      </c>
      <c r="O1100" t="inlineStr">
        <is>
          <t>GST on Income</t>
        </is>
      </c>
      <c r="P1100" t="inlineStr">
        <is>
          <t>R03</t>
        </is>
      </c>
      <c r="Q1100" t="inlineStr">
        <is>
          <t>HIRE-FP</t>
        </is>
      </c>
      <c r="R1100">
        <f>IF(OR(Q1100="CONTEXT",Q1100="REVIEW"),"",INDEX('Category Rules'!$D$5:$D$17,MATCH(P1100,'Category Rules'!$A$5:$A$17,0)))</f>
        <v>4010</v>
      </c>
      <c r="S1100" t="str">
        <f>IF(Q1100="CONTEXT","Fencing",IF(Q1100="REVIEW","",INDEX('Category Rules'!$E$5:$E$17,MATCH(P1100,'Category Rules'!$A$5:$A$17,0))))</f>
        <v>Fencing</v>
      </c>
      <c r="T1100" t="str">
        <f>IF(Q1100="DEP","BAS Excluded","GST on Income")</f>
        <v>GST on Income</v>
      </c>
      <c r="U1100">
        <f>IF(O1100=T1100,1,0)</f>
        <v>1</v>
      </c>
      <c r="V1100" s="9">
        <f>IF(OR(M1100=0,U1100=1),0,IF(T1100="GST on Income",ROUND(K1100*0.1,2),ROUND(-K1100*0.1,2)))</f>
        <v>0</v>
      </c>
    </row>
    <row r="1101">
      <c r="A1101" t="inlineStr">
        <is>
          <t>INV-4240-1</t>
        </is>
      </c>
      <c r="B1101" t="inlineStr">
        <is>
          <t>INV-4240</t>
        </is>
      </c>
      <c r="C1101" s="11" t="n">
        <v>46009</v>
      </c>
      <c r="D1101" t="inlineStr">
        <is>
          <t>2025-12</t>
        </is>
      </c>
      <c r="E1101" t="inlineStr">
        <is>
          <t>C0074</t>
        </is>
      </c>
      <c r="F1101" t="inlineStr">
        <is>
          <t>C0074</t>
        </is>
      </c>
      <c r="G1101" t="inlineStr">
        <is>
          <t>Ironbark Events Pty Ltd</t>
        </is>
      </c>
      <c r="H1101" t="inlineStr">
        <is>
          <t>S0026</t>
        </is>
      </c>
      <c r="I1101" t="inlineStr">
        <is>
          <t>Collection and dismantle - temporary fencing</t>
        </is>
      </c>
      <c r="J1101" t="n">
        <v>1</v>
      </c>
      <c r="K1101" s="9" t="n">
        <v>165</v>
      </c>
      <c r="L1101" t="inlineStr">
        <is>
          <t>PAID</t>
        </is>
      </c>
      <c r="M1101">
        <f>IF(L1101="VOIDED",0,1)</f>
        <v>1</v>
      </c>
      <c r="N1101" t="n">
        <v>200</v>
      </c>
      <c r="O1101" t="inlineStr">
        <is>
          <t>GST on Income</t>
        </is>
      </c>
      <c r="P1101" t="inlineStr">
        <is>
          <t>R07</t>
        </is>
      </c>
      <c r="Q1101" t="inlineStr">
        <is>
          <t>DEL-FP</t>
        </is>
      </c>
      <c r="R1101">
        <f>IF(OR(Q1101="CONTEXT",Q1101="REVIEW"),"",INDEX('Category Rules'!$D$5:$D$17,MATCH(P1101,'Category Rules'!$A$5:$A$17,0)))</f>
        <v>4020</v>
      </c>
      <c r="S1101" t="str">
        <f>IF(Q1101="CONTEXT","Fencing",IF(Q1101="REVIEW","",INDEX('Category Rules'!$E$5:$E$17,MATCH(P1101,'Category Rules'!$A$5:$A$17,0))))</f>
        <v>Fencing</v>
      </c>
      <c r="T1101" t="str">
        <f>IF(Q1101="DEP","BAS Excluded","GST on Income")</f>
        <v>GST on Income</v>
      </c>
      <c r="U1101">
        <f>IF(O1101=T1101,1,0)</f>
        <v>1</v>
      </c>
      <c r="V1101" s="9">
        <f>IF(OR(M1101=0,U1101=1),0,IF(T1101="GST on Income",ROUND(K1101*0.1,2),ROUND(-K1101*0.1,2)))</f>
        <v>0</v>
      </c>
    </row>
    <row r="1102">
      <c r="A1102" t="inlineStr">
        <is>
          <t>INV-4240-2</t>
        </is>
      </c>
      <c r="B1102" t="inlineStr">
        <is>
          <t>INV-4240</t>
        </is>
      </c>
      <c r="C1102" s="11" t="n">
        <v>46009</v>
      </c>
      <c r="D1102" t="inlineStr">
        <is>
          <t>2025-12</t>
        </is>
      </c>
      <c r="E1102" t="inlineStr">
        <is>
          <t>C0074</t>
        </is>
      </c>
      <c r="F1102" t="inlineStr">
        <is>
          <t>C0074</t>
        </is>
      </c>
      <c r="G1102" t="inlineStr">
        <is>
          <t>Ironbark Events Pty Ltd</t>
        </is>
      </c>
      <c r="H1102" t="inlineStr">
        <is>
          <t>S0026</t>
        </is>
      </c>
      <c r="I1102" t="inlineStr">
        <is>
          <t>Lost/damaged panels charged - 5 @ 145.00</t>
        </is>
      </c>
      <c r="J1102" t="n">
        <v>5</v>
      </c>
      <c r="K1102" s="9" t="n">
        <v>725</v>
      </c>
      <c r="L1102" t="inlineStr">
        <is>
          <t>PAID</t>
        </is>
      </c>
      <c r="M1102">
        <f>IF(L1102="VOIDED",0,1)</f>
        <v>1</v>
      </c>
      <c r="N1102" t="n">
        <v>200</v>
      </c>
      <c r="O1102" t="inlineStr">
        <is>
          <t>GST on Income</t>
        </is>
      </c>
      <c r="P1102" t="inlineStr">
        <is>
          <t>R02</t>
        </is>
      </c>
      <c r="Q1102" t="inlineStr">
        <is>
          <t>LOSS</t>
        </is>
      </c>
      <c r="R1102">
        <f>IF(OR(Q1102="CONTEXT",Q1102="REVIEW"),"",INDEX('Category Rules'!$D$5:$D$17,MATCH(P1102,'Category Rules'!$A$5:$A$17,0)))</f>
        <v>4040</v>
      </c>
      <c r="S1102" t="str">
        <f>IF(Q1102="CONTEXT","Fencing",IF(Q1102="REVIEW","",INDEX('Category Rules'!$E$5:$E$17,MATCH(P1102,'Category Rules'!$A$5:$A$17,0))))</f>
        <v>Fencing</v>
      </c>
      <c r="T1102" t="str">
        <f>IF(Q1102="DEP","BAS Excluded","GST on Income")</f>
        <v>GST on Income</v>
      </c>
      <c r="U1102">
        <f>IF(O1102=T1102,1,0)</f>
        <v>1</v>
      </c>
      <c r="V1102" s="9">
        <f>IF(OR(M1102=0,U1102=1),0,IF(T1102="GST on Income",ROUND(K1102*0.1,2),ROUND(-K1102*0.1,2)))</f>
        <v>0</v>
      </c>
    </row>
    <row r="1103">
      <c r="A1103" t="inlineStr">
        <is>
          <t>INV-4436-1</t>
        </is>
      </c>
      <c r="B1103" t="inlineStr">
        <is>
          <t>INV-4436</t>
        </is>
      </c>
      <c r="C1103" s="11" t="n">
        <v>46009</v>
      </c>
      <c r="D1103" t="inlineStr">
        <is>
          <t>2025-12</t>
        </is>
      </c>
      <c r="E1103" t="inlineStr">
        <is>
          <t>C0071</t>
        </is>
      </c>
      <c r="F1103" t="inlineStr">
        <is>
          <t>C0071</t>
        </is>
      </c>
      <c r="G1103" t="inlineStr">
        <is>
          <t>Maribyrnong City Council</t>
        </is>
      </c>
      <c r="H1103" t="inlineStr">
        <is>
          <t>S0066</t>
        </is>
      </c>
      <c r="I1103" t="inlineStr">
        <is>
          <t>Delivery and installation - temporary fencing</t>
        </is>
      </c>
      <c r="J1103" t="n">
        <v>1</v>
      </c>
      <c r="K1103" s="9" t="n">
        <v>165</v>
      </c>
      <c r="L1103" t="inlineStr">
        <is>
          <t>PAID</t>
        </is>
      </c>
      <c r="M1103">
        <f>IF(L1103="VOIDED",0,1)</f>
        <v>1</v>
      </c>
      <c r="N1103" t="n">
        <v>200</v>
      </c>
      <c r="O1103" t="inlineStr">
        <is>
          <t>GST on Income</t>
        </is>
      </c>
      <c r="P1103" t="inlineStr">
        <is>
          <t>R07</t>
        </is>
      </c>
      <c r="Q1103" t="inlineStr">
        <is>
          <t>DEL-FP</t>
        </is>
      </c>
      <c r="R1103">
        <f>IF(OR(Q1103="CONTEXT",Q1103="REVIEW"),"",INDEX('Category Rules'!$D$5:$D$17,MATCH(P1103,'Category Rules'!$A$5:$A$17,0)))</f>
        <v>4020</v>
      </c>
      <c r="S1103" t="str">
        <f>IF(Q1103="CONTEXT","Fencing",IF(Q1103="REVIEW","",INDEX('Category Rules'!$E$5:$E$17,MATCH(P1103,'Category Rules'!$A$5:$A$17,0))))</f>
        <v>Fencing</v>
      </c>
      <c r="T1103" t="str">
        <f>IF(Q1103="DEP","BAS Excluded","GST on Income")</f>
        <v>GST on Income</v>
      </c>
      <c r="U1103">
        <f>IF(O1103=T1103,1,0)</f>
        <v>1</v>
      </c>
      <c r="V1103" s="9">
        <f>IF(OR(M1103=0,U1103=1),0,IF(T1103="GST on Income",ROUND(K1103*0.1,2),ROUND(-K1103*0.1,2)))</f>
        <v>0</v>
      </c>
    </row>
    <row r="1104">
      <c r="A1104" t="inlineStr">
        <is>
          <t>INV-4436-2</t>
        </is>
      </c>
      <c r="B1104" t="inlineStr">
        <is>
          <t>INV-4436</t>
        </is>
      </c>
      <c r="C1104" s="11" t="n">
        <v>46009</v>
      </c>
      <c r="D1104" t="inlineStr">
        <is>
          <t>2025-12</t>
        </is>
      </c>
      <c r="E1104" t="inlineStr">
        <is>
          <t>C0071</t>
        </is>
      </c>
      <c r="F1104" t="inlineStr">
        <is>
          <t>C0071</t>
        </is>
      </c>
      <c r="G1104" t="inlineStr">
        <is>
          <t>Maribyrnong City Council</t>
        </is>
      </c>
      <c r="H1104" t="inlineStr">
        <is>
          <t>S0066</t>
        </is>
      </c>
      <c r="I1104" t="inlineStr">
        <is>
          <t>Installation labour - 78 panels @ 2.20</t>
        </is>
      </c>
      <c r="J1104" t="n">
        <v>78</v>
      </c>
      <c r="K1104" s="9" t="n">
        <v>171.6</v>
      </c>
      <c r="L1104" t="inlineStr">
        <is>
          <t>PAID</t>
        </is>
      </c>
      <c r="M1104">
        <f>IF(L1104="VOIDED",0,1)</f>
        <v>1</v>
      </c>
      <c r="N1104" t="n">
        <v>200</v>
      </c>
      <c r="O1104" t="inlineStr">
        <is>
          <t>GST on Income</t>
        </is>
      </c>
      <c r="P1104" t="inlineStr">
        <is>
          <t>R07</t>
        </is>
      </c>
      <c r="Q1104" t="inlineStr">
        <is>
          <t>DEL-FP</t>
        </is>
      </c>
      <c r="R1104">
        <f>IF(OR(Q1104="CONTEXT",Q1104="REVIEW"),"",INDEX('Category Rules'!$D$5:$D$17,MATCH(P1104,'Category Rules'!$A$5:$A$17,0)))</f>
        <v>4020</v>
      </c>
      <c r="S1104" t="str">
        <f>IF(Q1104="CONTEXT","Fencing",IF(Q1104="REVIEW","",INDEX('Category Rules'!$E$5:$E$17,MATCH(P1104,'Category Rules'!$A$5:$A$17,0))))</f>
        <v>Fencing</v>
      </c>
      <c r="T1104" t="str">
        <f>IF(Q1104="DEP","BAS Excluded","GST on Income")</f>
        <v>GST on Income</v>
      </c>
      <c r="U1104">
        <f>IF(O1104=T1104,1,0)</f>
        <v>1</v>
      </c>
      <c r="V1104" s="9">
        <f>IF(OR(M1104=0,U1104=1),0,IF(T1104="GST on Income",ROUND(K1104*0.1,2),ROUND(-K1104*0.1,2)))</f>
        <v>0</v>
      </c>
    </row>
    <row r="1105">
      <c r="A1105" t="inlineStr">
        <is>
          <t>INV-5662-1</t>
        </is>
      </c>
      <c r="B1105" t="inlineStr">
        <is>
          <t>INV-5662</t>
        </is>
      </c>
      <c r="C1105" s="11" t="n">
        <v>46009</v>
      </c>
      <c r="D1105" t="inlineStr">
        <is>
          <t>2025-12</t>
        </is>
      </c>
      <c r="E1105" t="inlineStr">
        <is>
          <t>C0003</t>
        </is>
      </c>
      <c r="F1105" t="inlineStr">
        <is>
          <t>C0003</t>
        </is>
      </c>
      <c r="G1105" t="inlineStr">
        <is>
          <t>Summit Projects Pty Ltd</t>
        </is>
      </c>
      <c r="H1105" t="inlineStr">
        <is>
          <t>S0413</t>
        </is>
      </c>
      <c r="I1105" t="inlineStr">
        <is>
          <t>Emergency make safe call-out - after hours</t>
        </is>
      </c>
      <c r="J1105" t="n">
        <v>1</v>
      </c>
      <c r="K1105" s="9" t="n">
        <v>560</v>
      </c>
      <c r="L1105" t="inlineStr">
        <is>
          <t>PAID</t>
        </is>
      </c>
      <c r="M1105">
        <f>IF(L1105="VOIDED",0,1)</f>
        <v>1</v>
      </c>
      <c r="N1105" t="n">
        <v>200</v>
      </c>
      <c r="O1105" t="inlineStr">
        <is>
          <t>GST on Income</t>
        </is>
      </c>
      <c r="P1105" t="inlineStr">
        <is>
          <t>R09</t>
        </is>
      </c>
      <c r="Q1105" t="inlineStr">
        <is>
          <t>MS</t>
        </is>
      </c>
      <c r="R1105">
        <f>IF(OR(Q1105="CONTEXT",Q1105="REVIEW"),"",INDEX('Category Rules'!$D$5:$D$17,MATCH(P1105,'Category Rules'!$A$5:$A$17,0)))</f>
        <v>4020</v>
      </c>
      <c r="S1105" t="str">
        <f>IF(Q1105="CONTEXT","Make-safe",IF(Q1105="REVIEW","",INDEX('Category Rules'!$E$5:$E$17,MATCH(P1105,'Category Rules'!$A$5:$A$17,0))))</f>
        <v>Make-safe</v>
      </c>
      <c r="T1105" t="str">
        <f>IF(Q1105="DEP","BAS Excluded","GST on Income")</f>
        <v>GST on Income</v>
      </c>
      <c r="U1105">
        <f>IF(O1105=T1105,1,0)</f>
        <v>1</v>
      </c>
      <c r="V1105" s="9">
        <f>IF(OR(M1105=0,U1105=1),0,IF(T1105="GST on Income",ROUND(K1105*0.1,2),ROUND(-K1105*0.1,2)))</f>
        <v>0</v>
      </c>
    </row>
    <row r="1106">
      <c r="A1106" t="inlineStr">
        <is>
          <t>INV-5662-2</t>
        </is>
      </c>
      <c r="B1106" t="inlineStr">
        <is>
          <t>INV-5662</t>
        </is>
      </c>
      <c r="C1106" s="11" t="n">
        <v>46009</v>
      </c>
      <c r="D1106" t="inlineStr">
        <is>
          <t>2025-12</t>
        </is>
      </c>
      <c r="E1106" t="inlineStr">
        <is>
          <t>C0003</t>
        </is>
      </c>
      <c r="F1106" t="inlineStr">
        <is>
          <t>C0003</t>
        </is>
      </c>
      <c r="G1106" t="inlineStr">
        <is>
          <t>Summit Projects Pty Ltd</t>
        </is>
      </c>
      <c r="H1106" t="inlineStr">
        <is>
          <t>S0413</t>
        </is>
      </c>
      <c r="I1106" t="inlineStr">
        <is>
          <t>Tarp supply and install - 1 tarp(s)</t>
        </is>
      </c>
      <c r="J1106" t="n">
        <v>1</v>
      </c>
      <c r="K1106" s="9" t="n">
        <v>240</v>
      </c>
      <c r="L1106" t="inlineStr">
        <is>
          <t>PAID</t>
        </is>
      </c>
      <c r="M1106">
        <f>IF(L1106="VOIDED",0,1)</f>
        <v>1</v>
      </c>
      <c r="N1106" t="n">
        <v>200</v>
      </c>
      <c r="O1106" t="inlineStr">
        <is>
          <t>GST on Income</t>
        </is>
      </c>
      <c r="P1106" t="inlineStr">
        <is>
          <t>R09</t>
        </is>
      </c>
      <c r="Q1106" t="inlineStr">
        <is>
          <t>MS</t>
        </is>
      </c>
      <c r="R1106">
        <f>IF(OR(Q1106="CONTEXT",Q1106="REVIEW"),"",INDEX('Category Rules'!$D$5:$D$17,MATCH(P1106,'Category Rules'!$A$5:$A$17,0)))</f>
        <v>4020</v>
      </c>
      <c r="S1106" t="str">
        <f>IF(Q1106="CONTEXT","Make-safe",IF(Q1106="REVIEW","",INDEX('Category Rules'!$E$5:$E$17,MATCH(P1106,'Category Rules'!$A$5:$A$17,0))))</f>
        <v>Make-safe</v>
      </c>
      <c r="T1106" t="str">
        <f>IF(Q1106="DEP","BAS Excluded","GST on Income")</f>
        <v>GST on Income</v>
      </c>
      <c r="U1106">
        <f>IF(O1106=T1106,1,0)</f>
        <v>1</v>
      </c>
      <c r="V1106" s="9">
        <f>IF(OR(M1106=0,U1106=1),0,IF(T1106="GST on Income",ROUND(K1106*0.1,2),ROUND(-K1106*0.1,2)))</f>
        <v>0</v>
      </c>
    </row>
    <row r="1107">
      <c r="A1107" t="inlineStr">
        <is>
          <t>INV-5752-1</t>
        </is>
      </c>
      <c r="B1107" t="inlineStr">
        <is>
          <t>INV-5752</t>
        </is>
      </c>
      <c r="C1107" s="11" t="n">
        <v>46009</v>
      </c>
      <c r="D1107" t="inlineStr">
        <is>
          <t>2025-12</t>
        </is>
      </c>
      <c r="E1107" t="inlineStr">
        <is>
          <t>C0058</t>
        </is>
      </c>
      <c r="F1107" t="inlineStr">
        <is>
          <t>C0058</t>
        </is>
      </c>
      <c r="G1107" t="inlineStr">
        <is>
          <t>Summit Body Corporate Pty Ltd</t>
        </is>
      </c>
      <c r="H1107" t="inlineStr">
        <is>
          <t>S0461</t>
        </is>
      </c>
      <c r="I1107" t="inlineStr">
        <is>
          <t>Make safe call-out</t>
        </is>
      </c>
      <c r="J1107" t="n">
        <v>1</v>
      </c>
      <c r="K1107" s="9" t="n">
        <v>385</v>
      </c>
      <c r="L1107" t="inlineStr">
        <is>
          <t>PAID</t>
        </is>
      </c>
      <c r="M1107">
        <f>IF(L1107="VOIDED",0,1)</f>
        <v>1</v>
      </c>
      <c r="N1107" t="n">
        <v>200</v>
      </c>
      <c r="O1107" t="inlineStr">
        <is>
          <t>GST on Income</t>
        </is>
      </c>
      <c r="P1107" t="inlineStr">
        <is>
          <t>R09</t>
        </is>
      </c>
      <c r="Q1107" t="inlineStr">
        <is>
          <t>MS</t>
        </is>
      </c>
      <c r="R1107">
        <f>IF(OR(Q1107="CONTEXT",Q1107="REVIEW"),"",INDEX('Category Rules'!$D$5:$D$17,MATCH(P1107,'Category Rules'!$A$5:$A$17,0)))</f>
        <v>4020</v>
      </c>
      <c r="S1107" t="str">
        <f>IF(Q1107="CONTEXT","Make-safe",IF(Q1107="REVIEW","",INDEX('Category Rules'!$E$5:$E$17,MATCH(P1107,'Category Rules'!$A$5:$A$17,0))))</f>
        <v>Make-safe</v>
      </c>
      <c r="T1107" t="str">
        <f>IF(Q1107="DEP","BAS Excluded","GST on Income")</f>
        <v>GST on Income</v>
      </c>
      <c r="U1107">
        <f>IF(O1107=T1107,1,0)</f>
        <v>1</v>
      </c>
      <c r="V1107" s="9">
        <f>IF(OR(M1107=0,U1107=1),0,IF(T1107="GST on Income",ROUND(K1107*0.1,2),ROUND(-K1107*0.1,2)))</f>
        <v>0</v>
      </c>
    </row>
    <row r="1108">
      <c r="A1108" t="inlineStr">
        <is>
          <t>INV-5752-2</t>
        </is>
      </c>
      <c r="B1108" t="inlineStr">
        <is>
          <t>INV-5752</t>
        </is>
      </c>
      <c r="C1108" s="11" t="n">
        <v>46009</v>
      </c>
      <c r="D1108" t="inlineStr">
        <is>
          <t>2025-12</t>
        </is>
      </c>
      <c r="E1108" t="inlineStr">
        <is>
          <t>C0058</t>
        </is>
      </c>
      <c r="F1108" t="inlineStr">
        <is>
          <t>C0058</t>
        </is>
      </c>
      <c r="G1108" t="inlineStr">
        <is>
          <t>Summit Body Corporate Pty Ltd</t>
        </is>
      </c>
      <c r="H1108" t="inlineStr">
        <is>
          <t>S0461</t>
        </is>
      </c>
      <c r="I1108" t="inlineStr">
        <is>
          <t>Tarp supply and install - 1 tarp(s)</t>
        </is>
      </c>
      <c r="J1108" t="n">
        <v>1</v>
      </c>
      <c r="K1108" s="9" t="n">
        <v>240</v>
      </c>
      <c r="L1108" t="inlineStr">
        <is>
          <t>PAID</t>
        </is>
      </c>
      <c r="M1108">
        <f>IF(L1108="VOIDED",0,1)</f>
        <v>1</v>
      </c>
      <c r="N1108" t="n">
        <v>260</v>
      </c>
      <c r="O1108" t="inlineStr">
        <is>
          <t>GST on Income</t>
        </is>
      </c>
      <c r="P1108" t="inlineStr">
        <is>
          <t>R09</t>
        </is>
      </c>
      <c r="Q1108" t="inlineStr">
        <is>
          <t>MS</t>
        </is>
      </c>
      <c r="R1108">
        <f>IF(OR(Q1108="CONTEXT",Q1108="REVIEW"),"",INDEX('Category Rules'!$D$5:$D$17,MATCH(P1108,'Category Rules'!$A$5:$A$17,0)))</f>
        <v>4020</v>
      </c>
      <c r="S1108" t="str">
        <f>IF(Q1108="CONTEXT","Make-safe",IF(Q1108="REVIEW","",INDEX('Category Rules'!$E$5:$E$17,MATCH(P1108,'Category Rules'!$A$5:$A$17,0))))</f>
        <v>Make-safe</v>
      </c>
      <c r="T1108" t="str">
        <f>IF(Q1108="DEP","BAS Excluded","GST on Income")</f>
        <v>GST on Income</v>
      </c>
      <c r="U1108">
        <f>IF(O1108=T1108,1,0)</f>
        <v>1</v>
      </c>
      <c r="V1108" s="9">
        <f>IF(OR(M1108=0,U1108=1),0,IF(T1108="GST on Income",ROUND(K1108*0.1,2),ROUND(-K1108*0.1,2)))</f>
        <v>0</v>
      </c>
    </row>
    <row r="1109">
      <c r="A1109" t="inlineStr">
        <is>
          <t>INV-4515-1</t>
        </is>
      </c>
      <c r="B1109" t="inlineStr">
        <is>
          <t>INV-4515</t>
        </is>
      </c>
      <c r="C1109" s="11" t="n">
        <v>46010</v>
      </c>
      <c r="D1109" t="inlineStr">
        <is>
          <t>2025-12</t>
        </is>
      </c>
      <c r="E1109" t="inlineStr">
        <is>
          <t>C0022</t>
        </is>
      </c>
      <c r="F1109" t="inlineStr">
        <is>
          <t>C0022</t>
        </is>
      </c>
      <c r="G1109" t="inlineStr">
        <is>
          <t>Highpoint Projects</t>
        </is>
      </c>
      <c r="H1109" t="inlineStr">
        <is>
          <t>S0085</t>
        </is>
      </c>
      <c r="I1109" t="inlineStr">
        <is>
          <t>Temporary fence hire 4 wks (21/11/25-18/12/25) - 89 panels</t>
        </is>
      </c>
      <c r="J1109" t="n">
        <v>356</v>
      </c>
      <c r="K1109" s="9" t="n">
        <v>1602</v>
      </c>
      <c r="L1109" t="inlineStr">
        <is>
          <t>PAID</t>
        </is>
      </c>
      <c r="M1109">
        <f>IF(L1109="VOIDED",0,1)</f>
        <v>1</v>
      </c>
      <c r="N1109" t="n">
        <v>200</v>
      </c>
      <c r="O1109" t="inlineStr">
        <is>
          <t>GST on Income</t>
        </is>
      </c>
      <c r="P1109" t="inlineStr">
        <is>
          <t>R03</t>
        </is>
      </c>
      <c r="Q1109" t="inlineStr">
        <is>
          <t>HIRE-FP</t>
        </is>
      </c>
      <c r="R1109">
        <f>IF(OR(Q1109="CONTEXT",Q1109="REVIEW"),"",INDEX('Category Rules'!$D$5:$D$17,MATCH(P1109,'Category Rules'!$A$5:$A$17,0)))</f>
        <v>4010</v>
      </c>
      <c r="S1109" t="str">
        <f>IF(Q1109="CONTEXT","Fencing",IF(Q1109="REVIEW","",INDEX('Category Rules'!$E$5:$E$17,MATCH(P1109,'Category Rules'!$A$5:$A$17,0))))</f>
        <v>Fencing</v>
      </c>
      <c r="T1109" t="str">
        <f>IF(Q1109="DEP","BAS Excluded","GST on Income")</f>
        <v>GST on Income</v>
      </c>
      <c r="U1109">
        <f>IF(O1109=T1109,1,0)</f>
        <v>1</v>
      </c>
      <c r="V1109" s="9">
        <f>IF(OR(M1109=0,U1109=1),0,IF(T1109="GST on Income",ROUND(K1109*0.1,2),ROUND(-K1109*0.1,2)))</f>
        <v>0</v>
      </c>
    </row>
    <row r="1110">
      <c r="A1110" t="inlineStr">
        <is>
          <t>INV-4524-1</t>
        </is>
      </c>
      <c r="B1110" t="inlineStr">
        <is>
          <t>INV-4524</t>
        </is>
      </c>
      <c r="C1110" s="11" t="n">
        <v>46010</v>
      </c>
      <c r="D1110" t="inlineStr">
        <is>
          <t>2025-12</t>
        </is>
      </c>
      <c r="E1110" t="inlineStr">
        <is>
          <t>C0022</t>
        </is>
      </c>
      <c r="F1110" t="inlineStr">
        <is>
          <t>C0022</t>
        </is>
      </c>
      <c r="G1110" t="inlineStr">
        <is>
          <t>Highpoint Projects</t>
        </is>
      </c>
      <c r="H1110" t="inlineStr">
        <is>
          <t>S0085</t>
        </is>
      </c>
      <c r="I1110" t="inlineStr">
        <is>
          <t>Pedestrian barrier hire 4 wks (21/11/25-18/12/25) - 9 barriers</t>
        </is>
      </c>
      <c r="J1110" t="n">
        <v>36</v>
      </c>
      <c r="K1110" s="9" t="n">
        <v>115.2</v>
      </c>
      <c r="L1110" t="inlineStr">
        <is>
          <t>PAID</t>
        </is>
      </c>
      <c r="M1110">
        <f>IF(L1110="VOIDED",0,1)</f>
        <v>1</v>
      </c>
      <c r="N1110" t="n">
        <v>200</v>
      </c>
      <c r="O1110" t="inlineStr">
        <is>
          <t>GST on Income</t>
        </is>
      </c>
      <c r="P1110" t="inlineStr">
        <is>
          <t>R04</t>
        </is>
      </c>
      <c r="Q1110" t="inlineStr">
        <is>
          <t>HIRE-BR</t>
        </is>
      </c>
      <c r="R1110">
        <f>IF(OR(Q1110="CONTEXT",Q1110="REVIEW"),"",INDEX('Category Rules'!$D$5:$D$17,MATCH(P1110,'Category Rules'!$A$5:$A$17,0)))</f>
        <v>4010</v>
      </c>
      <c r="S1110" t="str">
        <f>IF(Q1110="CONTEXT","Fencing",IF(Q1110="REVIEW","",INDEX('Category Rules'!$E$5:$E$17,MATCH(P1110,'Category Rules'!$A$5:$A$17,0))))</f>
        <v>Fencing</v>
      </c>
      <c r="T1110" t="str">
        <f>IF(Q1110="DEP","BAS Excluded","GST on Income")</f>
        <v>GST on Income</v>
      </c>
      <c r="U1110">
        <f>IF(O1110=T1110,1,0)</f>
        <v>1</v>
      </c>
      <c r="V1110" s="9">
        <f>IF(OR(M1110=0,U1110=1),0,IF(T1110="GST on Income",ROUND(K1110*0.1,2),ROUND(-K1110*0.1,2)))</f>
        <v>0</v>
      </c>
    </row>
    <row r="1111">
      <c r="A1111" t="inlineStr">
        <is>
          <t>INV-4743-1</t>
        </is>
      </c>
      <c r="B1111" t="inlineStr">
        <is>
          <t>INV-4743</t>
        </is>
      </c>
      <c r="C1111" s="11" t="n">
        <v>46010</v>
      </c>
      <c r="D1111" t="inlineStr">
        <is>
          <t>2025-12</t>
        </is>
      </c>
      <c r="E1111" t="inlineStr">
        <is>
          <t>C0122</t>
        </is>
      </c>
      <c r="F1111" t="inlineStr">
        <is>
          <t>C0122</t>
        </is>
      </c>
      <c r="G1111" t="inlineStr">
        <is>
          <t>Bluegum Construction Pty Ltd</t>
        </is>
      </c>
      <c r="H1111" t="inlineStr">
        <is>
          <t>S0135</t>
        </is>
      </c>
      <c r="I1111" t="inlineStr">
        <is>
          <t>Temporary fence hire 4 wks (21/11/25-18/12/25) - 65 panels</t>
        </is>
      </c>
      <c r="J1111" t="n">
        <v>260</v>
      </c>
      <c r="K1111" s="9" t="n">
        <v>1170</v>
      </c>
      <c r="L1111" t="inlineStr">
        <is>
          <t>PAID</t>
        </is>
      </c>
      <c r="M1111">
        <f>IF(L1111="VOIDED",0,1)</f>
        <v>1</v>
      </c>
      <c r="N1111" t="n">
        <v>200</v>
      </c>
      <c r="O1111" t="inlineStr">
        <is>
          <t>GST on Income</t>
        </is>
      </c>
      <c r="P1111" t="inlineStr">
        <is>
          <t>R03</t>
        </is>
      </c>
      <c r="Q1111" t="inlineStr">
        <is>
          <t>HIRE-FP</t>
        </is>
      </c>
      <c r="R1111">
        <f>IF(OR(Q1111="CONTEXT",Q1111="REVIEW"),"",INDEX('Category Rules'!$D$5:$D$17,MATCH(P1111,'Category Rules'!$A$5:$A$17,0)))</f>
        <v>4010</v>
      </c>
      <c r="S1111" t="str">
        <f>IF(Q1111="CONTEXT","Fencing",IF(Q1111="REVIEW","",INDEX('Category Rules'!$E$5:$E$17,MATCH(P1111,'Category Rules'!$A$5:$A$17,0))))</f>
        <v>Fencing</v>
      </c>
      <c r="T1111" t="str">
        <f>IF(Q1111="DEP","BAS Excluded","GST on Income")</f>
        <v>GST on Income</v>
      </c>
      <c r="U1111">
        <f>IF(O1111=T1111,1,0)</f>
        <v>1</v>
      </c>
      <c r="V1111" s="9">
        <f>IF(OR(M1111=0,U1111=1),0,IF(T1111="GST on Income",ROUND(K1111*0.1,2),ROUND(-K1111*0.1,2)))</f>
        <v>0</v>
      </c>
    </row>
    <row r="1112">
      <c r="A1112" t="inlineStr">
        <is>
          <t>INV-4748-1</t>
        </is>
      </c>
      <c r="B1112" t="inlineStr">
        <is>
          <t>INV-4748</t>
        </is>
      </c>
      <c r="C1112" s="11" t="n">
        <v>46010</v>
      </c>
      <c r="D1112" t="inlineStr">
        <is>
          <t>2025-12</t>
        </is>
      </c>
      <c r="E1112" t="inlineStr">
        <is>
          <t>C0122</t>
        </is>
      </c>
      <c r="F1112" t="inlineStr">
        <is>
          <t>C0122</t>
        </is>
      </c>
      <c r="G1112" t="inlineStr">
        <is>
          <t>Bluegum Construction Pty Ltd</t>
        </is>
      </c>
      <c r="H1112" t="inlineStr">
        <is>
          <t>S0135</t>
        </is>
      </c>
      <c r="I1112" t="inlineStr">
        <is>
          <t>Pedestrian barrier hire 4 wks (21/11/25-18/12/25) - 11 barriers</t>
        </is>
      </c>
      <c r="J1112" t="n">
        <v>44</v>
      </c>
      <c r="K1112" s="9" t="n">
        <v>140.8</v>
      </c>
      <c r="L1112" t="inlineStr">
        <is>
          <t>PAID</t>
        </is>
      </c>
      <c r="M1112">
        <f>IF(L1112="VOIDED",0,1)</f>
        <v>1</v>
      </c>
      <c r="N1112" t="n">
        <v>200</v>
      </c>
      <c r="O1112" t="inlineStr">
        <is>
          <t>GST on Income</t>
        </is>
      </c>
      <c r="P1112" t="inlineStr">
        <is>
          <t>R04</t>
        </is>
      </c>
      <c r="Q1112" t="inlineStr">
        <is>
          <t>HIRE-BR</t>
        </is>
      </c>
      <c r="R1112">
        <f>IF(OR(Q1112="CONTEXT",Q1112="REVIEW"),"",INDEX('Category Rules'!$D$5:$D$17,MATCH(P1112,'Category Rules'!$A$5:$A$17,0)))</f>
        <v>4010</v>
      </c>
      <c r="S1112" t="str">
        <f>IF(Q1112="CONTEXT","Fencing",IF(Q1112="REVIEW","",INDEX('Category Rules'!$E$5:$E$17,MATCH(P1112,'Category Rules'!$A$5:$A$17,0))))</f>
        <v>Fencing</v>
      </c>
      <c r="T1112" t="str">
        <f>IF(Q1112="DEP","BAS Excluded","GST on Income")</f>
        <v>GST on Income</v>
      </c>
      <c r="U1112">
        <f>IF(O1112=T1112,1,0)</f>
        <v>1</v>
      </c>
      <c r="V1112" s="9">
        <f>IF(OR(M1112=0,U1112=1),0,IF(T1112="GST on Income",ROUND(K1112*0.1,2),ROUND(-K1112*0.1,2)))</f>
        <v>0</v>
      </c>
    </row>
    <row r="1113">
      <c r="A1113" t="inlineStr">
        <is>
          <t>INV-4113-1</t>
        </is>
      </c>
      <c r="B1113" t="inlineStr">
        <is>
          <t>INV-4113</t>
        </is>
      </c>
      <c r="C1113" s="11" t="n">
        <v>46011</v>
      </c>
      <c r="D1113" t="inlineStr">
        <is>
          <t>2025-12</t>
        </is>
      </c>
      <c r="E1113" t="inlineStr">
        <is>
          <t>C0042</t>
        </is>
      </c>
      <c r="F1113" t="inlineStr">
        <is>
          <t>C0042</t>
        </is>
      </c>
      <c r="G1113" t="inlineStr">
        <is>
          <t>Lakeside Constructions Pty Ltd</t>
        </is>
      </c>
      <c r="H1113" t="inlineStr">
        <is>
          <t>S0003</t>
        </is>
      </c>
      <c r="I1113" t="inlineStr">
        <is>
          <t>Temporary fence hire 4 wks (22/11/25-19/12/25) - 152 panels</t>
        </is>
      </c>
      <c r="J1113" t="n">
        <v>608</v>
      </c>
      <c r="K1113" s="9" t="n">
        <v>2736</v>
      </c>
      <c r="L1113" t="inlineStr">
        <is>
          <t>PAID</t>
        </is>
      </c>
      <c r="M1113">
        <f>IF(L1113="VOIDED",0,1)</f>
        <v>1</v>
      </c>
      <c r="N1113" t="n">
        <v>200</v>
      </c>
      <c r="O1113" t="inlineStr">
        <is>
          <t>GST on Income</t>
        </is>
      </c>
      <c r="P1113" t="inlineStr">
        <is>
          <t>R03</t>
        </is>
      </c>
      <c r="Q1113" t="inlineStr">
        <is>
          <t>HIRE-FP</t>
        </is>
      </c>
      <c r="R1113">
        <f>IF(OR(Q1113="CONTEXT",Q1113="REVIEW"),"",INDEX('Category Rules'!$D$5:$D$17,MATCH(P1113,'Category Rules'!$A$5:$A$17,0)))</f>
        <v>4010</v>
      </c>
      <c r="S1113" t="str">
        <f>IF(Q1113="CONTEXT","Fencing",IF(Q1113="REVIEW","",INDEX('Category Rules'!$E$5:$E$17,MATCH(P1113,'Category Rules'!$A$5:$A$17,0))))</f>
        <v>Fencing</v>
      </c>
      <c r="T1113" t="str">
        <f>IF(Q1113="DEP","BAS Excluded","GST on Income")</f>
        <v>GST on Income</v>
      </c>
      <c r="U1113">
        <f>IF(O1113=T1113,1,0)</f>
        <v>1</v>
      </c>
      <c r="V1113" s="9">
        <f>IF(OR(M1113=0,U1113=1),0,IF(T1113="GST on Income",ROUND(K1113*0.1,2),ROUND(-K1113*0.1,2)))</f>
        <v>0</v>
      </c>
    </row>
    <row r="1114">
      <c r="A1114" t="inlineStr">
        <is>
          <t>INV-4878-1</t>
        </is>
      </c>
      <c r="B1114" t="inlineStr">
        <is>
          <t>INV-4878</t>
        </is>
      </c>
      <c r="C1114" s="11" t="n">
        <v>46011</v>
      </c>
      <c r="D1114" t="inlineStr">
        <is>
          <t>2025-12</t>
        </is>
      </c>
      <c r="E1114" t="inlineStr">
        <is>
          <t>C0022</t>
        </is>
      </c>
      <c r="F1114" t="inlineStr">
        <is>
          <t>C0022</t>
        </is>
      </c>
      <c r="G1114" t="inlineStr">
        <is>
          <t>Highpoint Projects</t>
        </is>
      </c>
      <c r="H1114" t="inlineStr">
        <is>
          <t>S0164</t>
        </is>
      </c>
      <c r="I1114" t="inlineStr">
        <is>
          <t>Delivery and installation - temporary fencing</t>
        </is>
      </c>
      <c r="J1114" t="n">
        <v>1</v>
      </c>
      <c r="K1114" s="9" t="n">
        <v>165</v>
      </c>
      <c r="L1114" t="inlineStr">
        <is>
          <t>PAID</t>
        </is>
      </c>
      <c r="M1114">
        <f>IF(L1114="VOIDED",0,1)</f>
        <v>1</v>
      </c>
      <c r="N1114" t="n">
        <v>200</v>
      </c>
      <c r="O1114" t="inlineStr">
        <is>
          <t>GST on Income</t>
        </is>
      </c>
      <c r="P1114" t="inlineStr">
        <is>
          <t>R07</t>
        </is>
      </c>
      <c r="Q1114" t="inlineStr">
        <is>
          <t>DEL-FP</t>
        </is>
      </c>
      <c r="R1114">
        <f>IF(OR(Q1114="CONTEXT",Q1114="REVIEW"),"",INDEX('Category Rules'!$D$5:$D$17,MATCH(P1114,'Category Rules'!$A$5:$A$17,0)))</f>
        <v>4020</v>
      </c>
      <c r="S1114" t="str">
        <f>IF(Q1114="CONTEXT","Fencing",IF(Q1114="REVIEW","",INDEX('Category Rules'!$E$5:$E$17,MATCH(P1114,'Category Rules'!$A$5:$A$17,0))))</f>
        <v>Fencing</v>
      </c>
      <c r="T1114" t="str">
        <f>IF(Q1114="DEP","BAS Excluded","GST on Income")</f>
        <v>GST on Income</v>
      </c>
      <c r="U1114">
        <f>IF(O1114=T1114,1,0)</f>
        <v>1</v>
      </c>
      <c r="V1114" s="9">
        <f>IF(OR(M1114=0,U1114=1),0,IF(T1114="GST on Income",ROUND(K1114*0.1,2),ROUND(-K1114*0.1,2)))</f>
        <v>0</v>
      </c>
    </row>
    <row r="1115">
      <c r="A1115" t="inlineStr">
        <is>
          <t>INV-4878-2</t>
        </is>
      </c>
      <c r="B1115" t="inlineStr">
        <is>
          <t>INV-4878</t>
        </is>
      </c>
      <c r="C1115" s="11" t="n">
        <v>46011</v>
      </c>
      <c r="D1115" t="inlineStr">
        <is>
          <t>2025-12</t>
        </is>
      </c>
      <c r="E1115" t="inlineStr">
        <is>
          <t>C0022</t>
        </is>
      </c>
      <c r="F1115" t="inlineStr">
        <is>
          <t>C0022</t>
        </is>
      </c>
      <c r="G1115" t="inlineStr">
        <is>
          <t>Highpoint Projects</t>
        </is>
      </c>
      <c r="H1115" t="inlineStr">
        <is>
          <t>S0164</t>
        </is>
      </c>
      <c r="I1115" t="inlineStr">
        <is>
          <t>Installation labour - 57 panels @ 2.20</t>
        </is>
      </c>
      <c r="J1115" t="n">
        <v>57</v>
      </c>
      <c r="K1115" s="9" t="n">
        <v>125.4</v>
      </c>
      <c r="L1115" t="inlineStr">
        <is>
          <t>PAID</t>
        </is>
      </c>
      <c r="M1115">
        <f>IF(L1115="VOIDED",0,1)</f>
        <v>1</v>
      </c>
      <c r="N1115" t="n">
        <v>200</v>
      </c>
      <c r="O1115" t="inlineStr">
        <is>
          <t>GST on Income</t>
        </is>
      </c>
      <c r="P1115" t="inlineStr">
        <is>
          <t>R07</t>
        </is>
      </c>
      <c r="Q1115" t="inlineStr">
        <is>
          <t>DEL-FP</t>
        </is>
      </c>
      <c r="R1115">
        <f>IF(OR(Q1115="CONTEXT",Q1115="REVIEW"),"",INDEX('Category Rules'!$D$5:$D$17,MATCH(P1115,'Category Rules'!$A$5:$A$17,0)))</f>
        <v>4020</v>
      </c>
      <c r="S1115" t="str">
        <f>IF(Q1115="CONTEXT","Fencing",IF(Q1115="REVIEW","",INDEX('Category Rules'!$E$5:$E$17,MATCH(P1115,'Category Rules'!$A$5:$A$17,0))))</f>
        <v>Fencing</v>
      </c>
      <c r="T1115" t="str">
        <f>IF(Q1115="DEP","BAS Excluded","GST on Income")</f>
        <v>GST on Income</v>
      </c>
      <c r="U1115">
        <f>IF(O1115=T1115,1,0)</f>
        <v>1</v>
      </c>
      <c r="V1115" s="9">
        <f>IF(OR(M1115=0,U1115=1),0,IF(T1115="GST on Income",ROUND(K1115*0.1,2),ROUND(-K1115*0.1,2)))</f>
        <v>0</v>
      </c>
    </row>
    <row r="1116">
      <c r="A1116" t="inlineStr">
        <is>
          <t>INV-4634-1</t>
        </is>
      </c>
      <c r="B1116" t="inlineStr">
        <is>
          <t>INV-4634</t>
        </is>
      </c>
      <c r="C1116" s="11" t="n">
        <v>46012</v>
      </c>
      <c r="D1116" t="inlineStr">
        <is>
          <t>2025-12</t>
        </is>
      </c>
      <c r="E1116" t="inlineStr">
        <is>
          <t>C0041</t>
        </is>
      </c>
      <c r="F1116" t="inlineStr">
        <is>
          <t>C0041</t>
        </is>
      </c>
      <c r="G1116" t="inlineStr">
        <is>
          <t>Summit Builders Pty Ltd</t>
        </is>
      </c>
      <c r="H1116" t="inlineStr">
        <is>
          <t>S0108</t>
        </is>
      </c>
      <c r="I1116" t="inlineStr">
        <is>
          <t>Delivery and installation - temporary fencing</t>
        </is>
      </c>
      <c r="J1116" t="n">
        <v>1</v>
      </c>
      <c r="K1116" s="9" t="n">
        <v>165</v>
      </c>
      <c r="L1116" t="inlineStr">
        <is>
          <t>PAID</t>
        </is>
      </c>
      <c r="M1116">
        <f>IF(L1116="VOIDED",0,1)</f>
        <v>1</v>
      </c>
      <c r="N1116" t="n">
        <v>200</v>
      </c>
      <c r="O1116" t="inlineStr">
        <is>
          <t>GST on Income</t>
        </is>
      </c>
      <c r="P1116" t="inlineStr">
        <is>
          <t>R07</t>
        </is>
      </c>
      <c r="Q1116" t="inlineStr">
        <is>
          <t>DEL-FP</t>
        </is>
      </c>
      <c r="R1116">
        <f>IF(OR(Q1116="CONTEXT",Q1116="REVIEW"),"",INDEX('Category Rules'!$D$5:$D$17,MATCH(P1116,'Category Rules'!$A$5:$A$17,0)))</f>
        <v>4020</v>
      </c>
      <c r="S1116" t="str">
        <f>IF(Q1116="CONTEXT","Fencing",IF(Q1116="REVIEW","",INDEX('Category Rules'!$E$5:$E$17,MATCH(P1116,'Category Rules'!$A$5:$A$17,0))))</f>
        <v>Fencing</v>
      </c>
      <c r="T1116" t="str">
        <f>IF(Q1116="DEP","BAS Excluded","GST on Income")</f>
        <v>GST on Income</v>
      </c>
      <c r="U1116">
        <f>IF(O1116=T1116,1,0)</f>
        <v>1</v>
      </c>
      <c r="V1116" s="9">
        <f>IF(OR(M1116=0,U1116=1),0,IF(T1116="GST on Income",ROUND(K1116*0.1,2),ROUND(-K1116*0.1,2)))</f>
        <v>0</v>
      </c>
    </row>
    <row r="1117">
      <c r="A1117" t="inlineStr">
        <is>
          <t>INV-4634-2</t>
        </is>
      </c>
      <c r="B1117" t="inlineStr">
        <is>
          <t>INV-4634</t>
        </is>
      </c>
      <c r="C1117" s="11" t="n">
        <v>46012</v>
      </c>
      <c r="D1117" t="inlineStr">
        <is>
          <t>2025-12</t>
        </is>
      </c>
      <c r="E1117" t="inlineStr">
        <is>
          <t>C0041</t>
        </is>
      </c>
      <c r="F1117" t="inlineStr">
        <is>
          <t>C0041</t>
        </is>
      </c>
      <c r="G1117" t="inlineStr">
        <is>
          <t>Summit Builders Pty Ltd</t>
        </is>
      </c>
      <c r="H1117" t="inlineStr">
        <is>
          <t>S0108</t>
        </is>
      </c>
      <c r="I1117" t="inlineStr">
        <is>
          <t>Installation labour - 92 panels @ 2.20</t>
        </is>
      </c>
      <c r="J1117" t="n">
        <v>92</v>
      </c>
      <c r="K1117" s="9" t="n">
        <v>202.4</v>
      </c>
      <c r="L1117" t="inlineStr">
        <is>
          <t>PAID</t>
        </is>
      </c>
      <c r="M1117">
        <f>IF(L1117="VOIDED",0,1)</f>
        <v>1</v>
      </c>
      <c r="N1117" t="n">
        <v>200</v>
      </c>
      <c r="O1117" t="inlineStr">
        <is>
          <t>GST on Income</t>
        </is>
      </c>
      <c r="P1117" t="inlineStr">
        <is>
          <t>R07</t>
        </is>
      </c>
      <c r="Q1117" t="inlineStr">
        <is>
          <t>DEL-FP</t>
        </is>
      </c>
      <c r="R1117">
        <f>IF(OR(Q1117="CONTEXT",Q1117="REVIEW"),"",INDEX('Category Rules'!$D$5:$D$17,MATCH(P1117,'Category Rules'!$A$5:$A$17,0)))</f>
        <v>4020</v>
      </c>
      <c r="S1117" t="str">
        <f>IF(Q1117="CONTEXT","Fencing",IF(Q1117="REVIEW","",INDEX('Category Rules'!$E$5:$E$17,MATCH(P1117,'Category Rules'!$A$5:$A$17,0))))</f>
        <v>Fencing</v>
      </c>
      <c r="T1117" t="str">
        <f>IF(Q1117="DEP","BAS Excluded","GST on Income")</f>
        <v>GST on Income</v>
      </c>
      <c r="U1117">
        <f>IF(O1117=T1117,1,0)</f>
        <v>1</v>
      </c>
      <c r="V1117" s="9">
        <f>IF(OR(M1117=0,U1117=1),0,IF(T1117="GST on Income",ROUND(K1117*0.1,2),ROUND(-K1117*0.1,2)))</f>
        <v>0</v>
      </c>
    </row>
    <row r="1118">
      <c r="A1118" t="inlineStr">
        <is>
          <t>INV-4853-1</t>
        </is>
      </c>
      <c r="B1118" t="inlineStr">
        <is>
          <t>INV-4853</t>
        </is>
      </c>
      <c r="C1118" s="11" t="n">
        <v>46012</v>
      </c>
      <c r="D1118" t="inlineStr">
        <is>
          <t>2025-12</t>
        </is>
      </c>
      <c r="E1118" t="inlineStr">
        <is>
          <t>C0122</t>
        </is>
      </c>
      <c r="F1118" t="inlineStr">
        <is>
          <t>C0122</t>
        </is>
      </c>
      <c r="G1118" t="inlineStr">
        <is>
          <t>Bluegum Construction Pty Ltd</t>
        </is>
      </c>
      <c r="H1118" t="inlineStr">
        <is>
          <t>S0160</t>
        </is>
      </c>
      <c r="I1118" t="inlineStr">
        <is>
          <t>Temporary fence hire 4 wks (23/11/25-20/12/25) - 91 panels</t>
        </is>
      </c>
      <c r="J1118" t="n">
        <v>364</v>
      </c>
      <c r="K1118" s="9" t="n">
        <v>1638</v>
      </c>
      <c r="L1118" t="inlineStr">
        <is>
          <t>PAID</t>
        </is>
      </c>
      <c r="M1118">
        <f>IF(L1118="VOIDED",0,1)</f>
        <v>1</v>
      </c>
      <c r="N1118" t="n">
        <v>200</v>
      </c>
      <c r="O1118" t="inlineStr">
        <is>
          <t>GST on Income</t>
        </is>
      </c>
      <c r="P1118" t="inlineStr">
        <is>
          <t>R03</t>
        </is>
      </c>
      <c r="Q1118" t="inlineStr">
        <is>
          <t>HIRE-FP</t>
        </is>
      </c>
      <c r="R1118">
        <f>IF(OR(Q1118="CONTEXT",Q1118="REVIEW"),"",INDEX('Category Rules'!$D$5:$D$17,MATCH(P1118,'Category Rules'!$A$5:$A$17,0)))</f>
        <v>4010</v>
      </c>
      <c r="S1118" t="str">
        <f>IF(Q1118="CONTEXT","Fencing",IF(Q1118="REVIEW","",INDEX('Category Rules'!$E$5:$E$17,MATCH(P1118,'Category Rules'!$A$5:$A$17,0))))</f>
        <v>Fencing</v>
      </c>
      <c r="T1118" t="str">
        <f>IF(Q1118="DEP","BAS Excluded","GST on Income")</f>
        <v>GST on Income</v>
      </c>
      <c r="U1118">
        <f>IF(O1118=T1118,1,0)</f>
        <v>1</v>
      </c>
      <c r="V1118" s="9">
        <f>IF(OR(M1118=0,U1118=1),0,IF(T1118="GST on Income",ROUND(K1118*0.1,2),ROUND(-K1118*0.1,2)))</f>
        <v>0</v>
      </c>
    </row>
    <row r="1119">
      <c r="A1119" t="inlineStr">
        <is>
          <t>INV-5005-1</t>
        </is>
      </c>
      <c r="B1119" t="inlineStr">
        <is>
          <t>INV-5005</t>
        </is>
      </c>
      <c r="C1119" s="11" t="n">
        <v>46012</v>
      </c>
      <c r="D1119" t="inlineStr">
        <is>
          <t>2025-12</t>
        </is>
      </c>
      <c r="E1119" t="inlineStr">
        <is>
          <t>C0072</t>
        </is>
      </c>
      <c r="F1119" t="inlineStr">
        <is>
          <t>C0072</t>
        </is>
      </c>
      <c r="G1119" t="inlineStr">
        <is>
          <t>Kingston City Council</t>
        </is>
      </c>
      <c r="H1119" t="inlineStr">
        <is>
          <t>S0196</t>
        </is>
      </c>
      <c r="I1119" t="inlineStr">
        <is>
          <t>Temporary fence hire 4 wks (23/11/25-20/12/25) - 122 panels</t>
        </is>
      </c>
      <c r="J1119" t="n">
        <v>488</v>
      </c>
      <c r="K1119" s="9" t="n">
        <v>2196</v>
      </c>
      <c r="L1119" t="inlineStr">
        <is>
          <t>PAID</t>
        </is>
      </c>
      <c r="M1119">
        <f>IF(L1119="VOIDED",0,1)</f>
        <v>1</v>
      </c>
      <c r="N1119" t="n">
        <v>200</v>
      </c>
      <c r="O1119" t="inlineStr">
        <is>
          <t>GST on Income</t>
        </is>
      </c>
      <c r="P1119" t="inlineStr">
        <is>
          <t>R03</t>
        </is>
      </c>
      <c r="Q1119" t="inlineStr">
        <is>
          <t>HIRE-FP</t>
        </is>
      </c>
      <c r="R1119">
        <f>IF(OR(Q1119="CONTEXT",Q1119="REVIEW"),"",INDEX('Category Rules'!$D$5:$D$17,MATCH(P1119,'Category Rules'!$A$5:$A$17,0)))</f>
        <v>4010</v>
      </c>
      <c r="S1119" t="str">
        <f>IF(Q1119="CONTEXT","Fencing",IF(Q1119="REVIEW","",INDEX('Category Rules'!$E$5:$E$17,MATCH(P1119,'Category Rules'!$A$5:$A$17,0))))</f>
        <v>Fencing</v>
      </c>
      <c r="T1119" t="str">
        <f>IF(Q1119="DEP","BAS Excluded","GST on Income")</f>
        <v>GST on Income</v>
      </c>
      <c r="U1119">
        <f>IF(O1119=T1119,1,0)</f>
        <v>1</v>
      </c>
      <c r="V1119" s="9">
        <f>IF(OR(M1119=0,U1119=1),0,IF(T1119="GST on Income",ROUND(K1119*0.1,2),ROUND(-K1119*0.1,2)))</f>
        <v>0</v>
      </c>
    </row>
    <row r="1120">
      <c r="A1120" t="inlineStr">
        <is>
          <t>INV-5510-1</t>
        </is>
      </c>
      <c r="B1120" t="inlineStr">
        <is>
          <t>INV-5510</t>
        </is>
      </c>
      <c r="C1120" s="11" t="n">
        <v>46012</v>
      </c>
      <c r="D1120" t="inlineStr">
        <is>
          <t>2025-12</t>
        </is>
      </c>
      <c r="E1120" t="inlineStr">
        <is>
          <t>C0147</t>
        </is>
      </c>
      <c r="F1120" t="inlineStr">
        <is>
          <t>C0067</t>
        </is>
      </c>
      <c r="G1120" t="inlineStr">
        <is>
          <t>Banksia Claims Services Pty Ltd</t>
        </is>
      </c>
      <c r="H1120" t="inlineStr">
        <is>
          <t>S0332</t>
        </is>
      </c>
      <c r="I1120" t="inlineStr">
        <is>
          <t>Tarp kit hire 4 wks (23/11/25-20/12/25) - 3 kits</t>
        </is>
      </c>
      <c r="J1120" t="n">
        <v>12</v>
      </c>
      <c r="K1120" s="9" t="n">
        <v>420</v>
      </c>
      <c r="L1120" t="inlineStr">
        <is>
          <t>PAID</t>
        </is>
      </c>
      <c r="M1120">
        <f>IF(L1120="VOIDED",0,1)</f>
        <v>1</v>
      </c>
      <c r="N1120" t="n">
        <v>200</v>
      </c>
      <c r="O1120" t="inlineStr">
        <is>
          <t>GST on Income</t>
        </is>
      </c>
      <c r="P1120" t="inlineStr">
        <is>
          <t>R06</t>
        </is>
      </c>
      <c r="Q1120" t="inlineStr">
        <is>
          <t>HIRE-TK</t>
        </is>
      </c>
      <c r="R1120">
        <f>IF(OR(Q1120="CONTEXT",Q1120="REVIEW"),"",INDEX('Category Rules'!$D$5:$D$17,MATCH(P1120,'Category Rules'!$A$5:$A$17,0)))</f>
        <v>4010</v>
      </c>
      <c r="S1120" t="str">
        <f>IF(Q1120="CONTEXT","Make-safe",IF(Q1120="REVIEW","",INDEX('Category Rules'!$E$5:$E$17,MATCH(P1120,'Category Rules'!$A$5:$A$17,0))))</f>
        <v>Make-safe</v>
      </c>
      <c r="T1120" t="str">
        <f>IF(Q1120="DEP","BAS Excluded","GST on Income")</f>
        <v>GST on Income</v>
      </c>
      <c r="U1120">
        <f>IF(O1120=T1120,1,0)</f>
        <v>1</v>
      </c>
      <c r="V1120" s="9">
        <f>IF(OR(M1120=0,U1120=1),0,IF(T1120="GST on Income",ROUND(K1120*0.1,2),ROUND(-K1120*0.1,2)))</f>
        <v>0</v>
      </c>
    </row>
    <row r="1121">
      <c r="A1121" t="inlineStr">
        <is>
          <t>INV-5688-1</t>
        </is>
      </c>
      <c r="B1121" t="inlineStr">
        <is>
          <t>INV-5688</t>
        </is>
      </c>
      <c r="C1121" s="11" t="n">
        <v>46012</v>
      </c>
      <c r="D1121" t="inlineStr">
        <is>
          <t>2025-12</t>
        </is>
      </c>
      <c r="E1121" t="inlineStr">
        <is>
          <t>C0008</t>
        </is>
      </c>
      <c r="F1121" t="inlineStr">
        <is>
          <t>C0008</t>
        </is>
      </c>
      <c r="G1121" t="inlineStr">
        <is>
          <t>Redline Builders Pty Ltd</t>
        </is>
      </c>
      <c r="H1121" t="inlineStr">
        <is>
          <t>S0428</t>
        </is>
      </c>
      <c r="I1121" t="inlineStr">
        <is>
          <t>Roof repair labour - 16 hrs</t>
        </is>
      </c>
      <c r="J1121" t="n">
        <v>16</v>
      </c>
      <c r="K1121" s="9" t="n">
        <v>1568</v>
      </c>
      <c r="L1121" t="inlineStr">
        <is>
          <t>PAID</t>
        </is>
      </c>
      <c r="M1121">
        <f>IF(L1121="VOIDED",0,1)</f>
        <v>1</v>
      </c>
      <c r="N1121" t="n">
        <v>200</v>
      </c>
      <c r="O1121" t="inlineStr">
        <is>
          <t>GST on Income</t>
        </is>
      </c>
      <c r="P1121" t="inlineStr">
        <is>
          <t>R10</t>
        </is>
      </c>
      <c r="Q1121" t="inlineStr">
        <is>
          <t>LAB-RF</t>
        </is>
      </c>
      <c r="R1121">
        <f>IF(OR(Q1121="CONTEXT",Q1121="REVIEW"),"",INDEX('Category Rules'!$D$5:$D$17,MATCH(P1121,'Category Rules'!$A$5:$A$17,0)))</f>
        <v>4020</v>
      </c>
      <c r="S1121" t="str">
        <f>IF(Q1121="CONTEXT","Roofing",IF(Q1121="REVIEW","",INDEX('Category Rules'!$E$5:$E$17,MATCH(P1121,'Category Rules'!$A$5:$A$17,0))))</f>
        <v>Roofing</v>
      </c>
      <c r="T1121" t="str">
        <f>IF(Q1121="DEP","BAS Excluded","GST on Income")</f>
        <v>GST on Income</v>
      </c>
      <c r="U1121">
        <f>IF(O1121=T1121,1,0)</f>
        <v>1</v>
      </c>
      <c r="V1121" s="9">
        <f>IF(OR(M1121=0,U1121=1),0,IF(T1121="GST on Income",ROUND(K1121*0.1,2),ROUND(-K1121*0.1,2)))</f>
        <v>0</v>
      </c>
    </row>
    <row r="1122">
      <c r="A1122" t="inlineStr">
        <is>
          <t>INV-5688-2</t>
        </is>
      </c>
      <c r="B1122" t="inlineStr">
        <is>
          <t>INV-5688</t>
        </is>
      </c>
      <c r="C1122" s="11" t="n">
        <v>46012</v>
      </c>
      <c r="D1122" t="inlineStr">
        <is>
          <t>2025-12</t>
        </is>
      </c>
      <c r="E1122" t="inlineStr">
        <is>
          <t>C0008</t>
        </is>
      </c>
      <c r="F1122" t="inlineStr">
        <is>
          <t>C0008</t>
        </is>
      </c>
      <c r="G1122" t="inlineStr">
        <is>
          <t>Redline Builders Pty Ltd</t>
        </is>
      </c>
      <c r="H1122" t="inlineStr">
        <is>
          <t>S0428</t>
        </is>
      </c>
      <c r="I1122" t="inlineStr">
        <is>
          <t>Materials - gutter and downpipe</t>
        </is>
      </c>
      <c r="J1122" t="n">
        <v>1</v>
      </c>
      <c r="K1122" s="9" t="n">
        <v>990.47</v>
      </c>
      <c r="L1122" t="inlineStr">
        <is>
          <t>PAID</t>
        </is>
      </c>
      <c r="M1122">
        <f>IF(L1122="VOIDED",0,1)</f>
        <v>1</v>
      </c>
      <c r="N1122" t="n">
        <v>200</v>
      </c>
      <c r="O1122" t="inlineStr">
        <is>
          <t>GST on Income</t>
        </is>
      </c>
      <c r="P1122" t="inlineStr">
        <is>
          <t>R11</t>
        </is>
      </c>
      <c r="Q1122" t="inlineStr">
        <is>
          <t>MAT-RF</t>
        </is>
      </c>
      <c r="R1122">
        <f>IF(OR(Q1122="CONTEXT",Q1122="REVIEW"),"",INDEX('Category Rules'!$D$5:$D$17,MATCH(P1122,'Category Rules'!$A$5:$A$17,0)))</f>
        <v>4030</v>
      </c>
      <c r="S1122" t="str">
        <f>IF(Q1122="CONTEXT","Roofing",IF(Q1122="REVIEW","",INDEX('Category Rules'!$E$5:$E$17,MATCH(P1122,'Category Rules'!$A$5:$A$17,0))))</f>
        <v>Roofing</v>
      </c>
      <c r="T1122" t="str">
        <f>IF(Q1122="DEP","BAS Excluded","GST on Income")</f>
        <v>GST on Income</v>
      </c>
      <c r="U1122">
        <f>IF(O1122=T1122,1,0)</f>
        <v>1</v>
      </c>
      <c r="V1122" s="9">
        <f>IF(OR(M1122=0,U1122=1),0,IF(T1122="GST on Income",ROUND(K1122*0.1,2),ROUND(-K1122*0.1,2)))</f>
        <v>0</v>
      </c>
    </row>
    <row r="1123">
      <c r="A1123" t="inlineStr">
        <is>
          <t>INV-5688-3</t>
        </is>
      </c>
      <c r="B1123" t="inlineStr">
        <is>
          <t>INV-5688</t>
        </is>
      </c>
      <c r="C1123" s="11" t="n">
        <v>46012</v>
      </c>
      <c r="D1123" t="inlineStr">
        <is>
          <t>2025-12</t>
        </is>
      </c>
      <c r="E1123" t="inlineStr">
        <is>
          <t>C0008</t>
        </is>
      </c>
      <c r="F1123" t="inlineStr">
        <is>
          <t>C0008</t>
        </is>
      </c>
      <c r="G1123" t="inlineStr">
        <is>
          <t>Redline Builders Pty Ltd</t>
        </is>
      </c>
      <c r="H1123" t="inlineStr">
        <is>
          <t>S0428</t>
        </is>
      </c>
      <c r="I1123" t="inlineStr">
        <is>
          <t>Materials - sealant and fixings</t>
        </is>
      </c>
      <c r="J1123" t="n">
        <v>1</v>
      </c>
      <c r="K1123" s="9" t="n">
        <v>459.41</v>
      </c>
      <c r="L1123" t="inlineStr">
        <is>
          <t>PAID</t>
        </is>
      </c>
      <c r="M1123">
        <f>IF(L1123="VOIDED",0,1)</f>
        <v>1</v>
      </c>
      <c r="N1123" t="n">
        <v>200</v>
      </c>
      <c r="O1123" t="inlineStr">
        <is>
          <t>GST on Income</t>
        </is>
      </c>
      <c r="P1123" t="inlineStr">
        <is>
          <t>R11</t>
        </is>
      </c>
      <c r="Q1123" t="inlineStr">
        <is>
          <t>MAT-RF</t>
        </is>
      </c>
      <c r="R1123">
        <f>IF(OR(Q1123="CONTEXT",Q1123="REVIEW"),"",INDEX('Category Rules'!$D$5:$D$17,MATCH(P1123,'Category Rules'!$A$5:$A$17,0)))</f>
        <v>4030</v>
      </c>
      <c r="S1123" t="str">
        <f>IF(Q1123="CONTEXT","Roofing",IF(Q1123="REVIEW","",INDEX('Category Rules'!$E$5:$E$17,MATCH(P1123,'Category Rules'!$A$5:$A$17,0))))</f>
        <v>Roofing</v>
      </c>
      <c r="T1123" t="str">
        <f>IF(Q1123="DEP","BAS Excluded","GST on Income")</f>
        <v>GST on Income</v>
      </c>
      <c r="U1123">
        <f>IF(O1123=T1123,1,0)</f>
        <v>1</v>
      </c>
      <c r="V1123" s="9">
        <f>IF(OR(M1123=0,U1123=1),0,IF(T1123="GST on Income",ROUND(K1123*0.1,2),ROUND(-K1123*0.1,2)))</f>
        <v>0</v>
      </c>
    </row>
    <row r="1124">
      <c r="A1124" t="inlineStr">
        <is>
          <t>INV-5688-4</t>
        </is>
      </c>
      <c r="B1124" t="inlineStr">
        <is>
          <t>INV-5688</t>
        </is>
      </c>
      <c r="C1124" s="11" t="n">
        <v>46012</v>
      </c>
      <c r="D1124" t="inlineStr">
        <is>
          <t>2025-12</t>
        </is>
      </c>
      <c r="E1124" t="inlineStr">
        <is>
          <t>C0008</t>
        </is>
      </c>
      <c r="F1124" t="inlineStr">
        <is>
          <t>C0008</t>
        </is>
      </c>
      <c r="G1124" t="inlineStr">
        <is>
          <t>Redline Builders Pty Ltd</t>
        </is>
      </c>
      <c r="H1124" t="inlineStr">
        <is>
          <t>S0428</t>
        </is>
      </c>
      <c r="I1124" t="inlineStr">
        <is>
          <t>Materials - Colorbond sheet</t>
        </is>
      </c>
      <c r="J1124" t="n">
        <v>1</v>
      </c>
      <c r="K1124" s="9" t="n">
        <v>565.59</v>
      </c>
      <c r="L1124" t="inlineStr">
        <is>
          <t>PAID</t>
        </is>
      </c>
      <c r="M1124">
        <f>IF(L1124="VOIDED",0,1)</f>
        <v>1</v>
      </c>
      <c r="N1124" t="n">
        <v>200</v>
      </c>
      <c r="O1124" t="inlineStr">
        <is>
          <t>GST on Income</t>
        </is>
      </c>
      <c r="P1124" t="inlineStr">
        <is>
          <t>R11</t>
        </is>
      </c>
      <c r="Q1124" t="inlineStr">
        <is>
          <t>MAT-RF</t>
        </is>
      </c>
      <c r="R1124">
        <f>IF(OR(Q1124="CONTEXT",Q1124="REVIEW"),"",INDEX('Category Rules'!$D$5:$D$17,MATCH(P1124,'Category Rules'!$A$5:$A$17,0)))</f>
        <v>4030</v>
      </c>
      <c r="S1124" t="str">
        <f>IF(Q1124="CONTEXT","Roofing",IF(Q1124="REVIEW","",INDEX('Category Rules'!$E$5:$E$17,MATCH(P1124,'Category Rules'!$A$5:$A$17,0))))</f>
        <v>Roofing</v>
      </c>
      <c r="T1124" t="str">
        <f>IF(Q1124="DEP","BAS Excluded","GST on Income")</f>
        <v>GST on Income</v>
      </c>
      <c r="U1124">
        <f>IF(O1124=T1124,1,0)</f>
        <v>1</v>
      </c>
      <c r="V1124" s="9">
        <f>IF(OR(M1124=0,U1124=1),0,IF(T1124="GST on Income",ROUND(K1124*0.1,2),ROUND(-K1124*0.1,2)))</f>
        <v>0</v>
      </c>
    </row>
    <row r="1125">
      <c r="A1125" t="inlineStr">
        <is>
          <t>INV-5688-5</t>
        </is>
      </c>
      <c r="B1125" t="inlineStr">
        <is>
          <t>INV-5688</t>
        </is>
      </c>
      <c r="C1125" s="11" t="n">
        <v>46012</v>
      </c>
      <c r="D1125" t="inlineStr">
        <is>
          <t>2025-12</t>
        </is>
      </c>
      <c r="E1125" t="inlineStr">
        <is>
          <t>C0008</t>
        </is>
      </c>
      <c r="F1125" t="inlineStr">
        <is>
          <t>C0008</t>
        </is>
      </c>
      <c r="G1125" t="inlineStr">
        <is>
          <t>Redline Builders Pty Ltd</t>
        </is>
      </c>
      <c r="H1125" t="inlineStr">
        <is>
          <t>S0428</t>
        </is>
      </c>
      <c r="I1125" t="inlineStr">
        <is>
          <t>Waste removal and tip fees</t>
        </is>
      </c>
      <c r="J1125" t="n">
        <v>1</v>
      </c>
      <c r="K1125" s="9" t="n">
        <v>120</v>
      </c>
      <c r="L1125" t="inlineStr">
        <is>
          <t>PAID</t>
        </is>
      </c>
      <c r="M1125">
        <f>IF(L1125="VOIDED",0,1)</f>
        <v>1</v>
      </c>
      <c r="N1125" t="n">
        <v>200</v>
      </c>
      <c r="O1125" t="inlineStr">
        <is>
          <t>GST on Income</t>
        </is>
      </c>
      <c r="P1125" t="inlineStr">
        <is>
          <t>R11</t>
        </is>
      </c>
      <c r="Q1125" t="inlineStr">
        <is>
          <t>MAT-RF</t>
        </is>
      </c>
      <c r="R1125">
        <f>IF(OR(Q1125="CONTEXT",Q1125="REVIEW"),"",INDEX('Category Rules'!$D$5:$D$17,MATCH(P1125,'Category Rules'!$A$5:$A$17,0)))</f>
        <v>4030</v>
      </c>
      <c r="S1125" t="str">
        <f>IF(Q1125="CONTEXT","Roofing",IF(Q1125="REVIEW","",INDEX('Category Rules'!$E$5:$E$17,MATCH(P1125,'Category Rules'!$A$5:$A$17,0))))</f>
        <v>Roofing</v>
      </c>
      <c r="T1125" t="str">
        <f>IF(Q1125="DEP","BAS Excluded","GST on Income")</f>
        <v>GST on Income</v>
      </c>
      <c r="U1125">
        <f>IF(O1125=T1125,1,0)</f>
        <v>1</v>
      </c>
      <c r="V1125" s="9">
        <f>IF(OR(M1125=0,U1125=1),0,IF(T1125="GST on Income",ROUND(K1125*0.1,2),ROUND(-K1125*0.1,2)))</f>
        <v>0</v>
      </c>
    </row>
    <row r="1126">
      <c r="A1126" t="inlineStr">
        <is>
          <t>INV-5797-1</t>
        </is>
      </c>
      <c r="B1126" t="inlineStr">
        <is>
          <t>INV-5797</t>
        </is>
      </c>
      <c r="C1126" s="11" t="n">
        <v>46012</v>
      </c>
      <c r="D1126" t="inlineStr">
        <is>
          <t>2025-12</t>
        </is>
      </c>
      <c r="E1126" t="inlineStr">
        <is>
          <t>C0051</t>
        </is>
      </c>
      <c r="F1126" t="inlineStr">
        <is>
          <t>C0051</t>
        </is>
      </c>
      <c r="G1126" t="inlineStr">
        <is>
          <t>Granite Body Corporate Pty Ltd</t>
        </is>
      </c>
      <c r="H1126" t="inlineStr">
        <is>
          <t>S0488</t>
        </is>
      </c>
      <c r="I1126" t="inlineStr">
        <is>
          <t>Make safe call-out</t>
        </is>
      </c>
      <c r="J1126" t="n">
        <v>1</v>
      </c>
      <c r="K1126" s="9" t="n">
        <v>385</v>
      </c>
      <c r="L1126" t="inlineStr">
        <is>
          <t>PAID</t>
        </is>
      </c>
      <c r="M1126">
        <f>IF(L1126="VOIDED",0,1)</f>
        <v>1</v>
      </c>
      <c r="N1126" t="n">
        <v>200</v>
      </c>
      <c r="O1126" t="inlineStr">
        <is>
          <t>GST on Income</t>
        </is>
      </c>
      <c r="P1126" t="inlineStr">
        <is>
          <t>R09</t>
        </is>
      </c>
      <c r="Q1126" t="inlineStr">
        <is>
          <t>MS</t>
        </is>
      </c>
      <c r="R1126">
        <f>IF(OR(Q1126="CONTEXT",Q1126="REVIEW"),"",INDEX('Category Rules'!$D$5:$D$17,MATCH(P1126,'Category Rules'!$A$5:$A$17,0)))</f>
        <v>4020</v>
      </c>
      <c r="S1126" t="str">
        <f>IF(Q1126="CONTEXT","Make-safe",IF(Q1126="REVIEW","",INDEX('Category Rules'!$E$5:$E$17,MATCH(P1126,'Category Rules'!$A$5:$A$17,0))))</f>
        <v>Make-safe</v>
      </c>
      <c r="T1126" t="str">
        <f>IF(Q1126="DEP","BAS Excluded","GST on Income")</f>
        <v>GST on Income</v>
      </c>
      <c r="U1126">
        <f>IF(O1126=T1126,1,0)</f>
        <v>1</v>
      </c>
      <c r="V1126" s="9">
        <f>IF(OR(M1126=0,U1126=1),0,IF(T1126="GST on Income",ROUND(K1126*0.1,2),ROUND(-K1126*0.1,2)))</f>
        <v>0</v>
      </c>
    </row>
    <row r="1127">
      <c r="A1127" t="inlineStr">
        <is>
          <t>INV-5797-2</t>
        </is>
      </c>
      <c r="B1127" t="inlineStr">
        <is>
          <t>INV-5797</t>
        </is>
      </c>
      <c r="C1127" s="11" t="n">
        <v>46012</v>
      </c>
      <c r="D1127" t="inlineStr">
        <is>
          <t>2025-12</t>
        </is>
      </c>
      <c r="E1127" t="inlineStr">
        <is>
          <t>C0051</t>
        </is>
      </c>
      <c r="F1127" t="inlineStr">
        <is>
          <t>C0051</t>
        </is>
      </c>
      <c r="G1127" t="inlineStr">
        <is>
          <t>Granite Body Corporate Pty Ltd</t>
        </is>
      </c>
      <c r="H1127" t="inlineStr">
        <is>
          <t>S0488</t>
        </is>
      </c>
      <c r="I1127" t="inlineStr">
        <is>
          <t>Tarp supply and install - 3 tarp(s)</t>
        </is>
      </c>
      <c r="J1127" t="n">
        <v>3</v>
      </c>
      <c r="K1127" s="9" t="n">
        <v>720</v>
      </c>
      <c r="L1127" t="inlineStr">
        <is>
          <t>PAID</t>
        </is>
      </c>
      <c r="M1127">
        <f>IF(L1127="VOIDED",0,1)</f>
        <v>1</v>
      </c>
      <c r="N1127" t="n">
        <v>200</v>
      </c>
      <c r="O1127" t="inlineStr">
        <is>
          <t>GST on Income</t>
        </is>
      </c>
      <c r="P1127" t="inlineStr">
        <is>
          <t>R09</t>
        </is>
      </c>
      <c r="Q1127" t="inlineStr">
        <is>
          <t>MS</t>
        </is>
      </c>
      <c r="R1127">
        <f>IF(OR(Q1127="CONTEXT",Q1127="REVIEW"),"",INDEX('Category Rules'!$D$5:$D$17,MATCH(P1127,'Category Rules'!$A$5:$A$17,0)))</f>
        <v>4020</v>
      </c>
      <c r="S1127" t="str">
        <f>IF(Q1127="CONTEXT","Make-safe",IF(Q1127="REVIEW","",INDEX('Category Rules'!$E$5:$E$17,MATCH(P1127,'Category Rules'!$A$5:$A$17,0))))</f>
        <v>Make-safe</v>
      </c>
      <c r="T1127" t="str">
        <f>IF(Q1127="DEP","BAS Excluded","GST on Income")</f>
        <v>GST on Income</v>
      </c>
      <c r="U1127">
        <f>IF(O1127=T1127,1,0)</f>
        <v>1</v>
      </c>
      <c r="V1127" s="9">
        <f>IF(OR(M1127=0,U1127=1),0,IF(T1127="GST on Income",ROUND(K1127*0.1,2),ROUND(-K1127*0.1,2)))</f>
        <v>0</v>
      </c>
    </row>
    <row r="1128">
      <c r="A1128" t="inlineStr">
        <is>
          <t>INV-5890-1</t>
        </is>
      </c>
      <c r="B1128" t="inlineStr">
        <is>
          <t>INV-5890</t>
        </is>
      </c>
      <c r="C1128" s="11" t="n">
        <v>46012</v>
      </c>
      <c r="D1128" t="inlineStr">
        <is>
          <t>2025-12</t>
        </is>
      </c>
      <c r="E1128" t="inlineStr">
        <is>
          <t>C0060</t>
        </is>
      </c>
      <c r="F1128" t="inlineStr">
        <is>
          <t>C0060</t>
        </is>
      </c>
      <c r="G1128" t="inlineStr">
        <is>
          <t>Redline Claims Services</t>
        </is>
      </c>
      <c r="H1128" t="inlineStr">
        <is>
          <t>S0545</t>
        </is>
      </c>
      <c r="I1128" t="inlineStr">
        <is>
          <t>Make safe call-out</t>
        </is>
      </c>
      <c r="J1128" t="n">
        <v>1</v>
      </c>
      <c r="K1128" s="9" t="n">
        <v>385</v>
      </c>
      <c r="L1128" t="inlineStr">
        <is>
          <t>PAID</t>
        </is>
      </c>
      <c r="M1128">
        <f>IF(L1128="VOIDED",0,1)</f>
        <v>1</v>
      </c>
      <c r="N1128" t="n">
        <v>200</v>
      </c>
      <c r="O1128" t="inlineStr">
        <is>
          <t>GST on Income</t>
        </is>
      </c>
      <c r="P1128" t="inlineStr">
        <is>
          <t>R09</t>
        </is>
      </c>
      <c r="Q1128" t="inlineStr">
        <is>
          <t>MS</t>
        </is>
      </c>
      <c r="R1128">
        <f>IF(OR(Q1128="CONTEXT",Q1128="REVIEW"),"",INDEX('Category Rules'!$D$5:$D$17,MATCH(P1128,'Category Rules'!$A$5:$A$17,0)))</f>
        <v>4020</v>
      </c>
      <c r="S1128" t="str">
        <f>IF(Q1128="CONTEXT","Make-safe",IF(Q1128="REVIEW","",INDEX('Category Rules'!$E$5:$E$17,MATCH(P1128,'Category Rules'!$A$5:$A$17,0))))</f>
        <v>Make-safe</v>
      </c>
      <c r="T1128" t="str">
        <f>IF(Q1128="DEP","BAS Excluded","GST on Income")</f>
        <v>GST on Income</v>
      </c>
      <c r="U1128">
        <f>IF(O1128=T1128,1,0)</f>
        <v>1</v>
      </c>
      <c r="V1128" s="9">
        <f>IF(OR(M1128=0,U1128=1),0,IF(T1128="GST on Income",ROUND(K1128*0.1,2),ROUND(-K1128*0.1,2)))</f>
        <v>0</v>
      </c>
    </row>
    <row r="1129">
      <c r="A1129" t="inlineStr">
        <is>
          <t>INV-5890-2</t>
        </is>
      </c>
      <c r="B1129" t="inlineStr">
        <is>
          <t>INV-5890</t>
        </is>
      </c>
      <c r="C1129" s="11" t="n">
        <v>46012</v>
      </c>
      <c r="D1129" t="inlineStr">
        <is>
          <t>2025-12</t>
        </is>
      </c>
      <c r="E1129" t="inlineStr">
        <is>
          <t>C0060</t>
        </is>
      </c>
      <c r="F1129" t="inlineStr">
        <is>
          <t>C0060</t>
        </is>
      </c>
      <c r="G1129" t="inlineStr">
        <is>
          <t>Redline Claims Services</t>
        </is>
      </c>
      <c r="H1129" t="inlineStr">
        <is>
          <t>S0545</t>
        </is>
      </c>
      <c r="I1129" t="inlineStr">
        <is>
          <t>Tarp supply and install - 1 tarp(s)</t>
        </is>
      </c>
      <c r="J1129" t="n">
        <v>1</v>
      </c>
      <c r="K1129" s="9" t="n">
        <v>240</v>
      </c>
      <c r="L1129" t="inlineStr">
        <is>
          <t>PAID</t>
        </is>
      </c>
      <c r="M1129">
        <f>IF(L1129="VOIDED",0,1)</f>
        <v>1</v>
      </c>
      <c r="N1129" t="n">
        <v>200</v>
      </c>
      <c r="O1129" t="inlineStr">
        <is>
          <t>GST on Income</t>
        </is>
      </c>
      <c r="P1129" t="inlineStr">
        <is>
          <t>R09</t>
        </is>
      </c>
      <c r="Q1129" t="inlineStr">
        <is>
          <t>MS</t>
        </is>
      </c>
      <c r="R1129">
        <f>IF(OR(Q1129="CONTEXT",Q1129="REVIEW"),"",INDEX('Category Rules'!$D$5:$D$17,MATCH(P1129,'Category Rules'!$A$5:$A$17,0)))</f>
        <v>4020</v>
      </c>
      <c r="S1129" t="str">
        <f>IF(Q1129="CONTEXT","Make-safe",IF(Q1129="REVIEW","",INDEX('Category Rules'!$E$5:$E$17,MATCH(P1129,'Category Rules'!$A$5:$A$17,0))))</f>
        <v>Make-safe</v>
      </c>
      <c r="T1129" t="str">
        <f>IF(Q1129="DEP","BAS Excluded","GST on Income")</f>
        <v>GST on Income</v>
      </c>
      <c r="U1129">
        <f>IF(O1129=T1129,1,0)</f>
        <v>1</v>
      </c>
      <c r="V1129" s="9">
        <f>IF(OR(M1129=0,U1129=1),0,IF(T1129="GST on Income",ROUND(K1129*0.1,2),ROUND(-K1129*0.1,2)))</f>
        <v>0</v>
      </c>
    </row>
    <row r="1130">
      <c r="A1130" t="inlineStr">
        <is>
          <t>INV-5903-1</t>
        </is>
      </c>
      <c r="B1130" t="inlineStr">
        <is>
          <t>INV-5903</t>
        </is>
      </c>
      <c r="C1130" s="11" t="n">
        <v>46012</v>
      </c>
      <c r="D1130" t="inlineStr">
        <is>
          <t>2025-12</t>
        </is>
      </c>
      <c r="E1130" t="inlineStr">
        <is>
          <t>C0038</t>
        </is>
      </c>
      <c r="F1130" t="inlineStr">
        <is>
          <t>C0038</t>
        </is>
      </c>
      <c r="G1130" t="inlineStr">
        <is>
          <t>Cobalt Constructions Pty Ltd</t>
        </is>
      </c>
      <c r="H1130" t="inlineStr">
        <is>
          <t>S0266</t>
        </is>
      </c>
      <c r="I1130" t="inlineStr">
        <is>
          <t>Job 2261 - progress claim</t>
        </is>
      </c>
      <c r="J1130" t="n">
        <v>1</v>
      </c>
      <c r="K1130" s="9" t="n">
        <v>3184.48</v>
      </c>
      <c r="L1130" t="inlineStr">
        <is>
          <t>PAID</t>
        </is>
      </c>
      <c r="M1130">
        <f>IF(L1130="VOIDED",0,1)</f>
        <v>1</v>
      </c>
      <c r="N1130" t="n">
        <v>200</v>
      </c>
      <c r="O1130" t="inlineStr">
        <is>
          <t>GST on Income</t>
        </is>
      </c>
      <c r="P1130" t="inlineStr">
        <is>
          <t>R12</t>
        </is>
      </c>
      <c r="Q1130" t="inlineStr">
        <is>
          <t>CONTEXT</t>
        </is>
      </c>
      <c r="R1130">
        <f>IF(OR(Q1130="CONTEXT",Q1130="REVIEW"),"",INDEX('Category Rules'!$D$5:$D$17,MATCH(P1130,'Category Rules'!$A$5:$A$17,0)))</f>
      </c>
      <c r="S1130" t="str">
        <f>IF(Q1130="CONTEXT","Scaffolding",IF(Q1130="REVIEW","",INDEX('Category Rules'!$E$5:$E$17,MATCH(P1130,'Category Rules'!$A$5:$A$17,0))))</f>
        <v>Scaffolding</v>
      </c>
      <c r="T1130" t="str">
        <f>IF(Q1130="DEP","BAS Excluded","GST on Income")</f>
        <v>GST on Income</v>
      </c>
      <c r="U1130">
        <f>IF(O1130=T1130,1,0)</f>
        <v>1</v>
      </c>
      <c r="V1130" s="9">
        <f>IF(OR(M1130=0,U1130=1),0,IF(T1130="GST on Income",ROUND(K1130*0.1,2),ROUND(-K1130*0.1,2)))</f>
        <v>0</v>
      </c>
    </row>
    <row r="1131">
      <c r="A1131" t="inlineStr">
        <is>
          <t>INV-5468-1</t>
        </is>
      </c>
      <c r="B1131" t="inlineStr">
        <is>
          <t>INV-5468</t>
        </is>
      </c>
      <c r="C1131" s="11" t="n">
        <v>46013</v>
      </c>
      <c r="D1131" t="inlineStr">
        <is>
          <t>2025-12</t>
        </is>
      </c>
      <c r="E1131" t="inlineStr">
        <is>
          <t>C0012</t>
        </is>
      </c>
      <c r="F1131" t="inlineStr">
        <is>
          <t>C0012</t>
        </is>
      </c>
      <c r="G1131" t="inlineStr">
        <is>
          <t>Kestrel Constructions Pty Ltd</t>
        </is>
      </c>
      <c r="H1131" t="inlineStr">
        <is>
          <t>S0306</t>
        </is>
      </c>
      <c r="I1131" t="inlineStr">
        <is>
          <t>Roof repair labour - 3 hrs</t>
        </is>
      </c>
      <c r="J1131" t="n">
        <v>3</v>
      </c>
      <c r="K1131" s="9" t="n">
        <v>294</v>
      </c>
      <c r="L1131" t="inlineStr">
        <is>
          <t>PAID</t>
        </is>
      </c>
      <c r="M1131">
        <f>IF(L1131="VOIDED",0,1)</f>
        <v>1</v>
      </c>
      <c r="N1131" t="n">
        <v>200</v>
      </c>
      <c r="O1131" t="inlineStr">
        <is>
          <t>GST on Income</t>
        </is>
      </c>
      <c r="P1131" t="inlineStr">
        <is>
          <t>R10</t>
        </is>
      </c>
      <c r="Q1131" t="inlineStr">
        <is>
          <t>LAB-RF</t>
        </is>
      </c>
      <c r="R1131">
        <f>IF(OR(Q1131="CONTEXT",Q1131="REVIEW"),"",INDEX('Category Rules'!$D$5:$D$17,MATCH(P1131,'Category Rules'!$A$5:$A$17,0)))</f>
        <v>4020</v>
      </c>
      <c r="S1131" t="str">
        <f>IF(Q1131="CONTEXT","Roofing",IF(Q1131="REVIEW","",INDEX('Category Rules'!$E$5:$E$17,MATCH(P1131,'Category Rules'!$A$5:$A$17,0))))</f>
        <v>Roofing</v>
      </c>
      <c r="T1131" t="str">
        <f>IF(Q1131="DEP","BAS Excluded","GST on Income")</f>
        <v>GST on Income</v>
      </c>
      <c r="U1131">
        <f>IF(O1131=T1131,1,0)</f>
        <v>1</v>
      </c>
      <c r="V1131" s="9">
        <f>IF(OR(M1131=0,U1131=1),0,IF(T1131="GST on Income",ROUND(K1131*0.1,2),ROUND(-K1131*0.1,2)))</f>
        <v>0</v>
      </c>
    </row>
    <row r="1132">
      <c r="A1132" t="inlineStr">
        <is>
          <t>INV-5468-2</t>
        </is>
      </c>
      <c r="B1132" t="inlineStr">
        <is>
          <t>INV-5468</t>
        </is>
      </c>
      <c r="C1132" s="11" t="n">
        <v>46013</v>
      </c>
      <c r="D1132" t="inlineStr">
        <is>
          <t>2025-12</t>
        </is>
      </c>
      <c r="E1132" t="inlineStr">
        <is>
          <t>C0012</t>
        </is>
      </c>
      <c r="F1132" t="inlineStr">
        <is>
          <t>C0012</t>
        </is>
      </c>
      <c r="G1132" t="inlineStr">
        <is>
          <t>Kestrel Constructions Pty Ltd</t>
        </is>
      </c>
      <c r="H1132" t="inlineStr">
        <is>
          <t>S0306</t>
        </is>
      </c>
      <c r="I1132" t="inlineStr">
        <is>
          <t>Materials - ridge capping</t>
        </is>
      </c>
      <c r="J1132" t="n">
        <v>1</v>
      </c>
      <c r="K1132" s="9" t="n">
        <v>216.31</v>
      </c>
      <c r="L1132" t="inlineStr">
        <is>
          <t>PAID</t>
        </is>
      </c>
      <c r="M1132">
        <f>IF(L1132="VOIDED",0,1)</f>
        <v>1</v>
      </c>
      <c r="N1132" t="n">
        <v>200</v>
      </c>
      <c r="O1132" t="inlineStr">
        <is>
          <t>GST on Income</t>
        </is>
      </c>
      <c r="P1132" t="inlineStr">
        <is>
          <t>R11</t>
        </is>
      </c>
      <c r="Q1132" t="inlineStr">
        <is>
          <t>MAT-RF</t>
        </is>
      </c>
      <c r="R1132">
        <f>IF(OR(Q1132="CONTEXT",Q1132="REVIEW"),"",INDEX('Category Rules'!$D$5:$D$17,MATCH(P1132,'Category Rules'!$A$5:$A$17,0)))</f>
        <v>4030</v>
      </c>
      <c r="S1132" t="str">
        <f>IF(Q1132="CONTEXT","Roofing",IF(Q1132="REVIEW","",INDEX('Category Rules'!$E$5:$E$17,MATCH(P1132,'Category Rules'!$A$5:$A$17,0))))</f>
        <v>Roofing</v>
      </c>
      <c r="T1132" t="str">
        <f>IF(Q1132="DEP","BAS Excluded","GST on Income")</f>
        <v>GST on Income</v>
      </c>
      <c r="U1132">
        <f>IF(O1132=T1132,1,0)</f>
        <v>1</v>
      </c>
      <c r="V1132" s="9">
        <f>IF(OR(M1132=0,U1132=1),0,IF(T1132="GST on Income",ROUND(K1132*0.1,2),ROUND(-K1132*0.1,2)))</f>
        <v>0</v>
      </c>
    </row>
    <row r="1133">
      <c r="A1133" t="inlineStr">
        <is>
          <t>INV-5468-3</t>
        </is>
      </c>
      <c r="B1133" t="inlineStr">
        <is>
          <t>INV-5468</t>
        </is>
      </c>
      <c r="C1133" s="11" t="n">
        <v>46013</v>
      </c>
      <c r="D1133" t="inlineStr">
        <is>
          <t>2025-12</t>
        </is>
      </c>
      <c r="E1133" t="inlineStr">
        <is>
          <t>C0012</t>
        </is>
      </c>
      <c r="F1133" t="inlineStr">
        <is>
          <t>C0012</t>
        </is>
      </c>
      <c r="G1133" t="inlineStr">
        <is>
          <t>Kestrel Constructions Pty Ltd</t>
        </is>
      </c>
      <c r="H1133" t="inlineStr">
        <is>
          <t>S0306</t>
        </is>
      </c>
      <c r="I1133" t="inlineStr">
        <is>
          <t>Materials - Colorbond sheet</t>
        </is>
      </c>
      <c r="J1133" t="n">
        <v>1</v>
      </c>
      <c r="K1133" s="9" t="n">
        <v>1199.11</v>
      </c>
      <c r="L1133" t="inlineStr">
        <is>
          <t>PAID</t>
        </is>
      </c>
      <c r="M1133">
        <f>IF(L1133="VOIDED",0,1)</f>
        <v>1</v>
      </c>
      <c r="N1133" t="n">
        <v>200</v>
      </c>
      <c r="O1133" t="inlineStr">
        <is>
          <t>GST Free Income</t>
        </is>
      </c>
      <c r="P1133" t="inlineStr">
        <is>
          <t>R11</t>
        </is>
      </c>
      <c r="Q1133" t="inlineStr">
        <is>
          <t>MAT-RF</t>
        </is>
      </c>
      <c r="R1133">
        <f>IF(OR(Q1133="CONTEXT",Q1133="REVIEW"),"",INDEX('Category Rules'!$D$5:$D$17,MATCH(P1133,'Category Rules'!$A$5:$A$17,0)))</f>
        <v>4030</v>
      </c>
      <c r="S1133" t="str">
        <f>IF(Q1133="CONTEXT","Roofing",IF(Q1133="REVIEW","",INDEX('Category Rules'!$E$5:$E$17,MATCH(P1133,'Category Rules'!$A$5:$A$17,0))))</f>
        <v>Roofing</v>
      </c>
      <c r="T1133" t="str">
        <f>IF(Q1133="DEP","BAS Excluded","GST on Income")</f>
        <v>GST on Income</v>
      </c>
      <c r="U1133">
        <f>IF(O1133=T1133,1,0)</f>
        <v>0</v>
      </c>
      <c r="V1133" s="9">
        <f>IF(OR(M1133=0,U1133=1),0,IF(T1133="GST on Income",ROUND(K1133*0.1,2),ROUND(-K1133*0.1,2)))</f>
        <v>119.91</v>
      </c>
    </row>
    <row r="1134">
      <c r="A1134" t="inlineStr">
        <is>
          <t>INV-4400-1</t>
        </is>
      </c>
      <c r="B1134" t="inlineStr">
        <is>
          <t>INV-4400</t>
        </is>
      </c>
      <c r="C1134" s="11" t="n">
        <v>46014</v>
      </c>
      <c r="D1134" t="inlineStr">
        <is>
          <t>2025-12</t>
        </is>
      </c>
      <c r="E1134" t="inlineStr">
        <is>
          <t>C0119</t>
        </is>
      </c>
      <c r="F1134" t="inlineStr">
        <is>
          <t>C0119</t>
        </is>
      </c>
      <c r="G1134" t="inlineStr">
        <is>
          <t>Northgate Builders Pty Ltd</t>
        </is>
      </c>
      <c r="H1134" t="inlineStr">
        <is>
          <t>S0062</t>
        </is>
      </c>
      <c r="I1134" t="inlineStr">
        <is>
          <t>Temporary fence hire 4 wks (25/11/25-22/12/25) - 135 panels</t>
        </is>
      </c>
      <c r="J1134" t="n">
        <v>540</v>
      </c>
      <c r="K1134" s="9" t="n">
        <v>2430</v>
      </c>
      <c r="L1134" t="inlineStr">
        <is>
          <t>PAID</t>
        </is>
      </c>
      <c r="M1134">
        <f>IF(L1134="VOIDED",0,1)</f>
        <v>1</v>
      </c>
      <c r="N1134" t="n">
        <v>200</v>
      </c>
      <c r="O1134" t="inlineStr">
        <is>
          <t>GST on Income</t>
        </is>
      </c>
      <c r="P1134" t="inlineStr">
        <is>
          <t>R03</t>
        </is>
      </c>
      <c r="Q1134" t="inlineStr">
        <is>
          <t>HIRE-FP</t>
        </is>
      </c>
      <c r="R1134">
        <f>IF(OR(Q1134="CONTEXT",Q1134="REVIEW"),"",INDEX('Category Rules'!$D$5:$D$17,MATCH(P1134,'Category Rules'!$A$5:$A$17,0)))</f>
        <v>4010</v>
      </c>
      <c r="S1134" t="str">
        <f>IF(Q1134="CONTEXT","Fencing",IF(Q1134="REVIEW","",INDEX('Category Rules'!$E$5:$E$17,MATCH(P1134,'Category Rules'!$A$5:$A$17,0))))</f>
        <v>Fencing</v>
      </c>
      <c r="T1134" t="str">
        <f>IF(Q1134="DEP","BAS Excluded","GST on Income")</f>
        <v>GST on Income</v>
      </c>
      <c r="U1134">
        <f>IF(O1134=T1134,1,0)</f>
        <v>1</v>
      </c>
      <c r="V1134" s="9">
        <f>IF(OR(M1134=0,U1134=1),0,IF(T1134="GST on Income",ROUND(K1134*0.1,2),ROUND(-K1134*0.1,2)))</f>
        <v>0</v>
      </c>
    </row>
    <row r="1135">
      <c r="A1135" t="inlineStr">
        <is>
          <t>INV-4409-1</t>
        </is>
      </c>
      <c r="B1135" t="inlineStr">
        <is>
          <t>INV-4409</t>
        </is>
      </c>
      <c r="C1135" s="11" t="n">
        <v>46014</v>
      </c>
      <c r="D1135" t="inlineStr">
        <is>
          <t>2025-12</t>
        </is>
      </c>
      <c r="E1135" t="inlineStr">
        <is>
          <t>C0119</t>
        </is>
      </c>
      <c r="F1135" t="inlineStr">
        <is>
          <t>C0119</t>
        </is>
      </c>
      <c r="G1135" t="inlineStr">
        <is>
          <t>Northgate Builders Pty Ltd</t>
        </is>
      </c>
      <c r="H1135" t="inlineStr">
        <is>
          <t>S0062</t>
        </is>
      </c>
      <c r="I1135" t="inlineStr">
        <is>
          <t>Pedestrian barrier hire 4 wks (25/11/25-22/12/25) - 19 barriers</t>
        </is>
      </c>
      <c r="J1135" t="n">
        <v>76</v>
      </c>
      <c r="K1135" s="9" t="n">
        <v>243.2</v>
      </c>
      <c r="L1135" t="inlineStr">
        <is>
          <t>PAID</t>
        </is>
      </c>
      <c r="M1135">
        <f>IF(L1135="VOIDED",0,1)</f>
        <v>1</v>
      </c>
      <c r="N1135" t="n">
        <v>200</v>
      </c>
      <c r="O1135" t="inlineStr">
        <is>
          <t>GST on Income</t>
        </is>
      </c>
      <c r="P1135" t="inlineStr">
        <is>
          <t>R04</t>
        </is>
      </c>
      <c r="Q1135" t="inlineStr">
        <is>
          <t>HIRE-BR</t>
        </is>
      </c>
      <c r="R1135">
        <f>IF(OR(Q1135="CONTEXT",Q1135="REVIEW"),"",INDEX('Category Rules'!$D$5:$D$17,MATCH(P1135,'Category Rules'!$A$5:$A$17,0)))</f>
        <v>4010</v>
      </c>
      <c r="S1135" t="str">
        <f>IF(Q1135="CONTEXT","Fencing",IF(Q1135="REVIEW","",INDEX('Category Rules'!$E$5:$E$17,MATCH(P1135,'Category Rules'!$A$5:$A$17,0))))</f>
        <v>Fencing</v>
      </c>
      <c r="T1135" t="str">
        <f>IF(Q1135="DEP","BAS Excluded","GST on Income")</f>
        <v>GST on Income</v>
      </c>
      <c r="U1135">
        <f>IF(O1135=T1135,1,0)</f>
        <v>1</v>
      </c>
      <c r="V1135" s="9">
        <f>IF(OR(M1135=0,U1135=1),0,IF(T1135="GST on Income",ROUND(K1135*0.1,2),ROUND(-K1135*0.1,2)))</f>
        <v>0</v>
      </c>
    </row>
    <row r="1136">
      <c r="A1136" t="inlineStr">
        <is>
          <t>INV-5057-1</t>
        </is>
      </c>
      <c r="B1136" t="inlineStr">
        <is>
          <t>INV-5057</t>
        </is>
      </c>
      <c r="C1136" s="11" t="n">
        <v>46014</v>
      </c>
      <c r="D1136" t="inlineStr">
        <is>
          <t>2025-12</t>
        </is>
      </c>
      <c r="E1136" t="inlineStr">
        <is>
          <t>C0025</t>
        </is>
      </c>
      <c r="F1136" t="inlineStr">
        <is>
          <t>C0025</t>
        </is>
      </c>
      <c r="G1136" t="inlineStr">
        <is>
          <t>Silverleaf Building Group Pty Ltd</t>
        </is>
      </c>
      <c r="H1136" t="inlineStr">
        <is>
          <t>S0205</t>
        </is>
      </c>
      <c r="I1136" t="inlineStr">
        <is>
          <t>Temporary fence hire 4 wks (25/11/25-22/12/25) - 77 panels</t>
        </is>
      </c>
      <c r="J1136" t="n">
        <v>308</v>
      </c>
      <c r="K1136" s="9" t="n">
        <v>1386</v>
      </c>
      <c r="L1136" t="inlineStr">
        <is>
          <t>PAID</t>
        </is>
      </c>
      <c r="M1136">
        <f>IF(L1136="VOIDED",0,1)</f>
        <v>1</v>
      </c>
      <c r="N1136" t="n">
        <v>200</v>
      </c>
      <c r="O1136" t="inlineStr">
        <is>
          <t>GST on Income</t>
        </is>
      </c>
      <c r="P1136" t="inlineStr">
        <is>
          <t>R03</t>
        </is>
      </c>
      <c r="Q1136" t="inlineStr">
        <is>
          <t>HIRE-FP</t>
        </is>
      </c>
      <c r="R1136">
        <f>IF(OR(Q1136="CONTEXT",Q1136="REVIEW"),"",INDEX('Category Rules'!$D$5:$D$17,MATCH(P1136,'Category Rules'!$A$5:$A$17,0)))</f>
        <v>4010</v>
      </c>
      <c r="S1136" t="str">
        <f>IF(Q1136="CONTEXT","Fencing",IF(Q1136="REVIEW","",INDEX('Category Rules'!$E$5:$E$17,MATCH(P1136,'Category Rules'!$A$5:$A$17,0))))</f>
        <v>Fencing</v>
      </c>
      <c r="T1136" t="str">
        <f>IF(Q1136="DEP","BAS Excluded","GST on Income")</f>
        <v>GST on Income</v>
      </c>
      <c r="U1136">
        <f>IF(O1136=T1136,1,0)</f>
        <v>1</v>
      </c>
      <c r="V1136" s="9">
        <f>IF(OR(M1136=0,U1136=1),0,IF(T1136="GST on Income",ROUND(K1136*0.1,2),ROUND(-K1136*0.1,2)))</f>
        <v>0</v>
      </c>
    </row>
    <row r="1137">
      <c r="A1137" t="inlineStr">
        <is>
          <t>INV-5326-1</t>
        </is>
      </c>
      <c r="B1137" t="inlineStr">
        <is>
          <t>INV-5326</t>
        </is>
      </c>
      <c r="C1137" s="11" t="n">
        <v>46014</v>
      </c>
      <c r="D1137" t="inlineStr">
        <is>
          <t>2025-12</t>
        </is>
      </c>
      <c r="E1137" t="inlineStr">
        <is>
          <t>C0019</t>
        </is>
      </c>
      <c r="F1137" t="inlineStr">
        <is>
          <t>C0019</t>
        </is>
      </c>
      <c r="G1137" t="inlineStr">
        <is>
          <t>Metro Developments</t>
        </is>
      </c>
      <c r="H1137" t="inlineStr">
        <is>
          <t>S0265</t>
        </is>
      </c>
      <c r="I1137" t="inlineStr">
        <is>
          <t>Scaffold erect - 1 tower(s)</t>
        </is>
      </c>
      <c r="J1137" t="n">
        <v>1</v>
      </c>
      <c r="K1137" s="9" t="n">
        <v>420</v>
      </c>
      <c r="L1137" t="inlineStr">
        <is>
          <t>PAID</t>
        </is>
      </c>
      <c r="M1137">
        <f>IF(L1137="VOIDED",0,1)</f>
        <v>1</v>
      </c>
      <c r="N1137" t="n">
        <v>200</v>
      </c>
      <c r="O1137" t="inlineStr">
        <is>
          <t>GST on Income</t>
        </is>
      </c>
      <c r="P1137" t="inlineStr">
        <is>
          <t>R08</t>
        </is>
      </c>
      <c r="Q1137" t="inlineStr">
        <is>
          <t>LAB-ST</t>
        </is>
      </c>
      <c r="R1137">
        <f>IF(OR(Q1137="CONTEXT",Q1137="REVIEW"),"",INDEX('Category Rules'!$D$5:$D$17,MATCH(P1137,'Category Rules'!$A$5:$A$17,0)))</f>
        <v>4020</v>
      </c>
      <c r="S1137" t="str">
        <f>IF(Q1137="CONTEXT","Scaffolding",IF(Q1137="REVIEW","",INDEX('Category Rules'!$E$5:$E$17,MATCH(P1137,'Category Rules'!$A$5:$A$17,0))))</f>
        <v>Scaffolding</v>
      </c>
      <c r="T1137" t="str">
        <f>IF(Q1137="DEP","BAS Excluded","GST on Income")</f>
        <v>GST on Income</v>
      </c>
      <c r="U1137">
        <f>IF(O1137=T1137,1,0)</f>
        <v>1</v>
      </c>
      <c r="V1137" s="9">
        <f>IF(OR(M1137=0,U1137=1),0,IF(T1137="GST on Income",ROUND(K1137*0.1,2),ROUND(-K1137*0.1,2)))</f>
        <v>0</v>
      </c>
    </row>
    <row r="1138">
      <c r="A1138" t="inlineStr">
        <is>
          <t>INV-5631-1</t>
        </is>
      </c>
      <c r="B1138" t="inlineStr">
        <is>
          <t>INV-5631</t>
        </is>
      </c>
      <c r="C1138" s="11" t="n">
        <v>46014</v>
      </c>
      <c r="D1138" t="inlineStr">
        <is>
          <t>2025-12</t>
        </is>
      </c>
      <c r="E1138" t="inlineStr">
        <is>
          <t>C0033</t>
        </is>
      </c>
      <c r="F1138" t="inlineStr">
        <is>
          <t>C0033</t>
        </is>
      </c>
      <c r="G1138" t="inlineStr">
        <is>
          <t>Granite Projects Pty Ltd</t>
        </is>
      </c>
      <c r="H1138" t="inlineStr">
        <is>
          <t>S0396</t>
        </is>
      </c>
      <c r="I1138" t="inlineStr">
        <is>
          <t>Roof repair labour - 24 hrs</t>
        </is>
      </c>
      <c r="J1138" t="n">
        <v>24</v>
      </c>
      <c r="K1138" s="9" t="n">
        <v>2352</v>
      </c>
      <c r="L1138" t="inlineStr">
        <is>
          <t>PAID</t>
        </is>
      </c>
      <c r="M1138">
        <f>IF(L1138="VOIDED",0,1)</f>
        <v>1</v>
      </c>
      <c r="N1138" t="n">
        <v>200</v>
      </c>
      <c r="O1138" t="inlineStr">
        <is>
          <t>GST on Income</t>
        </is>
      </c>
      <c r="P1138" t="inlineStr">
        <is>
          <t>R10</t>
        </is>
      </c>
      <c r="Q1138" t="inlineStr">
        <is>
          <t>LAB-RF</t>
        </is>
      </c>
      <c r="R1138">
        <f>IF(OR(Q1138="CONTEXT",Q1138="REVIEW"),"",INDEX('Category Rules'!$D$5:$D$17,MATCH(P1138,'Category Rules'!$A$5:$A$17,0)))</f>
        <v>4020</v>
      </c>
      <c r="S1138" t="str">
        <f>IF(Q1138="CONTEXT","Roofing",IF(Q1138="REVIEW","",INDEX('Category Rules'!$E$5:$E$17,MATCH(P1138,'Category Rules'!$A$5:$A$17,0))))</f>
        <v>Roofing</v>
      </c>
      <c r="T1138" t="str">
        <f>IF(Q1138="DEP","BAS Excluded","GST on Income")</f>
        <v>GST on Income</v>
      </c>
      <c r="U1138">
        <f>IF(O1138=T1138,1,0)</f>
        <v>1</v>
      </c>
      <c r="V1138" s="9">
        <f>IF(OR(M1138=0,U1138=1),0,IF(T1138="GST on Income",ROUND(K1138*0.1,2),ROUND(-K1138*0.1,2)))</f>
        <v>0</v>
      </c>
    </row>
    <row r="1139">
      <c r="A1139" t="inlineStr">
        <is>
          <t>INV-5631-2</t>
        </is>
      </c>
      <c r="B1139" t="inlineStr">
        <is>
          <t>INV-5631</t>
        </is>
      </c>
      <c r="C1139" s="11" t="n">
        <v>46014</v>
      </c>
      <c r="D1139" t="inlineStr">
        <is>
          <t>2025-12</t>
        </is>
      </c>
      <c r="E1139" t="inlineStr">
        <is>
          <t>C0033</t>
        </is>
      </c>
      <c r="F1139" t="inlineStr">
        <is>
          <t>C0033</t>
        </is>
      </c>
      <c r="G1139" t="inlineStr">
        <is>
          <t>Granite Projects Pty Ltd</t>
        </is>
      </c>
      <c r="H1139" t="inlineStr">
        <is>
          <t>S0396</t>
        </is>
      </c>
      <c r="I1139" t="inlineStr">
        <is>
          <t>Materials - roof tiles (matched)</t>
        </is>
      </c>
      <c r="J1139" t="n">
        <v>1</v>
      </c>
      <c r="K1139" s="9" t="n">
        <v>915.6900000000001</v>
      </c>
      <c r="L1139" t="inlineStr">
        <is>
          <t>PAID</t>
        </is>
      </c>
      <c r="M1139">
        <f>IF(L1139="VOIDED",0,1)</f>
        <v>1</v>
      </c>
      <c r="N1139" t="n">
        <v>260</v>
      </c>
      <c r="O1139" t="inlineStr">
        <is>
          <t>GST on Income</t>
        </is>
      </c>
      <c r="P1139" t="inlineStr">
        <is>
          <t>R11</t>
        </is>
      </c>
      <c r="Q1139" t="inlineStr">
        <is>
          <t>MAT-RF</t>
        </is>
      </c>
      <c r="R1139">
        <f>IF(OR(Q1139="CONTEXT",Q1139="REVIEW"),"",INDEX('Category Rules'!$D$5:$D$17,MATCH(P1139,'Category Rules'!$A$5:$A$17,0)))</f>
        <v>4030</v>
      </c>
      <c r="S1139" t="str">
        <f>IF(Q1139="CONTEXT","Roofing",IF(Q1139="REVIEW","",INDEX('Category Rules'!$E$5:$E$17,MATCH(P1139,'Category Rules'!$A$5:$A$17,0))))</f>
        <v>Roofing</v>
      </c>
      <c r="T1139" t="str">
        <f>IF(Q1139="DEP","BAS Excluded","GST on Income")</f>
        <v>GST on Income</v>
      </c>
      <c r="U1139">
        <f>IF(O1139=T1139,1,0)</f>
        <v>1</v>
      </c>
      <c r="V1139" s="9">
        <f>IF(OR(M1139=0,U1139=1),0,IF(T1139="GST on Income",ROUND(K1139*0.1,2),ROUND(-K1139*0.1,2)))</f>
        <v>0</v>
      </c>
    </row>
    <row r="1140">
      <c r="A1140" t="inlineStr">
        <is>
          <t>INV-5757-1</t>
        </is>
      </c>
      <c r="B1140" t="inlineStr">
        <is>
          <t>INV-5757</t>
        </is>
      </c>
      <c r="C1140" s="11" t="n">
        <v>46014</v>
      </c>
      <c r="D1140" t="inlineStr">
        <is>
          <t>2025-12</t>
        </is>
      </c>
      <c r="E1140" t="inlineStr">
        <is>
          <t>C0065</t>
        </is>
      </c>
      <c r="F1140" t="inlineStr">
        <is>
          <t>C0065</t>
        </is>
      </c>
      <c r="G1140" t="inlineStr">
        <is>
          <t>Stonebridge Claims Services</t>
        </is>
      </c>
      <c r="H1140" t="inlineStr">
        <is>
          <t>S0465</t>
        </is>
      </c>
      <c r="I1140" t="inlineStr">
        <is>
          <t>Roof repair labour - 24 hrs</t>
        </is>
      </c>
      <c r="J1140" t="n">
        <v>24</v>
      </c>
      <c r="K1140" s="9" t="n">
        <v>2352</v>
      </c>
      <c r="L1140" t="inlineStr">
        <is>
          <t>PAID</t>
        </is>
      </c>
      <c r="M1140">
        <f>IF(L1140="VOIDED",0,1)</f>
        <v>1</v>
      </c>
      <c r="N1140" t="n">
        <v>200</v>
      </c>
      <c r="O1140" t="inlineStr">
        <is>
          <t>GST on Income</t>
        </is>
      </c>
      <c r="P1140" t="inlineStr">
        <is>
          <t>R10</t>
        </is>
      </c>
      <c r="Q1140" t="inlineStr">
        <is>
          <t>LAB-RF</t>
        </is>
      </c>
      <c r="R1140">
        <f>IF(OR(Q1140="CONTEXT",Q1140="REVIEW"),"",INDEX('Category Rules'!$D$5:$D$17,MATCH(P1140,'Category Rules'!$A$5:$A$17,0)))</f>
        <v>4020</v>
      </c>
      <c r="S1140" t="str">
        <f>IF(Q1140="CONTEXT","Roofing",IF(Q1140="REVIEW","",INDEX('Category Rules'!$E$5:$E$17,MATCH(P1140,'Category Rules'!$A$5:$A$17,0))))</f>
        <v>Roofing</v>
      </c>
      <c r="T1140" t="str">
        <f>IF(Q1140="DEP","BAS Excluded","GST on Income")</f>
        <v>GST on Income</v>
      </c>
      <c r="U1140">
        <f>IF(O1140=T1140,1,0)</f>
        <v>1</v>
      </c>
      <c r="V1140" s="9">
        <f>IF(OR(M1140=0,U1140=1),0,IF(T1140="GST on Income",ROUND(K1140*0.1,2),ROUND(-K1140*0.1,2)))</f>
        <v>0</v>
      </c>
    </row>
    <row r="1141">
      <c r="A1141" t="inlineStr">
        <is>
          <t>INV-5757-2</t>
        </is>
      </c>
      <c r="B1141" t="inlineStr">
        <is>
          <t>INV-5757</t>
        </is>
      </c>
      <c r="C1141" s="11" t="n">
        <v>46014</v>
      </c>
      <c r="D1141" t="inlineStr">
        <is>
          <t>2025-12</t>
        </is>
      </c>
      <c r="E1141" t="inlineStr">
        <is>
          <t>C0065</t>
        </is>
      </c>
      <c r="F1141" t="inlineStr">
        <is>
          <t>C0065</t>
        </is>
      </c>
      <c r="G1141" t="inlineStr">
        <is>
          <t>Stonebridge Claims Services</t>
        </is>
      </c>
      <c r="H1141" t="inlineStr">
        <is>
          <t>S0465</t>
        </is>
      </c>
      <c r="I1141" t="inlineStr">
        <is>
          <t>Materials - roof tiles (matched)</t>
        </is>
      </c>
      <c r="J1141" t="n">
        <v>1</v>
      </c>
      <c r="K1141" s="9" t="n">
        <v>328.74</v>
      </c>
      <c r="L1141" t="inlineStr">
        <is>
          <t>PAID</t>
        </is>
      </c>
      <c r="M1141">
        <f>IF(L1141="VOIDED",0,1)</f>
        <v>1</v>
      </c>
      <c r="N1141" t="n">
        <v>200</v>
      </c>
      <c r="O1141" t="inlineStr">
        <is>
          <t>GST on Income</t>
        </is>
      </c>
      <c r="P1141" t="inlineStr">
        <is>
          <t>R11</t>
        </is>
      </c>
      <c r="Q1141" t="inlineStr">
        <is>
          <t>MAT-RF</t>
        </is>
      </c>
      <c r="R1141">
        <f>IF(OR(Q1141="CONTEXT",Q1141="REVIEW"),"",INDEX('Category Rules'!$D$5:$D$17,MATCH(P1141,'Category Rules'!$A$5:$A$17,0)))</f>
        <v>4030</v>
      </c>
      <c r="S1141" t="str">
        <f>IF(Q1141="CONTEXT","Roofing",IF(Q1141="REVIEW","",INDEX('Category Rules'!$E$5:$E$17,MATCH(P1141,'Category Rules'!$A$5:$A$17,0))))</f>
        <v>Roofing</v>
      </c>
      <c r="T1141" t="str">
        <f>IF(Q1141="DEP","BAS Excluded","GST on Income")</f>
        <v>GST on Income</v>
      </c>
      <c r="U1141">
        <f>IF(O1141=T1141,1,0)</f>
        <v>1</v>
      </c>
      <c r="V1141" s="9">
        <f>IF(OR(M1141=0,U1141=1),0,IF(T1141="GST on Income",ROUND(K1141*0.1,2),ROUND(-K1141*0.1,2)))</f>
        <v>0</v>
      </c>
    </row>
    <row r="1142">
      <c r="A1142" t="inlineStr">
        <is>
          <t>INV-5757-3</t>
        </is>
      </c>
      <c r="B1142" t="inlineStr">
        <is>
          <t>INV-5757</t>
        </is>
      </c>
      <c r="C1142" s="11" t="n">
        <v>46014</v>
      </c>
      <c r="D1142" t="inlineStr">
        <is>
          <t>2025-12</t>
        </is>
      </c>
      <c r="E1142" t="inlineStr">
        <is>
          <t>C0065</t>
        </is>
      </c>
      <c r="F1142" t="inlineStr">
        <is>
          <t>C0065</t>
        </is>
      </c>
      <c r="G1142" t="inlineStr">
        <is>
          <t>Stonebridge Claims Services</t>
        </is>
      </c>
      <c r="H1142" t="inlineStr">
        <is>
          <t>S0465</t>
        </is>
      </c>
      <c r="I1142" t="inlineStr">
        <is>
          <t>Waste removal and tip fees</t>
        </is>
      </c>
      <c r="J1142" t="n">
        <v>1</v>
      </c>
      <c r="K1142" s="9" t="n">
        <v>120</v>
      </c>
      <c r="L1142" t="inlineStr">
        <is>
          <t>PAID</t>
        </is>
      </c>
      <c r="M1142">
        <f>IF(L1142="VOIDED",0,1)</f>
        <v>1</v>
      </c>
      <c r="N1142" t="n">
        <v>260</v>
      </c>
      <c r="O1142" t="inlineStr">
        <is>
          <t>GST on Income</t>
        </is>
      </c>
      <c r="P1142" t="inlineStr">
        <is>
          <t>R11</t>
        </is>
      </c>
      <c r="Q1142" t="inlineStr">
        <is>
          <t>MAT-RF</t>
        </is>
      </c>
      <c r="R1142">
        <f>IF(OR(Q1142="CONTEXT",Q1142="REVIEW"),"",INDEX('Category Rules'!$D$5:$D$17,MATCH(P1142,'Category Rules'!$A$5:$A$17,0)))</f>
        <v>4030</v>
      </c>
      <c r="S1142" t="str">
        <f>IF(Q1142="CONTEXT","Roofing",IF(Q1142="REVIEW","",INDEX('Category Rules'!$E$5:$E$17,MATCH(P1142,'Category Rules'!$A$5:$A$17,0))))</f>
        <v>Roofing</v>
      </c>
      <c r="T1142" t="str">
        <f>IF(Q1142="DEP","BAS Excluded","GST on Income")</f>
        <v>GST on Income</v>
      </c>
      <c r="U1142">
        <f>IF(O1142=T1142,1,0)</f>
        <v>1</v>
      </c>
      <c r="V1142" s="9">
        <f>IF(OR(M1142=0,U1142=1),0,IF(T1142="GST on Income",ROUND(K1142*0.1,2),ROUND(-K1142*0.1,2)))</f>
        <v>0</v>
      </c>
    </row>
    <row r="1143">
      <c r="A1143" t="inlineStr">
        <is>
          <t>CN-5950-1</t>
        </is>
      </c>
      <c r="B1143" t="inlineStr">
        <is>
          <t>CN-5950</t>
        </is>
      </c>
      <c r="C1143" s="11" t="n">
        <v>46015</v>
      </c>
      <c r="D1143" t="inlineStr">
        <is>
          <t>2025-12</t>
        </is>
      </c>
      <c r="E1143" t="inlineStr">
        <is>
          <t>C0033</t>
        </is>
      </c>
      <c r="F1143" t="inlineStr">
        <is>
          <t>C0033</t>
        </is>
      </c>
      <c r="G1143" t="inlineStr">
        <is>
          <t>Granite Projects Pty Ltd</t>
        </is>
      </c>
      <c r="H1143" t="inlineStr">
        <is>
          <t>S0020</t>
        </is>
      </c>
      <c r="I1143" t="inlineStr">
        <is>
          <t>Refund of security deposit - fence panels</t>
        </is>
      </c>
      <c r="J1143" t="n">
        <v>1</v>
      </c>
      <c r="K1143" s="9" t="n">
        <v>-720</v>
      </c>
      <c r="L1143" t="inlineStr">
        <is>
          <t>PAID</t>
        </is>
      </c>
      <c r="M1143">
        <f>IF(L1143="VOIDED",0,1)</f>
        <v>1</v>
      </c>
      <c r="N1143" t="n">
        <v>200</v>
      </c>
      <c r="O1143" t="inlineStr">
        <is>
          <t>GST on Income</t>
        </is>
      </c>
      <c r="P1143" t="inlineStr">
        <is>
          <t>R01</t>
        </is>
      </c>
      <c r="Q1143" t="inlineStr">
        <is>
          <t>DEP</t>
        </is>
      </c>
      <c r="R1143">
        <f>IF(OR(Q1143="CONTEXT",Q1143="REVIEW"),"",INDEX('Category Rules'!$D$5:$D$17,MATCH(P1143,'Category Rules'!$A$5:$A$17,0)))</f>
        <v>835</v>
      </c>
      <c r="S1143" t="str">
        <f>IF(Q1143="CONTEXT","Fencing",IF(Q1143="REVIEW","",INDEX('Category Rules'!$E$5:$E$17,MATCH(P1143,'Category Rules'!$A$5:$A$17,0))))</f>
        <v>Fencing</v>
      </c>
      <c r="T1143" t="str">
        <f>IF(Q1143="DEP","BAS Excluded","GST on Income")</f>
        <v>BAS Excluded</v>
      </c>
      <c r="U1143">
        <f>IF(O1143=T1143,1,0)</f>
        <v>0</v>
      </c>
      <c r="V1143" s="9">
        <f>IF(OR(M1143=0,U1143=1),0,IF(T1143="GST on Income",ROUND(K1143*0.1,2),ROUND(-K1143*0.1,2)))</f>
        <v>72</v>
      </c>
    </row>
    <row r="1144">
      <c r="A1144" t="inlineStr">
        <is>
          <t>INV-4114-1</t>
        </is>
      </c>
      <c r="B1144" t="inlineStr">
        <is>
          <t>INV-4114</t>
        </is>
      </c>
      <c r="C1144" s="11" t="n">
        <v>46015</v>
      </c>
      <c r="D1144" t="inlineStr">
        <is>
          <t>2025-12</t>
        </is>
      </c>
      <c r="E1144" t="inlineStr">
        <is>
          <t>C0148</t>
        </is>
      </c>
      <c r="F1144" t="inlineStr">
        <is>
          <t>C0042</t>
        </is>
      </c>
      <c r="G1144" t="inlineStr">
        <is>
          <t>Lakeside Constructions Pty Ltd</t>
        </is>
      </c>
      <c r="H1144" t="inlineStr">
        <is>
          <t>S0003</t>
        </is>
      </c>
      <c r="I1144" t="inlineStr">
        <is>
          <t>Temporary fence hire 1 wks (20/12/25-23/12/25) - 152 panels</t>
        </is>
      </c>
      <c r="J1144" t="n">
        <v>152</v>
      </c>
      <c r="K1144" s="9" t="n">
        <v>684</v>
      </c>
      <c r="L1144" t="inlineStr">
        <is>
          <t>PAID</t>
        </is>
      </c>
      <c r="M1144">
        <f>IF(L1144="VOIDED",0,1)</f>
        <v>1</v>
      </c>
      <c r="N1144" t="n">
        <v>200</v>
      </c>
      <c r="O1144" t="inlineStr">
        <is>
          <t>GST on Income</t>
        </is>
      </c>
      <c r="P1144" t="inlineStr">
        <is>
          <t>R03</t>
        </is>
      </c>
      <c r="Q1144" t="inlineStr">
        <is>
          <t>HIRE-FP</t>
        </is>
      </c>
      <c r="R1144">
        <f>IF(OR(Q1144="CONTEXT",Q1144="REVIEW"),"",INDEX('Category Rules'!$D$5:$D$17,MATCH(P1144,'Category Rules'!$A$5:$A$17,0)))</f>
        <v>4010</v>
      </c>
      <c r="S1144" t="str">
        <f>IF(Q1144="CONTEXT","Fencing",IF(Q1144="REVIEW","",INDEX('Category Rules'!$E$5:$E$17,MATCH(P1144,'Category Rules'!$A$5:$A$17,0))))</f>
        <v>Fencing</v>
      </c>
      <c r="T1144" t="str">
        <f>IF(Q1144="DEP","BAS Excluded","GST on Income")</f>
        <v>GST on Income</v>
      </c>
      <c r="U1144">
        <f>IF(O1144=T1144,1,0)</f>
        <v>1</v>
      </c>
      <c r="V1144" s="9">
        <f>IF(OR(M1144=0,U1144=1),0,IF(T1144="GST on Income",ROUND(K1144*0.1,2),ROUND(-K1144*0.1,2)))</f>
        <v>0</v>
      </c>
    </row>
    <row r="1145">
      <c r="A1145" t="inlineStr">
        <is>
          <t>INV-4116-1</t>
        </is>
      </c>
      <c r="B1145" t="inlineStr">
        <is>
          <t>INV-4116</t>
        </is>
      </c>
      <c r="C1145" s="11" t="n">
        <v>46015</v>
      </c>
      <c r="D1145" t="inlineStr">
        <is>
          <t>2025-12</t>
        </is>
      </c>
      <c r="E1145" t="inlineStr">
        <is>
          <t>C0042</t>
        </is>
      </c>
      <c r="F1145" t="inlineStr">
        <is>
          <t>C0042</t>
        </is>
      </c>
      <c r="G1145" t="inlineStr">
        <is>
          <t>Lakeside Constructions Pty Ltd</t>
        </is>
      </c>
      <c r="H1145" t="inlineStr">
        <is>
          <t>S0003</t>
        </is>
      </c>
      <c r="I1145" t="inlineStr">
        <is>
          <t>Collection and dismantle - temporary fencing</t>
        </is>
      </c>
      <c r="J1145" t="n">
        <v>1</v>
      </c>
      <c r="K1145" s="9" t="n">
        <v>165</v>
      </c>
      <c r="L1145" t="inlineStr">
        <is>
          <t>PAID</t>
        </is>
      </c>
      <c r="M1145">
        <f>IF(L1145="VOIDED",0,1)</f>
        <v>1</v>
      </c>
      <c r="N1145" t="n">
        <v>200</v>
      </c>
      <c r="O1145" t="inlineStr">
        <is>
          <t>GST on Income</t>
        </is>
      </c>
      <c r="P1145" t="inlineStr">
        <is>
          <t>R07</t>
        </is>
      </c>
      <c r="Q1145" t="inlineStr">
        <is>
          <t>DEL-FP</t>
        </is>
      </c>
      <c r="R1145">
        <f>IF(OR(Q1145="CONTEXT",Q1145="REVIEW"),"",INDEX('Category Rules'!$D$5:$D$17,MATCH(P1145,'Category Rules'!$A$5:$A$17,0)))</f>
        <v>4020</v>
      </c>
      <c r="S1145" t="str">
        <f>IF(Q1145="CONTEXT","Fencing",IF(Q1145="REVIEW","",INDEX('Category Rules'!$E$5:$E$17,MATCH(P1145,'Category Rules'!$A$5:$A$17,0))))</f>
        <v>Fencing</v>
      </c>
      <c r="T1145" t="str">
        <f>IF(Q1145="DEP","BAS Excluded","GST on Income")</f>
        <v>GST on Income</v>
      </c>
      <c r="U1145">
        <f>IF(O1145=T1145,1,0)</f>
        <v>1</v>
      </c>
      <c r="V1145" s="9">
        <f>IF(OR(M1145=0,U1145=1),0,IF(T1145="GST on Income",ROUND(K1145*0.1,2),ROUND(-K1145*0.1,2)))</f>
        <v>0</v>
      </c>
    </row>
    <row r="1146">
      <c r="A1146" t="inlineStr">
        <is>
          <t>INV-4256-1</t>
        </is>
      </c>
      <c r="B1146" t="inlineStr">
        <is>
          <t>INV-4256</t>
        </is>
      </c>
      <c r="C1146" s="11" t="n">
        <v>46015</v>
      </c>
      <c r="D1146" t="inlineStr">
        <is>
          <t>2025-12</t>
        </is>
      </c>
      <c r="E1146" t="inlineStr">
        <is>
          <t>C0024</t>
        </is>
      </c>
      <c r="F1146" t="inlineStr">
        <is>
          <t>C0024</t>
        </is>
      </c>
      <c r="G1146" t="inlineStr">
        <is>
          <t>Parkview Homes Pty Ltd</t>
        </is>
      </c>
      <c r="H1146" t="inlineStr">
        <is>
          <t>S0034</t>
        </is>
      </c>
      <c r="I1146" t="inlineStr">
        <is>
          <t>Temporary fence hire 4 wks (26/11/25-23/12/25) - 28 panels</t>
        </is>
      </c>
      <c r="J1146" t="n">
        <v>112</v>
      </c>
      <c r="K1146" s="9" t="n">
        <v>504</v>
      </c>
      <c r="L1146" t="inlineStr">
        <is>
          <t>PAID</t>
        </is>
      </c>
      <c r="M1146">
        <f>IF(L1146="VOIDED",0,1)</f>
        <v>1</v>
      </c>
      <c r="N1146" t="n">
        <v>200</v>
      </c>
      <c r="O1146" t="inlineStr">
        <is>
          <t>GST on Income</t>
        </is>
      </c>
      <c r="P1146" t="inlineStr">
        <is>
          <t>R03</t>
        </is>
      </c>
      <c r="Q1146" t="inlineStr">
        <is>
          <t>HIRE-FP</t>
        </is>
      </c>
      <c r="R1146">
        <f>IF(OR(Q1146="CONTEXT",Q1146="REVIEW"),"",INDEX('Category Rules'!$D$5:$D$17,MATCH(P1146,'Category Rules'!$A$5:$A$17,0)))</f>
        <v>4010</v>
      </c>
      <c r="S1146" t="str">
        <f>IF(Q1146="CONTEXT","Fencing",IF(Q1146="REVIEW","",INDEX('Category Rules'!$E$5:$E$17,MATCH(P1146,'Category Rules'!$A$5:$A$17,0))))</f>
        <v>Fencing</v>
      </c>
      <c r="T1146" t="str">
        <f>IF(Q1146="DEP","BAS Excluded","GST on Income")</f>
        <v>GST on Income</v>
      </c>
      <c r="U1146">
        <f>IF(O1146=T1146,1,0)</f>
        <v>1</v>
      </c>
      <c r="V1146" s="9">
        <f>IF(OR(M1146=0,U1146=1),0,IF(T1146="GST on Income",ROUND(K1146*0.1,2),ROUND(-K1146*0.1,2)))</f>
        <v>0</v>
      </c>
    </row>
    <row r="1147">
      <c r="A1147" t="inlineStr">
        <is>
          <t>INV-4261-1</t>
        </is>
      </c>
      <c r="B1147" t="inlineStr">
        <is>
          <t>INV-4261</t>
        </is>
      </c>
      <c r="C1147" s="11" t="n">
        <v>46015</v>
      </c>
      <c r="D1147" t="inlineStr">
        <is>
          <t>2025-12</t>
        </is>
      </c>
      <c r="E1147" t="inlineStr">
        <is>
          <t>C0024</t>
        </is>
      </c>
      <c r="F1147" t="inlineStr">
        <is>
          <t>C0024</t>
        </is>
      </c>
      <c r="G1147" t="inlineStr">
        <is>
          <t>Parkview Homes Pty Ltd</t>
        </is>
      </c>
      <c r="H1147" t="inlineStr">
        <is>
          <t>S0034</t>
        </is>
      </c>
      <c r="I1147" t="inlineStr">
        <is>
          <t>Pedestrian barrier hire 4 wks (26/11/25-23/12/25) - 16 barriers</t>
        </is>
      </c>
      <c r="J1147" t="n">
        <v>64</v>
      </c>
      <c r="K1147" s="9" t="n">
        <v>204.8</v>
      </c>
      <c r="L1147" t="inlineStr">
        <is>
          <t>PAID</t>
        </is>
      </c>
      <c r="M1147">
        <f>IF(L1147="VOIDED",0,1)</f>
        <v>1</v>
      </c>
      <c r="N1147" t="n">
        <v>200</v>
      </c>
      <c r="O1147" t="inlineStr">
        <is>
          <t>BAS Excluded</t>
        </is>
      </c>
      <c r="P1147" t="inlineStr">
        <is>
          <t>R04</t>
        </is>
      </c>
      <c r="Q1147" t="inlineStr">
        <is>
          <t>HIRE-BR</t>
        </is>
      </c>
      <c r="R1147">
        <f>IF(OR(Q1147="CONTEXT",Q1147="REVIEW"),"",INDEX('Category Rules'!$D$5:$D$17,MATCH(P1147,'Category Rules'!$A$5:$A$17,0)))</f>
        <v>4010</v>
      </c>
      <c r="S1147" t="str">
        <f>IF(Q1147="CONTEXT","Fencing",IF(Q1147="REVIEW","",INDEX('Category Rules'!$E$5:$E$17,MATCH(P1147,'Category Rules'!$A$5:$A$17,0))))</f>
        <v>Fencing</v>
      </c>
      <c r="T1147" t="str">
        <f>IF(Q1147="DEP","BAS Excluded","GST on Income")</f>
        <v>GST on Income</v>
      </c>
      <c r="U1147">
        <f>IF(O1147=T1147,1,0)</f>
        <v>0</v>
      </c>
      <c r="V1147" s="9">
        <f>IF(OR(M1147=0,U1147=1),0,IF(T1147="GST on Income",ROUND(K1147*0.1,2),ROUND(-K1147*0.1,2)))</f>
        <v>20.48</v>
      </c>
    </row>
    <row r="1148">
      <c r="A1148" t="inlineStr">
        <is>
          <t>INV-4932-1</t>
        </is>
      </c>
      <c r="B1148" t="inlineStr">
        <is>
          <t>INV-4932</t>
        </is>
      </c>
      <c r="C1148" s="11" t="n">
        <v>46015</v>
      </c>
      <c r="D1148" t="inlineStr">
        <is>
          <t>2025-12</t>
        </is>
      </c>
      <c r="E1148" t="inlineStr">
        <is>
          <t>C0014</t>
        </is>
      </c>
      <c r="F1148" t="inlineStr">
        <is>
          <t>C0014</t>
        </is>
      </c>
      <c r="G1148" t="inlineStr">
        <is>
          <t>Riverbend Homes Pty Ltd</t>
        </is>
      </c>
      <c r="H1148" t="inlineStr">
        <is>
          <t>S0179</t>
        </is>
      </c>
      <c r="I1148" t="inlineStr">
        <is>
          <t>Temporary fence hire 4 wks (26/11/25-23/12/25) - 115 panels</t>
        </is>
      </c>
      <c r="J1148" t="n">
        <v>460</v>
      </c>
      <c r="K1148" s="9" t="n">
        <v>2070</v>
      </c>
      <c r="L1148" t="inlineStr">
        <is>
          <t>PAID</t>
        </is>
      </c>
      <c r="M1148">
        <f>IF(L1148="VOIDED",0,1)</f>
        <v>1</v>
      </c>
      <c r="N1148" t="n">
        <v>200</v>
      </c>
      <c r="O1148" t="inlineStr">
        <is>
          <t>GST on Income</t>
        </is>
      </c>
      <c r="P1148" t="inlineStr">
        <is>
          <t>R03</t>
        </is>
      </c>
      <c r="Q1148" t="inlineStr">
        <is>
          <t>HIRE-FP</t>
        </is>
      </c>
      <c r="R1148">
        <f>IF(OR(Q1148="CONTEXT",Q1148="REVIEW"),"",INDEX('Category Rules'!$D$5:$D$17,MATCH(P1148,'Category Rules'!$A$5:$A$17,0)))</f>
        <v>4010</v>
      </c>
      <c r="S1148" t="str">
        <f>IF(Q1148="CONTEXT","Fencing",IF(Q1148="REVIEW","",INDEX('Category Rules'!$E$5:$E$17,MATCH(P1148,'Category Rules'!$A$5:$A$17,0))))</f>
        <v>Fencing</v>
      </c>
      <c r="T1148" t="str">
        <f>IF(Q1148="DEP","BAS Excluded","GST on Income")</f>
        <v>GST on Income</v>
      </c>
      <c r="U1148">
        <f>IF(O1148=T1148,1,0)</f>
        <v>1</v>
      </c>
      <c r="V1148" s="9">
        <f>IF(OR(M1148=0,U1148=1),0,IF(T1148="GST on Income",ROUND(K1148*0.1,2),ROUND(-K1148*0.1,2)))</f>
        <v>0</v>
      </c>
    </row>
    <row r="1149">
      <c r="A1149" t="inlineStr">
        <is>
          <t>INV-4938-1</t>
        </is>
      </c>
      <c r="B1149" t="inlineStr">
        <is>
          <t>INV-4938</t>
        </is>
      </c>
      <c r="C1149" s="11" t="n">
        <v>46015</v>
      </c>
      <c r="D1149" t="inlineStr">
        <is>
          <t>2025-12</t>
        </is>
      </c>
      <c r="E1149" t="inlineStr">
        <is>
          <t>C0014</t>
        </is>
      </c>
      <c r="F1149" t="inlineStr">
        <is>
          <t>C0014</t>
        </is>
      </c>
      <c r="G1149" t="inlineStr">
        <is>
          <t>Riverbend Homes Pty Ltd</t>
        </is>
      </c>
      <c r="H1149" t="inlineStr">
        <is>
          <t>S0179</t>
        </is>
      </c>
      <c r="I1149" t="inlineStr">
        <is>
          <t>Pedestrian barrier hire 4 wks (26/11/25-23/12/25) - 9 barriers</t>
        </is>
      </c>
      <c r="J1149" t="n">
        <v>36</v>
      </c>
      <c r="K1149" s="9" t="n">
        <v>115.2</v>
      </c>
      <c r="L1149" t="inlineStr">
        <is>
          <t>PAID</t>
        </is>
      </c>
      <c r="M1149">
        <f>IF(L1149="VOIDED",0,1)</f>
        <v>1</v>
      </c>
      <c r="N1149" t="n">
        <v>200</v>
      </c>
      <c r="O1149" t="inlineStr">
        <is>
          <t>GST on Income</t>
        </is>
      </c>
      <c r="P1149" t="inlineStr">
        <is>
          <t>R04</t>
        </is>
      </c>
      <c r="Q1149" t="inlineStr">
        <is>
          <t>HIRE-BR</t>
        </is>
      </c>
      <c r="R1149">
        <f>IF(OR(Q1149="CONTEXT",Q1149="REVIEW"),"",INDEX('Category Rules'!$D$5:$D$17,MATCH(P1149,'Category Rules'!$A$5:$A$17,0)))</f>
        <v>4010</v>
      </c>
      <c r="S1149" t="str">
        <f>IF(Q1149="CONTEXT","Fencing",IF(Q1149="REVIEW","",INDEX('Category Rules'!$E$5:$E$17,MATCH(P1149,'Category Rules'!$A$5:$A$17,0))))</f>
        <v>Fencing</v>
      </c>
      <c r="T1149" t="str">
        <f>IF(Q1149="DEP","BAS Excluded","GST on Income")</f>
        <v>GST on Income</v>
      </c>
      <c r="U1149">
        <f>IF(O1149=T1149,1,0)</f>
        <v>1</v>
      </c>
      <c r="V1149" s="9">
        <f>IF(OR(M1149=0,U1149=1),0,IF(T1149="GST on Income",ROUND(K1149*0.1,2),ROUND(-K1149*0.1,2)))</f>
        <v>0</v>
      </c>
    </row>
    <row r="1150">
      <c r="A1150" t="inlineStr">
        <is>
          <t>INV-5140-1</t>
        </is>
      </c>
      <c r="B1150" t="inlineStr">
        <is>
          <t>INV-5140</t>
        </is>
      </c>
      <c r="C1150" s="11" t="n">
        <v>46015</v>
      </c>
      <c r="D1150" t="inlineStr">
        <is>
          <t>2025-12</t>
        </is>
      </c>
      <c r="E1150" t="inlineStr">
        <is>
          <t>C0020</t>
        </is>
      </c>
      <c r="F1150" t="inlineStr">
        <is>
          <t>C0020</t>
        </is>
      </c>
      <c r="G1150" t="inlineStr">
        <is>
          <t>Eastlink Constructions</t>
        </is>
      </c>
      <c r="H1150" t="inlineStr">
        <is>
          <t>S0222</t>
        </is>
      </c>
      <c r="I1150" t="inlineStr">
        <is>
          <t>Collection and dismantle - temporary fencing</t>
        </is>
      </c>
      <c r="J1150" t="n">
        <v>1</v>
      </c>
      <c r="K1150" s="9" t="n">
        <v>165</v>
      </c>
      <c r="L1150" t="inlineStr">
        <is>
          <t>PAID</t>
        </is>
      </c>
      <c r="M1150">
        <f>IF(L1150="VOIDED",0,1)</f>
        <v>1</v>
      </c>
      <c r="N1150" t="n">
        <v>200</v>
      </c>
      <c r="O1150" t="inlineStr">
        <is>
          <t>GST on Income</t>
        </is>
      </c>
      <c r="P1150" t="inlineStr">
        <is>
          <t>R07</t>
        </is>
      </c>
      <c r="Q1150" t="inlineStr">
        <is>
          <t>DEL-FP</t>
        </is>
      </c>
      <c r="R1150">
        <f>IF(OR(Q1150="CONTEXT",Q1150="REVIEW"),"",INDEX('Category Rules'!$D$5:$D$17,MATCH(P1150,'Category Rules'!$A$5:$A$17,0)))</f>
        <v>4020</v>
      </c>
      <c r="S1150" t="str">
        <f>IF(Q1150="CONTEXT","Fencing",IF(Q1150="REVIEW","",INDEX('Category Rules'!$E$5:$E$17,MATCH(P1150,'Category Rules'!$A$5:$A$17,0))))</f>
        <v>Fencing</v>
      </c>
      <c r="T1150" t="str">
        <f>IF(Q1150="DEP","BAS Excluded","GST on Income")</f>
        <v>GST on Income</v>
      </c>
      <c r="U1150">
        <f>IF(O1150=T1150,1,0)</f>
        <v>1</v>
      </c>
      <c r="V1150" s="9">
        <f>IF(OR(M1150=0,U1150=1),0,IF(T1150="GST on Income",ROUND(K1150*0.1,2),ROUND(-K1150*0.1,2)))</f>
        <v>0</v>
      </c>
    </row>
    <row r="1151">
      <c r="A1151" t="inlineStr">
        <is>
          <t>INV-4130-1</t>
        </is>
      </c>
      <c r="B1151" t="inlineStr">
        <is>
          <t>INV-4130</t>
        </is>
      </c>
      <c r="C1151" s="11" t="n">
        <v>46016</v>
      </c>
      <c r="D1151" t="inlineStr">
        <is>
          <t>2025-12</t>
        </is>
      </c>
      <c r="E1151" t="inlineStr">
        <is>
          <t>C0030</t>
        </is>
      </c>
      <c r="F1151" t="inlineStr">
        <is>
          <t>C0030</t>
        </is>
      </c>
      <c r="G1151" t="inlineStr">
        <is>
          <t>Bluegum Developments</t>
        </is>
      </c>
      <c r="H1151" t="inlineStr">
        <is>
          <t>S0007</t>
        </is>
      </c>
      <c r="I1151" t="inlineStr">
        <is>
          <t>Temporary fence hire 4 wks (27/11/25-24/12/25) - 71 panels</t>
        </is>
      </c>
      <c r="J1151" t="n">
        <v>284</v>
      </c>
      <c r="K1151" s="9" t="n">
        <v>1278</v>
      </c>
      <c r="L1151" t="inlineStr">
        <is>
          <t>PAID</t>
        </is>
      </c>
      <c r="M1151">
        <f>IF(L1151="VOIDED",0,1)</f>
        <v>1</v>
      </c>
      <c r="N1151" t="n">
        <v>200</v>
      </c>
      <c r="O1151" t="inlineStr">
        <is>
          <t>GST on Income</t>
        </is>
      </c>
      <c r="P1151" t="inlineStr">
        <is>
          <t>R03</t>
        </is>
      </c>
      <c r="Q1151" t="inlineStr">
        <is>
          <t>HIRE-FP</t>
        </is>
      </c>
      <c r="R1151">
        <f>IF(OR(Q1151="CONTEXT",Q1151="REVIEW"),"",INDEX('Category Rules'!$D$5:$D$17,MATCH(P1151,'Category Rules'!$A$5:$A$17,0)))</f>
        <v>4010</v>
      </c>
      <c r="S1151" t="str">
        <f>IF(Q1151="CONTEXT","Fencing",IF(Q1151="REVIEW","",INDEX('Category Rules'!$E$5:$E$17,MATCH(P1151,'Category Rules'!$A$5:$A$17,0))))</f>
        <v>Fencing</v>
      </c>
      <c r="T1151" t="str">
        <f>IF(Q1151="DEP","BAS Excluded","GST on Income")</f>
        <v>GST on Income</v>
      </c>
      <c r="U1151">
        <f>IF(O1151=T1151,1,0)</f>
        <v>1</v>
      </c>
      <c r="V1151" s="9">
        <f>IF(OR(M1151=0,U1151=1),0,IF(T1151="GST on Income",ROUND(K1151*0.1,2),ROUND(-K1151*0.1,2)))</f>
        <v>0</v>
      </c>
    </row>
    <row r="1152">
      <c r="A1152" t="inlineStr">
        <is>
          <t>INV-4641-1</t>
        </is>
      </c>
      <c r="B1152" t="inlineStr">
        <is>
          <t>INV-4641</t>
        </is>
      </c>
      <c r="C1152" s="11" t="n">
        <v>46016</v>
      </c>
      <c r="D1152" t="inlineStr">
        <is>
          <t>2025-12</t>
        </is>
      </c>
      <c r="E1152" t="inlineStr">
        <is>
          <t>C0108</t>
        </is>
      </c>
      <c r="F1152" t="inlineStr">
        <is>
          <t>C0108</t>
        </is>
      </c>
      <c r="G1152" t="inlineStr">
        <is>
          <t>Mia Papadopoulos</t>
        </is>
      </c>
      <c r="H1152" t="inlineStr">
        <is>
          <t>S0110</t>
        </is>
      </c>
      <c r="I1152" t="inlineStr">
        <is>
          <t>Temporary fence hire 3 wks (09/12/25-24/12/25) - 117 panels</t>
        </is>
      </c>
      <c r="J1152" t="n">
        <v>351</v>
      </c>
      <c r="K1152" s="9" t="n">
        <v>1579.5</v>
      </c>
      <c r="L1152" t="inlineStr">
        <is>
          <t>PAID</t>
        </is>
      </c>
      <c r="M1152">
        <f>IF(L1152="VOIDED",0,1)</f>
        <v>1</v>
      </c>
      <c r="N1152" t="n">
        <v>200</v>
      </c>
      <c r="O1152" t="inlineStr">
        <is>
          <t>GST on Income</t>
        </is>
      </c>
      <c r="P1152" t="inlineStr">
        <is>
          <t>R03</t>
        </is>
      </c>
      <c r="Q1152" t="inlineStr">
        <is>
          <t>HIRE-FP</t>
        </is>
      </c>
      <c r="R1152">
        <f>IF(OR(Q1152="CONTEXT",Q1152="REVIEW"),"",INDEX('Category Rules'!$D$5:$D$17,MATCH(P1152,'Category Rules'!$A$5:$A$17,0)))</f>
        <v>4010</v>
      </c>
      <c r="S1152" t="str">
        <f>IF(Q1152="CONTEXT","Fencing",IF(Q1152="REVIEW","",INDEX('Category Rules'!$E$5:$E$17,MATCH(P1152,'Category Rules'!$A$5:$A$17,0))))</f>
        <v>Fencing</v>
      </c>
      <c r="T1152" t="str">
        <f>IF(Q1152="DEP","BAS Excluded","GST on Income")</f>
        <v>GST on Income</v>
      </c>
      <c r="U1152">
        <f>IF(O1152=T1152,1,0)</f>
        <v>1</v>
      </c>
      <c r="V1152" s="9">
        <f>IF(OR(M1152=0,U1152=1),0,IF(T1152="GST on Income",ROUND(K1152*0.1,2),ROUND(-K1152*0.1,2)))</f>
        <v>0</v>
      </c>
    </row>
    <row r="1153">
      <c r="A1153" t="inlineStr">
        <is>
          <t>INV-4643-1</t>
        </is>
      </c>
      <c r="B1153" t="inlineStr">
        <is>
          <t>INV-4643</t>
        </is>
      </c>
      <c r="C1153" s="11" t="n">
        <v>46016</v>
      </c>
      <c r="D1153" t="inlineStr">
        <is>
          <t>2025-12</t>
        </is>
      </c>
      <c r="E1153" t="inlineStr">
        <is>
          <t>C0108</t>
        </is>
      </c>
      <c r="F1153" t="inlineStr">
        <is>
          <t>C0108</t>
        </is>
      </c>
      <c r="G1153" t="inlineStr">
        <is>
          <t>Mia Papadopoulos</t>
        </is>
      </c>
      <c r="H1153" t="inlineStr">
        <is>
          <t>S0110</t>
        </is>
      </c>
      <c r="I1153" t="inlineStr">
        <is>
          <t>Collection and dismantle - temporary fencing</t>
        </is>
      </c>
      <c r="J1153" t="n">
        <v>1</v>
      </c>
      <c r="K1153" s="9" t="n">
        <v>165</v>
      </c>
      <c r="L1153" t="inlineStr">
        <is>
          <t>PAID</t>
        </is>
      </c>
      <c r="M1153">
        <f>IF(L1153="VOIDED",0,1)</f>
        <v>1</v>
      </c>
      <c r="N1153" t="n">
        <v>200</v>
      </c>
      <c r="O1153" t="inlineStr">
        <is>
          <t>GST on Income</t>
        </is>
      </c>
      <c r="P1153" t="inlineStr">
        <is>
          <t>R07</t>
        </is>
      </c>
      <c r="Q1153" t="inlineStr">
        <is>
          <t>DEL-FP</t>
        </is>
      </c>
      <c r="R1153">
        <f>IF(OR(Q1153="CONTEXT",Q1153="REVIEW"),"",INDEX('Category Rules'!$D$5:$D$17,MATCH(P1153,'Category Rules'!$A$5:$A$17,0)))</f>
        <v>4020</v>
      </c>
      <c r="S1153" t="str">
        <f>IF(Q1153="CONTEXT","Fencing",IF(Q1153="REVIEW","",INDEX('Category Rules'!$E$5:$E$17,MATCH(P1153,'Category Rules'!$A$5:$A$17,0))))</f>
        <v>Fencing</v>
      </c>
      <c r="T1153" t="str">
        <f>IF(Q1153="DEP","BAS Excluded","GST on Income")</f>
        <v>GST on Income</v>
      </c>
      <c r="U1153">
        <f>IF(O1153=T1153,1,0)</f>
        <v>1</v>
      </c>
      <c r="V1153" s="9">
        <f>IF(OR(M1153=0,U1153=1),0,IF(T1153="GST on Income",ROUND(K1153*0.1,2),ROUND(-K1153*0.1,2)))</f>
        <v>0</v>
      </c>
    </row>
    <row r="1154">
      <c r="A1154" t="inlineStr">
        <is>
          <t>INV-4877-1</t>
        </is>
      </c>
      <c r="B1154" t="inlineStr">
        <is>
          <t>INV-4877</t>
        </is>
      </c>
      <c r="C1154" s="11" t="n">
        <v>46016</v>
      </c>
      <c r="D1154" t="inlineStr">
        <is>
          <t>2025-12</t>
        </is>
      </c>
      <c r="E1154" t="inlineStr">
        <is>
          <t>C0022</t>
        </is>
      </c>
      <c r="F1154" t="inlineStr">
        <is>
          <t>C0022</t>
        </is>
      </c>
      <c r="G1154" t="inlineStr">
        <is>
          <t>Highpoint Projects</t>
        </is>
      </c>
      <c r="H1154" t="inlineStr">
        <is>
          <t>S0164</t>
        </is>
      </c>
      <c r="I1154" t="inlineStr">
        <is>
          <t>Temporary fence hire 1 wks (20/12/25-24/12/25) - 57 panels</t>
        </is>
      </c>
      <c r="J1154" t="n">
        <v>57</v>
      </c>
      <c r="K1154" s="9" t="n">
        <v>256.5</v>
      </c>
      <c r="L1154" t="inlineStr">
        <is>
          <t>PAID</t>
        </is>
      </c>
      <c r="M1154">
        <f>IF(L1154="VOIDED",0,1)</f>
        <v>1</v>
      </c>
      <c r="N1154" t="n">
        <v>200</v>
      </c>
      <c r="O1154" t="inlineStr">
        <is>
          <t>GST on Income</t>
        </is>
      </c>
      <c r="P1154" t="inlineStr">
        <is>
          <t>R03</t>
        </is>
      </c>
      <c r="Q1154" t="inlineStr">
        <is>
          <t>HIRE-FP</t>
        </is>
      </c>
      <c r="R1154">
        <f>IF(OR(Q1154="CONTEXT",Q1154="REVIEW"),"",INDEX('Category Rules'!$D$5:$D$17,MATCH(P1154,'Category Rules'!$A$5:$A$17,0)))</f>
        <v>4010</v>
      </c>
      <c r="S1154" t="str">
        <f>IF(Q1154="CONTEXT","Fencing",IF(Q1154="REVIEW","",INDEX('Category Rules'!$E$5:$E$17,MATCH(P1154,'Category Rules'!$A$5:$A$17,0))))</f>
        <v>Fencing</v>
      </c>
      <c r="T1154" t="str">
        <f>IF(Q1154="DEP","BAS Excluded","GST on Income")</f>
        <v>GST on Income</v>
      </c>
      <c r="U1154">
        <f>IF(O1154=T1154,1,0)</f>
        <v>1</v>
      </c>
      <c r="V1154" s="9">
        <f>IF(OR(M1154=0,U1154=1),0,IF(T1154="GST on Income",ROUND(K1154*0.1,2),ROUND(-K1154*0.1,2)))</f>
        <v>0</v>
      </c>
    </row>
    <row r="1155">
      <c r="A1155" t="inlineStr">
        <is>
          <t>INV-4879-1</t>
        </is>
      </c>
      <c r="B1155" t="inlineStr">
        <is>
          <t>INV-4879</t>
        </is>
      </c>
      <c r="C1155" s="11" t="n">
        <v>46016</v>
      </c>
      <c r="D1155" t="inlineStr">
        <is>
          <t>2025-12</t>
        </is>
      </c>
      <c r="E1155" t="inlineStr">
        <is>
          <t>C0022</t>
        </is>
      </c>
      <c r="F1155" t="inlineStr">
        <is>
          <t>C0022</t>
        </is>
      </c>
      <c r="G1155" t="inlineStr">
        <is>
          <t>Highpoint Projects</t>
        </is>
      </c>
      <c r="H1155" t="inlineStr">
        <is>
          <t>S0164</t>
        </is>
      </c>
      <c r="I1155" t="inlineStr">
        <is>
          <t>Collection and dismantle - temporary fencing</t>
        </is>
      </c>
      <c r="J1155" t="n">
        <v>1</v>
      </c>
      <c r="K1155" s="9" t="n">
        <v>165</v>
      </c>
      <c r="L1155" t="inlineStr">
        <is>
          <t>PAID</t>
        </is>
      </c>
      <c r="M1155">
        <f>IF(L1155="VOIDED",0,1)</f>
        <v>1</v>
      </c>
      <c r="N1155" t="n">
        <v>200</v>
      </c>
      <c r="O1155" t="inlineStr">
        <is>
          <t>GST on Income</t>
        </is>
      </c>
      <c r="P1155" t="inlineStr">
        <is>
          <t>R07</t>
        </is>
      </c>
      <c r="Q1155" t="inlineStr">
        <is>
          <t>DEL-FP</t>
        </is>
      </c>
      <c r="R1155">
        <f>IF(OR(Q1155="CONTEXT",Q1155="REVIEW"),"",INDEX('Category Rules'!$D$5:$D$17,MATCH(P1155,'Category Rules'!$A$5:$A$17,0)))</f>
        <v>4020</v>
      </c>
      <c r="S1155" t="str">
        <f>IF(Q1155="CONTEXT","Fencing",IF(Q1155="REVIEW","",INDEX('Category Rules'!$E$5:$E$17,MATCH(P1155,'Category Rules'!$A$5:$A$17,0))))</f>
        <v>Fencing</v>
      </c>
      <c r="T1155" t="str">
        <f>IF(Q1155="DEP","BAS Excluded","GST on Income")</f>
        <v>GST on Income</v>
      </c>
      <c r="U1155">
        <f>IF(O1155=T1155,1,0)</f>
        <v>1</v>
      </c>
      <c r="V1155" s="9">
        <f>IF(OR(M1155=0,U1155=1),0,IF(T1155="GST on Income",ROUND(K1155*0.1,2),ROUND(-K1155*0.1,2)))</f>
        <v>0</v>
      </c>
    </row>
    <row r="1156">
      <c r="A1156" t="inlineStr">
        <is>
          <t>INV-5675-1</t>
        </is>
      </c>
      <c r="B1156" t="inlineStr">
        <is>
          <t>INV-5675</t>
        </is>
      </c>
      <c r="C1156" s="11" t="n">
        <v>46016</v>
      </c>
      <c r="D1156" t="inlineStr">
        <is>
          <t>2025-12</t>
        </is>
      </c>
      <c r="E1156" t="inlineStr">
        <is>
          <t>C0067</t>
        </is>
      </c>
      <c r="F1156" t="inlineStr">
        <is>
          <t>C0067</t>
        </is>
      </c>
      <c r="G1156" t="inlineStr">
        <is>
          <t>Banksia Claims Services Pty Ltd</t>
        </is>
      </c>
      <c r="H1156" t="inlineStr">
        <is>
          <t>S0421</t>
        </is>
      </c>
      <c r="I1156" t="inlineStr">
        <is>
          <t>Emergency make safe call-out - after hours</t>
        </is>
      </c>
      <c r="J1156" t="n">
        <v>1</v>
      </c>
      <c r="K1156" s="9" t="n">
        <v>560</v>
      </c>
      <c r="L1156" t="inlineStr">
        <is>
          <t>PAID</t>
        </is>
      </c>
      <c r="M1156">
        <f>IF(L1156="VOIDED",0,1)</f>
        <v>1</v>
      </c>
      <c r="N1156" t="n">
        <v>200</v>
      </c>
      <c r="O1156" t="inlineStr">
        <is>
          <t>GST on Income</t>
        </is>
      </c>
      <c r="P1156" t="inlineStr">
        <is>
          <t>R09</t>
        </is>
      </c>
      <c r="Q1156" t="inlineStr">
        <is>
          <t>MS</t>
        </is>
      </c>
      <c r="R1156">
        <f>IF(OR(Q1156="CONTEXT",Q1156="REVIEW"),"",INDEX('Category Rules'!$D$5:$D$17,MATCH(P1156,'Category Rules'!$A$5:$A$17,0)))</f>
        <v>4020</v>
      </c>
      <c r="S1156" t="str">
        <f>IF(Q1156="CONTEXT","Make-safe",IF(Q1156="REVIEW","",INDEX('Category Rules'!$E$5:$E$17,MATCH(P1156,'Category Rules'!$A$5:$A$17,0))))</f>
        <v>Make-safe</v>
      </c>
      <c r="T1156" t="str">
        <f>IF(Q1156="DEP","BAS Excluded","GST on Income")</f>
        <v>GST on Income</v>
      </c>
      <c r="U1156">
        <f>IF(O1156=T1156,1,0)</f>
        <v>1</v>
      </c>
      <c r="V1156" s="9">
        <f>IF(OR(M1156=0,U1156=1),0,IF(T1156="GST on Income",ROUND(K1156*0.1,2),ROUND(-K1156*0.1,2)))</f>
        <v>0</v>
      </c>
    </row>
    <row r="1157">
      <c r="A1157" t="inlineStr">
        <is>
          <t>INV-5675-2</t>
        </is>
      </c>
      <c r="B1157" t="inlineStr">
        <is>
          <t>INV-5675</t>
        </is>
      </c>
      <c r="C1157" s="11" t="n">
        <v>46016</v>
      </c>
      <c r="D1157" t="inlineStr">
        <is>
          <t>2025-12</t>
        </is>
      </c>
      <c r="E1157" t="inlineStr">
        <is>
          <t>C0067</t>
        </is>
      </c>
      <c r="F1157" t="inlineStr">
        <is>
          <t>C0067</t>
        </is>
      </c>
      <c r="G1157" t="inlineStr">
        <is>
          <t>Banksia Claims Services Pty Ltd</t>
        </is>
      </c>
      <c r="H1157" t="inlineStr">
        <is>
          <t>S0421</t>
        </is>
      </c>
      <c r="I1157" t="inlineStr">
        <is>
          <t>Tarp supply and install - 3 tarp(s)</t>
        </is>
      </c>
      <c r="J1157" t="n">
        <v>3</v>
      </c>
      <c r="K1157" s="9" t="n">
        <v>720</v>
      </c>
      <c r="L1157" t="inlineStr">
        <is>
          <t>PAID</t>
        </is>
      </c>
      <c r="M1157">
        <f>IF(L1157="VOIDED",0,1)</f>
        <v>1</v>
      </c>
      <c r="N1157" t="n">
        <v>200</v>
      </c>
      <c r="O1157" t="inlineStr">
        <is>
          <t>GST on Income</t>
        </is>
      </c>
      <c r="P1157" t="inlineStr">
        <is>
          <t>R09</t>
        </is>
      </c>
      <c r="Q1157" t="inlineStr">
        <is>
          <t>MS</t>
        </is>
      </c>
      <c r="R1157">
        <f>IF(OR(Q1157="CONTEXT",Q1157="REVIEW"),"",INDEX('Category Rules'!$D$5:$D$17,MATCH(P1157,'Category Rules'!$A$5:$A$17,0)))</f>
        <v>4020</v>
      </c>
      <c r="S1157" t="str">
        <f>IF(Q1157="CONTEXT","Make-safe",IF(Q1157="REVIEW","",INDEX('Category Rules'!$E$5:$E$17,MATCH(P1157,'Category Rules'!$A$5:$A$17,0))))</f>
        <v>Make-safe</v>
      </c>
      <c r="T1157" t="str">
        <f>IF(Q1157="DEP","BAS Excluded","GST on Income")</f>
        <v>GST on Income</v>
      </c>
      <c r="U1157">
        <f>IF(O1157=T1157,1,0)</f>
        <v>1</v>
      </c>
      <c r="V1157" s="9">
        <f>IF(OR(M1157=0,U1157=1),0,IF(T1157="GST on Income",ROUND(K1157*0.1,2),ROUND(-K1157*0.1,2)))</f>
        <v>0</v>
      </c>
    </row>
    <row r="1158">
      <c r="A1158" t="inlineStr">
        <is>
          <t>INV-4236-1</t>
        </is>
      </c>
      <c r="B1158" t="inlineStr">
        <is>
          <t>INV-4236</t>
        </is>
      </c>
      <c r="C1158" s="11" t="n">
        <v>46017</v>
      </c>
      <c r="D1158" t="inlineStr">
        <is>
          <t>2025-12</t>
        </is>
      </c>
      <c r="E1158" t="inlineStr">
        <is>
          <t>C0105</t>
        </is>
      </c>
      <c r="F1158" t="inlineStr">
        <is>
          <t>C0105</t>
        </is>
      </c>
      <c r="G1158" t="inlineStr">
        <is>
          <t>Priya Walker</t>
        </is>
      </c>
      <c r="H1158" t="inlineStr">
        <is>
          <t>S0025</t>
        </is>
      </c>
      <c r="I1158" t="inlineStr">
        <is>
          <t>Temporary fence hire 2 wks (14/12/25-25/12/25) - 76 panels</t>
        </is>
      </c>
      <c r="J1158" t="n">
        <v>152</v>
      </c>
      <c r="K1158" s="9" t="n">
        <v>684</v>
      </c>
      <c r="L1158" t="inlineStr">
        <is>
          <t>PAID</t>
        </is>
      </c>
      <c r="M1158">
        <f>IF(L1158="VOIDED",0,1)</f>
        <v>1</v>
      </c>
      <c r="N1158" t="n">
        <v>200</v>
      </c>
      <c r="O1158" t="inlineStr">
        <is>
          <t>GST Free Income</t>
        </is>
      </c>
      <c r="P1158" t="inlineStr">
        <is>
          <t>R03</t>
        </is>
      </c>
      <c r="Q1158" t="inlineStr">
        <is>
          <t>HIRE-FP</t>
        </is>
      </c>
      <c r="R1158">
        <f>IF(OR(Q1158="CONTEXT",Q1158="REVIEW"),"",INDEX('Category Rules'!$D$5:$D$17,MATCH(P1158,'Category Rules'!$A$5:$A$17,0)))</f>
        <v>4010</v>
      </c>
      <c r="S1158" t="str">
        <f>IF(Q1158="CONTEXT","Fencing",IF(Q1158="REVIEW","",INDEX('Category Rules'!$E$5:$E$17,MATCH(P1158,'Category Rules'!$A$5:$A$17,0))))</f>
        <v>Fencing</v>
      </c>
      <c r="T1158" t="str">
        <f>IF(Q1158="DEP","BAS Excluded","GST on Income")</f>
        <v>GST on Income</v>
      </c>
      <c r="U1158">
        <f>IF(O1158=T1158,1,0)</f>
        <v>0</v>
      </c>
      <c r="V1158" s="9">
        <f>IF(OR(M1158=0,U1158=1),0,IF(T1158="GST on Income",ROUND(K1158*0.1,2),ROUND(-K1158*0.1,2)))</f>
        <v>68.4</v>
      </c>
    </row>
    <row r="1159">
      <c r="A1159" t="inlineStr">
        <is>
          <t>INV-4237-1</t>
        </is>
      </c>
      <c r="B1159" t="inlineStr">
        <is>
          <t>INV-4237</t>
        </is>
      </c>
      <c r="C1159" s="11" t="n">
        <v>46017</v>
      </c>
      <c r="D1159" t="inlineStr">
        <is>
          <t>2025-12</t>
        </is>
      </c>
      <c r="E1159" t="inlineStr">
        <is>
          <t>C0105</t>
        </is>
      </c>
      <c r="F1159" t="inlineStr">
        <is>
          <t>C0105</t>
        </is>
      </c>
      <c r="G1159" t="inlineStr">
        <is>
          <t>Priya Walker</t>
        </is>
      </c>
      <c r="H1159" t="inlineStr">
        <is>
          <t>S0025</t>
        </is>
      </c>
      <c r="I1159" t="inlineStr">
        <is>
          <t>Collection and dismantle - temporary fencing</t>
        </is>
      </c>
      <c r="J1159" t="n">
        <v>1</v>
      </c>
      <c r="K1159" s="9" t="n">
        <v>165</v>
      </c>
      <c r="L1159" t="inlineStr">
        <is>
          <t>PAID</t>
        </is>
      </c>
      <c r="M1159">
        <f>IF(L1159="VOIDED",0,1)</f>
        <v>1</v>
      </c>
      <c r="N1159" t="n">
        <v>260</v>
      </c>
      <c r="O1159" t="inlineStr">
        <is>
          <t>GST on Income</t>
        </is>
      </c>
      <c r="P1159" t="inlineStr">
        <is>
          <t>R07</t>
        </is>
      </c>
      <c r="Q1159" t="inlineStr">
        <is>
          <t>DEL-FP</t>
        </is>
      </c>
      <c r="R1159">
        <f>IF(OR(Q1159="CONTEXT",Q1159="REVIEW"),"",INDEX('Category Rules'!$D$5:$D$17,MATCH(P1159,'Category Rules'!$A$5:$A$17,0)))</f>
        <v>4020</v>
      </c>
      <c r="S1159" t="str">
        <f>IF(Q1159="CONTEXT","Fencing",IF(Q1159="REVIEW","",INDEX('Category Rules'!$E$5:$E$17,MATCH(P1159,'Category Rules'!$A$5:$A$17,0))))</f>
        <v>Fencing</v>
      </c>
      <c r="T1159" t="str">
        <f>IF(Q1159="DEP","BAS Excluded","GST on Income")</f>
        <v>GST on Income</v>
      </c>
      <c r="U1159">
        <f>IF(O1159=T1159,1,0)</f>
        <v>1</v>
      </c>
      <c r="V1159" s="9">
        <f>IF(OR(M1159=0,U1159=1),0,IF(T1159="GST on Income",ROUND(K1159*0.1,2),ROUND(-K1159*0.1,2)))</f>
        <v>0</v>
      </c>
    </row>
    <row r="1160">
      <c r="A1160" t="inlineStr">
        <is>
          <t>INV-4616-1</t>
        </is>
      </c>
      <c r="B1160" t="inlineStr">
        <is>
          <t>INV-4616</t>
        </is>
      </c>
      <c r="C1160" s="11" t="n">
        <v>46017</v>
      </c>
      <c r="D1160" t="inlineStr">
        <is>
          <t>2025-12</t>
        </is>
      </c>
      <c r="E1160" t="inlineStr">
        <is>
          <t>C0035</t>
        </is>
      </c>
      <c r="F1160" t="inlineStr">
        <is>
          <t>C0035</t>
        </is>
      </c>
      <c r="G1160" t="inlineStr">
        <is>
          <t>Bayside Homes Pty Ltd</t>
        </is>
      </c>
      <c r="H1160" t="inlineStr">
        <is>
          <t>S0103</t>
        </is>
      </c>
      <c r="I1160" t="inlineStr">
        <is>
          <t>Delivery and installation - temporary fencing</t>
        </is>
      </c>
      <c r="J1160" t="n">
        <v>1</v>
      </c>
      <c r="K1160" s="9" t="n">
        <v>165</v>
      </c>
      <c r="L1160" t="inlineStr">
        <is>
          <t>PAID</t>
        </is>
      </c>
      <c r="M1160">
        <f>IF(L1160="VOIDED",0,1)</f>
        <v>1</v>
      </c>
      <c r="N1160" t="n">
        <v>200</v>
      </c>
      <c r="O1160" t="inlineStr">
        <is>
          <t>GST on Income</t>
        </is>
      </c>
      <c r="P1160" t="inlineStr">
        <is>
          <t>R07</t>
        </is>
      </c>
      <c r="Q1160" t="inlineStr">
        <is>
          <t>DEL-FP</t>
        </is>
      </c>
      <c r="R1160">
        <f>IF(OR(Q1160="CONTEXT",Q1160="REVIEW"),"",INDEX('Category Rules'!$D$5:$D$17,MATCH(P1160,'Category Rules'!$A$5:$A$17,0)))</f>
        <v>4020</v>
      </c>
      <c r="S1160" t="str">
        <f>IF(Q1160="CONTEXT","Fencing",IF(Q1160="REVIEW","",INDEX('Category Rules'!$E$5:$E$17,MATCH(P1160,'Category Rules'!$A$5:$A$17,0))))</f>
        <v>Fencing</v>
      </c>
      <c r="T1160" t="str">
        <f>IF(Q1160="DEP","BAS Excluded","GST on Income")</f>
        <v>GST on Income</v>
      </c>
      <c r="U1160">
        <f>IF(O1160=T1160,1,0)</f>
        <v>1</v>
      </c>
      <c r="V1160" s="9">
        <f>IF(OR(M1160=0,U1160=1),0,IF(T1160="GST on Income",ROUND(K1160*0.1,2),ROUND(-K1160*0.1,2)))</f>
        <v>0</v>
      </c>
    </row>
    <row r="1161">
      <c r="A1161" t="inlineStr">
        <is>
          <t>INV-4616-2</t>
        </is>
      </c>
      <c r="B1161" t="inlineStr">
        <is>
          <t>INV-4616</t>
        </is>
      </c>
      <c r="C1161" s="11" t="n">
        <v>46017</v>
      </c>
      <c r="D1161" t="inlineStr">
        <is>
          <t>2025-12</t>
        </is>
      </c>
      <c r="E1161" t="inlineStr">
        <is>
          <t>C0035</t>
        </is>
      </c>
      <c r="F1161" t="inlineStr">
        <is>
          <t>C0035</t>
        </is>
      </c>
      <c r="G1161" t="inlineStr">
        <is>
          <t>Bayside Homes Pty Ltd</t>
        </is>
      </c>
      <c r="H1161" t="inlineStr">
        <is>
          <t>S0103</t>
        </is>
      </c>
      <c r="I1161" t="inlineStr">
        <is>
          <t>Installation labour - 21 panels @ 2.20</t>
        </is>
      </c>
      <c r="J1161" t="n">
        <v>21</v>
      </c>
      <c r="K1161" s="9" t="n">
        <v>46.2</v>
      </c>
      <c r="L1161" t="inlineStr">
        <is>
          <t>PAID</t>
        </is>
      </c>
      <c r="M1161">
        <f>IF(L1161="VOIDED",0,1)</f>
        <v>1</v>
      </c>
      <c r="N1161" t="n">
        <v>200</v>
      </c>
      <c r="O1161" t="inlineStr">
        <is>
          <t>GST on Income</t>
        </is>
      </c>
      <c r="P1161" t="inlineStr">
        <is>
          <t>R07</t>
        </is>
      </c>
      <c r="Q1161" t="inlineStr">
        <is>
          <t>DEL-FP</t>
        </is>
      </c>
      <c r="R1161">
        <f>IF(OR(Q1161="CONTEXT",Q1161="REVIEW"),"",INDEX('Category Rules'!$D$5:$D$17,MATCH(P1161,'Category Rules'!$A$5:$A$17,0)))</f>
        <v>4020</v>
      </c>
      <c r="S1161" t="str">
        <f>IF(Q1161="CONTEXT","Fencing",IF(Q1161="REVIEW","",INDEX('Category Rules'!$E$5:$E$17,MATCH(P1161,'Category Rules'!$A$5:$A$17,0))))</f>
        <v>Fencing</v>
      </c>
      <c r="T1161" t="str">
        <f>IF(Q1161="DEP","BAS Excluded","GST on Income")</f>
        <v>GST on Income</v>
      </c>
      <c r="U1161">
        <f>IF(O1161=T1161,1,0)</f>
        <v>1</v>
      </c>
      <c r="V1161" s="9">
        <f>IF(OR(M1161=0,U1161=1),0,IF(T1161="GST on Income",ROUND(K1161*0.1,2),ROUND(-K1161*0.1,2)))</f>
        <v>0</v>
      </c>
    </row>
    <row r="1162">
      <c r="A1162" t="inlineStr">
        <is>
          <t>INV-4638-1</t>
        </is>
      </c>
      <c r="B1162" t="inlineStr">
        <is>
          <t>INV-4638</t>
        </is>
      </c>
      <c r="C1162" s="11" t="n">
        <v>46017</v>
      </c>
      <c r="D1162" t="inlineStr">
        <is>
          <t>2025-12</t>
        </is>
      </c>
      <c r="E1162" t="inlineStr">
        <is>
          <t>C0014</t>
        </is>
      </c>
      <c r="F1162" t="inlineStr">
        <is>
          <t>C0014</t>
        </is>
      </c>
      <c r="G1162" t="inlineStr">
        <is>
          <t>Riverbend Homes Pty Ltd</t>
        </is>
      </c>
      <c r="H1162" t="inlineStr">
        <is>
          <t>S0109</t>
        </is>
      </c>
      <c r="I1162" t="inlineStr">
        <is>
          <t>Temporary fence hire 3 wks (09/12/25-25/12/25) - 43 panels</t>
        </is>
      </c>
      <c r="J1162" t="n">
        <v>129</v>
      </c>
      <c r="K1162" s="9" t="n">
        <v>580.5</v>
      </c>
      <c r="L1162" t="inlineStr">
        <is>
          <t>PAID</t>
        </is>
      </c>
      <c r="M1162">
        <f>IF(L1162="VOIDED",0,1)</f>
        <v>1</v>
      </c>
      <c r="N1162" t="n">
        <v>200</v>
      </c>
      <c r="O1162" t="inlineStr">
        <is>
          <t>GST on Income</t>
        </is>
      </c>
      <c r="P1162" t="inlineStr">
        <is>
          <t>R03</t>
        </is>
      </c>
      <c r="Q1162" t="inlineStr">
        <is>
          <t>HIRE-FP</t>
        </is>
      </c>
      <c r="R1162">
        <f>IF(OR(Q1162="CONTEXT",Q1162="REVIEW"),"",INDEX('Category Rules'!$D$5:$D$17,MATCH(P1162,'Category Rules'!$A$5:$A$17,0)))</f>
        <v>4010</v>
      </c>
      <c r="S1162" t="str">
        <f>IF(Q1162="CONTEXT","Fencing",IF(Q1162="REVIEW","",INDEX('Category Rules'!$E$5:$E$17,MATCH(P1162,'Category Rules'!$A$5:$A$17,0))))</f>
        <v>Fencing</v>
      </c>
      <c r="T1162" t="str">
        <f>IF(Q1162="DEP","BAS Excluded","GST on Income")</f>
        <v>GST on Income</v>
      </c>
      <c r="U1162">
        <f>IF(O1162=T1162,1,0)</f>
        <v>1</v>
      </c>
      <c r="V1162" s="9">
        <f>IF(OR(M1162=0,U1162=1),0,IF(T1162="GST on Income",ROUND(K1162*0.1,2),ROUND(-K1162*0.1,2)))</f>
        <v>0</v>
      </c>
    </row>
    <row r="1163">
      <c r="A1163" t="inlineStr">
        <is>
          <t>INV-4640-1</t>
        </is>
      </c>
      <c r="B1163" t="inlineStr">
        <is>
          <t>INV-4640</t>
        </is>
      </c>
      <c r="C1163" s="11" t="n">
        <v>46017</v>
      </c>
      <c r="D1163" t="inlineStr">
        <is>
          <t>2025-12</t>
        </is>
      </c>
      <c r="E1163" t="inlineStr">
        <is>
          <t>C0014</t>
        </is>
      </c>
      <c r="F1163" t="inlineStr">
        <is>
          <t>C0014</t>
        </is>
      </c>
      <c r="G1163" t="inlineStr">
        <is>
          <t>Riverbend Homes Pty Ltd</t>
        </is>
      </c>
      <c r="H1163" t="inlineStr">
        <is>
          <t>S0109</t>
        </is>
      </c>
      <c r="I1163" t="inlineStr">
        <is>
          <t>Collection and dismantle - temporary fencing</t>
        </is>
      </c>
      <c r="J1163" t="n">
        <v>1</v>
      </c>
      <c r="K1163" s="9" t="n">
        <v>165</v>
      </c>
      <c r="L1163" t="inlineStr">
        <is>
          <t>PAID</t>
        </is>
      </c>
      <c r="M1163">
        <f>IF(L1163="VOIDED",0,1)</f>
        <v>1</v>
      </c>
      <c r="N1163" t="n">
        <v>200</v>
      </c>
      <c r="O1163" t="inlineStr">
        <is>
          <t>GST on Income</t>
        </is>
      </c>
      <c r="P1163" t="inlineStr">
        <is>
          <t>R07</t>
        </is>
      </c>
      <c r="Q1163" t="inlineStr">
        <is>
          <t>DEL-FP</t>
        </is>
      </c>
      <c r="R1163">
        <f>IF(OR(Q1163="CONTEXT",Q1163="REVIEW"),"",INDEX('Category Rules'!$D$5:$D$17,MATCH(P1163,'Category Rules'!$A$5:$A$17,0)))</f>
        <v>4020</v>
      </c>
      <c r="S1163" t="str">
        <f>IF(Q1163="CONTEXT","Fencing",IF(Q1163="REVIEW","",INDEX('Category Rules'!$E$5:$E$17,MATCH(P1163,'Category Rules'!$A$5:$A$17,0))))</f>
        <v>Fencing</v>
      </c>
      <c r="T1163" t="str">
        <f>IF(Q1163="DEP","BAS Excluded","GST on Income")</f>
        <v>GST on Income</v>
      </c>
      <c r="U1163">
        <f>IF(O1163=T1163,1,0)</f>
        <v>1</v>
      </c>
      <c r="V1163" s="9">
        <f>IF(OR(M1163=0,U1163=1),0,IF(T1163="GST on Income",ROUND(K1163*0.1,2),ROUND(-K1163*0.1,2)))</f>
        <v>0</v>
      </c>
    </row>
    <row r="1164">
      <c r="A1164" t="inlineStr">
        <is>
          <t>INV-4702-1</t>
        </is>
      </c>
      <c r="B1164" t="inlineStr">
        <is>
          <t>INV-4702</t>
        </is>
      </c>
      <c r="C1164" s="11" t="n">
        <v>46017</v>
      </c>
      <c r="D1164" t="inlineStr">
        <is>
          <t>2025-12</t>
        </is>
      </c>
      <c r="E1164" t="inlineStr">
        <is>
          <t>C0024</t>
        </is>
      </c>
      <c r="F1164" t="inlineStr">
        <is>
          <t>C0024</t>
        </is>
      </c>
      <c r="G1164" t="inlineStr">
        <is>
          <t>Parkview Homes Pty Ltd</t>
        </is>
      </c>
      <c r="H1164" t="inlineStr">
        <is>
          <t>S0124</t>
        </is>
      </c>
      <c r="I1164" t="inlineStr">
        <is>
          <t>Pedestrian barrier hire 4 wks (28/11/25-25/12/25) - 4 barriers</t>
        </is>
      </c>
      <c r="J1164" t="n">
        <v>16</v>
      </c>
      <c r="K1164" s="9" t="n">
        <v>51.2</v>
      </c>
      <c r="L1164" t="inlineStr">
        <is>
          <t>PAID</t>
        </is>
      </c>
      <c r="M1164">
        <f>IF(L1164="VOIDED",0,1)</f>
        <v>1</v>
      </c>
      <c r="N1164" t="n">
        <v>200</v>
      </c>
      <c r="O1164" t="inlineStr">
        <is>
          <t>GST on Income</t>
        </is>
      </c>
      <c r="P1164" t="inlineStr">
        <is>
          <t>R04</t>
        </is>
      </c>
      <c r="Q1164" t="inlineStr">
        <is>
          <t>HIRE-BR</t>
        </is>
      </c>
      <c r="R1164">
        <f>IF(OR(Q1164="CONTEXT",Q1164="REVIEW"),"",INDEX('Category Rules'!$D$5:$D$17,MATCH(P1164,'Category Rules'!$A$5:$A$17,0)))</f>
        <v>4010</v>
      </c>
      <c r="S1164" t="str">
        <f>IF(Q1164="CONTEXT","Fencing",IF(Q1164="REVIEW","",INDEX('Category Rules'!$E$5:$E$17,MATCH(P1164,'Category Rules'!$A$5:$A$17,0))))</f>
        <v>Fencing</v>
      </c>
      <c r="T1164" t="str">
        <f>IF(Q1164="DEP","BAS Excluded","GST on Income")</f>
        <v>GST on Income</v>
      </c>
      <c r="U1164">
        <f>IF(O1164=T1164,1,0)</f>
        <v>1</v>
      </c>
      <c r="V1164" s="9">
        <f>IF(OR(M1164=0,U1164=1),0,IF(T1164="GST on Income",ROUND(K1164*0.1,2),ROUND(-K1164*0.1,2)))</f>
        <v>0</v>
      </c>
    </row>
    <row r="1165">
      <c r="A1165" t="inlineStr">
        <is>
          <t>INV-4798-1</t>
        </is>
      </c>
      <c r="B1165" t="inlineStr">
        <is>
          <t>INV-4798</t>
        </is>
      </c>
      <c r="C1165" s="11" t="n">
        <v>46017</v>
      </c>
      <c r="D1165" t="inlineStr">
        <is>
          <t>2025-12</t>
        </is>
      </c>
      <c r="E1165" t="inlineStr">
        <is>
          <t>C0024</t>
        </is>
      </c>
      <c r="F1165" t="inlineStr">
        <is>
          <t>C0024</t>
        </is>
      </c>
      <c r="G1165" t="inlineStr">
        <is>
          <t>Parkview Homes Pty Ltd</t>
        </is>
      </c>
      <c r="H1165" t="inlineStr">
        <is>
          <t>S0148</t>
        </is>
      </c>
      <c r="I1165" t="inlineStr">
        <is>
          <t>Delivery and installation - temporary fencing</t>
        </is>
      </c>
      <c r="J1165" t="n">
        <v>1</v>
      </c>
      <c r="K1165" s="9" t="n">
        <v>165</v>
      </c>
      <c r="L1165" t="inlineStr">
        <is>
          <t>PAID</t>
        </is>
      </c>
      <c r="M1165">
        <f>IF(L1165="VOIDED",0,1)</f>
        <v>1</v>
      </c>
      <c r="N1165" t="n">
        <v>200</v>
      </c>
      <c r="O1165" t="inlineStr">
        <is>
          <t>GST on Income</t>
        </is>
      </c>
      <c r="P1165" t="inlineStr">
        <is>
          <t>R07</t>
        </is>
      </c>
      <c r="Q1165" t="inlineStr">
        <is>
          <t>DEL-FP</t>
        </is>
      </c>
      <c r="R1165">
        <f>IF(OR(Q1165="CONTEXT",Q1165="REVIEW"),"",INDEX('Category Rules'!$D$5:$D$17,MATCH(P1165,'Category Rules'!$A$5:$A$17,0)))</f>
        <v>4020</v>
      </c>
      <c r="S1165" t="str">
        <f>IF(Q1165="CONTEXT","Fencing",IF(Q1165="REVIEW","",INDEX('Category Rules'!$E$5:$E$17,MATCH(P1165,'Category Rules'!$A$5:$A$17,0))))</f>
        <v>Fencing</v>
      </c>
      <c r="T1165" t="str">
        <f>IF(Q1165="DEP","BAS Excluded","GST on Income")</f>
        <v>GST on Income</v>
      </c>
      <c r="U1165">
        <f>IF(O1165=T1165,1,0)</f>
        <v>1</v>
      </c>
      <c r="V1165" s="9">
        <f>IF(OR(M1165=0,U1165=1),0,IF(T1165="GST on Income",ROUND(K1165*0.1,2),ROUND(-K1165*0.1,2)))</f>
        <v>0</v>
      </c>
    </row>
    <row r="1166">
      <c r="A1166" t="inlineStr">
        <is>
          <t>INV-4798-2</t>
        </is>
      </c>
      <c r="B1166" t="inlineStr">
        <is>
          <t>INV-4798</t>
        </is>
      </c>
      <c r="C1166" s="11" t="n">
        <v>46017</v>
      </c>
      <c r="D1166" t="inlineStr">
        <is>
          <t>2025-12</t>
        </is>
      </c>
      <c r="E1166" t="inlineStr">
        <is>
          <t>C0024</t>
        </is>
      </c>
      <c r="F1166" t="inlineStr">
        <is>
          <t>C0024</t>
        </is>
      </c>
      <c r="G1166" t="inlineStr">
        <is>
          <t>Parkview Homes Pty Ltd</t>
        </is>
      </c>
      <c r="H1166" t="inlineStr">
        <is>
          <t>S0148</t>
        </is>
      </c>
      <c r="I1166" t="inlineStr">
        <is>
          <t>Installation labour - 155 panels @ 2.20</t>
        </is>
      </c>
      <c r="J1166" t="n">
        <v>155</v>
      </c>
      <c r="K1166" s="9" t="n">
        <v>341</v>
      </c>
      <c r="L1166" t="inlineStr">
        <is>
          <t>PAID</t>
        </is>
      </c>
      <c r="M1166">
        <f>IF(L1166="VOIDED",0,1)</f>
        <v>1</v>
      </c>
      <c r="N1166" t="n">
        <v>200</v>
      </c>
      <c r="O1166" t="inlineStr">
        <is>
          <t>GST on Income</t>
        </is>
      </c>
      <c r="P1166" t="inlineStr">
        <is>
          <t>R07</t>
        </is>
      </c>
      <c r="Q1166" t="inlineStr">
        <is>
          <t>DEL-FP</t>
        </is>
      </c>
      <c r="R1166">
        <f>IF(OR(Q1166="CONTEXT",Q1166="REVIEW"),"",INDEX('Category Rules'!$D$5:$D$17,MATCH(P1166,'Category Rules'!$A$5:$A$17,0)))</f>
        <v>4020</v>
      </c>
      <c r="S1166" t="str">
        <f>IF(Q1166="CONTEXT","Fencing",IF(Q1166="REVIEW","",INDEX('Category Rules'!$E$5:$E$17,MATCH(P1166,'Category Rules'!$A$5:$A$17,0))))</f>
        <v>Fencing</v>
      </c>
      <c r="T1166" t="str">
        <f>IF(Q1166="DEP","BAS Excluded","GST on Income")</f>
        <v>GST on Income</v>
      </c>
      <c r="U1166">
        <f>IF(O1166=T1166,1,0)</f>
        <v>1</v>
      </c>
      <c r="V1166" s="9">
        <f>IF(OR(M1166=0,U1166=1),0,IF(T1166="GST on Income",ROUND(K1166*0.1,2),ROUND(-K1166*0.1,2)))</f>
        <v>0</v>
      </c>
    </row>
    <row r="1167">
      <c r="A1167" t="inlineStr">
        <is>
          <t>INV-5300-1</t>
        </is>
      </c>
      <c r="B1167" t="inlineStr">
        <is>
          <t>INV-5300</t>
        </is>
      </c>
      <c r="C1167" s="11" t="n">
        <v>46017</v>
      </c>
      <c r="D1167" t="inlineStr">
        <is>
          <t>2025-12</t>
        </is>
      </c>
      <c r="E1167" t="inlineStr">
        <is>
          <t>C0139</t>
        </is>
      </c>
      <c r="F1167" t="inlineStr">
        <is>
          <t>C0106</t>
        </is>
      </c>
      <c r="G1167" t="inlineStr">
        <is>
          <t>Ella Wilson</t>
        </is>
      </c>
      <c r="H1167" t="inlineStr">
        <is>
          <t>S0260</t>
        </is>
      </c>
      <c r="I1167" t="inlineStr">
        <is>
          <t>Scaffold tower hire 4 wks (04/12/25-25/12/25) - 1 towers</t>
        </is>
      </c>
      <c r="J1167" t="n">
        <v>4</v>
      </c>
      <c r="K1167" s="9" t="n">
        <v>380</v>
      </c>
      <c r="L1167" t="inlineStr">
        <is>
          <t>PAID</t>
        </is>
      </c>
      <c r="M1167">
        <f>IF(L1167="VOIDED",0,1)</f>
        <v>1</v>
      </c>
      <c r="N1167" t="n">
        <v>200</v>
      </c>
      <c r="O1167" t="inlineStr">
        <is>
          <t>GST on Income</t>
        </is>
      </c>
      <c r="P1167" t="inlineStr">
        <is>
          <t>R05</t>
        </is>
      </c>
      <c r="Q1167" t="inlineStr">
        <is>
          <t>HIRE-ST</t>
        </is>
      </c>
      <c r="R1167">
        <f>IF(OR(Q1167="CONTEXT",Q1167="REVIEW"),"",INDEX('Category Rules'!$D$5:$D$17,MATCH(P1167,'Category Rules'!$A$5:$A$17,0)))</f>
        <v>4010</v>
      </c>
      <c r="S1167" t="str">
        <f>IF(Q1167="CONTEXT","Scaffolding",IF(Q1167="REVIEW","",INDEX('Category Rules'!$E$5:$E$17,MATCH(P1167,'Category Rules'!$A$5:$A$17,0))))</f>
        <v>Scaffolding</v>
      </c>
      <c r="T1167" t="str">
        <f>IF(Q1167="DEP","BAS Excluded","GST on Income")</f>
        <v>GST on Income</v>
      </c>
      <c r="U1167">
        <f>IF(O1167=T1167,1,0)</f>
        <v>1</v>
      </c>
      <c r="V1167" s="9">
        <f>IF(OR(M1167=0,U1167=1),0,IF(T1167="GST on Income",ROUND(K1167*0.1,2),ROUND(-K1167*0.1,2)))</f>
        <v>0</v>
      </c>
    </row>
    <row r="1168">
      <c r="A1168" t="inlineStr">
        <is>
          <t>INV-5302-1</t>
        </is>
      </c>
      <c r="B1168" t="inlineStr">
        <is>
          <t>INV-5302</t>
        </is>
      </c>
      <c r="C1168" s="11" t="n">
        <v>46017</v>
      </c>
      <c r="D1168" t="inlineStr">
        <is>
          <t>2025-12</t>
        </is>
      </c>
      <c r="E1168" t="inlineStr">
        <is>
          <t>C0140</t>
        </is>
      </c>
      <c r="F1168" t="inlineStr">
        <is>
          <t>C0106</t>
        </is>
      </c>
      <c r="G1168" t="inlineStr">
        <is>
          <t>Ella Wilson</t>
        </is>
      </c>
      <c r="H1168" t="inlineStr">
        <is>
          <t>S0260</t>
        </is>
      </c>
      <c r="I1168" t="inlineStr">
        <is>
          <t>Scaffold dismantle - 1 tower(s)</t>
        </is>
      </c>
      <c r="J1168" t="n">
        <v>1</v>
      </c>
      <c r="K1168" s="9" t="n">
        <v>320</v>
      </c>
      <c r="L1168" t="inlineStr">
        <is>
          <t>PAID</t>
        </is>
      </c>
      <c r="M1168">
        <f>IF(L1168="VOIDED",0,1)</f>
        <v>1</v>
      </c>
      <c r="N1168" t="n">
        <v>200</v>
      </c>
      <c r="O1168" t="inlineStr">
        <is>
          <t>GST on Income</t>
        </is>
      </c>
      <c r="P1168" t="inlineStr">
        <is>
          <t>R08</t>
        </is>
      </c>
      <c r="Q1168" t="inlineStr">
        <is>
          <t>LAB-ST</t>
        </is>
      </c>
      <c r="R1168">
        <f>IF(OR(Q1168="CONTEXT",Q1168="REVIEW"),"",INDEX('Category Rules'!$D$5:$D$17,MATCH(P1168,'Category Rules'!$A$5:$A$17,0)))</f>
        <v>4020</v>
      </c>
      <c r="S1168" t="str">
        <f>IF(Q1168="CONTEXT","Scaffolding",IF(Q1168="REVIEW","",INDEX('Category Rules'!$E$5:$E$17,MATCH(P1168,'Category Rules'!$A$5:$A$17,0))))</f>
        <v>Scaffolding</v>
      </c>
      <c r="T1168" t="str">
        <f>IF(Q1168="DEP","BAS Excluded","GST on Income")</f>
        <v>GST on Income</v>
      </c>
      <c r="U1168">
        <f>IF(O1168=T1168,1,0)</f>
        <v>1</v>
      </c>
      <c r="V1168" s="9">
        <f>IF(OR(M1168=0,U1168=1),0,IF(T1168="GST on Income",ROUND(K1168*0.1,2),ROUND(-K1168*0.1,2)))</f>
        <v>0</v>
      </c>
    </row>
    <row r="1169">
      <c r="A1169" t="inlineStr">
        <is>
          <t>INV-5655-1</t>
        </is>
      </c>
      <c r="B1169" t="inlineStr">
        <is>
          <t>INV-5655</t>
        </is>
      </c>
      <c r="C1169" s="11" t="n">
        <v>46017</v>
      </c>
      <c r="D1169" t="inlineStr">
        <is>
          <t>2025-12</t>
        </is>
      </c>
      <c r="E1169" t="inlineStr">
        <is>
          <t>C0005</t>
        </is>
      </c>
      <c r="F1169" t="inlineStr">
        <is>
          <t>C0005</t>
        </is>
      </c>
      <c r="G1169" t="inlineStr">
        <is>
          <t>Fairway Developments</t>
        </is>
      </c>
      <c r="H1169" t="inlineStr">
        <is>
          <t>S0410</t>
        </is>
      </c>
      <c r="I1169" t="inlineStr">
        <is>
          <t>Roof repair labour - 4 hrs</t>
        </is>
      </c>
      <c r="J1169" t="n">
        <v>4</v>
      </c>
      <c r="K1169" s="9" t="n">
        <v>392</v>
      </c>
      <c r="L1169" t="inlineStr">
        <is>
          <t>PAID</t>
        </is>
      </c>
      <c r="M1169">
        <f>IF(L1169="VOIDED",0,1)</f>
        <v>1</v>
      </c>
      <c r="N1169" t="n">
        <v>200</v>
      </c>
      <c r="O1169" t="inlineStr">
        <is>
          <t>GST on Income</t>
        </is>
      </c>
      <c r="P1169" t="inlineStr">
        <is>
          <t>R10</t>
        </is>
      </c>
      <c r="Q1169" t="inlineStr">
        <is>
          <t>LAB-RF</t>
        </is>
      </c>
      <c r="R1169">
        <f>IF(OR(Q1169="CONTEXT",Q1169="REVIEW"),"",INDEX('Category Rules'!$D$5:$D$17,MATCH(P1169,'Category Rules'!$A$5:$A$17,0)))</f>
        <v>4020</v>
      </c>
      <c r="S1169" t="str">
        <f>IF(Q1169="CONTEXT","Roofing",IF(Q1169="REVIEW","",INDEX('Category Rules'!$E$5:$E$17,MATCH(P1169,'Category Rules'!$A$5:$A$17,0))))</f>
        <v>Roofing</v>
      </c>
      <c r="T1169" t="str">
        <f>IF(Q1169="DEP","BAS Excluded","GST on Income")</f>
        <v>GST on Income</v>
      </c>
      <c r="U1169">
        <f>IF(O1169=T1169,1,0)</f>
        <v>1</v>
      </c>
      <c r="V1169" s="9">
        <f>IF(OR(M1169=0,U1169=1),0,IF(T1169="GST on Income",ROUND(K1169*0.1,2),ROUND(-K1169*0.1,2)))</f>
        <v>0</v>
      </c>
    </row>
    <row r="1170">
      <c r="A1170" t="inlineStr">
        <is>
          <t>INV-5655-2</t>
        </is>
      </c>
      <c r="B1170" t="inlineStr">
        <is>
          <t>INV-5655</t>
        </is>
      </c>
      <c r="C1170" s="11" t="n">
        <v>46017</v>
      </c>
      <c r="D1170" t="inlineStr">
        <is>
          <t>2025-12</t>
        </is>
      </c>
      <c r="E1170" t="inlineStr">
        <is>
          <t>C0005</t>
        </is>
      </c>
      <c r="F1170" t="inlineStr">
        <is>
          <t>C0005</t>
        </is>
      </c>
      <c r="G1170" t="inlineStr">
        <is>
          <t>Fairway Developments</t>
        </is>
      </c>
      <c r="H1170" t="inlineStr">
        <is>
          <t>S0410</t>
        </is>
      </c>
      <c r="I1170" t="inlineStr">
        <is>
          <t>Materials - flashing</t>
        </is>
      </c>
      <c r="J1170" t="n">
        <v>1</v>
      </c>
      <c r="K1170" s="9" t="n">
        <v>756.96</v>
      </c>
      <c r="L1170" t="inlineStr">
        <is>
          <t>PAID</t>
        </is>
      </c>
      <c r="M1170">
        <f>IF(L1170="VOIDED",0,1)</f>
        <v>1</v>
      </c>
      <c r="N1170" t="n">
        <v>200</v>
      </c>
      <c r="O1170" t="inlineStr">
        <is>
          <t>GST on Income</t>
        </is>
      </c>
      <c r="P1170" t="inlineStr">
        <is>
          <t>R11</t>
        </is>
      </c>
      <c r="Q1170" t="inlineStr">
        <is>
          <t>MAT-RF</t>
        </is>
      </c>
      <c r="R1170">
        <f>IF(OR(Q1170="CONTEXT",Q1170="REVIEW"),"",INDEX('Category Rules'!$D$5:$D$17,MATCH(P1170,'Category Rules'!$A$5:$A$17,0)))</f>
        <v>4030</v>
      </c>
      <c r="S1170" t="str">
        <f>IF(Q1170="CONTEXT","Roofing",IF(Q1170="REVIEW","",INDEX('Category Rules'!$E$5:$E$17,MATCH(P1170,'Category Rules'!$A$5:$A$17,0))))</f>
        <v>Roofing</v>
      </c>
      <c r="T1170" t="str">
        <f>IF(Q1170="DEP","BAS Excluded","GST on Income")</f>
        <v>GST on Income</v>
      </c>
      <c r="U1170">
        <f>IF(O1170=T1170,1,0)</f>
        <v>1</v>
      </c>
      <c r="V1170" s="9">
        <f>IF(OR(M1170=0,U1170=1),0,IF(T1170="GST on Income",ROUND(K1170*0.1,2),ROUND(-K1170*0.1,2)))</f>
        <v>0</v>
      </c>
    </row>
    <row r="1171">
      <c r="A1171" t="inlineStr">
        <is>
          <t>INV-4198-1</t>
        </is>
      </c>
      <c r="B1171" t="inlineStr">
        <is>
          <t>INV-4198</t>
        </is>
      </c>
      <c r="C1171" s="11" t="n">
        <v>46018</v>
      </c>
      <c r="D1171" t="inlineStr">
        <is>
          <t>2025-12</t>
        </is>
      </c>
      <c r="E1171" t="inlineStr">
        <is>
          <t>C0034</t>
        </is>
      </c>
      <c r="F1171" t="inlineStr">
        <is>
          <t>C0034</t>
        </is>
      </c>
      <c r="G1171" t="inlineStr">
        <is>
          <t>Norfolk Constructions Pty Ltd</t>
        </is>
      </c>
      <c r="H1171" t="inlineStr">
        <is>
          <t>S0018</t>
        </is>
      </c>
      <c r="I1171" t="inlineStr">
        <is>
          <t>Temporary fence hire 4 wks (29/11/25-26/12/25) - 44 panels</t>
        </is>
      </c>
      <c r="J1171" t="n">
        <v>176</v>
      </c>
      <c r="K1171" s="9" t="n">
        <v>792</v>
      </c>
      <c r="L1171" t="inlineStr">
        <is>
          <t>PAID</t>
        </is>
      </c>
      <c r="M1171">
        <f>IF(L1171="VOIDED",0,1)</f>
        <v>1</v>
      </c>
      <c r="N1171" t="n">
        <v>200</v>
      </c>
      <c r="O1171" t="inlineStr">
        <is>
          <t>GST on Income</t>
        </is>
      </c>
      <c r="P1171" t="inlineStr">
        <is>
          <t>R03</t>
        </is>
      </c>
      <c r="Q1171" t="inlineStr">
        <is>
          <t>HIRE-FP</t>
        </is>
      </c>
      <c r="R1171">
        <f>IF(OR(Q1171="CONTEXT",Q1171="REVIEW"),"",INDEX('Category Rules'!$D$5:$D$17,MATCH(P1171,'Category Rules'!$A$5:$A$17,0)))</f>
        <v>4010</v>
      </c>
      <c r="S1171" t="str">
        <f>IF(Q1171="CONTEXT","Fencing",IF(Q1171="REVIEW","",INDEX('Category Rules'!$E$5:$E$17,MATCH(P1171,'Category Rules'!$A$5:$A$17,0))))</f>
        <v>Fencing</v>
      </c>
      <c r="T1171" t="str">
        <f>IF(Q1171="DEP","BAS Excluded","GST on Income")</f>
        <v>GST on Income</v>
      </c>
      <c r="U1171">
        <f>IF(O1171=T1171,1,0)</f>
        <v>1</v>
      </c>
      <c r="V1171" s="9">
        <f>IF(OR(M1171=0,U1171=1),0,IF(T1171="GST on Income",ROUND(K1171*0.1,2),ROUND(-K1171*0.1,2)))</f>
        <v>0</v>
      </c>
    </row>
    <row r="1172">
      <c r="A1172" t="inlineStr">
        <is>
          <t>INV-4271-1</t>
        </is>
      </c>
      <c r="B1172" t="inlineStr">
        <is>
          <t>INV-4271</t>
        </is>
      </c>
      <c r="C1172" s="11" t="n">
        <v>46018</v>
      </c>
      <c r="D1172" t="inlineStr">
        <is>
          <t>2025-12</t>
        </is>
      </c>
      <c r="E1172" t="inlineStr">
        <is>
          <t>C0041</t>
        </is>
      </c>
      <c r="F1172" t="inlineStr">
        <is>
          <t>C0041</t>
        </is>
      </c>
      <c r="G1172" t="inlineStr">
        <is>
          <t>Summit Builders Pty Ltd</t>
        </is>
      </c>
      <c r="H1172" t="inlineStr">
        <is>
          <t>S0036</t>
        </is>
      </c>
      <c r="I1172" t="inlineStr">
        <is>
          <t>Temporary fence hire 4 wks (29/11/25-26/12/25) - 143 panels</t>
        </is>
      </c>
      <c r="J1172" t="n">
        <v>572</v>
      </c>
      <c r="K1172" s="9" t="n">
        <v>2574</v>
      </c>
      <c r="L1172" t="inlineStr">
        <is>
          <t>PAID</t>
        </is>
      </c>
      <c r="M1172">
        <f>IF(L1172="VOIDED",0,1)</f>
        <v>1</v>
      </c>
      <c r="N1172" t="n">
        <v>200</v>
      </c>
      <c r="O1172" t="inlineStr">
        <is>
          <t>GST on Income</t>
        </is>
      </c>
      <c r="P1172" t="inlineStr">
        <is>
          <t>R03</t>
        </is>
      </c>
      <c r="Q1172" t="inlineStr">
        <is>
          <t>HIRE-FP</t>
        </is>
      </c>
      <c r="R1172">
        <f>IF(OR(Q1172="CONTEXT",Q1172="REVIEW"),"",INDEX('Category Rules'!$D$5:$D$17,MATCH(P1172,'Category Rules'!$A$5:$A$17,0)))</f>
        <v>4010</v>
      </c>
      <c r="S1172" t="str">
        <f>IF(Q1172="CONTEXT","Fencing",IF(Q1172="REVIEW","",INDEX('Category Rules'!$E$5:$E$17,MATCH(P1172,'Category Rules'!$A$5:$A$17,0))))</f>
        <v>Fencing</v>
      </c>
      <c r="T1172" t="str">
        <f>IF(Q1172="DEP","BAS Excluded","GST on Income")</f>
        <v>GST on Income</v>
      </c>
      <c r="U1172">
        <f>IF(O1172=T1172,1,0)</f>
        <v>1</v>
      </c>
      <c r="V1172" s="9">
        <f>IF(OR(M1172=0,U1172=1),0,IF(T1172="GST on Income",ROUND(K1172*0.1,2),ROUND(-K1172*0.1,2)))</f>
        <v>0</v>
      </c>
    </row>
    <row r="1173">
      <c r="A1173" t="inlineStr">
        <is>
          <t>INV-5481-1</t>
        </is>
      </c>
      <c r="B1173" t="inlineStr">
        <is>
          <t>INV-5481</t>
        </is>
      </c>
      <c r="C1173" s="11" t="n">
        <v>46018</v>
      </c>
      <c r="D1173" t="inlineStr">
        <is>
          <t>2025-12</t>
        </is>
      </c>
      <c r="E1173" t="inlineStr">
        <is>
          <t>C0063</t>
        </is>
      </c>
      <c r="F1173" t="inlineStr">
        <is>
          <t>C0063</t>
        </is>
      </c>
      <c r="G1173" t="inlineStr">
        <is>
          <t>Highpoint Insurance Repairs Pty Ltd</t>
        </is>
      </c>
      <c r="H1173" t="inlineStr">
        <is>
          <t>S0314</t>
        </is>
      </c>
      <c r="I1173" t="inlineStr">
        <is>
          <t>Make safe call-out</t>
        </is>
      </c>
      <c r="J1173" t="n">
        <v>1</v>
      </c>
      <c r="K1173" s="9" t="n">
        <v>385</v>
      </c>
      <c r="L1173" t="inlineStr">
        <is>
          <t>PAID</t>
        </is>
      </c>
      <c r="M1173">
        <f>IF(L1173="VOIDED",0,1)</f>
        <v>1</v>
      </c>
      <c r="N1173" t="n">
        <v>200</v>
      </c>
      <c r="O1173" t="inlineStr">
        <is>
          <t>GST on Income</t>
        </is>
      </c>
      <c r="P1173" t="inlineStr">
        <is>
          <t>R09</t>
        </is>
      </c>
      <c r="Q1173" t="inlineStr">
        <is>
          <t>MS</t>
        </is>
      </c>
      <c r="R1173">
        <f>IF(OR(Q1173="CONTEXT",Q1173="REVIEW"),"",INDEX('Category Rules'!$D$5:$D$17,MATCH(P1173,'Category Rules'!$A$5:$A$17,0)))</f>
        <v>4020</v>
      </c>
      <c r="S1173" t="str">
        <f>IF(Q1173="CONTEXT","Make-safe",IF(Q1173="REVIEW","",INDEX('Category Rules'!$E$5:$E$17,MATCH(P1173,'Category Rules'!$A$5:$A$17,0))))</f>
        <v>Make-safe</v>
      </c>
      <c r="T1173" t="str">
        <f>IF(Q1173="DEP","BAS Excluded","GST on Income")</f>
        <v>GST on Income</v>
      </c>
      <c r="U1173">
        <f>IF(O1173=T1173,1,0)</f>
        <v>1</v>
      </c>
      <c r="V1173" s="9">
        <f>IF(OR(M1173=0,U1173=1),0,IF(T1173="GST on Income",ROUND(K1173*0.1,2),ROUND(-K1173*0.1,2)))</f>
        <v>0</v>
      </c>
    </row>
    <row r="1174">
      <c r="A1174" t="inlineStr">
        <is>
          <t>INV-5481-2</t>
        </is>
      </c>
      <c r="B1174" t="inlineStr">
        <is>
          <t>INV-5481</t>
        </is>
      </c>
      <c r="C1174" s="11" t="n">
        <v>46018</v>
      </c>
      <c r="D1174" t="inlineStr">
        <is>
          <t>2025-12</t>
        </is>
      </c>
      <c r="E1174" t="inlineStr">
        <is>
          <t>C0063</t>
        </is>
      </c>
      <c r="F1174" t="inlineStr">
        <is>
          <t>C0063</t>
        </is>
      </c>
      <c r="G1174" t="inlineStr">
        <is>
          <t>Highpoint Insurance Repairs Pty Ltd</t>
        </is>
      </c>
      <c r="H1174" t="inlineStr">
        <is>
          <t>S0314</t>
        </is>
      </c>
      <c r="I1174" t="inlineStr">
        <is>
          <t>Tarp supply and install - 1 tarp(s)</t>
        </is>
      </c>
      <c r="J1174" t="n">
        <v>1</v>
      </c>
      <c r="K1174" s="9" t="n">
        <v>240</v>
      </c>
      <c r="L1174" t="inlineStr">
        <is>
          <t>PAID</t>
        </is>
      </c>
      <c r="M1174">
        <f>IF(L1174="VOIDED",0,1)</f>
        <v>1</v>
      </c>
      <c r="N1174" t="n">
        <v>200</v>
      </c>
      <c r="O1174" t="inlineStr">
        <is>
          <t>GST on Income</t>
        </is>
      </c>
      <c r="P1174" t="inlineStr">
        <is>
          <t>R09</t>
        </is>
      </c>
      <c r="Q1174" t="inlineStr">
        <is>
          <t>MS</t>
        </is>
      </c>
      <c r="R1174">
        <f>IF(OR(Q1174="CONTEXT",Q1174="REVIEW"),"",INDEX('Category Rules'!$D$5:$D$17,MATCH(P1174,'Category Rules'!$A$5:$A$17,0)))</f>
        <v>4020</v>
      </c>
      <c r="S1174" t="str">
        <f>IF(Q1174="CONTEXT","Make-safe",IF(Q1174="REVIEW","",INDEX('Category Rules'!$E$5:$E$17,MATCH(P1174,'Category Rules'!$A$5:$A$17,0))))</f>
        <v>Make-safe</v>
      </c>
      <c r="T1174" t="str">
        <f>IF(Q1174="DEP","BAS Excluded","GST on Income")</f>
        <v>GST on Income</v>
      </c>
      <c r="U1174">
        <f>IF(O1174=T1174,1,0)</f>
        <v>1</v>
      </c>
      <c r="V1174" s="9">
        <f>IF(OR(M1174=0,U1174=1),0,IF(T1174="GST on Income",ROUND(K1174*0.1,2),ROUND(-K1174*0.1,2)))</f>
        <v>0</v>
      </c>
    </row>
    <row r="1175">
      <c r="A1175" t="inlineStr">
        <is>
          <t>INV-5732-1</t>
        </is>
      </c>
      <c r="B1175" t="inlineStr">
        <is>
          <t>INV-5732</t>
        </is>
      </c>
      <c r="C1175" s="11" t="n">
        <v>46018</v>
      </c>
      <c r="D1175" t="inlineStr">
        <is>
          <t>2025-12</t>
        </is>
      </c>
      <c r="E1175" t="inlineStr">
        <is>
          <t>C0102</t>
        </is>
      </c>
      <c r="F1175" t="inlineStr">
        <is>
          <t>C0102</t>
        </is>
      </c>
      <c r="G1175" t="inlineStr">
        <is>
          <t>Arjun Doyle</t>
        </is>
      </c>
      <c r="H1175" t="inlineStr">
        <is>
          <t>S0451</t>
        </is>
      </c>
      <c r="I1175" t="inlineStr">
        <is>
          <t>Roof repair labour - 4 hrs</t>
        </is>
      </c>
      <c r="J1175" t="n">
        <v>4</v>
      </c>
      <c r="K1175" s="9" t="n">
        <v>392</v>
      </c>
      <c r="L1175" t="inlineStr">
        <is>
          <t>PAID</t>
        </is>
      </c>
      <c r="M1175">
        <f>IF(L1175="VOIDED",0,1)</f>
        <v>1</v>
      </c>
      <c r="N1175" t="n">
        <v>200</v>
      </c>
      <c r="O1175" t="inlineStr">
        <is>
          <t>GST on Income</t>
        </is>
      </c>
      <c r="P1175" t="inlineStr">
        <is>
          <t>R10</t>
        </is>
      </c>
      <c r="Q1175" t="inlineStr">
        <is>
          <t>LAB-RF</t>
        </is>
      </c>
      <c r="R1175">
        <f>IF(OR(Q1175="CONTEXT",Q1175="REVIEW"),"",INDEX('Category Rules'!$D$5:$D$17,MATCH(P1175,'Category Rules'!$A$5:$A$17,0)))</f>
        <v>4020</v>
      </c>
      <c r="S1175" t="str">
        <f>IF(Q1175="CONTEXT","Roofing",IF(Q1175="REVIEW","",INDEX('Category Rules'!$E$5:$E$17,MATCH(P1175,'Category Rules'!$A$5:$A$17,0))))</f>
        <v>Roofing</v>
      </c>
      <c r="T1175" t="str">
        <f>IF(Q1175="DEP","BAS Excluded","GST on Income")</f>
        <v>GST on Income</v>
      </c>
      <c r="U1175">
        <f>IF(O1175=T1175,1,0)</f>
        <v>1</v>
      </c>
      <c r="V1175" s="9">
        <f>IF(OR(M1175=0,U1175=1),0,IF(T1175="GST on Income",ROUND(K1175*0.1,2),ROUND(-K1175*0.1,2)))</f>
        <v>0</v>
      </c>
    </row>
    <row r="1176">
      <c r="A1176" t="inlineStr">
        <is>
          <t>INV-5732-2</t>
        </is>
      </c>
      <c r="B1176" t="inlineStr">
        <is>
          <t>INV-5732</t>
        </is>
      </c>
      <c r="C1176" s="11" t="n">
        <v>46018</v>
      </c>
      <c r="D1176" t="inlineStr">
        <is>
          <t>2025-12</t>
        </is>
      </c>
      <c r="E1176" t="inlineStr">
        <is>
          <t>C0102</t>
        </is>
      </c>
      <c r="F1176" t="inlineStr">
        <is>
          <t>C0102</t>
        </is>
      </c>
      <c r="G1176" t="inlineStr">
        <is>
          <t>Arjun Doyle</t>
        </is>
      </c>
      <c r="H1176" t="inlineStr">
        <is>
          <t>S0451</t>
        </is>
      </c>
      <c r="I1176" t="inlineStr">
        <is>
          <t>Materials - Colorbond sheet</t>
        </is>
      </c>
      <c r="J1176" t="n">
        <v>1</v>
      </c>
      <c r="K1176" s="9" t="n">
        <v>640.59</v>
      </c>
      <c r="L1176" t="inlineStr">
        <is>
          <t>PAID</t>
        </is>
      </c>
      <c r="M1176">
        <f>IF(L1176="VOIDED",0,1)</f>
        <v>1</v>
      </c>
      <c r="N1176" t="n">
        <v>200</v>
      </c>
      <c r="O1176" t="inlineStr">
        <is>
          <t>GST on Income</t>
        </is>
      </c>
      <c r="P1176" t="inlineStr">
        <is>
          <t>R11</t>
        </is>
      </c>
      <c r="Q1176" t="inlineStr">
        <is>
          <t>MAT-RF</t>
        </is>
      </c>
      <c r="R1176">
        <f>IF(OR(Q1176="CONTEXT",Q1176="REVIEW"),"",INDEX('Category Rules'!$D$5:$D$17,MATCH(P1176,'Category Rules'!$A$5:$A$17,0)))</f>
        <v>4030</v>
      </c>
      <c r="S1176" t="str">
        <f>IF(Q1176="CONTEXT","Roofing",IF(Q1176="REVIEW","",INDEX('Category Rules'!$E$5:$E$17,MATCH(P1176,'Category Rules'!$A$5:$A$17,0))))</f>
        <v>Roofing</v>
      </c>
      <c r="T1176" t="str">
        <f>IF(Q1176="DEP","BAS Excluded","GST on Income")</f>
        <v>GST on Income</v>
      </c>
      <c r="U1176">
        <f>IF(O1176=T1176,1,0)</f>
        <v>1</v>
      </c>
      <c r="V1176" s="9">
        <f>IF(OR(M1176=0,U1176=1),0,IF(T1176="GST on Income",ROUND(K1176*0.1,2),ROUND(-K1176*0.1,2)))</f>
        <v>0</v>
      </c>
    </row>
    <row r="1177">
      <c r="A1177" t="inlineStr">
        <is>
          <t>INV-5732-3</t>
        </is>
      </c>
      <c r="B1177" t="inlineStr">
        <is>
          <t>INV-5732</t>
        </is>
      </c>
      <c r="C1177" s="11" t="n">
        <v>46018</v>
      </c>
      <c r="D1177" t="inlineStr">
        <is>
          <t>2025-12</t>
        </is>
      </c>
      <c r="E1177" t="inlineStr">
        <is>
          <t>C0102</t>
        </is>
      </c>
      <c r="F1177" t="inlineStr">
        <is>
          <t>C0102</t>
        </is>
      </c>
      <c r="G1177" t="inlineStr">
        <is>
          <t>Arjun Doyle</t>
        </is>
      </c>
      <c r="H1177" t="inlineStr">
        <is>
          <t>S0451</t>
        </is>
      </c>
      <c r="I1177" t="inlineStr">
        <is>
          <t>Materials - ridge capping</t>
        </is>
      </c>
      <c r="J1177" t="n">
        <v>1</v>
      </c>
      <c r="K1177" s="9" t="n">
        <v>1246.3</v>
      </c>
      <c r="L1177" t="inlineStr">
        <is>
          <t>PAID</t>
        </is>
      </c>
      <c r="M1177">
        <f>IF(L1177="VOIDED",0,1)</f>
        <v>1</v>
      </c>
      <c r="N1177" t="n">
        <v>200</v>
      </c>
      <c r="O1177" t="inlineStr">
        <is>
          <t>GST on Income</t>
        </is>
      </c>
      <c r="P1177" t="inlineStr">
        <is>
          <t>R11</t>
        </is>
      </c>
      <c r="Q1177" t="inlineStr">
        <is>
          <t>MAT-RF</t>
        </is>
      </c>
      <c r="R1177">
        <f>IF(OR(Q1177="CONTEXT",Q1177="REVIEW"),"",INDEX('Category Rules'!$D$5:$D$17,MATCH(P1177,'Category Rules'!$A$5:$A$17,0)))</f>
        <v>4030</v>
      </c>
      <c r="S1177" t="str">
        <f>IF(Q1177="CONTEXT","Roofing",IF(Q1177="REVIEW","",INDEX('Category Rules'!$E$5:$E$17,MATCH(P1177,'Category Rules'!$A$5:$A$17,0))))</f>
        <v>Roofing</v>
      </c>
      <c r="T1177" t="str">
        <f>IF(Q1177="DEP","BAS Excluded","GST on Income")</f>
        <v>GST on Income</v>
      </c>
      <c r="U1177">
        <f>IF(O1177=T1177,1,0)</f>
        <v>1</v>
      </c>
      <c r="V1177" s="9">
        <f>IF(OR(M1177=0,U1177=1),0,IF(T1177="GST on Income",ROUND(K1177*0.1,2),ROUND(-K1177*0.1,2)))</f>
        <v>0</v>
      </c>
    </row>
    <row r="1178">
      <c r="A1178" t="inlineStr">
        <is>
          <t>INV-5732-4</t>
        </is>
      </c>
      <c r="B1178" t="inlineStr">
        <is>
          <t>INV-5732</t>
        </is>
      </c>
      <c r="C1178" s="11" t="n">
        <v>46018</v>
      </c>
      <c r="D1178" t="inlineStr">
        <is>
          <t>2025-12</t>
        </is>
      </c>
      <c r="E1178" t="inlineStr">
        <is>
          <t>C0102</t>
        </is>
      </c>
      <c r="F1178" t="inlineStr">
        <is>
          <t>C0102</t>
        </is>
      </c>
      <c r="G1178" t="inlineStr">
        <is>
          <t>Arjun Doyle</t>
        </is>
      </c>
      <c r="H1178" t="inlineStr">
        <is>
          <t>S0451</t>
        </is>
      </c>
      <c r="I1178" t="inlineStr">
        <is>
          <t>Waste removal and tip fees</t>
        </is>
      </c>
      <c r="J1178" t="n">
        <v>1</v>
      </c>
      <c r="K1178" s="9" t="n">
        <v>120</v>
      </c>
      <c r="L1178" t="inlineStr">
        <is>
          <t>PAID</t>
        </is>
      </c>
      <c r="M1178">
        <f>IF(L1178="VOIDED",0,1)</f>
        <v>1</v>
      </c>
      <c r="N1178" t="n">
        <v>200</v>
      </c>
      <c r="O1178" t="inlineStr">
        <is>
          <t>GST on Income</t>
        </is>
      </c>
      <c r="P1178" t="inlineStr">
        <is>
          <t>R11</t>
        </is>
      </c>
      <c r="Q1178" t="inlineStr">
        <is>
          <t>MAT-RF</t>
        </is>
      </c>
      <c r="R1178">
        <f>IF(OR(Q1178="CONTEXT",Q1178="REVIEW"),"",INDEX('Category Rules'!$D$5:$D$17,MATCH(P1178,'Category Rules'!$A$5:$A$17,0)))</f>
        <v>4030</v>
      </c>
      <c r="S1178" t="str">
        <f>IF(Q1178="CONTEXT","Roofing",IF(Q1178="REVIEW","",INDEX('Category Rules'!$E$5:$E$17,MATCH(P1178,'Category Rules'!$A$5:$A$17,0))))</f>
        <v>Roofing</v>
      </c>
      <c r="T1178" t="str">
        <f>IF(Q1178="DEP","BAS Excluded","GST on Income")</f>
        <v>GST on Income</v>
      </c>
      <c r="U1178">
        <f>IF(O1178=T1178,1,0)</f>
        <v>1</v>
      </c>
      <c r="V1178" s="9">
        <f>IF(OR(M1178=0,U1178=1),0,IF(T1178="GST on Income",ROUND(K1178*0.1,2),ROUND(-K1178*0.1,2)))</f>
        <v>0</v>
      </c>
    </row>
    <row r="1179">
      <c r="A1179" t="inlineStr">
        <is>
          <t>INV-4170-1</t>
        </is>
      </c>
      <c r="B1179" t="inlineStr">
        <is>
          <t>INV-4170</t>
        </is>
      </c>
      <c r="C1179" s="11" t="n">
        <v>46019</v>
      </c>
      <c r="D1179" t="inlineStr">
        <is>
          <t>2025-12</t>
        </is>
      </c>
      <c r="E1179" t="inlineStr">
        <is>
          <t>C0077</t>
        </is>
      </c>
      <c r="F1179" t="inlineStr">
        <is>
          <t>C0077</t>
        </is>
      </c>
      <c r="G1179" t="inlineStr">
        <is>
          <t>Corner Events Pty Ltd</t>
        </is>
      </c>
      <c r="H1179" t="inlineStr">
        <is>
          <t>S0013</t>
        </is>
      </c>
      <c r="I1179" t="inlineStr">
        <is>
          <t>Temporary fence hire 3 wks (13/12/25-27/12/25) - 110 panels</t>
        </is>
      </c>
      <c r="J1179" t="n">
        <v>330</v>
      </c>
      <c r="K1179" s="9" t="n">
        <v>1485</v>
      </c>
      <c r="L1179" t="inlineStr">
        <is>
          <t>PAID</t>
        </is>
      </c>
      <c r="M1179">
        <f>IF(L1179="VOIDED",0,1)</f>
        <v>1</v>
      </c>
      <c r="N1179" t="n">
        <v>200</v>
      </c>
      <c r="O1179" t="inlineStr">
        <is>
          <t>GST on Income</t>
        </is>
      </c>
      <c r="P1179" t="inlineStr">
        <is>
          <t>R03</t>
        </is>
      </c>
      <c r="Q1179" t="inlineStr">
        <is>
          <t>HIRE-FP</t>
        </is>
      </c>
      <c r="R1179">
        <f>IF(OR(Q1179="CONTEXT",Q1179="REVIEW"),"",INDEX('Category Rules'!$D$5:$D$17,MATCH(P1179,'Category Rules'!$A$5:$A$17,0)))</f>
        <v>4010</v>
      </c>
      <c r="S1179" t="str">
        <f>IF(Q1179="CONTEXT","Fencing",IF(Q1179="REVIEW","",INDEX('Category Rules'!$E$5:$E$17,MATCH(P1179,'Category Rules'!$A$5:$A$17,0))))</f>
        <v>Fencing</v>
      </c>
      <c r="T1179" t="str">
        <f>IF(Q1179="DEP","BAS Excluded","GST on Income")</f>
        <v>GST on Income</v>
      </c>
      <c r="U1179">
        <f>IF(O1179=T1179,1,0)</f>
        <v>1</v>
      </c>
      <c r="V1179" s="9">
        <f>IF(OR(M1179=0,U1179=1),0,IF(T1179="GST on Income",ROUND(K1179*0.1,2),ROUND(-K1179*0.1,2)))</f>
        <v>0</v>
      </c>
    </row>
    <row r="1180">
      <c r="A1180" t="inlineStr">
        <is>
          <t>INV-4171-1</t>
        </is>
      </c>
      <c r="B1180" t="inlineStr">
        <is>
          <t>INV-4171</t>
        </is>
      </c>
      <c r="C1180" s="11" t="n">
        <v>46019</v>
      </c>
      <c r="D1180" t="inlineStr">
        <is>
          <t>2025-12</t>
        </is>
      </c>
      <c r="E1180" t="inlineStr">
        <is>
          <t>C0077</t>
        </is>
      </c>
      <c r="F1180" t="inlineStr">
        <is>
          <t>C0077</t>
        </is>
      </c>
      <c r="G1180" t="inlineStr">
        <is>
          <t>Corner Events Pty Ltd</t>
        </is>
      </c>
      <c r="H1180" t="inlineStr">
        <is>
          <t>S0013</t>
        </is>
      </c>
      <c r="I1180" t="inlineStr">
        <is>
          <t>Pedestrian barrier hire 3 wks (13/12/25-27/12/25) - 23 barriers</t>
        </is>
      </c>
      <c r="J1180" t="n">
        <v>69</v>
      </c>
      <c r="K1180" s="9" t="n">
        <v>220.8</v>
      </c>
      <c r="L1180" t="inlineStr">
        <is>
          <t>PAID</t>
        </is>
      </c>
      <c r="M1180">
        <f>IF(L1180="VOIDED",0,1)</f>
        <v>1</v>
      </c>
      <c r="N1180" t="n">
        <v>200</v>
      </c>
      <c r="O1180" t="inlineStr">
        <is>
          <t>GST on Income</t>
        </is>
      </c>
      <c r="P1180" t="inlineStr">
        <is>
          <t>R04</t>
        </is>
      </c>
      <c r="Q1180" t="inlineStr">
        <is>
          <t>HIRE-BR</t>
        </is>
      </c>
      <c r="R1180">
        <f>IF(OR(Q1180="CONTEXT",Q1180="REVIEW"),"",INDEX('Category Rules'!$D$5:$D$17,MATCH(P1180,'Category Rules'!$A$5:$A$17,0)))</f>
        <v>4010</v>
      </c>
      <c r="S1180" t="str">
        <f>IF(Q1180="CONTEXT","Fencing",IF(Q1180="REVIEW","",INDEX('Category Rules'!$E$5:$E$17,MATCH(P1180,'Category Rules'!$A$5:$A$17,0))))</f>
        <v>Fencing</v>
      </c>
      <c r="T1180" t="str">
        <f>IF(Q1180="DEP","BAS Excluded","GST on Income")</f>
        <v>GST on Income</v>
      </c>
      <c r="U1180">
        <f>IF(O1180=T1180,1,0)</f>
        <v>1</v>
      </c>
      <c r="V1180" s="9">
        <f>IF(OR(M1180=0,U1180=1),0,IF(T1180="GST on Income",ROUND(K1180*0.1,2),ROUND(-K1180*0.1,2)))</f>
        <v>0</v>
      </c>
    </row>
    <row r="1181">
      <c r="A1181" t="inlineStr">
        <is>
          <t>INV-4173-1</t>
        </is>
      </c>
      <c r="B1181" t="inlineStr">
        <is>
          <t>INV-4173</t>
        </is>
      </c>
      <c r="C1181" s="11" t="n">
        <v>46019</v>
      </c>
      <c r="D1181" t="inlineStr">
        <is>
          <t>2025-12</t>
        </is>
      </c>
      <c r="E1181" t="inlineStr">
        <is>
          <t>C0077</t>
        </is>
      </c>
      <c r="F1181" t="inlineStr">
        <is>
          <t>C0077</t>
        </is>
      </c>
      <c r="G1181" t="inlineStr">
        <is>
          <t>Corner Events Pty Ltd</t>
        </is>
      </c>
      <c r="H1181" t="inlineStr">
        <is>
          <t>S0013</t>
        </is>
      </c>
      <c r="I1181" t="inlineStr">
        <is>
          <t>Collection and dismantle - temporary fencing</t>
        </is>
      </c>
      <c r="J1181" t="n">
        <v>1</v>
      </c>
      <c r="K1181" s="9" t="n">
        <v>165</v>
      </c>
      <c r="L1181" t="inlineStr">
        <is>
          <t>PAID</t>
        </is>
      </c>
      <c r="M1181">
        <f>IF(L1181="VOIDED",0,1)</f>
        <v>1</v>
      </c>
      <c r="N1181" t="n">
        <v>260</v>
      </c>
      <c r="O1181" t="inlineStr">
        <is>
          <t>GST on Income</t>
        </is>
      </c>
      <c r="P1181" t="inlineStr">
        <is>
          <t>R07</t>
        </is>
      </c>
      <c r="Q1181" t="inlineStr">
        <is>
          <t>DEL-FP</t>
        </is>
      </c>
      <c r="R1181">
        <f>IF(OR(Q1181="CONTEXT",Q1181="REVIEW"),"",INDEX('Category Rules'!$D$5:$D$17,MATCH(P1181,'Category Rules'!$A$5:$A$17,0)))</f>
        <v>4020</v>
      </c>
      <c r="S1181" t="str">
        <f>IF(Q1181="CONTEXT","Fencing",IF(Q1181="REVIEW","",INDEX('Category Rules'!$E$5:$E$17,MATCH(P1181,'Category Rules'!$A$5:$A$17,0))))</f>
        <v>Fencing</v>
      </c>
      <c r="T1181" t="str">
        <f>IF(Q1181="DEP","BAS Excluded","GST on Income")</f>
        <v>GST on Income</v>
      </c>
      <c r="U1181">
        <f>IF(O1181=T1181,1,0)</f>
        <v>1</v>
      </c>
      <c r="V1181" s="9">
        <f>IF(OR(M1181=0,U1181=1),0,IF(T1181="GST on Income",ROUND(K1181*0.1,2),ROUND(-K1181*0.1,2)))</f>
        <v>0</v>
      </c>
    </row>
    <row r="1182">
      <c r="A1182" t="inlineStr">
        <is>
          <t>INV-4815-1</t>
        </is>
      </c>
      <c r="B1182" t="inlineStr">
        <is>
          <t>INV-4815</t>
        </is>
      </c>
      <c r="C1182" s="11" t="n">
        <v>46019</v>
      </c>
      <c r="D1182" t="inlineStr">
        <is>
          <t>2025-12</t>
        </is>
      </c>
      <c r="E1182" t="inlineStr">
        <is>
          <t>C0102</t>
        </is>
      </c>
      <c r="F1182" t="inlineStr">
        <is>
          <t>C0102</t>
        </is>
      </c>
      <c r="G1182" t="inlineStr">
        <is>
          <t>Arjun Doyle</t>
        </is>
      </c>
      <c r="H1182" t="inlineStr">
        <is>
          <t>S0153</t>
        </is>
      </c>
      <c r="I1182" t="inlineStr">
        <is>
          <t>Temporary fence hire 3 wks (12/12/25-27/12/25) - 40 panels</t>
        </is>
      </c>
      <c r="J1182" t="n">
        <v>120</v>
      </c>
      <c r="K1182" s="9" t="n">
        <v>540</v>
      </c>
      <c r="L1182" t="inlineStr">
        <is>
          <t>PAID</t>
        </is>
      </c>
      <c r="M1182">
        <f>IF(L1182="VOIDED",0,1)</f>
        <v>1</v>
      </c>
      <c r="N1182" t="n">
        <v>200</v>
      </c>
      <c r="O1182" t="inlineStr">
        <is>
          <t>GST on Income</t>
        </is>
      </c>
      <c r="P1182" t="inlineStr">
        <is>
          <t>R03</t>
        </is>
      </c>
      <c r="Q1182" t="inlineStr">
        <is>
          <t>HIRE-FP</t>
        </is>
      </c>
      <c r="R1182">
        <f>IF(OR(Q1182="CONTEXT",Q1182="REVIEW"),"",INDEX('Category Rules'!$D$5:$D$17,MATCH(P1182,'Category Rules'!$A$5:$A$17,0)))</f>
        <v>4010</v>
      </c>
      <c r="S1182" t="str">
        <f>IF(Q1182="CONTEXT","Fencing",IF(Q1182="REVIEW","",INDEX('Category Rules'!$E$5:$E$17,MATCH(P1182,'Category Rules'!$A$5:$A$17,0))))</f>
        <v>Fencing</v>
      </c>
      <c r="T1182" t="str">
        <f>IF(Q1182="DEP","BAS Excluded","GST on Income")</f>
        <v>GST on Income</v>
      </c>
      <c r="U1182">
        <f>IF(O1182=T1182,1,0)</f>
        <v>1</v>
      </c>
      <c r="V1182" s="9">
        <f>IF(OR(M1182=0,U1182=1),0,IF(T1182="GST on Income",ROUND(K1182*0.1,2),ROUND(-K1182*0.1,2)))</f>
        <v>0</v>
      </c>
    </row>
    <row r="1183">
      <c r="A1183" t="inlineStr">
        <is>
          <t>INV-4817-1</t>
        </is>
      </c>
      <c r="B1183" t="inlineStr">
        <is>
          <t>INV-4817</t>
        </is>
      </c>
      <c r="C1183" s="11" t="n">
        <v>46019</v>
      </c>
      <c r="D1183" t="inlineStr">
        <is>
          <t>2025-12</t>
        </is>
      </c>
      <c r="E1183" t="inlineStr">
        <is>
          <t>C0102</t>
        </is>
      </c>
      <c r="F1183" t="inlineStr">
        <is>
          <t>C0102</t>
        </is>
      </c>
      <c r="G1183" t="inlineStr">
        <is>
          <t>Arjun Doyle</t>
        </is>
      </c>
      <c r="H1183" t="inlineStr">
        <is>
          <t>S0153</t>
        </is>
      </c>
      <c r="I1183" t="inlineStr">
        <is>
          <t>Collection and dismantle - temporary fencing</t>
        </is>
      </c>
      <c r="J1183" t="n">
        <v>1</v>
      </c>
      <c r="K1183" s="9" t="n">
        <v>165</v>
      </c>
      <c r="L1183" t="inlineStr">
        <is>
          <t>PAID</t>
        </is>
      </c>
      <c r="M1183">
        <f>IF(L1183="VOIDED",0,1)</f>
        <v>1</v>
      </c>
      <c r="N1183" t="n">
        <v>260</v>
      </c>
      <c r="O1183" t="inlineStr">
        <is>
          <t>GST on Income</t>
        </is>
      </c>
      <c r="P1183" t="inlineStr">
        <is>
          <t>R07</t>
        </is>
      </c>
      <c r="Q1183" t="inlineStr">
        <is>
          <t>DEL-FP</t>
        </is>
      </c>
      <c r="R1183">
        <f>IF(OR(Q1183="CONTEXT",Q1183="REVIEW"),"",INDEX('Category Rules'!$D$5:$D$17,MATCH(P1183,'Category Rules'!$A$5:$A$17,0)))</f>
        <v>4020</v>
      </c>
      <c r="S1183" t="str">
        <f>IF(Q1183="CONTEXT","Fencing",IF(Q1183="REVIEW","",INDEX('Category Rules'!$E$5:$E$17,MATCH(P1183,'Category Rules'!$A$5:$A$17,0))))</f>
        <v>Fencing</v>
      </c>
      <c r="T1183" t="str">
        <f>IF(Q1183="DEP","BAS Excluded","GST on Income")</f>
        <v>GST on Income</v>
      </c>
      <c r="U1183">
        <f>IF(O1183=T1183,1,0)</f>
        <v>1</v>
      </c>
      <c r="V1183" s="9">
        <f>IF(OR(M1183=0,U1183=1),0,IF(T1183="GST on Income",ROUND(K1183*0.1,2),ROUND(-K1183*0.1,2)))</f>
        <v>0</v>
      </c>
    </row>
    <row r="1184">
      <c r="A1184" t="inlineStr">
        <is>
          <t>INV-4817-2</t>
        </is>
      </c>
      <c r="B1184" t="inlineStr">
        <is>
          <t>INV-4817</t>
        </is>
      </c>
      <c r="C1184" s="11" t="n">
        <v>46019</v>
      </c>
      <c r="D1184" t="inlineStr">
        <is>
          <t>2025-12</t>
        </is>
      </c>
      <c r="E1184" t="inlineStr">
        <is>
          <t>C0102</t>
        </is>
      </c>
      <c r="F1184" t="inlineStr">
        <is>
          <t>C0102</t>
        </is>
      </c>
      <c r="G1184" t="inlineStr">
        <is>
          <t>Arjun Doyle</t>
        </is>
      </c>
      <c r="H1184" t="inlineStr">
        <is>
          <t>S0153</t>
        </is>
      </c>
      <c r="I1184" t="inlineStr">
        <is>
          <t>Lost/damaged panels charged - 5 @ 145.00</t>
        </is>
      </c>
      <c r="J1184" t="n">
        <v>5</v>
      </c>
      <c r="K1184" s="9" t="n">
        <v>725</v>
      </c>
      <c r="L1184" t="inlineStr">
        <is>
          <t>PAID</t>
        </is>
      </c>
      <c r="M1184">
        <f>IF(L1184="VOIDED",0,1)</f>
        <v>1</v>
      </c>
      <c r="N1184" t="n">
        <v>200</v>
      </c>
      <c r="O1184" t="inlineStr">
        <is>
          <t>GST on Income</t>
        </is>
      </c>
      <c r="P1184" t="inlineStr">
        <is>
          <t>R02</t>
        </is>
      </c>
      <c r="Q1184" t="inlineStr">
        <is>
          <t>LOSS</t>
        </is>
      </c>
      <c r="R1184">
        <f>IF(OR(Q1184="CONTEXT",Q1184="REVIEW"),"",INDEX('Category Rules'!$D$5:$D$17,MATCH(P1184,'Category Rules'!$A$5:$A$17,0)))</f>
        <v>4040</v>
      </c>
      <c r="S1184" t="str">
        <f>IF(Q1184="CONTEXT","Fencing",IF(Q1184="REVIEW","",INDEX('Category Rules'!$E$5:$E$17,MATCH(P1184,'Category Rules'!$A$5:$A$17,0))))</f>
        <v>Fencing</v>
      </c>
      <c r="T1184" t="str">
        <f>IF(Q1184="DEP","BAS Excluded","GST on Income")</f>
        <v>GST on Income</v>
      </c>
      <c r="U1184">
        <f>IF(O1184=T1184,1,0)</f>
        <v>1</v>
      </c>
      <c r="V1184" s="9">
        <f>IF(OR(M1184=0,U1184=1),0,IF(T1184="GST on Income",ROUND(K1184*0.1,2),ROUND(-K1184*0.1,2)))</f>
        <v>0</v>
      </c>
    </row>
    <row r="1185">
      <c r="A1185" t="inlineStr">
        <is>
          <t>INV-5101-1</t>
        </is>
      </c>
      <c r="B1185" t="inlineStr">
        <is>
          <t>INV-5101</t>
        </is>
      </c>
      <c r="C1185" s="11" t="n">
        <v>46019</v>
      </c>
      <c r="D1185" t="inlineStr">
        <is>
          <t>2025-12</t>
        </is>
      </c>
      <c r="E1185" t="inlineStr">
        <is>
          <t>C0002</t>
        </is>
      </c>
      <c r="F1185" t="inlineStr">
        <is>
          <t>C0002</t>
        </is>
      </c>
      <c r="G1185" t="inlineStr">
        <is>
          <t>Summit Building Group</t>
        </is>
      </c>
      <c r="H1185" t="inlineStr">
        <is>
          <t>S0215</t>
        </is>
      </c>
      <c r="I1185" t="inlineStr">
        <is>
          <t>Temporary fence hire 4 wks (30/11/25-27/12/25) - 91 panels</t>
        </is>
      </c>
      <c r="J1185" t="n">
        <v>364</v>
      </c>
      <c r="K1185" s="9" t="n">
        <v>1638</v>
      </c>
      <c r="L1185" t="inlineStr">
        <is>
          <t>PAID</t>
        </is>
      </c>
      <c r="M1185">
        <f>IF(L1185="VOIDED",0,1)</f>
        <v>1</v>
      </c>
      <c r="N1185" t="n">
        <v>200</v>
      </c>
      <c r="O1185" t="inlineStr">
        <is>
          <t>GST on Income</t>
        </is>
      </c>
      <c r="P1185" t="inlineStr">
        <is>
          <t>R03</t>
        </is>
      </c>
      <c r="Q1185" t="inlineStr">
        <is>
          <t>HIRE-FP</t>
        </is>
      </c>
      <c r="R1185">
        <f>IF(OR(Q1185="CONTEXT",Q1185="REVIEW"),"",INDEX('Category Rules'!$D$5:$D$17,MATCH(P1185,'Category Rules'!$A$5:$A$17,0)))</f>
        <v>4010</v>
      </c>
      <c r="S1185" t="str">
        <f>IF(Q1185="CONTEXT","Fencing",IF(Q1185="REVIEW","",INDEX('Category Rules'!$E$5:$E$17,MATCH(P1185,'Category Rules'!$A$5:$A$17,0))))</f>
        <v>Fencing</v>
      </c>
      <c r="T1185" t="str">
        <f>IF(Q1185="DEP","BAS Excluded","GST on Income")</f>
        <v>GST on Income</v>
      </c>
      <c r="U1185">
        <f>IF(O1185=T1185,1,0)</f>
        <v>1</v>
      </c>
      <c r="V1185" s="9">
        <f>IF(OR(M1185=0,U1185=1),0,IF(T1185="GST on Income",ROUND(K1185*0.1,2),ROUND(-K1185*0.1,2)))</f>
        <v>0</v>
      </c>
    </row>
    <row r="1186">
      <c r="A1186" t="inlineStr">
        <is>
          <t>INV-5107-1</t>
        </is>
      </c>
      <c r="B1186" t="inlineStr">
        <is>
          <t>INV-5107</t>
        </is>
      </c>
      <c r="C1186" s="11" t="n">
        <v>46019</v>
      </c>
      <c r="D1186" t="inlineStr">
        <is>
          <t>2025-12</t>
        </is>
      </c>
      <c r="E1186" t="inlineStr">
        <is>
          <t>C0002</t>
        </is>
      </c>
      <c r="F1186" t="inlineStr">
        <is>
          <t>C0002</t>
        </is>
      </c>
      <c r="G1186" t="inlineStr">
        <is>
          <t>Summit Building Group</t>
        </is>
      </c>
      <c r="H1186" t="inlineStr">
        <is>
          <t>S0215</t>
        </is>
      </c>
      <c r="I1186" t="inlineStr">
        <is>
          <t>Pedestrian barrier hire 4 wks (30/11/25-27/12/25) - 18 barriers</t>
        </is>
      </c>
      <c r="J1186" t="n">
        <v>72</v>
      </c>
      <c r="K1186" s="9" t="n">
        <v>230.4</v>
      </c>
      <c r="L1186" t="inlineStr">
        <is>
          <t>PAID</t>
        </is>
      </c>
      <c r="M1186">
        <f>IF(L1186="VOIDED",0,1)</f>
        <v>1</v>
      </c>
      <c r="N1186" t="n">
        <v>200</v>
      </c>
      <c r="O1186" t="inlineStr">
        <is>
          <t>GST Free Income</t>
        </is>
      </c>
      <c r="P1186" t="inlineStr">
        <is>
          <t>R04</t>
        </is>
      </c>
      <c r="Q1186" t="inlineStr">
        <is>
          <t>HIRE-BR</t>
        </is>
      </c>
      <c r="R1186">
        <f>IF(OR(Q1186="CONTEXT",Q1186="REVIEW"),"",INDEX('Category Rules'!$D$5:$D$17,MATCH(P1186,'Category Rules'!$A$5:$A$17,0)))</f>
        <v>4010</v>
      </c>
      <c r="S1186" t="str">
        <f>IF(Q1186="CONTEXT","Fencing",IF(Q1186="REVIEW","",INDEX('Category Rules'!$E$5:$E$17,MATCH(P1186,'Category Rules'!$A$5:$A$17,0))))</f>
        <v>Fencing</v>
      </c>
      <c r="T1186" t="str">
        <f>IF(Q1186="DEP","BAS Excluded","GST on Income")</f>
        <v>GST on Income</v>
      </c>
      <c r="U1186">
        <f>IF(O1186=T1186,1,0)</f>
        <v>0</v>
      </c>
      <c r="V1186" s="9">
        <f>IF(OR(M1186=0,U1186=1),0,IF(T1186="GST on Income",ROUND(K1186*0.1,2),ROUND(-K1186*0.1,2)))</f>
        <v>23.04</v>
      </c>
    </row>
    <row r="1187">
      <c r="A1187" t="inlineStr">
        <is>
          <t>INV-5174-1</t>
        </is>
      </c>
      <c r="B1187" t="inlineStr">
        <is>
          <t>INV-5174</t>
        </is>
      </c>
      <c r="C1187" s="11" t="n">
        <v>46019</v>
      </c>
      <c r="D1187" t="inlineStr">
        <is>
          <t>2025-12</t>
        </is>
      </c>
      <c r="E1187" t="inlineStr">
        <is>
          <t>C0148</t>
        </is>
      </c>
      <c r="F1187" t="inlineStr">
        <is>
          <t>C0042</t>
        </is>
      </c>
      <c r="G1187" t="inlineStr">
        <is>
          <t>Lakeside Constructions Pty Ltd</t>
        </is>
      </c>
      <c r="H1187" t="inlineStr">
        <is>
          <t>S0231</t>
        </is>
      </c>
      <c r="I1187" t="inlineStr">
        <is>
          <t>Temporary fence hire 4 wks (30/11/25-27/12/25) - 125 panels</t>
        </is>
      </c>
      <c r="J1187" t="n">
        <v>500</v>
      </c>
      <c r="K1187" s="9" t="n">
        <v>2250</v>
      </c>
      <c r="L1187" t="inlineStr">
        <is>
          <t>PAID</t>
        </is>
      </c>
      <c r="M1187">
        <f>IF(L1187="VOIDED",0,1)</f>
        <v>1</v>
      </c>
      <c r="N1187" t="n">
        <v>200</v>
      </c>
      <c r="O1187" t="inlineStr">
        <is>
          <t>GST on Income</t>
        </is>
      </c>
      <c r="P1187" t="inlineStr">
        <is>
          <t>R03</t>
        </is>
      </c>
      <c r="Q1187" t="inlineStr">
        <is>
          <t>HIRE-FP</t>
        </is>
      </c>
      <c r="R1187">
        <f>IF(OR(Q1187="CONTEXT",Q1187="REVIEW"),"",INDEX('Category Rules'!$D$5:$D$17,MATCH(P1187,'Category Rules'!$A$5:$A$17,0)))</f>
        <v>4010</v>
      </c>
      <c r="S1187" t="str">
        <f>IF(Q1187="CONTEXT","Fencing",IF(Q1187="REVIEW","",INDEX('Category Rules'!$E$5:$E$17,MATCH(P1187,'Category Rules'!$A$5:$A$17,0))))</f>
        <v>Fencing</v>
      </c>
      <c r="T1187" t="str">
        <f>IF(Q1187="DEP","BAS Excluded","GST on Income")</f>
        <v>GST on Income</v>
      </c>
      <c r="U1187">
        <f>IF(O1187=T1187,1,0)</f>
        <v>1</v>
      </c>
      <c r="V1187" s="9">
        <f>IF(OR(M1187=0,U1187=1),0,IF(T1187="GST on Income",ROUND(K1187*0.1,2),ROUND(-K1187*0.1,2)))</f>
        <v>0</v>
      </c>
    </row>
    <row r="1188">
      <c r="A1188" t="inlineStr">
        <is>
          <t>INV-5934-1</t>
        </is>
      </c>
      <c r="B1188" t="inlineStr">
        <is>
          <t>INV-5934</t>
        </is>
      </c>
      <c r="C1188" s="11" t="n">
        <v>46019</v>
      </c>
      <c r="D1188" t="inlineStr">
        <is>
          <t>2025-12</t>
        </is>
      </c>
      <c r="E1188" t="inlineStr">
        <is>
          <t>C0125</t>
        </is>
      </c>
      <c r="F1188" t="inlineStr">
        <is>
          <t>C0064</t>
        </is>
      </c>
      <c r="G1188" t="inlineStr">
        <is>
          <t>Lakeside Claims Services Pty Ltd</t>
        </is>
      </c>
      <c r="H1188" t="inlineStr">
        <is>
          <t>S0382</t>
        </is>
      </c>
      <c r="I1188" t="inlineStr">
        <is>
          <t>Misc charges</t>
        </is>
      </c>
      <c r="J1188" t="n">
        <v>1</v>
      </c>
      <c r="K1188" s="9" t="n">
        <v>3612.05</v>
      </c>
      <c r="L1188" t="inlineStr">
        <is>
          <t>PAID</t>
        </is>
      </c>
      <c r="M1188">
        <f>IF(L1188="VOIDED",0,1)</f>
        <v>1</v>
      </c>
      <c r="N1188" t="n">
        <v>200</v>
      </c>
      <c r="O1188" t="inlineStr">
        <is>
          <t>GST on Income</t>
        </is>
      </c>
      <c r="P1188" t="inlineStr">
        <is>
          <t>R12</t>
        </is>
      </c>
      <c r="Q1188" t="inlineStr">
        <is>
          <t>CONTEXT</t>
        </is>
      </c>
      <c r="R1188">
        <f>IF(OR(Q1188="CONTEXT",Q1188="REVIEW"),"",INDEX('Category Rules'!$D$5:$D$17,MATCH(P1188,'Category Rules'!$A$5:$A$17,0)))</f>
      </c>
      <c r="S1188" t="str">
        <f>IF(Q1188="CONTEXT","Make-safe",IF(Q1188="REVIEW","",INDEX('Category Rules'!$E$5:$E$17,MATCH(P1188,'Category Rules'!$A$5:$A$17,0))))</f>
        <v>Make-safe</v>
      </c>
      <c r="T1188" t="str">
        <f>IF(Q1188="DEP","BAS Excluded","GST on Income")</f>
        <v>GST on Income</v>
      </c>
      <c r="U1188">
        <f>IF(O1188=T1188,1,0)</f>
        <v>1</v>
      </c>
      <c r="V1188" s="9">
        <f>IF(OR(M1188=0,U1188=1),0,IF(T1188="GST on Income",ROUND(K1188*0.1,2),ROUND(-K1188*0.1,2)))</f>
        <v>0</v>
      </c>
    </row>
    <row r="1189">
      <c r="A1189" t="inlineStr">
        <is>
          <t>INV-4697-1</t>
        </is>
      </c>
      <c r="B1189" t="inlineStr">
        <is>
          <t>INV-4697</t>
        </is>
      </c>
      <c r="C1189" s="11" t="n">
        <v>46020</v>
      </c>
      <c r="D1189" t="inlineStr">
        <is>
          <t>2025-12</t>
        </is>
      </c>
      <c r="E1189" t="inlineStr">
        <is>
          <t>C0024</t>
        </is>
      </c>
      <c r="F1189" t="inlineStr">
        <is>
          <t>C0024</t>
        </is>
      </c>
      <c r="G1189" t="inlineStr">
        <is>
          <t>Parkview Homes Pty Ltd</t>
        </is>
      </c>
      <c r="H1189" t="inlineStr">
        <is>
          <t>S0124</t>
        </is>
      </c>
      <c r="I1189" t="inlineStr">
        <is>
          <t>Temporary fence hire 1 wks (26/12/25-28/12/25) - 70 panels</t>
        </is>
      </c>
      <c r="J1189" t="n">
        <v>70</v>
      </c>
      <c r="K1189" s="9" t="n">
        <v>315</v>
      </c>
      <c r="L1189" t="inlineStr">
        <is>
          <t>PAID</t>
        </is>
      </c>
      <c r="M1189">
        <f>IF(L1189="VOIDED",0,1)</f>
        <v>1</v>
      </c>
      <c r="N1189" t="n">
        <v>200</v>
      </c>
      <c r="O1189" t="inlineStr">
        <is>
          <t>GST on Income</t>
        </is>
      </c>
      <c r="P1189" t="inlineStr">
        <is>
          <t>R03</t>
        </is>
      </c>
      <c r="Q1189" t="inlineStr">
        <is>
          <t>HIRE-FP</t>
        </is>
      </c>
      <c r="R1189">
        <f>IF(OR(Q1189="CONTEXT",Q1189="REVIEW"),"",INDEX('Category Rules'!$D$5:$D$17,MATCH(P1189,'Category Rules'!$A$5:$A$17,0)))</f>
        <v>4010</v>
      </c>
      <c r="S1189" t="str">
        <f>IF(Q1189="CONTEXT","Fencing",IF(Q1189="REVIEW","",INDEX('Category Rules'!$E$5:$E$17,MATCH(P1189,'Category Rules'!$A$5:$A$17,0))))</f>
        <v>Fencing</v>
      </c>
      <c r="T1189" t="str">
        <f>IF(Q1189="DEP","BAS Excluded","GST on Income")</f>
        <v>GST on Income</v>
      </c>
      <c r="U1189">
        <f>IF(O1189=T1189,1,0)</f>
        <v>1</v>
      </c>
      <c r="V1189" s="9">
        <f>IF(OR(M1189=0,U1189=1),0,IF(T1189="GST on Income",ROUND(K1189*0.1,2),ROUND(-K1189*0.1,2)))</f>
        <v>0</v>
      </c>
    </row>
    <row r="1190">
      <c r="A1190" t="inlineStr">
        <is>
          <t>INV-4703-1</t>
        </is>
      </c>
      <c r="B1190" t="inlineStr">
        <is>
          <t>INV-4703</t>
        </is>
      </c>
      <c r="C1190" s="11" t="n">
        <v>46020</v>
      </c>
      <c r="D1190" t="inlineStr">
        <is>
          <t>2025-12</t>
        </is>
      </c>
      <c r="E1190" t="inlineStr">
        <is>
          <t>C0024</t>
        </is>
      </c>
      <c r="F1190" t="inlineStr">
        <is>
          <t>C0024</t>
        </is>
      </c>
      <c r="G1190" t="inlineStr">
        <is>
          <t>Parkview Homes Pty Ltd</t>
        </is>
      </c>
      <c r="H1190" t="inlineStr">
        <is>
          <t>S0124</t>
        </is>
      </c>
      <c r="I1190" t="inlineStr">
        <is>
          <t>Pedestrian barrier hire 1 wks (26/12/25-28/12/25) - 4 barriers</t>
        </is>
      </c>
      <c r="J1190" t="n">
        <v>4</v>
      </c>
      <c r="K1190" s="9" t="n">
        <v>12.8</v>
      </c>
      <c r="L1190" t="inlineStr">
        <is>
          <t>PAID</t>
        </is>
      </c>
      <c r="M1190">
        <f>IF(L1190="VOIDED",0,1)</f>
        <v>1</v>
      </c>
      <c r="N1190" t="n">
        <v>260</v>
      </c>
      <c r="O1190" t="inlineStr">
        <is>
          <t>GST on Income</t>
        </is>
      </c>
      <c r="P1190" t="inlineStr">
        <is>
          <t>R04</t>
        </is>
      </c>
      <c r="Q1190" t="inlineStr">
        <is>
          <t>HIRE-BR</t>
        </is>
      </c>
      <c r="R1190">
        <f>IF(OR(Q1190="CONTEXT",Q1190="REVIEW"),"",INDEX('Category Rules'!$D$5:$D$17,MATCH(P1190,'Category Rules'!$A$5:$A$17,0)))</f>
        <v>4010</v>
      </c>
      <c r="S1190" t="str">
        <f>IF(Q1190="CONTEXT","Fencing",IF(Q1190="REVIEW","",INDEX('Category Rules'!$E$5:$E$17,MATCH(P1190,'Category Rules'!$A$5:$A$17,0))))</f>
        <v>Fencing</v>
      </c>
      <c r="T1190" t="str">
        <f>IF(Q1190="DEP","BAS Excluded","GST on Income")</f>
        <v>GST on Income</v>
      </c>
      <c r="U1190">
        <f>IF(O1190=T1190,1,0)</f>
        <v>1</v>
      </c>
      <c r="V1190" s="9">
        <f>IF(OR(M1190=0,U1190=1),0,IF(T1190="GST on Income",ROUND(K1190*0.1,2),ROUND(-K1190*0.1,2)))</f>
        <v>0</v>
      </c>
    </row>
    <row r="1191">
      <c r="A1191" t="inlineStr">
        <is>
          <t>INV-4705-1</t>
        </is>
      </c>
      <c r="B1191" t="inlineStr">
        <is>
          <t>INV-4705</t>
        </is>
      </c>
      <c r="C1191" s="11" t="n">
        <v>46020</v>
      </c>
      <c r="D1191" t="inlineStr">
        <is>
          <t>2025-12</t>
        </is>
      </c>
      <c r="E1191" t="inlineStr">
        <is>
          <t>C0024</t>
        </is>
      </c>
      <c r="F1191" t="inlineStr">
        <is>
          <t>C0024</t>
        </is>
      </c>
      <c r="G1191" t="inlineStr">
        <is>
          <t>Parkview Homes Pty Ltd</t>
        </is>
      </c>
      <c r="H1191" t="inlineStr">
        <is>
          <t>S0124</t>
        </is>
      </c>
      <c r="I1191" t="inlineStr">
        <is>
          <t>Collection and dismantle - temporary fencing</t>
        </is>
      </c>
      <c r="J1191" t="n">
        <v>1</v>
      </c>
      <c r="K1191" s="9" t="n">
        <v>165</v>
      </c>
      <c r="L1191" t="inlineStr">
        <is>
          <t>PAID</t>
        </is>
      </c>
      <c r="M1191">
        <f>IF(L1191="VOIDED",0,1)</f>
        <v>1</v>
      </c>
      <c r="N1191" t="n">
        <v>260</v>
      </c>
      <c r="O1191" t="inlineStr">
        <is>
          <t>GST on Income</t>
        </is>
      </c>
      <c r="P1191" t="inlineStr">
        <is>
          <t>R07</t>
        </is>
      </c>
      <c r="Q1191" t="inlineStr">
        <is>
          <t>DEL-FP</t>
        </is>
      </c>
      <c r="R1191">
        <f>IF(OR(Q1191="CONTEXT",Q1191="REVIEW"),"",INDEX('Category Rules'!$D$5:$D$17,MATCH(P1191,'Category Rules'!$A$5:$A$17,0)))</f>
        <v>4020</v>
      </c>
      <c r="S1191" t="str">
        <f>IF(Q1191="CONTEXT","Fencing",IF(Q1191="REVIEW","",INDEX('Category Rules'!$E$5:$E$17,MATCH(P1191,'Category Rules'!$A$5:$A$17,0))))</f>
        <v>Fencing</v>
      </c>
      <c r="T1191" t="str">
        <f>IF(Q1191="DEP","BAS Excluded","GST on Income")</f>
        <v>GST on Income</v>
      </c>
      <c r="U1191">
        <f>IF(O1191=T1191,1,0)</f>
        <v>1</v>
      </c>
      <c r="V1191" s="9">
        <f>IF(OR(M1191=0,U1191=1),0,IF(T1191="GST on Income",ROUND(K1191*0.1,2),ROUND(-K1191*0.1,2)))</f>
        <v>0</v>
      </c>
    </row>
    <row r="1192">
      <c r="A1192" t="inlineStr">
        <is>
          <t>INV-5220-1</t>
        </is>
      </c>
      <c r="B1192" t="inlineStr">
        <is>
          <t>INV-5220</t>
        </is>
      </c>
      <c r="C1192" s="11" t="n">
        <v>46020</v>
      </c>
      <c r="D1192" t="inlineStr">
        <is>
          <t>2025-12</t>
        </is>
      </c>
      <c r="E1192" t="inlineStr">
        <is>
          <t>C0103</t>
        </is>
      </c>
      <c r="F1192" t="inlineStr">
        <is>
          <t>C0103</t>
        </is>
      </c>
      <c r="G1192" t="inlineStr">
        <is>
          <t>Grace Martin</t>
        </is>
      </c>
      <c r="H1192" t="inlineStr">
        <is>
          <t>S0240</t>
        </is>
      </c>
      <c r="I1192" t="inlineStr">
        <is>
          <t>Scaffold tower hire 4 wks (01/12/25-28/12/25) - 1 towers</t>
        </is>
      </c>
      <c r="J1192" t="n">
        <v>4</v>
      </c>
      <c r="K1192" s="9" t="n">
        <v>380</v>
      </c>
      <c r="L1192" t="inlineStr">
        <is>
          <t>PAID</t>
        </is>
      </c>
      <c r="M1192">
        <f>IF(L1192="VOIDED",0,1)</f>
        <v>1</v>
      </c>
      <c r="N1192" t="n">
        <v>200</v>
      </c>
      <c r="O1192" t="inlineStr">
        <is>
          <t>GST on Income</t>
        </is>
      </c>
      <c r="P1192" t="inlineStr">
        <is>
          <t>R05</t>
        </is>
      </c>
      <c r="Q1192" t="inlineStr">
        <is>
          <t>HIRE-ST</t>
        </is>
      </c>
      <c r="R1192">
        <f>IF(OR(Q1192="CONTEXT",Q1192="REVIEW"),"",INDEX('Category Rules'!$D$5:$D$17,MATCH(P1192,'Category Rules'!$A$5:$A$17,0)))</f>
        <v>4010</v>
      </c>
      <c r="S1192" t="str">
        <f>IF(Q1192="CONTEXT","Scaffolding",IF(Q1192="REVIEW","",INDEX('Category Rules'!$E$5:$E$17,MATCH(P1192,'Category Rules'!$A$5:$A$17,0))))</f>
        <v>Scaffolding</v>
      </c>
      <c r="T1192" t="str">
        <f>IF(Q1192="DEP","BAS Excluded","GST on Income")</f>
        <v>GST on Income</v>
      </c>
      <c r="U1192">
        <f>IF(O1192=T1192,1,0)</f>
        <v>1</v>
      </c>
      <c r="V1192" s="9">
        <f>IF(OR(M1192=0,U1192=1),0,IF(T1192="GST on Income",ROUND(K1192*0.1,2),ROUND(-K1192*0.1,2)))</f>
        <v>0</v>
      </c>
    </row>
    <row r="1193">
      <c r="A1193" t="inlineStr">
        <is>
          <t>INV-5511-1</t>
        </is>
      </c>
      <c r="B1193" t="inlineStr">
        <is>
          <t>INV-5511</t>
        </is>
      </c>
      <c r="C1193" s="11" t="n">
        <v>46020</v>
      </c>
      <c r="D1193" t="inlineStr">
        <is>
          <t>2025-12</t>
        </is>
      </c>
      <c r="E1193" t="inlineStr">
        <is>
          <t>C0147</t>
        </is>
      </c>
      <c r="F1193" t="inlineStr">
        <is>
          <t>C0067</t>
        </is>
      </c>
      <c r="G1193" t="inlineStr">
        <is>
          <t>Banksia Claims Services Pty Ltd</t>
        </is>
      </c>
      <c r="H1193" t="inlineStr">
        <is>
          <t>S0332</t>
        </is>
      </c>
      <c r="I1193" t="inlineStr">
        <is>
          <t>Tarp kit hire 2 wks (21/12/25-28/12/25) - 3 kits</t>
        </is>
      </c>
      <c r="J1193" t="n">
        <v>6</v>
      </c>
      <c r="K1193" s="9" t="n">
        <v>210</v>
      </c>
      <c r="L1193" t="inlineStr">
        <is>
          <t>PAID</t>
        </is>
      </c>
      <c r="M1193">
        <f>IF(L1193="VOIDED",0,1)</f>
        <v>1</v>
      </c>
      <c r="N1193" t="n">
        <v>200</v>
      </c>
      <c r="O1193" t="inlineStr">
        <is>
          <t>GST on Income</t>
        </is>
      </c>
      <c r="P1193" t="inlineStr">
        <is>
          <t>R06</t>
        </is>
      </c>
      <c r="Q1193" t="inlineStr">
        <is>
          <t>HIRE-TK</t>
        </is>
      </c>
      <c r="R1193">
        <f>IF(OR(Q1193="CONTEXT",Q1193="REVIEW"),"",INDEX('Category Rules'!$D$5:$D$17,MATCH(P1193,'Category Rules'!$A$5:$A$17,0)))</f>
        <v>4010</v>
      </c>
      <c r="S1193" t="str">
        <f>IF(Q1193="CONTEXT","Make-safe",IF(Q1193="REVIEW","",INDEX('Category Rules'!$E$5:$E$17,MATCH(P1193,'Category Rules'!$A$5:$A$17,0))))</f>
        <v>Make-safe</v>
      </c>
      <c r="T1193" t="str">
        <f>IF(Q1193="DEP","BAS Excluded","GST on Income")</f>
        <v>GST on Income</v>
      </c>
      <c r="U1193">
        <f>IF(O1193=T1193,1,0)</f>
        <v>1</v>
      </c>
      <c r="V1193" s="9">
        <f>IF(OR(M1193=0,U1193=1),0,IF(T1193="GST on Income",ROUND(K1193*0.1,2),ROUND(-K1193*0.1,2)))</f>
        <v>0</v>
      </c>
    </row>
    <row r="1194">
      <c r="A1194" t="inlineStr">
        <is>
          <t>INV-5793-1</t>
        </is>
      </c>
      <c r="B1194" t="inlineStr">
        <is>
          <t>INV-5793</t>
        </is>
      </c>
      <c r="C1194" s="11" t="n">
        <v>46020</v>
      </c>
      <c r="D1194" t="inlineStr">
        <is>
          <t>2025-12</t>
        </is>
      </c>
      <c r="E1194" t="inlineStr">
        <is>
          <t>C0014</t>
        </is>
      </c>
      <c r="F1194" t="inlineStr">
        <is>
          <t>C0014</t>
        </is>
      </c>
      <c r="G1194" t="inlineStr">
        <is>
          <t>Riverbend Homes Pty Ltd</t>
        </is>
      </c>
      <c r="H1194" t="inlineStr">
        <is>
          <t>S0486</t>
        </is>
      </c>
      <c r="I1194" t="inlineStr">
        <is>
          <t>Make safe call-out</t>
        </is>
      </c>
      <c r="J1194" t="n">
        <v>1</v>
      </c>
      <c r="K1194" s="9" t="n">
        <v>385</v>
      </c>
      <c r="L1194" t="inlineStr">
        <is>
          <t>PAID</t>
        </is>
      </c>
      <c r="M1194">
        <f>IF(L1194="VOIDED",0,1)</f>
        <v>1</v>
      </c>
      <c r="N1194" t="n">
        <v>260</v>
      </c>
      <c r="O1194" t="inlineStr">
        <is>
          <t>GST on Income</t>
        </is>
      </c>
      <c r="P1194" t="inlineStr">
        <is>
          <t>R09</t>
        </is>
      </c>
      <c r="Q1194" t="inlineStr">
        <is>
          <t>MS</t>
        </is>
      </c>
      <c r="R1194">
        <f>IF(OR(Q1194="CONTEXT",Q1194="REVIEW"),"",INDEX('Category Rules'!$D$5:$D$17,MATCH(P1194,'Category Rules'!$A$5:$A$17,0)))</f>
        <v>4020</v>
      </c>
      <c r="S1194" t="str">
        <f>IF(Q1194="CONTEXT","Make-safe",IF(Q1194="REVIEW","",INDEX('Category Rules'!$E$5:$E$17,MATCH(P1194,'Category Rules'!$A$5:$A$17,0))))</f>
        <v>Make-safe</v>
      </c>
      <c r="T1194" t="str">
        <f>IF(Q1194="DEP","BAS Excluded","GST on Income")</f>
        <v>GST on Income</v>
      </c>
      <c r="U1194">
        <f>IF(O1194=T1194,1,0)</f>
        <v>1</v>
      </c>
      <c r="V1194" s="9">
        <f>IF(OR(M1194=0,U1194=1),0,IF(T1194="GST on Income",ROUND(K1194*0.1,2),ROUND(-K1194*0.1,2)))</f>
        <v>0</v>
      </c>
    </row>
    <row r="1195">
      <c r="A1195" t="inlineStr">
        <is>
          <t>INV-5793-2</t>
        </is>
      </c>
      <c r="B1195" t="inlineStr">
        <is>
          <t>INV-5793</t>
        </is>
      </c>
      <c r="C1195" s="11" t="n">
        <v>46020</v>
      </c>
      <c r="D1195" t="inlineStr">
        <is>
          <t>2025-12</t>
        </is>
      </c>
      <c r="E1195" t="inlineStr">
        <is>
          <t>C0014</t>
        </is>
      </c>
      <c r="F1195" t="inlineStr">
        <is>
          <t>C0014</t>
        </is>
      </c>
      <c r="G1195" t="inlineStr">
        <is>
          <t>Riverbend Homes Pty Ltd</t>
        </is>
      </c>
      <c r="H1195" t="inlineStr">
        <is>
          <t>S0486</t>
        </is>
      </c>
      <c r="I1195" t="inlineStr">
        <is>
          <t>Tarp supply and install - 1 tarp(s)</t>
        </is>
      </c>
      <c r="J1195" t="n">
        <v>1</v>
      </c>
      <c r="K1195" s="9" t="n">
        <v>240</v>
      </c>
      <c r="L1195" t="inlineStr">
        <is>
          <t>PAID</t>
        </is>
      </c>
      <c r="M1195">
        <f>IF(L1195="VOIDED",0,1)</f>
        <v>1</v>
      </c>
      <c r="N1195" t="n">
        <v>200</v>
      </c>
      <c r="O1195" t="inlineStr">
        <is>
          <t>BAS Excluded</t>
        </is>
      </c>
      <c r="P1195" t="inlineStr">
        <is>
          <t>R09</t>
        </is>
      </c>
      <c r="Q1195" t="inlineStr">
        <is>
          <t>MS</t>
        </is>
      </c>
      <c r="R1195">
        <f>IF(OR(Q1195="CONTEXT",Q1195="REVIEW"),"",INDEX('Category Rules'!$D$5:$D$17,MATCH(P1195,'Category Rules'!$A$5:$A$17,0)))</f>
        <v>4020</v>
      </c>
      <c r="S1195" t="str">
        <f>IF(Q1195="CONTEXT","Make-safe",IF(Q1195="REVIEW","",INDEX('Category Rules'!$E$5:$E$17,MATCH(P1195,'Category Rules'!$A$5:$A$17,0))))</f>
        <v>Make-safe</v>
      </c>
      <c r="T1195" t="str">
        <f>IF(Q1195="DEP","BAS Excluded","GST on Income")</f>
        <v>GST on Income</v>
      </c>
      <c r="U1195">
        <f>IF(O1195=T1195,1,0)</f>
        <v>0</v>
      </c>
      <c r="V1195" s="9">
        <f>IF(OR(M1195=0,U1195=1),0,IF(T1195="GST on Income",ROUND(K1195*0.1,2),ROUND(-K1195*0.1,2)))</f>
        <v>24</v>
      </c>
    </row>
    <row r="1196">
      <c r="A1196" t="inlineStr">
        <is>
          <t>INV-5889-1</t>
        </is>
      </c>
      <c r="B1196" t="inlineStr">
        <is>
          <t>INV-5889</t>
        </is>
      </c>
      <c r="C1196" s="11" t="n">
        <v>46020</v>
      </c>
      <c r="D1196" t="inlineStr">
        <is>
          <t>2025-12</t>
        </is>
      </c>
      <c r="E1196" t="inlineStr">
        <is>
          <t>C0060</t>
        </is>
      </c>
      <c r="F1196" t="inlineStr">
        <is>
          <t>C0060</t>
        </is>
      </c>
      <c r="G1196" t="inlineStr">
        <is>
          <t>Redline Claims Services</t>
        </is>
      </c>
      <c r="H1196" t="inlineStr">
        <is>
          <t>S0545</t>
        </is>
      </c>
      <c r="I1196" t="inlineStr">
        <is>
          <t>Tarp kit hire 2 wks (21/12/25-28/12/25) - 1 kits</t>
        </is>
      </c>
      <c r="J1196" t="n">
        <v>2</v>
      </c>
      <c r="K1196" s="9" t="n">
        <v>70</v>
      </c>
      <c r="L1196" t="inlineStr">
        <is>
          <t>PAID</t>
        </is>
      </c>
      <c r="M1196">
        <f>IF(L1196="VOIDED",0,1)</f>
        <v>1</v>
      </c>
      <c r="N1196" t="n">
        <v>200</v>
      </c>
      <c r="O1196" t="inlineStr">
        <is>
          <t>GST on Income</t>
        </is>
      </c>
      <c r="P1196" t="inlineStr">
        <is>
          <t>R06</t>
        </is>
      </c>
      <c r="Q1196" t="inlineStr">
        <is>
          <t>HIRE-TK</t>
        </is>
      </c>
      <c r="R1196">
        <f>IF(OR(Q1196="CONTEXT",Q1196="REVIEW"),"",INDEX('Category Rules'!$D$5:$D$17,MATCH(P1196,'Category Rules'!$A$5:$A$17,0)))</f>
        <v>4010</v>
      </c>
      <c r="S1196" t="str">
        <f>IF(Q1196="CONTEXT","Make-safe",IF(Q1196="REVIEW","",INDEX('Category Rules'!$E$5:$E$17,MATCH(P1196,'Category Rules'!$A$5:$A$17,0))))</f>
        <v>Make-safe</v>
      </c>
      <c r="T1196" t="str">
        <f>IF(Q1196="DEP","BAS Excluded","GST on Income")</f>
        <v>GST on Income</v>
      </c>
      <c r="U1196">
        <f>IF(O1196=T1196,1,0)</f>
        <v>1</v>
      </c>
      <c r="V1196" s="9">
        <f>IF(OR(M1196=0,U1196=1),0,IF(T1196="GST on Income",ROUND(K1196*0.1,2),ROUND(-K1196*0.1,2)))</f>
        <v>0</v>
      </c>
    </row>
    <row r="1197">
      <c r="A1197" t="inlineStr">
        <is>
          <t>INV-5893-1</t>
        </is>
      </c>
      <c r="B1197" t="inlineStr">
        <is>
          <t>INV-5893</t>
        </is>
      </c>
      <c r="C1197" s="11" t="n">
        <v>46020</v>
      </c>
      <c r="D1197" t="inlineStr">
        <is>
          <t>2025-12</t>
        </is>
      </c>
      <c r="E1197" t="inlineStr">
        <is>
          <t>C0063</t>
        </is>
      </c>
      <c r="F1197" t="inlineStr">
        <is>
          <t>C0063</t>
        </is>
      </c>
      <c r="G1197" t="inlineStr">
        <is>
          <t>Highpoint Insurance Repairs Pty Ltd</t>
        </is>
      </c>
      <c r="H1197" t="inlineStr">
        <is>
          <t>S0546</t>
        </is>
      </c>
      <c r="I1197" t="inlineStr">
        <is>
          <t>Make safe call-out</t>
        </is>
      </c>
      <c r="J1197" t="n">
        <v>1</v>
      </c>
      <c r="K1197" s="9" t="n">
        <v>385</v>
      </c>
      <c r="L1197" t="inlineStr">
        <is>
          <t>PAID</t>
        </is>
      </c>
      <c r="M1197">
        <f>IF(L1197="VOIDED",0,1)</f>
        <v>1</v>
      </c>
      <c r="N1197" t="n">
        <v>200</v>
      </c>
      <c r="O1197" t="inlineStr">
        <is>
          <t>GST on Income</t>
        </is>
      </c>
      <c r="P1197" t="inlineStr">
        <is>
          <t>R09</t>
        </is>
      </c>
      <c r="Q1197" t="inlineStr">
        <is>
          <t>MS</t>
        </is>
      </c>
      <c r="R1197">
        <f>IF(OR(Q1197="CONTEXT",Q1197="REVIEW"),"",INDEX('Category Rules'!$D$5:$D$17,MATCH(P1197,'Category Rules'!$A$5:$A$17,0)))</f>
        <v>4020</v>
      </c>
      <c r="S1197" t="str">
        <f>IF(Q1197="CONTEXT","Make-safe",IF(Q1197="REVIEW","",INDEX('Category Rules'!$E$5:$E$17,MATCH(P1197,'Category Rules'!$A$5:$A$17,0))))</f>
        <v>Make-safe</v>
      </c>
      <c r="T1197" t="str">
        <f>IF(Q1197="DEP","BAS Excluded","GST on Income")</f>
        <v>GST on Income</v>
      </c>
      <c r="U1197">
        <f>IF(O1197=T1197,1,0)</f>
        <v>1</v>
      </c>
      <c r="V1197" s="9">
        <f>IF(OR(M1197=0,U1197=1),0,IF(T1197="GST on Income",ROUND(K1197*0.1,2),ROUND(-K1197*0.1,2)))</f>
        <v>0</v>
      </c>
    </row>
    <row r="1198">
      <c r="A1198" t="inlineStr">
        <is>
          <t>INV-5893-2</t>
        </is>
      </c>
      <c r="B1198" t="inlineStr">
        <is>
          <t>INV-5893</t>
        </is>
      </c>
      <c r="C1198" s="11" t="n">
        <v>46020</v>
      </c>
      <c r="D1198" t="inlineStr">
        <is>
          <t>2025-12</t>
        </is>
      </c>
      <c r="E1198" t="inlineStr">
        <is>
          <t>C0063</t>
        </is>
      </c>
      <c r="F1198" t="inlineStr">
        <is>
          <t>C0063</t>
        </is>
      </c>
      <c r="G1198" t="inlineStr">
        <is>
          <t>Highpoint Insurance Repairs Pty Ltd</t>
        </is>
      </c>
      <c r="H1198" t="inlineStr">
        <is>
          <t>S0546</t>
        </is>
      </c>
      <c r="I1198" t="inlineStr">
        <is>
          <t>Tarp supply and install - 3 tarp(s)</t>
        </is>
      </c>
      <c r="J1198" t="n">
        <v>3</v>
      </c>
      <c r="K1198" s="9" t="n">
        <v>720</v>
      </c>
      <c r="L1198" t="inlineStr">
        <is>
          <t>PAID</t>
        </is>
      </c>
      <c r="M1198">
        <f>IF(L1198="VOIDED",0,1)</f>
        <v>1</v>
      </c>
      <c r="N1198" t="n">
        <v>200</v>
      </c>
      <c r="O1198" t="inlineStr">
        <is>
          <t>GST on Income</t>
        </is>
      </c>
      <c r="P1198" t="inlineStr">
        <is>
          <t>R09</t>
        </is>
      </c>
      <c r="Q1198" t="inlineStr">
        <is>
          <t>MS</t>
        </is>
      </c>
      <c r="R1198">
        <f>IF(OR(Q1198="CONTEXT",Q1198="REVIEW"),"",INDEX('Category Rules'!$D$5:$D$17,MATCH(P1198,'Category Rules'!$A$5:$A$17,0)))</f>
        <v>4020</v>
      </c>
      <c r="S1198" t="str">
        <f>IF(Q1198="CONTEXT","Make-safe",IF(Q1198="REVIEW","",INDEX('Category Rules'!$E$5:$E$17,MATCH(P1198,'Category Rules'!$A$5:$A$17,0))))</f>
        <v>Make-safe</v>
      </c>
      <c r="T1198" t="str">
        <f>IF(Q1198="DEP","BAS Excluded","GST on Income")</f>
        <v>GST on Income</v>
      </c>
      <c r="U1198">
        <f>IF(O1198=T1198,1,0)</f>
        <v>1</v>
      </c>
      <c r="V1198" s="9">
        <f>IF(OR(M1198=0,U1198=1),0,IF(T1198="GST on Income",ROUND(K1198*0.1,2),ROUND(-K1198*0.1,2)))</f>
        <v>0</v>
      </c>
    </row>
    <row r="1199">
      <c r="A1199" t="inlineStr">
        <is>
          <t>INV-4983-1</t>
        </is>
      </c>
      <c r="B1199" t="inlineStr">
        <is>
          <t>INV-4983</t>
        </is>
      </c>
      <c r="C1199" s="11" t="n">
        <v>46021</v>
      </c>
      <c r="D1199" t="inlineStr">
        <is>
          <t>2025-12</t>
        </is>
      </c>
      <c r="E1199" t="inlineStr">
        <is>
          <t>C0010</t>
        </is>
      </c>
      <c r="F1199" t="inlineStr">
        <is>
          <t>C0010</t>
        </is>
      </c>
      <c r="G1199" t="inlineStr">
        <is>
          <t>Eastlink Developments</t>
        </is>
      </c>
      <c r="H1199" t="inlineStr">
        <is>
          <t>S0187</t>
        </is>
      </c>
      <c r="I1199" t="inlineStr">
        <is>
          <t>Delivery and installation - temporary fencing</t>
        </is>
      </c>
      <c r="J1199" t="n">
        <v>1</v>
      </c>
      <c r="K1199" s="9" t="n">
        <v>165</v>
      </c>
      <c r="L1199" t="inlineStr">
        <is>
          <t>PAID</t>
        </is>
      </c>
      <c r="M1199">
        <f>IF(L1199="VOIDED",0,1)</f>
        <v>1</v>
      </c>
      <c r="N1199" t="n">
        <v>260</v>
      </c>
      <c r="O1199" t="inlineStr">
        <is>
          <t>GST on Income</t>
        </is>
      </c>
      <c r="P1199" t="inlineStr">
        <is>
          <t>R07</t>
        </is>
      </c>
      <c r="Q1199" t="inlineStr">
        <is>
          <t>DEL-FP</t>
        </is>
      </c>
      <c r="R1199">
        <f>IF(OR(Q1199="CONTEXT",Q1199="REVIEW"),"",INDEX('Category Rules'!$D$5:$D$17,MATCH(P1199,'Category Rules'!$A$5:$A$17,0)))</f>
        <v>4020</v>
      </c>
      <c r="S1199" t="str">
        <f>IF(Q1199="CONTEXT","Fencing",IF(Q1199="REVIEW","",INDEX('Category Rules'!$E$5:$E$17,MATCH(P1199,'Category Rules'!$A$5:$A$17,0))))</f>
        <v>Fencing</v>
      </c>
      <c r="T1199" t="str">
        <f>IF(Q1199="DEP","BAS Excluded","GST on Income")</f>
        <v>GST on Income</v>
      </c>
      <c r="U1199">
        <f>IF(O1199=T1199,1,0)</f>
        <v>1</v>
      </c>
      <c r="V1199" s="9">
        <f>IF(OR(M1199=0,U1199=1),0,IF(T1199="GST on Income",ROUND(K1199*0.1,2),ROUND(-K1199*0.1,2)))</f>
        <v>0</v>
      </c>
    </row>
    <row r="1200">
      <c r="A1200" t="inlineStr">
        <is>
          <t>INV-4983-2</t>
        </is>
      </c>
      <c r="B1200" t="inlineStr">
        <is>
          <t>INV-4983</t>
        </is>
      </c>
      <c r="C1200" s="11" t="n">
        <v>46021</v>
      </c>
      <c r="D1200" t="inlineStr">
        <is>
          <t>2025-12</t>
        </is>
      </c>
      <c r="E1200" t="inlineStr">
        <is>
          <t>C0010</t>
        </is>
      </c>
      <c r="F1200" t="inlineStr">
        <is>
          <t>C0010</t>
        </is>
      </c>
      <c r="G1200" t="inlineStr">
        <is>
          <t>Eastlink Developments</t>
        </is>
      </c>
      <c r="H1200" t="inlineStr">
        <is>
          <t>S0187</t>
        </is>
      </c>
      <c r="I1200" t="inlineStr">
        <is>
          <t>Installation labour - 120 panels @ 2.20</t>
        </is>
      </c>
      <c r="J1200" t="n">
        <v>120</v>
      </c>
      <c r="K1200" s="9" t="n">
        <v>264</v>
      </c>
      <c r="L1200" t="inlineStr">
        <is>
          <t>PAID</t>
        </is>
      </c>
      <c r="M1200">
        <f>IF(L1200="VOIDED",0,1)</f>
        <v>1</v>
      </c>
      <c r="N1200" t="n">
        <v>200</v>
      </c>
      <c r="O1200" t="inlineStr">
        <is>
          <t>GST on Income</t>
        </is>
      </c>
      <c r="P1200" t="inlineStr">
        <is>
          <t>R07</t>
        </is>
      </c>
      <c r="Q1200" t="inlineStr">
        <is>
          <t>DEL-FP</t>
        </is>
      </c>
      <c r="R1200">
        <f>IF(OR(Q1200="CONTEXT",Q1200="REVIEW"),"",INDEX('Category Rules'!$D$5:$D$17,MATCH(P1200,'Category Rules'!$A$5:$A$17,0)))</f>
        <v>4020</v>
      </c>
      <c r="S1200" t="str">
        <f>IF(Q1200="CONTEXT","Fencing",IF(Q1200="REVIEW","",INDEX('Category Rules'!$E$5:$E$17,MATCH(P1200,'Category Rules'!$A$5:$A$17,0))))</f>
        <v>Fencing</v>
      </c>
      <c r="T1200" t="str">
        <f>IF(Q1200="DEP","BAS Excluded","GST on Income")</f>
        <v>GST on Income</v>
      </c>
      <c r="U1200">
        <f>IF(O1200=T1200,1,0)</f>
        <v>1</v>
      </c>
      <c r="V1200" s="9">
        <f>IF(OR(M1200=0,U1200=1),0,IF(T1200="GST on Income",ROUND(K1200*0.1,2),ROUND(-K1200*0.1,2)))</f>
        <v>0</v>
      </c>
    </row>
    <row r="1201">
      <c r="A1201" t="inlineStr">
        <is>
          <t>INV-5344-1</t>
        </is>
      </c>
      <c r="B1201" t="inlineStr">
        <is>
          <t>INV-5344</t>
        </is>
      </c>
      <c r="C1201" s="11" t="n">
        <v>46021</v>
      </c>
      <c r="D1201" t="inlineStr">
        <is>
          <t>2025-12</t>
        </is>
      </c>
      <c r="E1201" t="inlineStr">
        <is>
          <t>C0112</t>
        </is>
      </c>
      <c r="F1201" t="inlineStr">
        <is>
          <t>C0112</t>
        </is>
      </c>
      <c r="G1201" t="inlineStr">
        <is>
          <t>Sam Murphy</t>
        </is>
      </c>
      <c r="H1201" t="inlineStr">
        <is>
          <t>S0270</t>
        </is>
      </c>
      <c r="I1201" t="inlineStr">
        <is>
          <t>Scaffold tower hire 4 wks (02/12/25-29/12/25) - 6 towers</t>
        </is>
      </c>
      <c r="J1201" t="n">
        <v>24</v>
      </c>
      <c r="K1201" s="9" t="n">
        <v>2280</v>
      </c>
      <c r="L1201" t="inlineStr">
        <is>
          <t>VOIDED</t>
        </is>
      </c>
      <c r="M1201">
        <f>IF(L1201="VOIDED",0,1)</f>
        <v>0</v>
      </c>
      <c r="N1201" t="n">
        <v>200</v>
      </c>
      <c r="O1201" t="inlineStr">
        <is>
          <t>GST on Income</t>
        </is>
      </c>
      <c r="P1201" t="inlineStr">
        <is>
          <t>R05</t>
        </is>
      </c>
      <c r="Q1201" t="inlineStr">
        <is>
          <t>HIRE-ST</t>
        </is>
      </c>
      <c r="R1201">
        <f>IF(OR(Q1201="CONTEXT",Q1201="REVIEW"),"",INDEX('Category Rules'!$D$5:$D$17,MATCH(P1201,'Category Rules'!$A$5:$A$17,0)))</f>
        <v>4010</v>
      </c>
      <c r="S1201" t="str">
        <f>IF(Q1201="CONTEXT","Scaffolding",IF(Q1201="REVIEW","",INDEX('Category Rules'!$E$5:$E$17,MATCH(P1201,'Category Rules'!$A$5:$A$17,0))))</f>
        <v>Scaffolding</v>
      </c>
      <c r="T1201" t="str">
        <f>IF(Q1201="DEP","BAS Excluded","GST on Income")</f>
        <v>GST on Income</v>
      </c>
      <c r="U1201">
        <f>IF(O1201=T1201,1,0)</f>
        <v>1</v>
      </c>
      <c r="V1201" s="9">
        <f>IF(OR(M1201=0,U1201=1),0,IF(T1201="GST on Income",ROUND(K1201*0.1,2),ROUND(-K1201*0.1,2)))</f>
        <v>0</v>
      </c>
    </row>
    <row r="1202">
      <c r="A1202" t="inlineStr">
        <is>
          <t>INV-5453-1</t>
        </is>
      </c>
      <c r="B1202" t="inlineStr">
        <is>
          <t>INV-5453</t>
        </is>
      </c>
      <c r="C1202" s="11" t="n">
        <v>46021</v>
      </c>
      <c r="D1202" t="inlineStr">
        <is>
          <t>2025-12</t>
        </is>
      </c>
      <c r="E1202" t="inlineStr">
        <is>
          <t>C0059</t>
        </is>
      </c>
      <c r="F1202" t="inlineStr">
        <is>
          <t>C0059</t>
        </is>
      </c>
      <c r="G1202" t="inlineStr">
        <is>
          <t>Silverleaf Insurance Repairs Pty Ltd</t>
        </is>
      </c>
      <c r="H1202" t="inlineStr">
        <is>
          <t>S0298</t>
        </is>
      </c>
      <c r="I1202" t="inlineStr">
        <is>
          <t>Roof repair labour - 3 hrs</t>
        </is>
      </c>
      <c r="J1202" t="n">
        <v>3</v>
      </c>
      <c r="K1202" s="9" t="n">
        <v>294</v>
      </c>
      <c r="L1202" t="inlineStr">
        <is>
          <t>PAID</t>
        </is>
      </c>
      <c r="M1202">
        <f>IF(L1202="VOIDED",0,1)</f>
        <v>1</v>
      </c>
      <c r="N1202" t="n">
        <v>200</v>
      </c>
      <c r="O1202" t="inlineStr">
        <is>
          <t>GST on Income</t>
        </is>
      </c>
      <c r="P1202" t="inlineStr">
        <is>
          <t>R10</t>
        </is>
      </c>
      <c r="Q1202" t="inlineStr">
        <is>
          <t>LAB-RF</t>
        </is>
      </c>
      <c r="R1202">
        <f>IF(OR(Q1202="CONTEXT",Q1202="REVIEW"),"",INDEX('Category Rules'!$D$5:$D$17,MATCH(P1202,'Category Rules'!$A$5:$A$17,0)))</f>
        <v>4020</v>
      </c>
      <c r="S1202" t="str">
        <f>IF(Q1202="CONTEXT","Roofing",IF(Q1202="REVIEW","",INDEX('Category Rules'!$E$5:$E$17,MATCH(P1202,'Category Rules'!$A$5:$A$17,0))))</f>
        <v>Roofing</v>
      </c>
      <c r="T1202" t="str">
        <f>IF(Q1202="DEP","BAS Excluded","GST on Income")</f>
        <v>GST on Income</v>
      </c>
      <c r="U1202">
        <f>IF(O1202=T1202,1,0)</f>
        <v>1</v>
      </c>
      <c r="V1202" s="9">
        <f>IF(OR(M1202=0,U1202=1),0,IF(T1202="GST on Income",ROUND(K1202*0.1,2),ROUND(-K1202*0.1,2)))</f>
        <v>0</v>
      </c>
    </row>
    <row r="1203">
      <c r="A1203" t="inlineStr">
        <is>
          <t>INV-5453-2</t>
        </is>
      </c>
      <c r="B1203" t="inlineStr">
        <is>
          <t>INV-5453</t>
        </is>
      </c>
      <c r="C1203" s="11" t="n">
        <v>46021</v>
      </c>
      <c r="D1203" t="inlineStr">
        <is>
          <t>2025-12</t>
        </is>
      </c>
      <c r="E1203" t="inlineStr">
        <is>
          <t>C0059</t>
        </is>
      </c>
      <c r="F1203" t="inlineStr">
        <is>
          <t>C0059</t>
        </is>
      </c>
      <c r="G1203" t="inlineStr">
        <is>
          <t>Silverleaf Insurance Repairs Pty Ltd</t>
        </is>
      </c>
      <c r="H1203" t="inlineStr">
        <is>
          <t>S0298</t>
        </is>
      </c>
      <c r="I1203" t="inlineStr">
        <is>
          <t>Materials - ridge capping</t>
        </is>
      </c>
      <c r="J1203" t="n">
        <v>1</v>
      </c>
      <c r="K1203" s="9" t="n">
        <v>114.51</v>
      </c>
      <c r="L1203" t="inlineStr">
        <is>
          <t>PAID</t>
        </is>
      </c>
      <c r="M1203">
        <f>IF(L1203="VOIDED",0,1)</f>
        <v>1</v>
      </c>
      <c r="N1203" t="n">
        <v>200</v>
      </c>
      <c r="O1203" t="inlineStr">
        <is>
          <t>GST on Income</t>
        </is>
      </c>
      <c r="P1203" t="inlineStr">
        <is>
          <t>R11</t>
        </is>
      </c>
      <c r="Q1203" t="inlineStr">
        <is>
          <t>MAT-RF</t>
        </is>
      </c>
      <c r="R1203">
        <f>IF(OR(Q1203="CONTEXT",Q1203="REVIEW"),"",INDEX('Category Rules'!$D$5:$D$17,MATCH(P1203,'Category Rules'!$A$5:$A$17,0)))</f>
        <v>4030</v>
      </c>
      <c r="S1203" t="str">
        <f>IF(Q1203="CONTEXT","Roofing",IF(Q1203="REVIEW","",INDEX('Category Rules'!$E$5:$E$17,MATCH(P1203,'Category Rules'!$A$5:$A$17,0))))</f>
        <v>Roofing</v>
      </c>
      <c r="T1203" t="str">
        <f>IF(Q1203="DEP","BAS Excluded","GST on Income")</f>
        <v>GST on Income</v>
      </c>
      <c r="U1203">
        <f>IF(O1203=T1203,1,0)</f>
        <v>1</v>
      </c>
      <c r="V1203" s="9">
        <f>IF(OR(M1203=0,U1203=1),0,IF(T1203="GST on Income",ROUND(K1203*0.1,2),ROUND(-K1203*0.1,2)))</f>
        <v>0</v>
      </c>
    </row>
    <row r="1204">
      <c r="A1204" t="inlineStr">
        <is>
          <t>INV-5637-1</t>
        </is>
      </c>
      <c r="B1204" t="inlineStr">
        <is>
          <t>INV-5637</t>
        </is>
      </c>
      <c r="C1204" s="11" t="n">
        <v>46021</v>
      </c>
      <c r="D1204" t="inlineStr">
        <is>
          <t>2025-12</t>
        </is>
      </c>
      <c r="E1204" t="inlineStr">
        <is>
          <t>C0059</t>
        </is>
      </c>
      <c r="F1204" t="inlineStr">
        <is>
          <t>C0059</t>
        </is>
      </c>
      <c r="G1204" t="inlineStr">
        <is>
          <t>Silverleaf Insurance Repairs Pty Ltd</t>
        </is>
      </c>
      <c r="H1204" t="inlineStr">
        <is>
          <t>S0399</t>
        </is>
      </c>
      <c r="I1204" t="inlineStr">
        <is>
          <t>Make safe call-out</t>
        </is>
      </c>
      <c r="J1204" t="n">
        <v>1</v>
      </c>
      <c r="K1204" s="9" t="n">
        <v>385</v>
      </c>
      <c r="L1204" t="inlineStr">
        <is>
          <t>PAID</t>
        </is>
      </c>
      <c r="M1204">
        <f>IF(L1204="VOIDED",0,1)</f>
        <v>1</v>
      </c>
      <c r="N1204" t="n">
        <v>200</v>
      </c>
      <c r="O1204" t="inlineStr">
        <is>
          <t>GST on Income</t>
        </is>
      </c>
      <c r="P1204" t="inlineStr">
        <is>
          <t>R09</t>
        </is>
      </c>
      <c r="Q1204" t="inlineStr">
        <is>
          <t>MS</t>
        </is>
      </c>
      <c r="R1204">
        <f>IF(OR(Q1204="CONTEXT",Q1204="REVIEW"),"",INDEX('Category Rules'!$D$5:$D$17,MATCH(P1204,'Category Rules'!$A$5:$A$17,0)))</f>
        <v>4020</v>
      </c>
      <c r="S1204" t="str">
        <f>IF(Q1204="CONTEXT","Make-safe",IF(Q1204="REVIEW","",INDEX('Category Rules'!$E$5:$E$17,MATCH(P1204,'Category Rules'!$A$5:$A$17,0))))</f>
        <v>Make-safe</v>
      </c>
      <c r="T1204" t="str">
        <f>IF(Q1204="DEP","BAS Excluded","GST on Income")</f>
        <v>GST on Income</v>
      </c>
      <c r="U1204">
        <f>IF(O1204=T1204,1,0)</f>
        <v>1</v>
      </c>
      <c r="V1204" s="9">
        <f>IF(OR(M1204=0,U1204=1),0,IF(T1204="GST on Income",ROUND(K1204*0.1,2),ROUND(-K1204*0.1,2)))</f>
        <v>0</v>
      </c>
    </row>
    <row r="1205">
      <c r="A1205" t="inlineStr">
        <is>
          <t>INV-5637-2</t>
        </is>
      </c>
      <c r="B1205" t="inlineStr">
        <is>
          <t>INV-5637</t>
        </is>
      </c>
      <c r="C1205" s="11" t="n">
        <v>46021</v>
      </c>
      <c r="D1205" t="inlineStr">
        <is>
          <t>2025-12</t>
        </is>
      </c>
      <c r="E1205" t="inlineStr">
        <is>
          <t>C0059</t>
        </is>
      </c>
      <c r="F1205" t="inlineStr">
        <is>
          <t>C0059</t>
        </is>
      </c>
      <c r="G1205" t="inlineStr">
        <is>
          <t>Silverleaf Insurance Repairs Pty Ltd</t>
        </is>
      </c>
      <c r="H1205" t="inlineStr">
        <is>
          <t>S0399</t>
        </is>
      </c>
      <c r="I1205" t="inlineStr">
        <is>
          <t>Tarp supply and install - 3 tarp(s)</t>
        </is>
      </c>
      <c r="J1205" t="n">
        <v>3</v>
      </c>
      <c r="K1205" s="9" t="n">
        <v>720</v>
      </c>
      <c r="L1205" t="inlineStr">
        <is>
          <t>PAID</t>
        </is>
      </c>
      <c r="M1205">
        <f>IF(L1205="VOIDED",0,1)</f>
        <v>1</v>
      </c>
      <c r="N1205" t="n">
        <v>200</v>
      </c>
      <c r="O1205" t="inlineStr">
        <is>
          <t>GST Free Income</t>
        </is>
      </c>
      <c r="P1205" t="inlineStr">
        <is>
          <t>R09</t>
        </is>
      </c>
      <c r="Q1205" t="inlineStr">
        <is>
          <t>MS</t>
        </is>
      </c>
      <c r="R1205">
        <f>IF(OR(Q1205="CONTEXT",Q1205="REVIEW"),"",INDEX('Category Rules'!$D$5:$D$17,MATCH(P1205,'Category Rules'!$A$5:$A$17,0)))</f>
        <v>4020</v>
      </c>
      <c r="S1205" t="str">
        <f>IF(Q1205="CONTEXT","Make-safe",IF(Q1205="REVIEW","",INDEX('Category Rules'!$E$5:$E$17,MATCH(P1205,'Category Rules'!$A$5:$A$17,0))))</f>
        <v>Make-safe</v>
      </c>
      <c r="T1205" t="str">
        <f>IF(Q1205="DEP","BAS Excluded","GST on Income")</f>
        <v>GST on Income</v>
      </c>
      <c r="U1205">
        <f>IF(O1205=T1205,1,0)</f>
        <v>0</v>
      </c>
      <c r="V1205" s="9">
        <f>IF(OR(M1205=0,U1205=1),0,IF(T1205="GST on Income",ROUND(K1205*0.1,2),ROUND(-K1205*0.1,2)))</f>
        <v>72</v>
      </c>
    </row>
    <row r="1206">
      <c r="A1206" t="inlineStr">
        <is>
          <t>INV-5821-1</t>
        </is>
      </c>
      <c r="B1206" t="inlineStr">
        <is>
          <t>INV-5821</t>
        </is>
      </c>
      <c r="C1206" s="11" t="n">
        <v>46021</v>
      </c>
      <c r="D1206" t="inlineStr">
        <is>
          <t>2025-12</t>
        </is>
      </c>
      <c r="E1206" t="inlineStr">
        <is>
          <t>C0065</t>
        </is>
      </c>
      <c r="F1206" t="inlineStr">
        <is>
          <t>C0065</t>
        </is>
      </c>
      <c r="G1206" t="inlineStr">
        <is>
          <t>Stonebridge Claims Services</t>
        </is>
      </c>
      <c r="H1206" t="inlineStr">
        <is>
          <t>S0501</t>
        </is>
      </c>
      <c r="I1206" t="inlineStr">
        <is>
          <t>Roof repair labour - 3 hrs</t>
        </is>
      </c>
      <c r="J1206" t="n">
        <v>3</v>
      </c>
      <c r="K1206" s="9" t="n">
        <v>294</v>
      </c>
      <c r="L1206" t="inlineStr">
        <is>
          <t>PAID</t>
        </is>
      </c>
      <c r="M1206">
        <f>IF(L1206="VOIDED",0,1)</f>
        <v>1</v>
      </c>
      <c r="N1206" t="n">
        <v>200</v>
      </c>
      <c r="O1206" t="inlineStr">
        <is>
          <t>GST on Income</t>
        </is>
      </c>
      <c r="P1206" t="inlineStr">
        <is>
          <t>R10</t>
        </is>
      </c>
      <c r="Q1206" t="inlineStr">
        <is>
          <t>LAB-RF</t>
        </is>
      </c>
      <c r="R1206">
        <f>IF(OR(Q1206="CONTEXT",Q1206="REVIEW"),"",INDEX('Category Rules'!$D$5:$D$17,MATCH(P1206,'Category Rules'!$A$5:$A$17,0)))</f>
        <v>4020</v>
      </c>
      <c r="S1206" t="str">
        <f>IF(Q1206="CONTEXT","Roofing",IF(Q1206="REVIEW","",INDEX('Category Rules'!$E$5:$E$17,MATCH(P1206,'Category Rules'!$A$5:$A$17,0))))</f>
        <v>Roofing</v>
      </c>
      <c r="T1206" t="str">
        <f>IF(Q1206="DEP","BAS Excluded","GST on Income")</f>
        <v>GST on Income</v>
      </c>
      <c r="U1206">
        <f>IF(O1206=T1206,1,0)</f>
        <v>1</v>
      </c>
      <c r="V1206" s="9">
        <f>IF(OR(M1206=0,U1206=1),0,IF(T1206="GST on Income",ROUND(K1206*0.1,2),ROUND(-K1206*0.1,2)))</f>
        <v>0</v>
      </c>
    </row>
    <row r="1207">
      <c r="A1207" t="inlineStr">
        <is>
          <t>INV-5821-2</t>
        </is>
      </c>
      <c r="B1207" t="inlineStr">
        <is>
          <t>INV-5821</t>
        </is>
      </c>
      <c r="C1207" s="11" t="n">
        <v>46021</v>
      </c>
      <c r="D1207" t="inlineStr">
        <is>
          <t>2025-12</t>
        </is>
      </c>
      <c r="E1207" t="inlineStr">
        <is>
          <t>C0065</t>
        </is>
      </c>
      <c r="F1207" t="inlineStr">
        <is>
          <t>C0065</t>
        </is>
      </c>
      <c r="G1207" t="inlineStr">
        <is>
          <t>Stonebridge Claims Services</t>
        </is>
      </c>
      <c r="H1207" t="inlineStr">
        <is>
          <t>S0501</t>
        </is>
      </c>
      <c r="I1207" t="inlineStr">
        <is>
          <t>Materials - flashing</t>
        </is>
      </c>
      <c r="J1207" t="n">
        <v>1</v>
      </c>
      <c r="K1207" s="9" t="n">
        <v>1345.67</v>
      </c>
      <c r="L1207" t="inlineStr">
        <is>
          <t>PAID</t>
        </is>
      </c>
      <c r="M1207">
        <f>IF(L1207="VOIDED",0,1)</f>
        <v>1</v>
      </c>
      <c r="N1207" t="n">
        <v>200</v>
      </c>
      <c r="O1207" t="inlineStr">
        <is>
          <t>GST on Income</t>
        </is>
      </c>
      <c r="P1207" t="inlineStr">
        <is>
          <t>R11</t>
        </is>
      </c>
      <c r="Q1207" t="inlineStr">
        <is>
          <t>MAT-RF</t>
        </is>
      </c>
      <c r="R1207">
        <f>IF(OR(Q1207="CONTEXT",Q1207="REVIEW"),"",INDEX('Category Rules'!$D$5:$D$17,MATCH(P1207,'Category Rules'!$A$5:$A$17,0)))</f>
        <v>4030</v>
      </c>
      <c r="S1207" t="str">
        <f>IF(Q1207="CONTEXT","Roofing",IF(Q1207="REVIEW","",INDEX('Category Rules'!$E$5:$E$17,MATCH(P1207,'Category Rules'!$A$5:$A$17,0))))</f>
        <v>Roofing</v>
      </c>
      <c r="T1207" t="str">
        <f>IF(Q1207="DEP","BAS Excluded","GST on Income")</f>
        <v>GST on Income</v>
      </c>
      <c r="U1207">
        <f>IF(O1207=T1207,1,0)</f>
        <v>1</v>
      </c>
      <c r="V1207" s="9">
        <f>IF(OR(M1207=0,U1207=1),0,IF(T1207="GST on Income",ROUND(K1207*0.1,2),ROUND(-K1207*0.1,2)))</f>
        <v>0</v>
      </c>
    </row>
    <row r="1208">
      <c r="A1208" t="inlineStr">
        <is>
          <t>INV-5821-3</t>
        </is>
      </c>
      <c r="B1208" t="inlineStr">
        <is>
          <t>INV-5821</t>
        </is>
      </c>
      <c r="C1208" s="11" t="n">
        <v>46021</v>
      </c>
      <c r="D1208" t="inlineStr">
        <is>
          <t>2025-12</t>
        </is>
      </c>
      <c r="E1208" t="inlineStr">
        <is>
          <t>C0065</t>
        </is>
      </c>
      <c r="F1208" t="inlineStr">
        <is>
          <t>C0065</t>
        </is>
      </c>
      <c r="G1208" t="inlineStr">
        <is>
          <t>Stonebridge Claims Services</t>
        </is>
      </c>
      <c r="H1208" t="inlineStr">
        <is>
          <t>S0501</t>
        </is>
      </c>
      <c r="I1208" t="inlineStr">
        <is>
          <t>Materials - sealant and fixings</t>
        </is>
      </c>
      <c r="J1208" t="n">
        <v>1</v>
      </c>
      <c r="K1208" s="9" t="n">
        <v>112.15</v>
      </c>
      <c r="L1208" t="inlineStr">
        <is>
          <t>PAID</t>
        </is>
      </c>
      <c r="M1208">
        <f>IF(L1208="VOIDED",0,1)</f>
        <v>1</v>
      </c>
      <c r="N1208" t="n">
        <v>200</v>
      </c>
      <c r="O1208" t="inlineStr">
        <is>
          <t>GST on Income</t>
        </is>
      </c>
      <c r="P1208" t="inlineStr">
        <is>
          <t>R11</t>
        </is>
      </c>
      <c r="Q1208" t="inlineStr">
        <is>
          <t>MAT-RF</t>
        </is>
      </c>
      <c r="R1208">
        <f>IF(OR(Q1208="CONTEXT",Q1208="REVIEW"),"",INDEX('Category Rules'!$D$5:$D$17,MATCH(P1208,'Category Rules'!$A$5:$A$17,0)))</f>
        <v>4030</v>
      </c>
      <c r="S1208" t="str">
        <f>IF(Q1208="CONTEXT","Roofing",IF(Q1208="REVIEW","",INDEX('Category Rules'!$E$5:$E$17,MATCH(P1208,'Category Rules'!$A$5:$A$17,0))))</f>
        <v>Roofing</v>
      </c>
      <c r="T1208" t="str">
        <f>IF(Q1208="DEP","BAS Excluded","GST on Income")</f>
        <v>GST on Income</v>
      </c>
      <c r="U1208">
        <f>IF(O1208=T1208,1,0)</f>
        <v>1</v>
      </c>
      <c r="V1208" s="9">
        <f>IF(OR(M1208=0,U1208=1),0,IF(T1208="GST on Income",ROUND(K1208*0.1,2),ROUND(-K1208*0.1,2)))</f>
        <v>0</v>
      </c>
    </row>
    <row r="1209">
      <c r="A1209" t="inlineStr">
        <is>
          <t>INV-5821-4</t>
        </is>
      </c>
      <c r="B1209" t="inlineStr">
        <is>
          <t>INV-5821</t>
        </is>
      </c>
      <c r="C1209" s="11" t="n">
        <v>46021</v>
      </c>
      <c r="D1209" t="inlineStr">
        <is>
          <t>2025-12</t>
        </is>
      </c>
      <c r="E1209" t="inlineStr">
        <is>
          <t>C0065</t>
        </is>
      </c>
      <c r="F1209" t="inlineStr">
        <is>
          <t>C0065</t>
        </is>
      </c>
      <c r="G1209" t="inlineStr">
        <is>
          <t>Stonebridge Claims Services</t>
        </is>
      </c>
      <c r="H1209" t="inlineStr">
        <is>
          <t>S0501</t>
        </is>
      </c>
      <c r="I1209" t="inlineStr">
        <is>
          <t>Materials - Colorbond sheet</t>
        </is>
      </c>
      <c r="J1209" t="n">
        <v>1</v>
      </c>
      <c r="K1209" s="9" t="n">
        <v>638.22</v>
      </c>
      <c r="L1209" t="inlineStr">
        <is>
          <t>PAID</t>
        </is>
      </c>
      <c r="M1209">
        <f>IF(L1209="VOIDED",0,1)</f>
        <v>1</v>
      </c>
      <c r="N1209" t="n">
        <v>200</v>
      </c>
      <c r="O1209" t="inlineStr">
        <is>
          <t>GST on Income</t>
        </is>
      </c>
      <c r="P1209" t="inlineStr">
        <is>
          <t>R11</t>
        </is>
      </c>
      <c r="Q1209" t="inlineStr">
        <is>
          <t>MAT-RF</t>
        </is>
      </c>
      <c r="R1209">
        <f>IF(OR(Q1209="CONTEXT",Q1209="REVIEW"),"",INDEX('Category Rules'!$D$5:$D$17,MATCH(P1209,'Category Rules'!$A$5:$A$17,0)))</f>
        <v>4030</v>
      </c>
      <c r="S1209" t="str">
        <f>IF(Q1209="CONTEXT","Roofing",IF(Q1209="REVIEW","",INDEX('Category Rules'!$E$5:$E$17,MATCH(P1209,'Category Rules'!$A$5:$A$17,0))))</f>
        <v>Roofing</v>
      </c>
      <c r="T1209" t="str">
        <f>IF(Q1209="DEP","BAS Excluded","GST on Income")</f>
        <v>GST on Income</v>
      </c>
      <c r="U1209">
        <f>IF(O1209=T1209,1,0)</f>
        <v>1</v>
      </c>
      <c r="V1209" s="9">
        <f>IF(OR(M1209=0,U1209=1),0,IF(T1209="GST on Income",ROUND(K1209*0.1,2),ROUND(-K1209*0.1,2)))</f>
        <v>0</v>
      </c>
    </row>
    <row r="1210">
      <c r="A1210" t="inlineStr">
        <is>
          <t>INV-5821-5</t>
        </is>
      </c>
      <c r="B1210" t="inlineStr">
        <is>
          <t>INV-5821</t>
        </is>
      </c>
      <c r="C1210" s="11" t="n">
        <v>46021</v>
      </c>
      <c r="D1210" t="inlineStr">
        <is>
          <t>2025-12</t>
        </is>
      </c>
      <c r="E1210" t="inlineStr">
        <is>
          <t>C0065</t>
        </is>
      </c>
      <c r="F1210" t="inlineStr">
        <is>
          <t>C0065</t>
        </is>
      </c>
      <c r="G1210" t="inlineStr">
        <is>
          <t>Stonebridge Claims Services</t>
        </is>
      </c>
      <c r="H1210" t="inlineStr">
        <is>
          <t>S0501</t>
        </is>
      </c>
      <c r="I1210" t="inlineStr">
        <is>
          <t>Waste removal and tip fees</t>
        </is>
      </c>
      <c r="J1210" t="n">
        <v>1</v>
      </c>
      <c r="K1210" s="9" t="n">
        <v>120</v>
      </c>
      <c r="L1210" t="inlineStr">
        <is>
          <t>PAID</t>
        </is>
      </c>
      <c r="M1210">
        <f>IF(L1210="VOIDED",0,1)</f>
        <v>1</v>
      </c>
      <c r="N1210" t="n">
        <v>200</v>
      </c>
      <c r="O1210" t="inlineStr">
        <is>
          <t>GST on Income</t>
        </is>
      </c>
      <c r="P1210" t="inlineStr">
        <is>
          <t>R11</t>
        </is>
      </c>
      <c r="Q1210" t="inlineStr">
        <is>
          <t>MAT-RF</t>
        </is>
      </c>
      <c r="R1210">
        <f>IF(OR(Q1210="CONTEXT",Q1210="REVIEW"),"",INDEX('Category Rules'!$D$5:$D$17,MATCH(P1210,'Category Rules'!$A$5:$A$17,0)))</f>
        <v>4030</v>
      </c>
      <c r="S1210" t="str">
        <f>IF(Q1210="CONTEXT","Roofing",IF(Q1210="REVIEW","",INDEX('Category Rules'!$E$5:$E$17,MATCH(P1210,'Category Rules'!$A$5:$A$17,0))))</f>
        <v>Roofing</v>
      </c>
      <c r="T1210" t="str">
        <f>IF(Q1210="DEP","BAS Excluded","GST on Income")</f>
        <v>GST on Income</v>
      </c>
      <c r="U1210">
        <f>IF(O1210=T1210,1,0)</f>
        <v>1</v>
      </c>
      <c r="V1210" s="9">
        <f>IF(OR(M1210=0,U1210=1),0,IF(T1210="GST on Income",ROUND(K1210*0.1,2),ROUND(-K1210*0.1,2)))</f>
        <v>0</v>
      </c>
    </row>
    <row r="1211">
      <c r="A1211" t="inlineStr">
        <is>
          <t>INV-4299-1</t>
        </is>
      </c>
      <c r="B1211" t="inlineStr">
        <is>
          <t>INV-4299</t>
        </is>
      </c>
      <c r="C1211" s="11" t="n">
        <v>46022</v>
      </c>
      <c r="D1211" t="inlineStr">
        <is>
          <t>2025-12</t>
        </is>
      </c>
      <c r="E1211" t="inlineStr">
        <is>
          <t>C0020</t>
        </is>
      </c>
      <c r="F1211" t="inlineStr">
        <is>
          <t>C0020</t>
        </is>
      </c>
      <c r="G1211" t="inlineStr">
        <is>
          <t>Eastlink Constructions</t>
        </is>
      </c>
      <c r="H1211" t="inlineStr">
        <is>
          <t>S0041</t>
        </is>
      </c>
      <c r="I1211" t="inlineStr">
        <is>
          <t>Pedestrian barrier hire 4 wks (03/12/25-30/12/25) - 13 barriers</t>
        </is>
      </c>
      <c r="J1211" t="n">
        <v>52</v>
      </c>
      <c r="K1211" s="9" t="n">
        <v>166.4</v>
      </c>
      <c r="L1211" t="inlineStr">
        <is>
          <t>PAID</t>
        </is>
      </c>
      <c r="M1211">
        <f>IF(L1211="VOIDED",0,1)</f>
        <v>1</v>
      </c>
      <c r="N1211" t="n">
        <v>200</v>
      </c>
      <c r="O1211" t="inlineStr">
        <is>
          <t>GST on Income</t>
        </is>
      </c>
      <c r="P1211" t="inlineStr">
        <is>
          <t>R04</t>
        </is>
      </c>
      <c r="Q1211" t="inlineStr">
        <is>
          <t>HIRE-BR</t>
        </is>
      </c>
      <c r="R1211">
        <f>IF(OR(Q1211="CONTEXT",Q1211="REVIEW"),"",INDEX('Category Rules'!$D$5:$D$17,MATCH(P1211,'Category Rules'!$A$5:$A$17,0)))</f>
        <v>4010</v>
      </c>
      <c r="S1211" t="str">
        <f>IF(Q1211="CONTEXT","Fencing",IF(Q1211="REVIEW","",INDEX('Category Rules'!$E$5:$E$17,MATCH(P1211,'Category Rules'!$A$5:$A$17,0))))</f>
        <v>Fencing</v>
      </c>
      <c r="T1211" t="str">
        <f>IF(Q1211="DEP","BAS Excluded","GST on Income")</f>
        <v>GST on Income</v>
      </c>
      <c r="U1211">
        <f>IF(O1211=T1211,1,0)</f>
        <v>1</v>
      </c>
      <c r="V1211" s="9">
        <f>IF(OR(M1211=0,U1211=1),0,IF(T1211="GST on Income",ROUND(K1211*0.1,2),ROUND(-K1211*0.1,2)))</f>
        <v>0</v>
      </c>
    </row>
    <row r="1212">
      <c r="A1212" t="inlineStr">
        <is>
          <t>INV-5345-1</t>
        </is>
      </c>
      <c r="B1212" t="inlineStr">
        <is>
          <t>INV-5345</t>
        </is>
      </c>
      <c r="C1212" s="11" t="n">
        <v>46022</v>
      </c>
      <c r="D1212" t="inlineStr">
        <is>
          <t>2025-12</t>
        </is>
      </c>
      <c r="E1212" t="inlineStr">
        <is>
          <t>C0112</t>
        </is>
      </c>
      <c r="F1212" t="inlineStr">
        <is>
          <t>C0112</t>
        </is>
      </c>
      <c r="G1212" t="inlineStr">
        <is>
          <t>Sam Murphy</t>
        </is>
      </c>
      <c r="H1212" t="inlineStr">
        <is>
          <t>S0270</t>
        </is>
      </c>
      <c r="I1212" t="inlineStr">
        <is>
          <t>Scaffold tower hire 1 wks (30/12/25-30/12/25) - 6 towers</t>
        </is>
      </c>
      <c r="J1212" t="n">
        <v>6</v>
      </c>
      <c r="K1212" s="9" t="n">
        <v>570</v>
      </c>
      <c r="L1212" t="inlineStr">
        <is>
          <t>PAID</t>
        </is>
      </c>
      <c r="M1212">
        <f>IF(L1212="VOIDED",0,1)</f>
        <v>1</v>
      </c>
      <c r="N1212" t="n">
        <v>200</v>
      </c>
      <c r="O1212" t="inlineStr">
        <is>
          <t>GST on Income</t>
        </is>
      </c>
      <c r="P1212" t="inlineStr">
        <is>
          <t>R05</t>
        </is>
      </c>
      <c r="Q1212" t="inlineStr">
        <is>
          <t>HIRE-ST</t>
        </is>
      </c>
      <c r="R1212">
        <f>IF(OR(Q1212="CONTEXT",Q1212="REVIEW"),"",INDEX('Category Rules'!$D$5:$D$17,MATCH(P1212,'Category Rules'!$A$5:$A$17,0)))</f>
        <v>4010</v>
      </c>
      <c r="S1212" t="str">
        <f>IF(Q1212="CONTEXT","Scaffolding",IF(Q1212="REVIEW","",INDEX('Category Rules'!$E$5:$E$17,MATCH(P1212,'Category Rules'!$A$5:$A$17,0))))</f>
        <v>Scaffolding</v>
      </c>
      <c r="T1212" t="str">
        <f>IF(Q1212="DEP","BAS Excluded","GST on Income")</f>
        <v>GST on Income</v>
      </c>
      <c r="U1212">
        <f>IF(O1212=T1212,1,0)</f>
        <v>1</v>
      </c>
      <c r="V1212" s="9">
        <f>IF(OR(M1212=0,U1212=1),0,IF(T1212="GST on Income",ROUND(K1212*0.1,2),ROUND(-K1212*0.1,2)))</f>
        <v>0</v>
      </c>
    </row>
    <row r="1213">
      <c r="A1213" t="inlineStr">
        <is>
          <t>INV-5347-1</t>
        </is>
      </c>
      <c r="B1213" t="inlineStr">
        <is>
          <t>INV-5347</t>
        </is>
      </c>
      <c r="C1213" s="11" t="n">
        <v>46022</v>
      </c>
      <c r="D1213" t="inlineStr">
        <is>
          <t>2025-12</t>
        </is>
      </c>
      <c r="E1213" t="inlineStr">
        <is>
          <t>C0112</t>
        </is>
      </c>
      <c r="F1213" t="inlineStr">
        <is>
          <t>C0112</t>
        </is>
      </c>
      <c r="G1213" t="inlineStr">
        <is>
          <t>Sam Murphy</t>
        </is>
      </c>
      <c r="H1213" t="inlineStr">
        <is>
          <t>S0270</t>
        </is>
      </c>
      <c r="I1213" t="inlineStr">
        <is>
          <t>Scaffold dismantle - 6 tower(s)</t>
        </is>
      </c>
      <c r="J1213" t="n">
        <v>6</v>
      </c>
      <c r="K1213" s="9" t="n">
        <v>1920</v>
      </c>
      <c r="L1213" t="inlineStr">
        <is>
          <t>PAID</t>
        </is>
      </c>
      <c r="M1213">
        <f>IF(L1213="VOIDED",0,1)</f>
        <v>1</v>
      </c>
      <c r="N1213" t="n">
        <v>200</v>
      </c>
      <c r="O1213" t="inlineStr">
        <is>
          <t>GST on Income</t>
        </is>
      </c>
      <c r="P1213" t="inlineStr">
        <is>
          <t>R08</t>
        </is>
      </c>
      <c r="Q1213" t="inlineStr">
        <is>
          <t>LAB-ST</t>
        </is>
      </c>
      <c r="R1213">
        <f>IF(OR(Q1213="CONTEXT",Q1213="REVIEW"),"",INDEX('Category Rules'!$D$5:$D$17,MATCH(P1213,'Category Rules'!$A$5:$A$17,0)))</f>
        <v>4020</v>
      </c>
      <c r="S1213" t="str">
        <f>IF(Q1213="CONTEXT","Scaffolding",IF(Q1213="REVIEW","",INDEX('Category Rules'!$E$5:$E$17,MATCH(P1213,'Category Rules'!$A$5:$A$17,0))))</f>
        <v>Scaffolding</v>
      </c>
      <c r="T1213" t="str">
        <f>IF(Q1213="DEP","BAS Excluded","GST on Income")</f>
        <v>GST on Income</v>
      </c>
      <c r="U1213">
        <f>IF(O1213=T1213,1,0)</f>
        <v>1</v>
      </c>
      <c r="V1213" s="9">
        <f>IF(OR(M1213=0,U1213=1),0,IF(T1213="GST on Income",ROUND(K1213*0.1,2),ROUND(-K1213*0.1,2)))</f>
        <v>0</v>
      </c>
    </row>
    <row r="1214">
      <c r="A1214" t="inlineStr">
        <is>
          <t>INV-5829-1</t>
        </is>
      </c>
      <c r="B1214" t="inlineStr">
        <is>
          <t>INV-5829</t>
        </is>
      </c>
      <c r="C1214" s="11" t="n">
        <v>46022</v>
      </c>
      <c r="D1214" t="inlineStr">
        <is>
          <t>2025-12</t>
        </is>
      </c>
      <c r="E1214" t="inlineStr">
        <is>
          <t>C0026</t>
        </is>
      </c>
      <c r="F1214" t="inlineStr">
        <is>
          <t>C0026</t>
        </is>
      </c>
      <c r="G1214" t="inlineStr">
        <is>
          <t>Juniper Constructions</t>
        </is>
      </c>
      <c r="H1214" t="inlineStr">
        <is>
          <t>S0506</t>
        </is>
      </c>
      <c r="I1214" t="inlineStr">
        <is>
          <t>Roof repair labour - 3 hrs</t>
        </is>
      </c>
      <c r="J1214" t="n">
        <v>3</v>
      </c>
      <c r="K1214" s="9" t="n">
        <v>294</v>
      </c>
      <c r="L1214" t="inlineStr">
        <is>
          <t>PAID</t>
        </is>
      </c>
      <c r="M1214">
        <f>IF(L1214="VOIDED",0,1)</f>
        <v>1</v>
      </c>
      <c r="N1214" t="n">
        <v>200</v>
      </c>
      <c r="O1214" t="inlineStr">
        <is>
          <t>GST on Income</t>
        </is>
      </c>
      <c r="P1214" t="inlineStr">
        <is>
          <t>R10</t>
        </is>
      </c>
      <c r="Q1214" t="inlineStr">
        <is>
          <t>LAB-RF</t>
        </is>
      </c>
      <c r="R1214">
        <f>IF(OR(Q1214="CONTEXT",Q1214="REVIEW"),"",INDEX('Category Rules'!$D$5:$D$17,MATCH(P1214,'Category Rules'!$A$5:$A$17,0)))</f>
        <v>4020</v>
      </c>
      <c r="S1214" t="str">
        <f>IF(Q1214="CONTEXT","Roofing",IF(Q1214="REVIEW","",INDEX('Category Rules'!$E$5:$E$17,MATCH(P1214,'Category Rules'!$A$5:$A$17,0))))</f>
        <v>Roofing</v>
      </c>
      <c r="T1214" t="str">
        <f>IF(Q1214="DEP","BAS Excluded","GST on Income")</f>
        <v>GST on Income</v>
      </c>
      <c r="U1214">
        <f>IF(O1214=T1214,1,0)</f>
        <v>1</v>
      </c>
      <c r="V1214" s="9">
        <f>IF(OR(M1214=0,U1214=1),0,IF(T1214="GST on Income",ROUND(K1214*0.1,2),ROUND(-K1214*0.1,2)))</f>
        <v>0</v>
      </c>
    </row>
    <row r="1215">
      <c r="A1215" t="inlineStr">
        <is>
          <t>INV-5829-2</t>
        </is>
      </c>
      <c r="B1215" t="inlineStr">
        <is>
          <t>INV-5829</t>
        </is>
      </c>
      <c r="C1215" s="11" t="n">
        <v>46022</v>
      </c>
      <c r="D1215" t="inlineStr">
        <is>
          <t>2025-12</t>
        </is>
      </c>
      <c r="E1215" t="inlineStr">
        <is>
          <t>C0026</t>
        </is>
      </c>
      <c r="F1215" t="inlineStr">
        <is>
          <t>C0026</t>
        </is>
      </c>
      <c r="G1215" t="inlineStr">
        <is>
          <t>Juniper Constructions</t>
        </is>
      </c>
      <c r="H1215" t="inlineStr">
        <is>
          <t>S0506</t>
        </is>
      </c>
      <c r="I1215" t="inlineStr">
        <is>
          <t>Materials - flashing</t>
        </is>
      </c>
      <c r="J1215" t="n">
        <v>1</v>
      </c>
      <c r="K1215" s="9" t="n">
        <v>211.2</v>
      </c>
      <c r="L1215" t="inlineStr">
        <is>
          <t>PAID</t>
        </is>
      </c>
      <c r="M1215">
        <f>IF(L1215="VOIDED",0,1)</f>
        <v>1</v>
      </c>
      <c r="N1215" t="n">
        <v>200</v>
      </c>
      <c r="O1215" t="inlineStr">
        <is>
          <t>GST on Income</t>
        </is>
      </c>
      <c r="P1215" t="inlineStr">
        <is>
          <t>R11</t>
        </is>
      </c>
      <c r="Q1215" t="inlineStr">
        <is>
          <t>MAT-RF</t>
        </is>
      </c>
      <c r="R1215">
        <f>IF(OR(Q1215="CONTEXT",Q1215="REVIEW"),"",INDEX('Category Rules'!$D$5:$D$17,MATCH(P1215,'Category Rules'!$A$5:$A$17,0)))</f>
        <v>4030</v>
      </c>
      <c r="S1215" t="str">
        <f>IF(Q1215="CONTEXT","Roofing",IF(Q1215="REVIEW","",INDEX('Category Rules'!$E$5:$E$17,MATCH(P1215,'Category Rules'!$A$5:$A$17,0))))</f>
        <v>Roofing</v>
      </c>
      <c r="T1215" t="str">
        <f>IF(Q1215="DEP","BAS Excluded","GST on Income")</f>
        <v>GST on Income</v>
      </c>
      <c r="U1215">
        <f>IF(O1215=T1215,1,0)</f>
        <v>1</v>
      </c>
      <c r="V1215" s="9">
        <f>IF(OR(M1215=0,U1215=1),0,IF(T1215="GST on Income",ROUND(K1215*0.1,2),ROUND(-K1215*0.1,2)))</f>
        <v>0</v>
      </c>
    </row>
    <row r="1216">
      <c r="A1216" t="inlineStr">
        <is>
          <t>INV-5829-3</t>
        </is>
      </c>
      <c r="B1216" t="inlineStr">
        <is>
          <t>INV-5829</t>
        </is>
      </c>
      <c r="C1216" s="11" t="n">
        <v>46022</v>
      </c>
      <c r="D1216" t="inlineStr">
        <is>
          <t>2025-12</t>
        </is>
      </c>
      <c r="E1216" t="inlineStr">
        <is>
          <t>C0026</t>
        </is>
      </c>
      <c r="F1216" t="inlineStr">
        <is>
          <t>C0026</t>
        </is>
      </c>
      <c r="G1216" t="inlineStr">
        <is>
          <t>Juniper Constructions</t>
        </is>
      </c>
      <c r="H1216" t="inlineStr">
        <is>
          <t>S0506</t>
        </is>
      </c>
      <c r="I1216" t="inlineStr">
        <is>
          <t>Materials - roof tiles (matched)</t>
        </is>
      </c>
      <c r="J1216" t="n">
        <v>1</v>
      </c>
      <c r="K1216" s="9" t="n">
        <v>216.52</v>
      </c>
      <c r="L1216" t="inlineStr">
        <is>
          <t>PAID</t>
        </is>
      </c>
      <c r="M1216">
        <f>IF(L1216="VOIDED",0,1)</f>
        <v>1</v>
      </c>
      <c r="N1216" t="n">
        <v>200</v>
      </c>
      <c r="O1216" t="inlineStr">
        <is>
          <t>GST on Income</t>
        </is>
      </c>
      <c r="P1216" t="inlineStr">
        <is>
          <t>R11</t>
        </is>
      </c>
      <c r="Q1216" t="inlineStr">
        <is>
          <t>MAT-RF</t>
        </is>
      </c>
      <c r="R1216">
        <f>IF(OR(Q1216="CONTEXT",Q1216="REVIEW"),"",INDEX('Category Rules'!$D$5:$D$17,MATCH(P1216,'Category Rules'!$A$5:$A$17,0)))</f>
        <v>4030</v>
      </c>
      <c r="S1216" t="str">
        <f>IF(Q1216="CONTEXT","Roofing",IF(Q1216="REVIEW","",INDEX('Category Rules'!$E$5:$E$17,MATCH(P1216,'Category Rules'!$A$5:$A$17,0))))</f>
        <v>Roofing</v>
      </c>
      <c r="T1216" t="str">
        <f>IF(Q1216="DEP","BAS Excluded","GST on Income")</f>
        <v>GST on Income</v>
      </c>
      <c r="U1216">
        <f>IF(O1216=T1216,1,0)</f>
        <v>1</v>
      </c>
      <c r="V1216" s="9">
        <f>IF(OR(M1216=0,U1216=1),0,IF(T1216="GST on Income",ROUND(K1216*0.1,2),ROUND(-K1216*0.1,2)))</f>
        <v>0</v>
      </c>
    </row>
    <row r="1217">
      <c r="A1217" t="inlineStr">
        <is>
          <t>INV-5829-4</t>
        </is>
      </c>
      <c r="B1217" t="inlineStr">
        <is>
          <t>INV-5829</t>
        </is>
      </c>
      <c r="C1217" s="11" t="n">
        <v>46022</v>
      </c>
      <c r="D1217" t="inlineStr">
        <is>
          <t>2025-12</t>
        </is>
      </c>
      <c r="E1217" t="inlineStr">
        <is>
          <t>C0026</t>
        </is>
      </c>
      <c r="F1217" t="inlineStr">
        <is>
          <t>C0026</t>
        </is>
      </c>
      <c r="G1217" t="inlineStr">
        <is>
          <t>Juniper Constructions</t>
        </is>
      </c>
      <c r="H1217" t="inlineStr">
        <is>
          <t>S0506</t>
        </is>
      </c>
      <c r="I1217" t="inlineStr">
        <is>
          <t>Waste removal and tip fees</t>
        </is>
      </c>
      <c r="J1217" t="n">
        <v>1</v>
      </c>
      <c r="K1217" s="9" t="n">
        <v>120</v>
      </c>
      <c r="L1217" t="inlineStr">
        <is>
          <t>PAID</t>
        </is>
      </c>
      <c r="M1217">
        <f>IF(L1217="VOIDED",0,1)</f>
        <v>1</v>
      </c>
      <c r="N1217" t="n">
        <v>200</v>
      </c>
      <c r="O1217" t="inlineStr">
        <is>
          <t>GST on Income</t>
        </is>
      </c>
      <c r="P1217" t="inlineStr">
        <is>
          <t>R11</t>
        </is>
      </c>
      <c r="Q1217" t="inlineStr">
        <is>
          <t>MAT-RF</t>
        </is>
      </c>
      <c r="R1217">
        <f>IF(OR(Q1217="CONTEXT",Q1217="REVIEW"),"",INDEX('Category Rules'!$D$5:$D$17,MATCH(P1217,'Category Rules'!$A$5:$A$17,0)))</f>
        <v>4030</v>
      </c>
      <c r="S1217" t="str">
        <f>IF(Q1217="CONTEXT","Roofing",IF(Q1217="REVIEW","",INDEX('Category Rules'!$E$5:$E$17,MATCH(P1217,'Category Rules'!$A$5:$A$17,0))))</f>
        <v>Roofing</v>
      </c>
      <c r="T1217" t="str">
        <f>IF(Q1217="DEP","BAS Excluded","GST on Income")</f>
        <v>GST on Income</v>
      </c>
      <c r="U1217">
        <f>IF(O1217=T1217,1,0)</f>
        <v>1</v>
      </c>
      <c r="V1217" s="9">
        <f>IF(OR(M1217=0,U1217=1),0,IF(T1217="GST on Income",ROUND(K1217*0.1,2),ROUND(-K1217*0.1,2)))</f>
        <v>0</v>
      </c>
    </row>
    <row r="1218">
      <c r="A1218" t="inlineStr">
        <is>
          <t>INV-5191-1</t>
        </is>
      </c>
      <c r="B1218" t="inlineStr">
        <is>
          <t>INV-5191</t>
        </is>
      </c>
      <c r="C1218" s="11" t="n">
        <v>46023</v>
      </c>
      <c r="D1218" t="inlineStr">
        <is>
          <t>2026-01</t>
        </is>
      </c>
      <c r="E1218" t="inlineStr">
        <is>
          <t>C0042</t>
        </is>
      </c>
      <c r="F1218" t="inlineStr">
        <is>
          <t>C0042</t>
        </is>
      </c>
      <c r="G1218" t="inlineStr">
        <is>
          <t>Lakeside Constructions Pty Ltd</t>
        </is>
      </c>
      <c r="H1218" t="inlineStr">
        <is>
          <t>S0233</t>
        </is>
      </c>
      <c r="I1218" t="inlineStr">
        <is>
          <t>Scaffold tower hire 4 wks (04/12/25-31/12/25) - 2 towers</t>
        </is>
      </c>
      <c r="J1218" t="n">
        <v>8</v>
      </c>
      <c r="K1218" s="9" t="n">
        <v>760</v>
      </c>
      <c r="L1218" t="inlineStr">
        <is>
          <t>PAID</t>
        </is>
      </c>
      <c r="M1218">
        <f>IF(L1218="VOIDED",0,1)</f>
        <v>1</v>
      </c>
      <c r="N1218" t="n">
        <v>200</v>
      </c>
      <c r="O1218" t="inlineStr">
        <is>
          <t>GST on Income</t>
        </is>
      </c>
      <c r="P1218" t="inlineStr">
        <is>
          <t>R05</t>
        </is>
      </c>
      <c r="Q1218" t="inlineStr">
        <is>
          <t>HIRE-ST</t>
        </is>
      </c>
      <c r="R1218">
        <f>IF(OR(Q1218="CONTEXT",Q1218="REVIEW"),"",INDEX('Category Rules'!$D$5:$D$17,MATCH(P1218,'Category Rules'!$A$5:$A$17,0)))</f>
        <v>4010</v>
      </c>
      <c r="S1218" t="str">
        <f>IF(Q1218="CONTEXT","Scaffolding",IF(Q1218="REVIEW","",INDEX('Category Rules'!$E$5:$E$17,MATCH(P1218,'Category Rules'!$A$5:$A$17,0))))</f>
        <v>Scaffolding</v>
      </c>
      <c r="T1218" t="str">
        <f>IF(Q1218="DEP","BAS Excluded","GST on Income")</f>
        <v>GST on Income</v>
      </c>
      <c r="U1218">
        <f>IF(O1218=T1218,1,0)</f>
        <v>1</v>
      </c>
      <c r="V1218" s="9">
        <f>IF(OR(M1218=0,U1218=1),0,IF(T1218="GST on Income",ROUND(K1218*0.1,2),ROUND(-K1218*0.1,2)))</f>
        <v>0</v>
      </c>
    </row>
    <row r="1219">
      <c r="A1219" t="inlineStr">
        <is>
          <t>INV-5589-1</t>
        </is>
      </c>
      <c r="B1219" t="inlineStr">
        <is>
          <t>INV-5589</t>
        </is>
      </c>
      <c r="C1219" s="11" t="n">
        <v>46023</v>
      </c>
      <c r="D1219" t="inlineStr">
        <is>
          <t>2026-01</t>
        </is>
      </c>
      <c r="E1219" t="inlineStr">
        <is>
          <t>C0051</t>
        </is>
      </c>
      <c r="F1219" t="inlineStr">
        <is>
          <t>C0051</t>
        </is>
      </c>
      <c r="G1219" t="inlineStr">
        <is>
          <t>Granite Body Corporate Pty Ltd</t>
        </is>
      </c>
      <c r="H1219" t="inlineStr">
        <is>
          <t>S0375</t>
        </is>
      </c>
      <c r="I1219" t="inlineStr">
        <is>
          <t>Tarp kit hire 3 wks (17/12/25-31/12/25) - 1 kits</t>
        </is>
      </c>
      <c r="J1219" t="n">
        <v>3</v>
      </c>
      <c r="K1219" s="9" t="n">
        <v>105</v>
      </c>
      <c r="L1219" t="inlineStr">
        <is>
          <t>PAID</t>
        </is>
      </c>
      <c r="M1219">
        <f>IF(L1219="VOIDED",0,1)</f>
        <v>1</v>
      </c>
      <c r="N1219" t="n">
        <v>200</v>
      </c>
      <c r="O1219" t="inlineStr">
        <is>
          <t>GST on Income</t>
        </is>
      </c>
      <c r="P1219" t="inlineStr">
        <is>
          <t>R06</t>
        </is>
      </c>
      <c r="Q1219" t="inlineStr">
        <is>
          <t>HIRE-TK</t>
        </is>
      </c>
      <c r="R1219">
        <f>IF(OR(Q1219="CONTEXT",Q1219="REVIEW"),"",INDEX('Category Rules'!$D$5:$D$17,MATCH(P1219,'Category Rules'!$A$5:$A$17,0)))</f>
        <v>4010</v>
      </c>
      <c r="S1219" t="str">
        <f>IF(Q1219="CONTEXT","Make-safe",IF(Q1219="REVIEW","",INDEX('Category Rules'!$E$5:$E$17,MATCH(P1219,'Category Rules'!$A$5:$A$17,0))))</f>
        <v>Make-safe</v>
      </c>
      <c r="T1219" t="str">
        <f>IF(Q1219="DEP","BAS Excluded","GST on Income")</f>
        <v>GST on Income</v>
      </c>
      <c r="U1219">
        <f>IF(O1219=T1219,1,0)</f>
        <v>1</v>
      </c>
      <c r="V1219" s="9">
        <f>IF(OR(M1219=0,U1219=1),0,IF(T1219="GST on Income",ROUND(K1219*0.1,2),ROUND(-K1219*0.1,2)))</f>
        <v>0</v>
      </c>
    </row>
    <row r="1220">
      <c r="A1220" t="inlineStr">
        <is>
          <t>INV-4946-1</t>
        </is>
      </c>
      <c r="B1220" t="inlineStr">
        <is>
          <t>INV-4946</t>
        </is>
      </c>
      <c r="C1220" s="11" t="n">
        <v>46024</v>
      </c>
      <c r="D1220" t="inlineStr">
        <is>
          <t>2026-01</t>
        </is>
      </c>
      <c r="E1220" t="inlineStr">
        <is>
          <t>C0015</t>
        </is>
      </c>
      <c r="F1220" t="inlineStr">
        <is>
          <t>C0015</t>
        </is>
      </c>
      <c r="G1220" t="inlineStr">
        <is>
          <t>Bluegum Building Group</t>
        </is>
      </c>
      <c r="H1220" t="inlineStr">
        <is>
          <t>S0180</t>
        </is>
      </c>
      <c r="I1220" t="inlineStr">
        <is>
          <t>Temporary fence hire 4 wks (06/12/25-01/01/26) - 34 panels</t>
        </is>
      </c>
      <c r="J1220" t="n">
        <v>136</v>
      </c>
      <c r="K1220" s="9" t="n">
        <v>612</v>
      </c>
      <c r="L1220" t="inlineStr">
        <is>
          <t>PAID</t>
        </is>
      </c>
      <c r="M1220">
        <f>IF(L1220="VOIDED",0,1)</f>
        <v>1</v>
      </c>
      <c r="N1220" t="n">
        <v>200</v>
      </c>
      <c r="O1220" t="inlineStr">
        <is>
          <t>GST on Income</t>
        </is>
      </c>
      <c r="P1220" t="inlineStr">
        <is>
          <t>R03</t>
        </is>
      </c>
      <c r="Q1220" t="inlineStr">
        <is>
          <t>HIRE-FP</t>
        </is>
      </c>
      <c r="R1220">
        <f>IF(OR(Q1220="CONTEXT",Q1220="REVIEW"),"",INDEX('Category Rules'!$D$5:$D$17,MATCH(P1220,'Category Rules'!$A$5:$A$17,0)))</f>
        <v>4010</v>
      </c>
      <c r="S1220" t="str">
        <f>IF(Q1220="CONTEXT","Fencing",IF(Q1220="REVIEW","",INDEX('Category Rules'!$E$5:$E$17,MATCH(P1220,'Category Rules'!$A$5:$A$17,0))))</f>
        <v>Fencing</v>
      </c>
      <c r="T1220" t="str">
        <f>IF(Q1220="DEP","BAS Excluded","GST on Income")</f>
        <v>GST on Income</v>
      </c>
      <c r="U1220">
        <f>IF(O1220=T1220,1,0)</f>
        <v>1</v>
      </c>
      <c r="V1220" s="9">
        <f>IF(OR(M1220=0,U1220=1),0,IF(T1220="GST on Income",ROUND(K1220*0.1,2),ROUND(-K1220*0.1,2)))</f>
        <v>0</v>
      </c>
    </row>
    <row r="1221">
      <c r="A1221" t="inlineStr">
        <is>
          <t>INV-4948-1</t>
        </is>
      </c>
      <c r="B1221" t="inlineStr">
        <is>
          <t>INV-4948</t>
        </is>
      </c>
      <c r="C1221" s="11" t="n">
        <v>46024</v>
      </c>
      <c r="D1221" t="inlineStr">
        <is>
          <t>2026-01</t>
        </is>
      </c>
      <c r="E1221" t="inlineStr">
        <is>
          <t>C0015</t>
        </is>
      </c>
      <c r="F1221" t="inlineStr">
        <is>
          <t>C0015</t>
        </is>
      </c>
      <c r="G1221" t="inlineStr">
        <is>
          <t>Bluegum Building Group</t>
        </is>
      </c>
      <c r="H1221" t="inlineStr">
        <is>
          <t>S0180</t>
        </is>
      </c>
      <c r="I1221" t="inlineStr">
        <is>
          <t>Pedestrian barrier hire 4 wks (06/12/25-01/01/26) - 16 barriers</t>
        </is>
      </c>
      <c r="J1221" t="n">
        <v>64</v>
      </c>
      <c r="K1221" s="9" t="n">
        <v>204.8</v>
      </c>
      <c r="L1221" t="inlineStr">
        <is>
          <t>PAID</t>
        </is>
      </c>
      <c r="M1221">
        <f>IF(L1221="VOIDED",0,1)</f>
        <v>1</v>
      </c>
      <c r="N1221" t="n">
        <v>200</v>
      </c>
      <c r="O1221" t="inlineStr">
        <is>
          <t>GST on Income</t>
        </is>
      </c>
      <c r="P1221" t="inlineStr">
        <is>
          <t>R04</t>
        </is>
      </c>
      <c r="Q1221" t="inlineStr">
        <is>
          <t>HIRE-BR</t>
        </is>
      </c>
      <c r="R1221">
        <f>IF(OR(Q1221="CONTEXT",Q1221="REVIEW"),"",INDEX('Category Rules'!$D$5:$D$17,MATCH(P1221,'Category Rules'!$A$5:$A$17,0)))</f>
        <v>4010</v>
      </c>
      <c r="S1221" t="str">
        <f>IF(Q1221="CONTEXT","Fencing",IF(Q1221="REVIEW","",INDEX('Category Rules'!$E$5:$E$17,MATCH(P1221,'Category Rules'!$A$5:$A$17,0))))</f>
        <v>Fencing</v>
      </c>
      <c r="T1221" t="str">
        <f>IF(Q1221="DEP","BAS Excluded","GST on Income")</f>
        <v>GST on Income</v>
      </c>
      <c r="U1221">
        <f>IF(O1221=T1221,1,0)</f>
        <v>1</v>
      </c>
      <c r="V1221" s="9">
        <f>IF(OR(M1221=0,U1221=1),0,IF(T1221="GST on Income",ROUND(K1221*0.1,2),ROUND(-K1221*0.1,2)))</f>
        <v>0</v>
      </c>
    </row>
    <row r="1222">
      <c r="A1222" t="inlineStr">
        <is>
          <t>INV-4950-1</t>
        </is>
      </c>
      <c r="B1222" t="inlineStr">
        <is>
          <t>INV-4950</t>
        </is>
      </c>
      <c r="C1222" s="11" t="n">
        <v>46024</v>
      </c>
      <c r="D1222" t="inlineStr">
        <is>
          <t>2026-01</t>
        </is>
      </c>
      <c r="E1222" t="inlineStr">
        <is>
          <t>C0015</t>
        </is>
      </c>
      <c r="F1222" t="inlineStr">
        <is>
          <t>C0015</t>
        </is>
      </c>
      <c r="G1222" t="inlineStr">
        <is>
          <t>Bluegum Building Group</t>
        </is>
      </c>
      <c r="H1222" t="inlineStr">
        <is>
          <t>S0180</t>
        </is>
      </c>
      <c r="I1222" t="inlineStr">
        <is>
          <t>Collection and dismantle - temporary fencing</t>
        </is>
      </c>
      <c r="J1222" t="n">
        <v>1</v>
      </c>
      <c r="K1222" s="9" t="n">
        <v>165</v>
      </c>
      <c r="L1222" t="inlineStr">
        <is>
          <t>PAID</t>
        </is>
      </c>
      <c r="M1222">
        <f>IF(L1222="VOIDED",0,1)</f>
        <v>1</v>
      </c>
      <c r="N1222" t="n">
        <v>200</v>
      </c>
      <c r="O1222" t="inlineStr">
        <is>
          <t>GST on Income</t>
        </is>
      </c>
      <c r="P1222" t="inlineStr">
        <is>
          <t>R07</t>
        </is>
      </c>
      <c r="Q1222" t="inlineStr">
        <is>
          <t>DEL-FP</t>
        </is>
      </c>
      <c r="R1222">
        <f>IF(OR(Q1222="CONTEXT",Q1222="REVIEW"),"",INDEX('Category Rules'!$D$5:$D$17,MATCH(P1222,'Category Rules'!$A$5:$A$17,0)))</f>
        <v>4020</v>
      </c>
      <c r="S1222" t="str">
        <f>IF(Q1222="CONTEXT","Fencing",IF(Q1222="REVIEW","",INDEX('Category Rules'!$E$5:$E$17,MATCH(P1222,'Category Rules'!$A$5:$A$17,0))))</f>
        <v>Fencing</v>
      </c>
      <c r="T1222" t="str">
        <f>IF(Q1222="DEP","BAS Excluded","GST on Income")</f>
        <v>GST on Income</v>
      </c>
      <c r="U1222">
        <f>IF(O1222=T1222,1,0)</f>
        <v>1</v>
      </c>
      <c r="V1222" s="9">
        <f>IF(OR(M1222=0,U1222=1),0,IF(T1222="GST on Income",ROUND(K1222*0.1,2),ROUND(-K1222*0.1,2)))</f>
        <v>0</v>
      </c>
    </row>
    <row r="1223">
      <c r="A1223" t="inlineStr">
        <is>
          <t>INV-5242-1</t>
        </is>
      </c>
      <c r="B1223" t="inlineStr">
        <is>
          <t>INV-5242</t>
        </is>
      </c>
      <c r="C1223" s="11" t="n">
        <v>46024</v>
      </c>
      <c r="D1223" t="inlineStr">
        <is>
          <t>2026-01</t>
        </is>
      </c>
      <c r="E1223" t="inlineStr">
        <is>
          <t>C0052</t>
        </is>
      </c>
      <c r="F1223" t="inlineStr">
        <is>
          <t>C0052</t>
        </is>
      </c>
      <c r="G1223" t="inlineStr">
        <is>
          <t>Bluegum Body Corporate Pty Ltd</t>
        </is>
      </c>
      <c r="H1223" t="inlineStr">
        <is>
          <t>S0246</t>
        </is>
      </c>
      <c r="I1223" t="inlineStr">
        <is>
          <t>Scaffold tower hire 4 wks (05/12/25-01/01/26) - 4 towers</t>
        </is>
      </c>
      <c r="J1223" t="n">
        <v>16</v>
      </c>
      <c r="K1223" s="9" t="n">
        <v>1520</v>
      </c>
      <c r="L1223" t="inlineStr">
        <is>
          <t>PAID</t>
        </is>
      </c>
      <c r="M1223">
        <f>IF(L1223="VOIDED",0,1)</f>
        <v>1</v>
      </c>
      <c r="N1223" t="n">
        <v>200</v>
      </c>
      <c r="O1223" t="inlineStr">
        <is>
          <t>GST on Income</t>
        </is>
      </c>
      <c r="P1223" t="inlineStr">
        <is>
          <t>R05</t>
        </is>
      </c>
      <c r="Q1223" t="inlineStr">
        <is>
          <t>HIRE-ST</t>
        </is>
      </c>
      <c r="R1223">
        <f>IF(OR(Q1223="CONTEXT",Q1223="REVIEW"),"",INDEX('Category Rules'!$D$5:$D$17,MATCH(P1223,'Category Rules'!$A$5:$A$17,0)))</f>
        <v>4010</v>
      </c>
      <c r="S1223" t="str">
        <f>IF(Q1223="CONTEXT","Scaffolding",IF(Q1223="REVIEW","",INDEX('Category Rules'!$E$5:$E$17,MATCH(P1223,'Category Rules'!$A$5:$A$17,0))))</f>
        <v>Scaffolding</v>
      </c>
      <c r="T1223" t="str">
        <f>IF(Q1223="DEP","BAS Excluded","GST on Income")</f>
        <v>GST on Income</v>
      </c>
      <c r="U1223">
        <f>IF(O1223=T1223,1,0)</f>
        <v>1</v>
      </c>
      <c r="V1223" s="9">
        <f>IF(OR(M1223=0,U1223=1),0,IF(T1223="GST on Income",ROUND(K1223*0.1,2),ROUND(-K1223*0.1,2)))</f>
        <v>0</v>
      </c>
    </row>
    <row r="1224">
      <c r="A1224" t="inlineStr">
        <is>
          <t>INV-5264-1</t>
        </is>
      </c>
      <c r="B1224" t="inlineStr">
        <is>
          <t>INV-5264</t>
        </is>
      </c>
      <c r="C1224" s="11" t="n">
        <v>46024</v>
      </c>
      <c r="D1224" t="inlineStr">
        <is>
          <t>2026-01</t>
        </is>
      </c>
      <c r="E1224" t="inlineStr">
        <is>
          <t>C0044</t>
        </is>
      </c>
      <c r="F1224" t="inlineStr">
        <is>
          <t>C0044</t>
        </is>
      </c>
      <c r="G1224" t="inlineStr">
        <is>
          <t>Granite Constructions</t>
        </is>
      </c>
      <c r="H1224" t="inlineStr">
        <is>
          <t>S0251</t>
        </is>
      </c>
      <c r="I1224" t="inlineStr">
        <is>
          <t>Scaffold tower hire 4 wks (05/12/25-01/01/26) - 1 towers</t>
        </is>
      </c>
      <c r="J1224" t="n">
        <v>4</v>
      </c>
      <c r="K1224" s="9" t="n">
        <v>380</v>
      </c>
      <c r="L1224" t="inlineStr">
        <is>
          <t>PAID</t>
        </is>
      </c>
      <c r="M1224">
        <f>IF(L1224="VOIDED",0,1)</f>
        <v>1</v>
      </c>
      <c r="N1224" t="n">
        <v>200</v>
      </c>
      <c r="O1224" t="inlineStr">
        <is>
          <t>GST on Income</t>
        </is>
      </c>
      <c r="P1224" t="inlineStr">
        <is>
          <t>R05</t>
        </is>
      </c>
      <c r="Q1224" t="inlineStr">
        <is>
          <t>HIRE-ST</t>
        </is>
      </c>
      <c r="R1224">
        <f>IF(OR(Q1224="CONTEXT",Q1224="REVIEW"),"",INDEX('Category Rules'!$D$5:$D$17,MATCH(P1224,'Category Rules'!$A$5:$A$17,0)))</f>
        <v>4010</v>
      </c>
      <c r="S1224" t="str">
        <f>IF(Q1224="CONTEXT","Scaffolding",IF(Q1224="REVIEW","",INDEX('Category Rules'!$E$5:$E$17,MATCH(P1224,'Category Rules'!$A$5:$A$17,0))))</f>
        <v>Scaffolding</v>
      </c>
      <c r="T1224" t="str">
        <f>IF(Q1224="DEP","BAS Excluded","GST on Income")</f>
        <v>GST on Income</v>
      </c>
      <c r="U1224">
        <f>IF(O1224=T1224,1,0)</f>
        <v>1</v>
      </c>
      <c r="V1224" s="9">
        <f>IF(OR(M1224=0,U1224=1),0,IF(T1224="GST on Income",ROUND(K1224*0.1,2),ROUND(-K1224*0.1,2)))</f>
        <v>0</v>
      </c>
    </row>
    <row r="1225">
      <c r="A1225" t="inlineStr">
        <is>
          <t>INV-5431-1</t>
        </is>
      </c>
      <c r="B1225" t="inlineStr">
        <is>
          <t>INV-5431</t>
        </is>
      </c>
      <c r="C1225" s="11" t="n">
        <v>46024</v>
      </c>
      <c r="D1225" t="inlineStr">
        <is>
          <t>2026-01</t>
        </is>
      </c>
      <c r="E1225" t="inlineStr">
        <is>
          <t>C0085</t>
        </is>
      </c>
      <c r="F1225" t="inlineStr">
        <is>
          <t>C0085</t>
        </is>
      </c>
      <c r="G1225" t="inlineStr">
        <is>
          <t>Zoe Williams</t>
        </is>
      </c>
      <c r="H1225" t="inlineStr">
        <is>
          <t>S0292</t>
        </is>
      </c>
      <c r="I1225" t="inlineStr">
        <is>
          <t>Scaffold tower hire 3 wks (18/12/25-01/01/26) - 1 towers</t>
        </is>
      </c>
      <c r="J1225" t="n">
        <v>3</v>
      </c>
      <c r="K1225" s="9" t="n">
        <v>285</v>
      </c>
      <c r="L1225" t="inlineStr">
        <is>
          <t>PAID</t>
        </is>
      </c>
      <c r="M1225">
        <f>IF(L1225="VOIDED",0,1)</f>
        <v>1</v>
      </c>
      <c r="N1225" t="n">
        <v>200</v>
      </c>
      <c r="O1225" t="inlineStr">
        <is>
          <t>GST on Income</t>
        </is>
      </c>
      <c r="P1225" t="inlineStr">
        <is>
          <t>R05</t>
        </is>
      </c>
      <c r="Q1225" t="inlineStr">
        <is>
          <t>HIRE-ST</t>
        </is>
      </c>
      <c r="R1225">
        <f>IF(OR(Q1225="CONTEXT",Q1225="REVIEW"),"",INDEX('Category Rules'!$D$5:$D$17,MATCH(P1225,'Category Rules'!$A$5:$A$17,0)))</f>
        <v>4010</v>
      </c>
      <c r="S1225" t="str">
        <f>IF(Q1225="CONTEXT","Scaffolding",IF(Q1225="REVIEW","",INDEX('Category Rules'!$E$5:$E$17,MATCH(P1225,'Category Rules'!$A$5:$A$17,0))))</f>
        <v>Scaffolding</v>
      </c>
      <c r="T1225" t="str">
        <f>IF(Q1225="DEP","BAS Excluded","GST on Income")</f>
        <v>GST on Income</v>
      </c>
      <c r="U1225">
        <f>IF(O1225=T1225,1,0)</f>
        <v>1</v>
      </c>
      <c r="V1225" s="9">
        <f>IF(OR(M1225=0,U1225=1),0,IF(T1225="GST on Income",ROUND(K1225*0.1,2),ROUND(-K1225*0.1,2)))</f>
        <v>0</v>
      </c>
    </row>
    <row r="1226">
      <c r="A1226" t="inlineStr">
        <is>
          <t>INV-5433-1</t>
        </is>
      </c>
      <c r="B1226" t="inlineStr">
        <is>
          <t>INV-5433</t>
        </is>
      </c>
      <c r="C1226" s="11" t="n">
        <v>46024</v>
      </c>
      <c r="D1226" t="inlineStr">
        <is>
          <t>2026-01</t>
        </is>
      </c>
      <c r="E1226" t="inlineStr">
        <is>
          <t>C0085</t>
        </is>
      </c>
      <c r="F1226" t="inlineStr">
        <is>
          <t>C0085</t>
        </is>
      </c>
      <c r="G1226" t="inlineStr">
        <is>
          <t>Zoe Williams</t>
        </is>
      </c>
      <c r="H1226" t="inlineStr">
        <is>
          <t>S0292</t>
        </is>
      </c>
      <c r="I1226" t="inlineStr">
        <is>
          <t>Scaffold dismantle - 1 tower(s)</t>
        </is>
      </c>
      <c r="J1226" t="n">
        <v>1</v>
      </c>
      <c r="K1226" s="9" t="n">
        <v>320</v>
      </c>
      <c r="L1226" t="inlineStr">
        <is>
          <t>PAID</t>
        </is>
      </c>
      <c r="M1226">
        <f>IF(L1226="VOIDED",0,1)</f>
        <v>1</v>
      </c>
      <c r="N1226" t="n">
        <v>200</v>
      </c>
      <c r="O1226" t="inlineStr">
        <is>
          <t>GST on Income</t>
        </is>
      </c>
      <c r="P1226" t="inlineStr">
        <is>
          <t>R08</t>
        </is>
      </c>
      <c r="Q1226" t="inlineStr">
        <is>
          <t>LAB-ST</t>
        </is>
      </c>
      <c r="R1226">
        <f>IF(OR(Q1226="CONTEXT",Q1226="REVIEW"),"",INDEX('Category Rules'!$D$5:$D$17,MATCH(P1226,'Category Rules'!$A$5:$A$17,0)))</f>
        <v>4020</v>
      </c>
      <c r="S1226" t="str">
        <f>IF(Q1226="CONTEXT","Scaffolding",IF(Q1226="REVIEW","",INDEX('Category Rules'!$E$5:$E$17,MATCH(P1226,'Category Rules'!$A$5:$A$17,0))))</f>
        <v>Scaffolding</v>
      </c>
      <c r="T1226" t="str">
        <f>IF(Q1226="DEP","BAS Excluded","GST on Income")</f>
        <v>GST on Income</v>
      </c>
      <c r="U1226">
        <f>IF(O1226=T1226,1,0)</f>
        <v>1</v>
      </c>
      <c r="V1226" s="9">
        <f>IF(OR(M1226=0,U1226=1),0,IF(T1226="GST on Income",ROUND(K1226*0.1,2),ROUND(-K1226*0.1,2)))</f>
        <v>0</v>
      </c>
    </row>
    <row r="1227">
      <c r="A1227" t="inlineStr">
        <is>
          <t>INV-5674-1</t>
        </is>
      </c>
      <c r="B1227" t="inlineStr">
        <is>
          <t>INV-5674</t>
        </is>
      </c>
      <c r="C1227" s="11" t="n">
        <v>46024</v>
      </c>
      <c r="D1227" t="inlineStr">
        <is>
          <t>2026-01</t>
        </is>
      </c>
      <c r="E1227" t="inlineStr">
        <is>
          <t>C0067</t>
        </is>
      </c>
      <c r="F1227" t="inlineStr">
        <is>
          <t>C0067</t>
        </is>
      </c>
      <c r="G1227" t="inlineStr">
        <is>
          <t>Banksia Claims Services Pty Ltd</t>
        </is>
      </c>
      <c r="H1227" t="inlineStr">
        <is>
          <t>S0421</t>
        </is>
      </c>
      <c r="I1227" t="inlineStr">
        <is>
          <t>Tarp kit hire 2 wks (25/12/25-01/01/26) - 3 kits</t>
        </is>
      </c>
      <c r="J1227" t="n">
        <v>6</v>
      </c>
      <c r="K1227" s="9" t="n">
        <v>210</v>
      </c>
      <c r="L1227" t="inlineStr">
        <is>
          <t>PAID</t>
        </is>
      </c>
      <c r="M1227">
        <f>IF(L1227="VOIDED",0,1)</f>
        <v>1</v>
      </c>
      <c r="N1227" t="n">
        <v>200</v>
      </c>
      <c r="O1227" t="inlineStr">
        <is>
          <t>GST on Income</t>
        </is>
      </c>
      <c r="P1227" t="inlineStr">
        <is>
          <t>R06</t>
        </is>
      </c>
      <c r="Q1227" t="inlineStr">
        <is>
          <t>HIRE-TK</t>
        </is>
      </c>
      <c r="R1227">
        <f>IF(OR(Q1227="CONTEXT",Q1227="REVIEW"),"",INDEX('Category Rules'!$D$5:$D$17,MATCH(P1227,'Category Rules'!$A$5:$A$17,0)))</f>
        <v>4010</v>
      </c>
      <c r="S1227" t="str">
        <f>IF(Q1227="CONTEXT","Make-safe",IF(Q1227="REVIEW","",INDEX('Category Rules'!$E$5:$E$17,MATCH(P1227,'Category Rules'!$A$5:$A$17,0))))</f>
        <v>Make-safe</v>
      </c>
      <c r="T1227" t="str">
        <f>IF(Q1227="DEP","BAS Excluded","GST on Income")</f>
        <v>GST on Income</v>
      </c>
      <c r="U1227">
        <f>IF(O1227=T1227,1,0)</f>
        <v>1</v>
      </c>
      <c r="V1227" s="9">
        <f>IF(OR(M1227=0,U1227=1),0,IF(T1227="GST on Income",ROUND(K1227*0.1,2),ROUND(-K1227*0.1,2)))</f>
        <v>0</v>
      </c>
    </row>
    <row r="1228">
      <c r="A1228" t="inlineStr">
        <is>
          <t>INV-5751-1</t>
        </is>
      </c>
      <c r="B1228" t="inlineStr">
        <is>
          <t>INV-5751</t>
        </is>
      </c>
      <c r="C1228" s="11" t="n">
        <v>46024</v>
      </c>
      <c r="D1228" t="inlineStr">
        <is>
          <t>2026-01</t>
        </is>
      </c>
      <c r="E1228" t="inlineStr">
        <is>
          <t>C0058</t>
        </is>
      </c>
      <c r="F1228" t="inlineStr">
        <is>
          <t>C0058</t>
        </is>
      </c>
      <c r="G1228" t="inlineStr">
        <is>
          <t>Summit Body Corporate Pty Ltd</t>
        </is>
      </c>
      <c r="H1228" t="inlineStr">
        <is>
          <t>S0461</t>
        </is>
      </c>
      <c r="I1228" t="inlineStr">
        <is>
          <t>Tarp kit hire 3 wks (18/12/25-01/01/26) - 1 kits</t>
        </is>
      </c>
      <c r="J1228" t="n">
        <v>3</v>
      </c>
      <c r="K1228" s="9" t="n">
        <v>105</v>
      </c>
      <c r="L1228" t="inlineStr">
        <is>
          <t>PAID</t>
        </is>
      </c>
      <c r="M1228">
        <f>IF(L1228="VOIDED",0,1)</f>
        <v>1</v>
      </c>
      <c r="N1228" t="n">
        <v>200</v>
      </c>
      <c r="O1228" t="inlineStr">
        <is>
          <t>GST on Income</t>
        </is>
      </c>
      <c r="P1228" t="inlineStr">
        <is>
          <t>R06</t>
        </is>
      </c>
      <c r="Q1228" t="inlineStr">
        <is>
          <t>HIRE-TK</t>
        </is>
      </c>
      <c r="R1228">
        <f>IF(OR(Q1228="CONTEXT",Q1228="REVIEW"),"",INDEX('Category Rules'!$D$5:$D$17,MATCH(P1228,'Category Rules'!$A$5:$A$17,0)))</f>
        <v>4010</v>
      </c>
      <c r="S1228" t="str">
        <f>IF(Q1228="CONTEXT","Make-safe",IF(Q1228="REVIEW","",INDEX('Category Rules'!$E$5:$E$17,MATCH(P1228,'Category Rules'!$A$5:$A$17,0))))</f>
        <v>Make-safe</v>
      </c>
      <c r="T1228" t="str">
        <f>IF(Q1228="DEP","BAS Excluded","GST on Income")</f>
        <v>GST on Income</v>
      </c>
      <c r="U1228">
        <f>IF(O1228=T1228,1,0)</f>
        <v>1</v>
      </c>
      <c r="V1228" s="9">
        <f>IF(OR(M1228=0,U1228=1),0,IF(T1228="GST on Income",ROUND(K1228*0.1,2),ROUND(-K1228*0.1,2)))</f>
        <v>0</v>
      </c>
    </row>
    <row r="1229">
      <c r="A1229" t="inlineStr">
        <is>
          <t>INV-4881-1</t>
        </is>
      </c>
      <c r="B1229" t="inlineStr">
        <is>
          <t>INV-4881</t>
        </is>
      </c>
      <c r="C1229" s="11" t="n">
        <v>46025</v>
      </c>
      <c r="D1229" t="inlineStr">
        <is>
          <t>2026-01</t>
        </is>
      </c>
      <c r="E1229" t="inlineStr">
        <is>
          <t>C0119</t>
        </is>
      </c>
      <c r="F1229" t="inlineStr">
        <is>
          <t>C0119</t>
        </is>
      </c>
      <c r="G1229" t="inlineStr">
        <is>
          <t>Northgate Builders Pty Ltd</t>
        </is>
      </c>
      <c r="H1229" t="inlineStr">
        <is>
          <t>S0165</t>
        </is>
      </c>
      <c r="I1229" t="inlineStr">
        <is>
          <t>Temporary fence hire 4 wks (06/12/25-02/01/26) - 140 panels</t>
        </is>
      </c>
      <c r="J1229" t="n">
        <v>560</v>
      </c>
      <c r="K1229" s="9" t="n">
        <v>2520</v>
      </c>
      <c r="L1229" t="inlineStr">
        <is>
          <t>PAID</t>
        </is>
      </c>
      <c r="M1229">
        <f>IF(L1229="VOIDED",0,1)</f>
        <v>1</v>
      </c>
      <c r="N1229" t="n">
        <v>200</v>
      </c>
      <c r="O1229" t="inlineStr">
        <is>
          <t>GST on Income</t>
        </is>
      </c>
      <c r="P1229" t="inlineStr">
        <is>
          <t>R03</t>
        </is>
      </c>
      <c r="Q1229" t="inlineStr">
        <is>
          <t>HIRE-FP</t>
        </is>
      </c>
      <c r="R1229">
        <f>IF(OR(Q1229="CONTEXT",Q1229="REVIEW"),"",INDEX('Category Rules'!$D$5:$D$17,MATCH(P1229,'Category Rules'!$A$5:$A$17,0)))</f>
        <v>4010</v>
      </c>
      <c r="S1229" t="str">
        <f>IF(Q1229="CONTEXT","Fencing",IF(Q1229="REVIEW","",INDEX('Category Rules'!$E$5:$E$17,MATCH(P1229,'Category Rules'!$A$5:$A$17,0))))</f>
        <v>Fencing</v>
      </c>
      <c r="T1229" t="str">
        <f>IF(Q1229="DEP","BAS Excluded","GST on Income")</f>
        <v>GST on Income</v>
      </c>
      <c r="U1229">
        <f>IF(O1229=T1229,1,0)</f>
        <v>1</v>
      </c>
      <c r="V1229" s="9">
        <f>IF(OR(M1229=0,U1229=1),0,IF(T1229="GST on Income",ROUND(K1229*0.1,2),ROUND(-K1229*0.1,2)))</f>
        <v>0</v>
      </c>
    </row>
    <row r="1230">
      <c r="A1230" t="inlineStr">
        <is>
          <t>INV-5000-1</t>
        </is>
      </c>
      <c r="B1230" t="inlineStr">
        <is>
          <t>INV-5000</t>
        </is>
      </c>
      <c r="C1230" s="11" t="n">
        <v>46025</v>
      </c>
      <c r="D1230" t="inlineStr">
        <is>
          <t>2026-01</t>
        </is>
      </c>
      <c r="E1230" t="inlineStr">
        <is>
          <t>C0022</t>
        </is>
      </c>
      <c r="F1230" t="inlineStr">
        <is>
          <t>C0022</t>
        </is>
      </c>
      <c r="G1230" t="inlineStr">
        <is>
          <t>Highpoint Projects</t>
        </is>
      </c>
      <c r="H1230" t="inlineStr">
        <is>
          <t>S0195</t>
        </is>
      </c>
      <c r="I1230" t="inlineStr">
        <is>
          <t>Temporary fence hire 4 wks (06/12/25-02/01/26) - 16 panels</t>
        </is>
      </c>
      <c r="J1230" t="n">
        <v>64</v>
      </c>
      <c r="K1230" s="9" t="n">
        <v>288</v>
      </c>
      <c r="L1230" t="inlineStr">
        <is>
          <t>PAID</t>
        </is>
      </c>
      <c r="M1230">
        <f>IF(L1230="VOIDED",0,1)</f>
        <v>1</v>
      </c>
      <c r="N1230" t="n">
        <v>200</v>
      </c>
      <c r="O1230" t="inlineStr">
        <is>
          <t>GST on Income</t>
        </is>
      </c>
      <c r="P1230" t="inlineStr">
        <is>
          <t>R03</t>
        </is>
      </c>
      <c r="Q1230" t="inlineStr">
        <is>
          <t>HIRE-FP</t>
        </is>
      </c>
      <c r="R1230">
        <f>IF(OR(Q1230="CONTEXT",Q1230="REVIEW"),"",INDEX('Category Rules'!$D$5:$D$17,MATCH(P1230,'Category Rules'!$A$5:$A$17,0)))</f>
        <v>4010</v>
      </c>
      <c r="S1230" t="str">
        <f>IF(Q1230="CONTEXT","Fencing",IF(Q1230="REVIEW","",INDEX('Category Rules'!$E$5:$E$17,MATCH(P1230,'Category Rules'!$A$5:$A$17,0))))</f>
        <v>Fencing</v>
      </c>
      <c r="T1230" t="str">
        <f>IF(Q1230="DEP","BAS Excluded","GST on Income")</f>
        <v>GST on Income</v>
      </c>
      <c r="U1230">
        <f>IF(O1230=T1230,1,0)</f>
        <v>1</v>
      </c>
      <c r="V1230" s="9">
        <f>IF(OR(M1230=0,U1230=1),0,IF(T1230="GST on Income",ROUND(K1230*0.1,2),ROUND(-K1230*0.1,2)))</f>
        <v>0</v>
      </c>
    </row>
    <row r="1231">
      <c r="A1231" t="inlineStr">
        <is>
          <t>INV-5083-1</t>
        </is>
      </c>
      <c r="B1231" t="inlineStr">
        <is>
          <t>INV-5083</t>
        </is>
      </c>
      <c r="C1231" s="11" t="n">
        <v>46025</v>
      </c>
      <c r="D1231" t="inlineStr">
        <is>
          <t>2026-01</t>
        </is>
      </c>
      <c r="E1231" t="inlineStr">
        <is>
          <t>C0136</t>
        </is>
      </c>
      <c r="F1231" t="inlineStr">
        <is>
          <t>C0036</t>
        </is>
      </c>
      <c r="G1231" t="inlineStr">
        <is>
          <t>Summit Homes Pty Ltd</t>
        </is>
      </c>
      <c r="H1231" t="inlineStr">
        <is>
          <t>S0211</t>
        </is>
      </c>
      <c r="I1231" t="inlineStr">
        <is>
          <t>Temporary fence hire 4 wks (06/12/25-02/01/26) - 25 panels</t>
        </is>
      </c>
      <c r="J1231" t="n">
        <v>100</v>
      </c>
      <c r="K1231" s="9" t="n">
        <v>450</v>
      </c>
      <c r="L1231" t="inlineStr">
        <is>
          <t>PAID</t>
        </is>
      </c>
      <c r="M1231">
        <f>IF(L1231="VOIDED",0,1)</f>
        <v>1</v>
      </c>
      <c r="N1231" t="n">
        <v>200</v>
      </c>
      <c r="O1231" t="inlineStr">
        <is>
          <t>GST on Income</t>
        </is>
      </c>
      <c r="P1231" t="inlineStr">
        <is>
          <t>R03</t>
        </is>
      </c>
      <c r="Q1231" t="inlineStr">
        <is>
          <t>HIRE-FP</t>
        </is>
      </c>
      <c r="R1231">
        <f>IF(OR(Q1231="CONTEXT",Q1231="REVIEW"),"",INDEX('Category Rules'!$D$5:$D$17,MATCH(P1231,'Category Rules'!$A$5:$A$17,0)))</f>
        <v>4010</v>
      </c>
      <c r="S1231" t="str">
        <f>IF(Q1231="CONTEXT","Fencing",IF(Q1231="REVIEW","",INDEX('Category Rules'!$E$5:$E$17,MATCH(P1231,'Category Rules'!$A$5:$A$17,0))))</f>
        <v>Fencing</v>
      </c>
      <c r="T1231" t="str">
        <f>IF(Q1231="DEP","BAS Excluded","GST on Income")</f>
        <v>GST on Income</v>
      </c>
      <c r="U1231">
        <f>IF(O1231=T1231,1,0)</f>
        <v>1</v>
      </c>
      <c r="V1231" s="9">
        <f>IF(OR(M1231=0,U1231=1),0,IF(T1231="GST on Income",ROUND(K1231*0.1,2),ROUND(-K1231*0.1,2)))</f>
        <v>0</v>
      </c>
    </row>
    <row r="1232">
      <c r="A1232" t="inlineStr">
        <is>
          <t>INV-5085-1</t>
        </is>
      </c>
      <c r="B1232" t="inlineStr">
        <is>
          <t>INV-5085</t>
        </is>
      </c>
      <c r="C1232" s="11" t="n">
        <v>46025</v>
      </c>
      <c r="D1232" t="inlineStr">
        <is>
          <t>2026-01</t>
        </is>
      </c>
      <c r="E1232" t="inlineStr">
        <is>
          <t>C0136</t>
        </is>
      </c>
      <c r="F1232" t="inlineStr">
        <is>
          <t>C0036</t>
        </is>
      </c>
      <c r="G1232" t="inlineStr">
        <is>
          <t>Summit Homes Pty Ltd</t>
        </is>
      </c>
      <c r="H1232" t="inlineStr">
        <is>
          <t>S0211</t>
        </is>
      </c>
      <c r="I1232" t="inlineStr">
        <is>
          <t>Pedestrian barrier hire 4 wks (06/12/25-02/01/26) - 21 barriers</t>
        </is>
      </c>
      <c r="J1232" t="n">
        <v>84</v>
      </c>
      <c r="K1232" s="9" t="n">
        <v>268.8</v>
      </c>
      <c r="L1232" t="inlineStr">
        <is>
          <t>PAID</t>
        </is>
      </c>
      <c r="M1232">
        <f>IF(L1232="VOIDED",0,1)</f>
        <v>1</v>
      </c>
      <c r="N1232" t="n">
        <v>200</v>
      </c>
      <c r="O1232" t="inlineStr">
        <is>
          <t>GST on Income</t>
        </is>
      </c>
      <c r="P1232" t="inlineStr">
        <is>
          <t>R04</t>
        </is>
      </c>
      <c r="Q1232" t="inlineStr">
        <is>
          <t>HIRE-BR</t>
        </is>
      </c>
      <c r="R1232">
        <f>IF(OR(Q1232="CONTEXT",Q1232="REVIEW"),"",INDEX('Category Rules'!$D$5:$D$17,MATCH(P1232,'Category Rules'!$A$5:$A$17,0)))</f>
        <v>4010</v>
      </c>
      <c r="S1232" t="str">
        <f>IF(Q1232="CONTEXT","Fencing",IF(Q1232="REVIEW","",INDEX('Category Rules'!$E$5:$E$17,MATCH(P1232,'Category Rules'!$A$5:$A$17,0))))</f>
        <v>Fencing</v>
      </c>
      <c r="T1232" t="str">
        <f>IF(Q1232="DEP","BAS Excluded","GST on Income")</f>
        <v>GST on Income</v>
      </c>
      <c r="U1232">
        <f>IF(O1232=T1232,1,0)</f>
        <v>1</v>
      </c>
      <c r="V1232" s="9">
        <f>IF(OR(M1232=0,U1232=1),0,IF(T1232="GST on Income",ROUND(K1232*0.1,2),ROUND(-K1232*0.1,2)))</f>
        <v>0</v>
      </c>
    </row>
    <row r="1233">
      <c r="A1233" t="inlineStr">
        <is>
          <t>INV-5372-1</t>
        </is>
      </c>
      <c r="B1233" t="inlineStr">
        <is>
          <t>INV-5372</t>
        </is>
      </c>
      <c r="C1233" s="11" t="n">
        <v>46025</v>
      </c>
      <c r="D1233" t="inlineStr">
        <is>
          <t>2026-01</t>
        </is>
      </c>
      <c r="E1233" t="inlineStr">
        <is>
          <t>C0093</t>
        </is>
      </c>
      <c r="F1233" t="inlineStr">
        <is>
          <t>C0093</t>
        </is>
      </c>
      <c r="G1233" t="inlineStr">
        <is>
          <t>Olivia Wilson</t>
        </is>
      </c>
      <c r="H1233" t="inlineStr">
        <is>
          <t>S0276</t>
        </is>
      </c>
      <c r="I1233" t="inlineStr">
        <is>
          <t>Scaffold tower hire 3 wks (19/12/25-02/01/26) - 2 towers</t>
        </is>
      </c>
      <c r="J1233" t="n">
        <v>6</v>
      </c>
      <c r="K1233" s="9" t="n">
        <v>570</v>
      </c>
      <c r="L1233" t="inlineStr">
        <is>
          <t>PAID</t>
        </is>
      </c>
      <c r="M1233">
        <f>IF(L1233="VOIDED",0,1)</f>
        <v>1</v>
      </c>
      <c r="N1233" t="n">
        <v>200</v>
      </c>
      <c r="O1233" t="inlineStr">
        <is>
          <t>GST on Income</t>
        </is>
      </c>
      <c r="P1233" t="inlineStr">
        <is>
          <t>R05</t>
        </is>
      </c>
      <c r="Q1233" t="inlineStr">
        <is>
          <t>HIRE-ST</t>
        </is>
      </c>
      <c r="R1233">
        <f>IF(OR(Q1233="CONTEXT",Q1233="REVIEW"),"",INDEX('Category Rules'!$D$5:$D$17,MATCH(P1233,'Category Rules'!$A$5:$A$17,0)))</f>
        <v>4010</v>
      </c>
      <c r="S1233" t="str">
        <f>IF(Q1233="CONTEXT","Scaffolding",IF(Q1233="REVIEW","",INDEX('Category Rules'!$E$5:$E$17,MATCH(P1233,'Category Rules'!$A$5:$A$17,0))))</f>
        <v>Scaffolding</v>
      </c>
      <c r="T1233" t="str">
        <f>IF(Q1233="DEP","BAS Excluded","GST on Income")</f>
        <v>GST on Income</v>
      </c>
      <c r="U1233">
        <f>IF(O1233=T1233,1,0)</f>
        <v>1</v>
      </c>
      <c r="V1233" s="9">
        <f>IF(OR(M1233=0,U1233=1),0,IF(T1233="GST on Income",ROUND(K1233*0.1,2),ROUND(-K1233*0.1,2)))</f>
        <v>0</v>
      </c>
    </row>
    <row r="1234">
      <c r="A1234" t="inlineStr">
        <is>
          <t>INV-5374-1</t>
        </is>
      </c>
      <c r="B1234" t="inlineStr">
        <is>
          <t>INV-5374</t>
        </is>
      </c>
      <c r="C1234" s="11" t="n">
        <v>46025</v>
      </c>
      <c r="D1234" t="inlineStr">
        <is>
          <t>2026-01</t>
        </is>
      </c>
      <c r="E1234" t="inlineStr">
        <is>
          <t>C0093</t>
        </is>
      </c>
      <c r="F1234" t="inlineStr">
        <is>
          <t>C0093</t>
        </is>
      </c>
      <c r="G1234" t="inlineStr">
        <is>
          <t>Olivia Wilson</t>
        </is>
      </c>
      <c r="H1234" t="inlineStr">
        <is>
          <t>S0276</t>
        </is>
      </c>
      <c r="I1234" t="inlineStr">
        <is>
          <t>Scaffold dismantle - 2 tower(s)</t>
        </is>
      </c>
      <c r="J1234" t="n">
        <v>2</v>
      </c>
      <c r="K1234" s="9" t="n">
        <v>640</v>
      </c>
      <c r="L1234" t="inlineStr">
        <is>
          <t>PAID</t>
        </is>
      </c>
      <c r="M1234">
        <f>IF(L1234="VOIDED",0,1)</f>
        <v>1</v>
      </c>
      <c r="N1234" t="n">
        <v>200</v>
      </c>
      <c r="O1234" t="inlineStr">
        <is>
          <t>GST on Income</t>
        </is>
      </c>
      <c r="P1234" t="inlineStr">
        <is>
          <t>R08</t>
        </is>
      </c>
      <c r="Q1234" t="inlineStr">
        <is>
          <t>LAB-ST</t>
        </is>
      </c>
      <c r="R1234">
        <f>IF(OR(Q1234="CONTEXT",Q1234="REVIEW"),"",INDEX('Category Rules'!$D$5:$D$17,MATCH(P1234,'Category Rules'!$A$5:$A$17,0)))</f>
        <v>4020</v>
      </c>
      <c r="S1234" t="str">
        <f>IF(Q1234="CONTEXT","Scaffolding",IF(Q1234="REVIEW","",INDEX('Category Rules'!$E$5:$E$17,MATCH(P1234,'Category Rules'!$A$5:$A$17,0))))</f>
        <v>Scaffolding</v>
      </c>
      <c r="T1234" t="str">
        <f>IF(Q1234="DEP","BAS Excluded","GST on Income")</f>
        <v>GST on Income</v>
      </c>
      <c r="U1234">
        <f>IF(O1234=T1234,1,0)</f>
        <v>1</v>
      </c>
      <c r="V1234" s="9">
        <f>IF(OR(M1234=0,U1234=1),0,IF(T1234="GST on Income",ROUND(K1234*0.1,2),ROUND(-K1234*0.1,2)))</f>
        <v>0</v>
      </c>
    </row>
    <row r="1235">
      <c r="A1235" t="inlineStr">
        <is>
          <t>INV-5489-1</t>
        </is>
      </c>
      <c r="B1235" t="inlineStr">
        <is>
          <t>INV-5489</t>
        </is>
      </c>
      <c r="C1235" s="11" t="n">
        <v>46025</v>
      </c>
      <c r="D1235" t="inlineStr">
        <is>
          <t>2026-01</t>
        </is>
      </c>
      <c r="E1235" t="inlineStr">
        <is>
          <t>C0021</t>
        </is>
      </c>
      <c r="F1235" t="inlineStr">
        <is>
          <t>C0021</t>
        </is>
      </c>
      <c r="G1235" t="inlineStr">
        <is>
          <t>Ironbark Building Group</t>
        </is>
      </c>
      <c r="H1235" t="inlineStr">
        <is>
          <t>S0321</t>
        </is>
      </c>
      <c r="I1235" t="inlineStr">
        <is>
          <t>Roof repair labour - 24 hrs</t>
        </is>
      </c>
      <c r="J1235" t="n">
        <v>24</v>
      </c>
      <c r="K1235" s="9" t="n">
        <v>2352</v>
      </c>
      <c r="L1235" t="inlineStr">
        <is>
          <t>PAID</t>
        </is>
      </c>
      <c r="M1235">
        <f>IF(L1235="VOIDED",0,1)</f>
        <v>1</v>
      </c>
      <c r="N1235" t="n">
        <v>200</v>
      </c>
      <c r="O1235" t="inlineStr">
        <is>
          <t>GST on Income</t>
        </is>
      </c>
      <c r="P1235" t="inlineStr">
        <is>
          <t>R10</t>
        </is>
      </c>
      <c r="Q1235" t="inlineStr">
        <is>
          <t>LAB-RF</t>
        </is>
      </c>
      <c r="R1235">
        <f>IF(OR(Q1235="CONTEXT",Q1235="REVIEW"),"",INDEX('Category Rules'!$D$5:$D$17,MATCH(P1235,'Category Rules'!$A$5:$A$17,0)))</f>
        <v>4020</v>
      </c>
      <c r="S1235" t="str">
        <f>IF(Q1235="CONTEXT","Roofing",IF(Q1235="REVIEW","",INDEX('Category Rules'!$E$5:$E$17,MATCH(P1235,'Category Rules'!$A$5:$A$17,0))))</f>
        <v>Roofing</v>
      </c>
      <c r="T1235" t="str">
        <f>IF(Q1235="DEP","BAS Excluded","GST on Income")</f>
        <v>GST on Income</v>
      </c>
      <c r="U1235">
        <f>IF(O1235=T1235,1,0)</f>
        <v>1</v>
      </c>
      <c r="V1235" s="9">
        <f>IF(OR(M1235=0,U1235=1),0,IF(T1235="GST on Income",ROUND(K1235*0.1,2),ROUND(-K1235*0.1,2)))</f>
        <v>0</v>
      </c>
    </row>
    <row r="1236">
      <c r="A1236" t="inlineStr">
        <is>
          <t>INV-5489-2</t>
        </is>
      </c>
      <c r="B1236" t="inlineStr">
        <is>
          <t>INV-5489</t>
        </is>
      </c>
      <c r="C1236" s="11" t="n">
        <v>46025</v>
      </c>
      <c r="D1236" t="inlineStr">
        <is>
          <t>2026-01</t>
        </is>
      </c>
      <c r="E1236" t="inlineStr">
        <is>
          <t>C0021</t>
        </is>
      </c>
      <c r="F1236" t="inlineStr">
        <is>
          <t>C0021</t>
        </is>
      </c>
      <c r="G1236" t="inlineStr">
        <is>
          <t>Ironbark Building Group</t>
        </is>
      </c>
      <c r="H1236" t="inlineStr">
        <is>
          <t>S0321</t>
        </is>
      </c>
      <c r="I1236" t="inlineStr">
        <is>
          <t>Materials - sealant and fixings</t>
        </is>
      </c>
      <c r="J1236" t="n">
        <v>1</v>
      </c>
      <c r="K1236" s="9" t="n">
        <v>1100.6</v>
      </c>
      <c r="L1236" t="inlineStr">
        <is>
          <t>PAID</t>
        </is>
      </c>
      <c r="M1236">
        <f>IF(L1236="VOIDED",0,1)</f>
        <v>1</v>
      </c>
      <c r="N1236" t="n">
        <v>200</v>
      </c>
      <c r="O1236" t="inlineStr">
        <is>
          <t>GST on Income</t>
        </is>
      </c>
      <c r="P1236" t="inlineStr">
        <is>
          <t>R11</t>
        </is>
      </c>
      <c r="Q1236" t="inlineStr">
        <is>
          <t>MAT-RF</t>
        </is>
      </c>
      <c r="R1236">
        <f>IF(OR(Q1236="CONTEXT",Q1236="REVIEW"),"",INDEX('Category Rules'!$D$5:$D$17,MATCH(P1236,'Category Rules'!$A$5:$A$17,0)))</f>
        <v>4030</v>
      </c>
      <c r="S1236" t="str">
        <f>IF(Q1236="CONTEXT","Roofing",IF(Q1236="REVIEW","",INDEX('Category Rules'!$E$5:$E$17,MATCH(P1236,'Category Rules'!$A$5:$A$17,0))))</f>
        <v>Roofing</v>
      </c>
      <c r="T1236" t="str">
        <f>IF(Q1236="DEP","BAS Excluded","GST on Income")</f>
        <v>GST on Income</v>
      </c>
      <c r="U1236">
        <f>IF(O1236=T1236,1,0)</f>
        <v>1</v>
      </c>
      <c r="V1236" s="9">
        <f>IF(OR(M1236=0,U1236=1),0,IF(T1236="GST on Income",ROUND(K1236*0.1,2),ROUND(-K1236*0.1,2)))</f>
        <v>0</v>
      </c>
    </row>
    <row r="1237">
      <c r="A1237" t="inlineStr">
        <is>
          <t>INV-5492-1</t>
        </is>
      </c>
      <c r="B1237" t="inlineStr">
        <is>
          <t>INV-5492</t>
        </is>
      </c>
      <c r="C1237" s="11" t="n">
        <v>46025</v>
      </c>
      <c r="D1237" t="inlineStr">
        <is>
          <t>2026-01</t>
        </is>
      </c>
      <c r="E1237" t="inlineStr">
        <is>
          <t>C0122</t>
        </is>
      </c>
      <c r="F1237" t="inlineStr">
        <is>
          <t>C0122</t>
        </is>
      </c>
      <c r="G1237" t="inlineStr">
        <is>
          <t>Bluegum Construction Pty Ltd</t>
        </is>
      </c>
      <c r="H1237" t="inlineStr">
        <is>
          <t>S0323</t>
        </is>
      </c>
      <c r="I1237" t="inlineStr">
        <is>
          <t>Make safe call-out</t>
        </is>
      </c>
      <c r="J1237" t="n">
        <v>1</v>
      </c>
      <c r="K1237" s="9" t="n">
        <v>385</v>
      </c>
      <c r="L1237" t="inlineStr">
        <is>
          <t>PAID</t>
        </is>
      </c>
      <c r="M1237">
        <f>IF(L1237="VOIDED",0,1)</f>
        <v>1</v>
      </c>
      <c r="N1237" t="n">
        <v>200</v>
      </c>
      <c r="O1237" t="inlineStr">
        <is>
          <t>GST on Income</t>
        </is>
      </c>
      <c r="P1237" t="inlineStr">
        <is>
          <t>R09</t>
        </is>
      </c>
      <c r="Q1237" t="inlineStr">
        <is>
          <t>MS</t>
        </is>
      </c>
      <c r="R1237">
        <f>IF(OR(Q1237="CONTEXT",Q1237="REVIEW"),"",INDEX('Category Rules'!$D$5:$D$17,MATCH(P1237,'Category Rules'!$A$5:$A$17,0)))</f>
        <v>4020</v>
      </c>
      <c r="S1237" t="str">
        <f>IF(Q1237="CONTEXT","Make-safe",IF(Q1237="REVIEW","",INDEX('Category Rules'!$E$5:$E$17,MATCH(P1237,'Category Rules'!$A$5:$A$17,0))))</f>
        <v>Make-safe</v>
      </c>
      <c r="T1237" t="str">
        <f>IF(Q1237="DEP","BAS Excluded","GST on Income")</f>
        <v>GST on Income</v>
      </c>
      <c r="U1237">
        <f>IF(O1237=T1237,1,0)</f>
        <v>1</v>
      </c>
      <c r="V1237" s="9">
        <f>IF(OR(M1237=0,U1237=1),0,IF(T1237="GST on Income",ROUND(K1237*0.1,2),ROUND(-K1237*0.1,2)))</f>
        <v>0</v>
      </c>
    </row>
    <row r="1238">
      <c r="A1238" t="inlineStr">
        <is>
          <t>INV-4894-1</t>
        </is>
      </c>
      <c r="B1238" t="inlineStr">
        <is>
          <t>INV-4894</t>
        </is>
      </c>
      <c r="C1238" s="11" t="n">
        <v>46026</v>
      </c>
      <c r="D1238" t="inlineStr">
        <is>
          <t>2026-01</t>
        </is>
      </c>
      <c r="E1238" t="inlineStr">
        <is>
          <t>C0075</t>
        </is>
      </c>
      <c r="F1238" t="inlineStr">
        <is>
          <t>C0075</t>
        </is>
      </c>
      <c r="G1238" t="inlineStr">
        <is>
          <t>Oakridge Productions</t>
        </is>
      </c>
      <c r="H1238" t="inlineStr">
        <is>
          <t>S0167</t>
        </is>
      </c>
      <c r="I1238" t="inlineStr">
        <is>
          <t>Delivery and installation - temporary fencing</t>
        </is>
      </c>
      <c r="J1238" t="n">
        <v>1</v>
      </c>
      <c r="K1238" s="9" t="n">
        <v>165</v>
      </c>
      <c r="L1238" t="inlineStr">
        <is>
          <t>PAID</t>
        </is>
      </c>
      <c r="M1238">
        <f>IF(L1238="VOIDED",0,1)</f>
        <v>1</v>
      </c>
      <c r="N1238" t="n">
        <v>200</v>
      </c>
      <c r="O1238" t="inlineStr">
        <is>
          <t>GST on Income</t>
        </is>
      </c>
      <c r="P1238" t="inlineStr">
        <is>
          <t>R07</t>
        </is>
      </c>
      <c r="Q1238" t="inlineStr">
        <is>
          <t>DEL-FP</t>
        </is>
      </c>
      <c r="R1238">
        <f>IF(OR(Q1238="CONTEXT",Q1238="REVIEW"),"",INDEX('Category Rules'!$D$5:$D$17,MATCH(P1238,'Category Rules'!$A$5:$A$17,0)))</f>
        <v>4020</v>
      </c>
      <c r="S1238" t="str">
        <f>IF(Q1238="CONTEXT","Fencing",IF(Q1238="REVIEW","",INDEX('Category Rules'!$E$5:$E$17,MATCH(P1238,'Category Rules'!$A$5:$A$17,0))))</f>
        <v>Fencing</v>
      </c>
      <c r="T1238" t="str">
        <f>IF(Q1238="DEP","BAS Excluded","GST on Income")</f>
        <v>GST on Income</v>
      </c>
      <c r="U1238">
        <f>IF(O1238=T1238,1,0)</f>
        <v>1</v>
      </c>
      <c r="V1238" s="9">
        <f>IF(OR(M1238=0,U1238=1),0,IF(T1238="GST on Income",ROUND(K1238*0.1,2),ROUND(-K1238*0.1,2)))</f>
        <v>0</v>
      </c>
    </row>
    <row r="1239">
      <c r="A1239" t="inlineStr">
        <is>
          <t>INV-4894-2</t>
        </is>
      </c>
      <c r="B1239" t="inlineStr">
        <is>
          <t>INV-4894</t>
        </is>
      </c>
      <c r="C1239" s="11" t="n">
        <v>46026</v>
      </c>
      <c r="D1239" t="inlineStr">
        <is>
          <t>2026-01</t>
        </is>
      </c>
      <c r="E1239" t="inlineStr">
        <is>
          <t>C0075</t>
        </is>
      </c>
      <c r="F1239" t="inlineStr">
        <is>
          <t>C0075</t>
        </is>
      </c>
      <c r="G1239" t="inlineStr">
        <is>
          <t>Oakridge Productions</t>
        </is>
      </c>
      <c r="H1239" t="inlineStr">
        <is>
          <t>S0167</t>
        </is>
      </c>
      <c r="I1239" t="inlineStr">
        <is>
          <t>Installation labour - 107 panels @ 2.20</t>
        </is>
      </c>
      <c r="J1239" t="n">
        <v>107</v>
      </c>
      <c r="K1239" s="9" t="n">
        <v>235.4</v>
      </c>
      <c r="L1239" t="inlineStr">
        <is>
          <t>PAID</t>
        </is>
      </c>
      <c r="M1239">
        <f>IF(L1239="VOIDED",0,1)</f>
        <v>1</v>
      </c>
      <c r="N1239" t="n">
        <v>200</v>
      </c>
      <c r="O1239" t="inlineStr">
        <is>
          <t>GST on Income</t>
        </is>
      </c>
      <c r="P1239" t="inlineStr">
        <is>
          <t>R07</t>
        </is>
      </c>
      <c r="Q1239" t="inlineStr">
        <is>
          <t>DEL-FP</t>
        </is>
      </c>
      <c r="R1239">
        <f>IF(OR(Q1239="CONTEXT",Q1239="REVIEW"),"",INDEX('Category Rules'!$D$5:$D$17,MATCH(P1239,'Category Rules'!$A$5:$A$17,0)))</f>
        <v>4020</v>
      </c>
      <c r="S1239" t="str">
        <f>IF(Q1239="CONTEXT","Fencing",IF(Q1239="REVIEW","",INDEX('Category Rules'!$E$5:$E$17,MATCH(P1239,'Category Rules'!$A$5:$A$17,0))))</f>
        <v>Fencing</v>
      </c>
      <c r="T1239" t="str">
        <f>IF(Q1239="DEP","BAS Excluded","GST on Income")</f>
        <v>GST on Income</v>
      </c>
      <c r="U1239">
        <f>IF(O1239=T1239,1,0)</f>
        <v>1</v>
      </c>
      <c r="V1239" s="9">
        <f>IF(OR(M1239=0,U1239=1),0,IF(T1239="GST on Income",ROUND(K1239*0.1,2),ROUND(-K1239*0.1,2)))</f>
        <v>0</v>
      </c>
    </row>
    <row r="1240">
      <c r="A1240" t="inlineStr">
        <is>
          <t>INV-5230-1</t>
        </is>
      </c>
      <c r="B1240" t="inlineStr">
        <is>
          <t>INV-5230</t>
        </is>
      </c>
      <c r="C1240" s="11" t="n">
        <v>46026</v>
      </c>
      <c r="D1240" t="inlineStr">
        <is>
          <t>2026-01</t>
        </is>
      </c>
      <c r="E1240" t="inlineStr">
        <is>
          <t>C0084</t>
        </is>
      </c>
      <c r="F1240" t="inlineStr">
        <is>
          <t>C0084</t>
        </is>
      </c>
      <c r="G1240" t="inlineStr">
        <is>
          <t>Mia Walker</t>
        </is>
      </c>
      <c r="H1240" t="inlineStr">
        <is>
          <t>S0243</t>
        </is>
      </c>
      <c r="I1240" t="inlineStr">
        <is>
          <t>Scaffold tower hire 4 wks (07/12/25-03/01/26) - 2 towers</t>
        </is>
      </c>
      <c r="J1240" t="n">
        <v>8</v>
      </c>
      <c r="K1240" s="9" t="n">
        <v>760</v>
      </c>
      <c r="L1240" t="inlineStr">
        <is>
          <t>PAID</t>
        </is>
      </c>
      <c r="M1240">
        <f>IF(L1240="VOIDED",0,1)</f>
        <v>1</v>
      </c>
      <c r="N1240" t="n">
        <v>200</v>
      </c>
      <c r="O1240" t="inlineStr">
        <is>
          <t>GST on Income</t>
        </is>
      </c>
      <c r="P1240" t="inlineStr">
        <is>
          <t>R05</t>
        </is>
      </c>
      <c r="Q1240" t="inlineStr">
        <is>
          <t>HIRE-ST</t>
        </is>
      </c>
      <c r="R1240">
        <f>IF(OR(Q1240="CONTEXT",Q1240="REVIEW"),"",INDEX('Category Rules'!$D$5:$D$17,MATCH(P1240,'Category Rules'!$A$5:$A$17,0)))</f>
        <v>4010</v>
      </c>
      <c r="S1240" t="str">
        <f>IF(Q1240="CONTEXT","Scaffolding",IF(Q1240="REVIEW","",INDEX('Category Rules'!$E$5:$E$17,MATCH(P1240,'Category Rules'!$A$5:$A$17,0))))</f>
        <v>Scaffolding</v>
      </c>
      <c r="T1240" t="str">
        <f>IF(Q1240="DEP","BAS Excluded","GST on Income")</f>
        <v>GST on Income</v>
      </c>
      <c r="U1240">
        <f>IF(O1240=T1240,1,0)</f>
        <v>1</v>
      </c>
      <c r="V1240" s="9">
        <f>IF(OR(M1240=0,U1240=1),0,IF(T1240="GST on Income",ROUND(K1240*0.1,2),ROUND(-K1240*0.1,2)))</f>
        <v>0</v>
      </c>
    </row>
    <row r="1241">
      <c r="A1241" t="inlineStr">
        <is>
          <t>INV-5355-1</t>
        </is>
      </c>
      <c r="B1241" t="inlineStr">
        <is>
          <t>INV-5355</t>
        </is>
      </c>
      <c r="C1241" s="11" t="n">
        <v>46026</v>
      </c>
      <c r="D1241" t="inlineStr">
        <is>
          <t>2026-01</t>
        </is>
      </c>
      <c r="E1241" t="inlineStr">
        <is>
          <t>C0153</t>
        </is>
      </c>
      <c r="F1241" t="inlineStr">
        <is>
          <t>C0098</t>
        </is>
      </c>
      <c r="G1241" t="inlineStr">
        <is>
          <t>Ethan Walker</t>
        </is>
      </c>
      <c r="H1241" t="inlineStr">
        <is>
          <t>S0272</t>
        </is>
      </c>
      <c r="I1241" t="inlineStr">
        <is>
          <t>Scaffold erect - 1 tower(s)</t>
        </is>
      </c>
      <c r="J1241" t="n">
        <v>1</v>
      </c>
      <c r="K1241" s="9" t="n">
        <v>420</v>
      </c>
      <c r="L1241" t="inlineStr">
        <is>
          <t>PAID</t>
        </is>
      </c>
      <c r="M1241">
        <f>IF(L1241="VOIDED",0,1)</f>
        <v>1</v>
      </c>
      <c r="N1241" t="n">
        <v>200</v>
      </c>
      <c r="O1241" t="inlineStr">
        <is>
          <t>GST on Income</t>
        </is>
      </c>
      <c r="P1241" t="inlineStr">
        <is>
          <t>R08</t>
        </is>
      </c>
      <c r="Q1241" t="inlineStr">
        <is>
          <t>LAB-ST</t>
        </is>
      </c>
      <c r="R1241">
        <f>IF(OR(Q1241="CONTEXT",Q1241="REVIEW"),"",INDEX('Category Rules'!$D$5:$D$17,MATCH(P1241,'Category Rules'!$A$5:$A$17,0)))</f>
        <v>4020</v>
      </c>
      <c r="S1241" t="str">
        <f>IF(Q1241="CONTEXT","Scaffolding",IF(Q1241="REVIEW","",INDEX('Category Rules'!$E$5:$E$17,MATCH(P1241,'Category Rules'!$A$5:$A$17,0))))</f>
        <v>Scaffolding</v>
      </c>
      <c r="T1241" t="str">
        <f>IF(Q1241="DEP","BAS Excluded","GST on Income")</f>
        <v>GST on Income</v>
      </c>
      <c r="U1241">
        <f>IF(O1241=T1241,1,0)</f>
        <v>1</v>
      </c>
      <c r="V1241" s="9">
        <f>IF(OR(M1241=0,U1241=1),0,IF(T1241="GST on Income",ROUND(K1241*0.1,2),ROUND(-K1241*0.1,2)))</f>
        <v>0</v>
      </c>
    </row>
    <row r="1242">
      <c r="A1242" t="inlineStr">
        <is>
          <t>INV-4206-1</t>
        </is>
      </c>
      <c r="B1242" t="inlineStr">
        <is>
          <t>INV-4206</t>
        </is>
      </c>
      <c r="C1242" s="11" t="n">
        <v>46027</v>
      </c>
      <c r="D1242" t="inlineStr">
        <is>
          <t>2026-01</t>
        </is>
      </c>
      <c r="E1242" t="inlineStr">
        <is>
          <t>C0139</t>
        </is>
      </c>
      <c r="F1242" t="inlineStr">
        <is>
          <t>C0106</t>
        </is>
      </c>
      <c r="G1242" t="inlineStr">
        <is>
          <t>Ella Wilson</t>
        </is>
      </c>
      <c r="H1242" t="inlineStr">
        <is>
          <t>S0019</t>
        </is>
      </c>
      <c r="I1242" t="inlineStr">
        <is>
          <t>Delivery and installation - temporary fencing</t>
        </is>
      </c>
      <c r="J1242" t="n">
        <v>1</v>
      </c>
      <c r="K1242" s="9" t="n">
        <v>165</v>
      </c>
      <c r="L1242" t="inlineStr">
        <is>
          <t>PAID</t>
        </is>
      </c>
      <c r="M1242">
        <f>IF(L1242="VOIDED",0,1)</f>
        <v>1</v>
      </c>
      <c r="N1242" t="n">
        <v>200</v>
      </c>
      <c r="O1242" t="inlineStr">
        <is>
          <t>GST on Income</t>
        </is>
      </c>
      <c r="P1242" t="inlineStr">
        <is>
          <t>R07</t>
        </is>
      </c>
      <c r="Q1242" t="inlineStr">
        <is>
          <t>DEL-FP</t>
        </is>
      </c>
      <c r="R1242">
        <f>IF(OR(Q1242="CONTEXT",Q1242="REVIEW"),"",INDEX('Category Rules'!$D$5:$D$17,MATCH(P1242,'Category Rules'!$A$5:$A$17,0)))</f>
        <v>4020</v>
      </c>
      <c r="S1242" t="str">
        <f>IF(Q1242="CONTEXT","Fencing",IF(Q1242="REVIEW","",INDEX('Category Rules'!$E$5:$E$17,MATCH(P1242,'Category Rules'!$A$5:$A$17,0))))</f>
        <v>Fencing</v>
      </c>
      <c r="T1242" t="str">
        <f>IF(Q1242="DEP","BAS Excluded","GST on Income")</f>
        <v>GST on Income</v>
      </c>
      <c r="U1242">
        <f>IF(O1242=T1242,1,0)</f>
        <v>1</v>
      </c>
      <c r="V1242" s="9">
        <f>IF(OR(M1242=0,U1242=1),0,IF(T1242="GST on Income",ROUND(K1242*0.1,2),ROUND(-K1242*0.1,2)))</f>
        <v>0</v>
      </c>
    </row>
    <row r="1243">
      <c r="A1243" t="inlineStr">
        <is>
          <t>INV-4206-2</t>
        </is>
      </c>
      <c r="B1243" t="inlineStr">
        <is>
          <t>INV-4206</t>
        </is>
      </c>
      <c r="C1243" s="11" t="n">
        <v>46027</v>
      </c>
      <c r="D1243" t="inlineStr">
        <is>
          <t>2026-01</t>
        </is>
      </c>
      <c r="E1243" t="inlineStr">
        <is>
          <t>C0139</t>
        </is>
      </c>
      <c r="F1243" t="inlineStr">
        <is>
          <t>C0106</t>
        </is>
      </c>
      <c r="G1243" t="inlineStr">
        <is>
          <t>Ella Wilson</t>
        </is>
      </c>
      <c r="H1243" t="inlineStr">
        <is>
          <t>S0019</t>
        </is>
      </c>
      <c r="I1243" t="inlineStr">
        <is>
          <t>Installation labour - 154 panels @ 2.20</t>
        </is>
      </c>
      <c r="J1243" t="n">
        <v>154</v>
      </c>
      <c r="K1243" s="9" t="n">
        <v>338.8</v>
      </c>
      <c r="L1243" t="inlineStr">
        <is>
          <t>PAID</t>
        </is>
      </c>
      <c r="M1243">
        <f>IF(L1243="VOIDED",0,1)</f>
        <v>1</v>
      </c>
      <c r="N1243" t="n">
        <v>200</v>
      </c>
      <c r="O1243" t="inlineStr">
        <is>
          <t>GST on Income</t>
        </is>
      </c>
      <c r="P1243" t="inlineStr">
        <is>
          <t>R07</t>
        </is>
      </c>
      <c r="Q1243" t="inlineStr">
        <is>
          <t>DEL-FP</t>
        </is>
      </c>
      <c r="R1243">
        <f>IF(OR(Q1243="CONTEXT",Q1243="REVIEW"),"",INDEX('Category Rules'!$D$5:$D$17,MATCH(P1243,'Category Rules'!$A$5:$A$17,0)))</f>
        <v>4020</v>
      </c>
      <c r="S1243" t="str">
        <f>IF(Q1243="CONTEXT","Fencing",IF(Q1243="REVIEW","",INDEX('Category Rules'!$E$5:$E$17,MATCH(P1243,'Category Rules'!$A$5:$A$17,0))))</f>
        <v>Fencing</v>
      </c>
      <c r="T1243" t="str">
        <f>IF(Q1243="DEP","BAS Excluded","GST on Income")</f>
        <v>GST on Income</v>
      </c>
      <c r="U1243">
        <f>IF(O1243=T1243,1,0)</f>
        <v>1</v>
      </c>
      <c r="V1243" s="9">
        <f>IF(OR(M1243=0,U1243=1),0,IF(T1243="GST on Income",ROUND(K1243*0.1,2),ROUND(-K1243*0.1,2)))</f>
        <v>0</v>
      </c>
    </row>
    <row r="1244">
      <c r="A1244" t="inlineStr">
        <is>
          <t>INV-4206-3</t>
        </is>
      </c>
      <c r="B1244" t="inlineStr">
        <is>
          <t>INV-4206</t>
        </is>
      </c>
      <c r="C1244" s="11" t="n">
        <v>46027</v>
      </c>
      <c r="D1244" t="inlineStr">
        <is>
          <t>2026-01</t>
        </is>
      </c>
      <c r="E1244" t="inlineStr">
        <is>
          <t>C0139</t>
        </is>
      </c>
      <c r="F1244" t="inlineStr">
        <is>
          <t>C0106</t>
        </is>
      </c>
      <c r="G1244" t="inlineStr">
        <is>
          <t>Ella Wilson</t>
        </is>
      </c>
      <c r="H1244" t="inlineStr">
        <is>
          <t>S0019</t>
        </is>
      </c>
      <c r="I1244" t="inlineStr">
        <is>
          <t>Security deposit - fence panels (refundable)</t>
        </is>
      </c>
      <c r="J1244" t="n">
        <v>1</v>
      </c>
      <c r="K1244" s="9" t="n">
        <v>1230</v>
      </c>
      <c r="L1244" t="inlineStr">
        <is>
          <t>PAID</t>
        </is>
      </c>
      <c r="M1244">
        <f>IF(L1244="VOIDED",0,1)</f>
        <v>1</v>
      </c>
      <c r="N1244" t="n">
        <v>200</v>
      </c>
      <c r="O1244" t="inlineStr">
        <is>
          <t>BAS Excluded</t>
        </is>
      </c>
      <c r="P1244" t="inlineStr">
        <is>
          <t>R01</t>
        </is>
      </c>
      <c r="Q1244" t="inlineStr">
        <is>
          <t>DEP</t>
        </is>
      </c>
      <c r="R1244">
        <f>IF(OR(Q1244="CONTEXT",Q1244="REVIEW"),"",INDEX('Category Rules'!$D$5:$D$17,MATCH(P1244,'Category Rules'!$A$5:$A$17,0)))</f>
        <v>835</v>
      </c>
      <c r="S1244" t="str">
        <f>IF(Q1244="CONTEXT","Fencing",IF(Q1244="REVIEW","",INDEX('Category Rules'!$E$5:$E$17,MATCH(P1244,'Category Rules'!$A$5:$A$17,0))))</f>
        <v>Fencing</v>
      </c>
      <c r="T1244" t="str">
        <f>IF(Q1244="DEP","BAS Excluded","GST on Income")</f>
        <v>BAS Excluded</v>
      </c>
      <c r="U1244">
        <f>IF(O1244=T1244,1,0)</f>
        <v>1</v>
      </c>
      <c r="V1244" s="9">
        <f>IF(OR(M1244=0,U1244=1),0,IF(T1244="GST on Income",ROUND(K1244*0.1,2),ROUND(-K1244*0.1,2)))</f>
        <v>0</v>
      </c>
    </row>
    <row r="1245">
      <c r="A1245" t="inlineStr">
        <is>
          <t>INV-5084-1</t>
        </is>
      </c>
      <c r="B1245" t="inlineStr">
        <is>
          <t>INV-5084</t>
        </is>
      </c>
      <c r="C1245" s="11" t="n">
        <v>46027</v>
      </c>
      <c r="D1245" t="inlineStr">
        <is>
          <t>2026-01</t>
        </is>
      </c>
      <c r="E1245" t="inlineStr">
        <is>
          <t>C0036</t>
        </is>
      </c>
      <c r="F1245" t="inlineStr">
        <is>
          <t>C0036</t>
        </is>
      </c>
      <c r="G1245" t="inlineStr">
        <is>
          <t>Summit Homes Pty Ltd</t>
        </is>
      </c>
      <c r="H1245" t="inlineStr">
        <is>
          <t>S0211</t>
        </is>
      </c>
      <c r="I1245" t="inlineStr">
        <is>
          <t>Temporary fence hire 1 wks (03/01/26-04/01/26) - 25 panels</t>
        </is>
      </c>
      <c r="J1245" t="n">
        <v>25</v>
      </c>
      <c r="K1245" s="9" t="n">
        <v>112.5</v>
      </c>
      <c r="L1245" t="inlineStr">
        <is>
          <t>PAID</t>
        </is>
      </c>
      <c r="M1245">
        <f>IF(L1245="VOIDED",0,1)</f>
        <v>1</v>
      </c>
      <c r="N1245" t="n">
        <v>200</v>
      </c>
      <c r="O1245" t="inlineStr">
        <is>
          <t>GST on Income</t>
        </is>
      </c>
      <c r="P1245" t="inlineStr">
        <is>
          <t>R03</t>
        </is>
      </c>
      <c r="Q1245" t="inlineStr">
        <is>
          <t>HIRE-FP</t>
        </is>
      </c>
      <c r="R1245">
        <f>IF(OR(Q1245="CONTEXT",Q1245="REVIEW"),"",INDEX('Category Rules'!$D$5:$D$17,MATCH(P1245,'Category Rules'!$A$5:$A$17,0)))</f>
        <v>4010</v>
      </c>
      <c r="S1245" t="str">
        <f>IF(Q1245="CONTEXT","Fencing",IF(Q1245="REVIEW","",INDEX('Category Rules'!$E$5:$E$17,MATCH(P1245,'Category Rules'!$A$5:$A$17,0))))</f>
        <v>Fencing</v>
      </c>
      <c r="T1245" t="str">
        <f>IF(Q1245="DEP","BAS Excluded","GST on Income")</f>
        <v>GST on Income</v>
      </c>
      <c r="U1245">
        <f>IF(O1245=T1245,1,0)</f>
        <v>1</v>
      </c>
      <c r="V1245" s="9">
        <f>IF(OR(M1245=0,U1245=1),0,IF(T1245="GST on Income",ROUND(K1245*0.1,2),ROUND(-K1245*0.1,2)))</f>
        <v>0</v>
      </c>
    </row>
    <row r="1246">
      <c r="A1246" t="inlineStr">
        <is>
          <t>INV-5086-1</t>
        </is>
      </c>
      <c r="B1246" t="inlineStr">
        <is>
          <t>INV-5086</t>
        </is>
      </c>
      <c r="C1246" s="11" t="n">
        <v>46027</v>
      </c>
      <c r="D1246" t="inlineStr">
        <is>
          <t>2026-01</t>
        </is>
      </c>
      <c r="E1246" t="inlineStr">
        <is>
          <t>C0036</t>
        </is>
      </c>
      <c r="F1246" t="inlineStr">
        <is>
          <t>C0036</t>
        </is>
      </c>
      <c r="G1246" t="inlineStr">
        <is>
          <t>Summit Homes Pty Ltd</t>
        </is>
      </c>
      <c r="H1246" t="inlineStr">
        <is>
          <t>S0211</t>
        </is>
      </c>
      <c r="I1246" t="inlineStr">
        <is>
          <t>Pedestrian barrier hire 1 wks (03/01/26-04/01/26) - 21 barriers</t>
        </is>
      </c>
      <c r="J1246" t="n">
        <v>21</v>
      </c>
      <c r="K1246" s="9" t="n">
        <v>67.2</v>
      </c>
      <c r="L1246" t="inlineStr">
        <is>
          <t>PAID</t>
        </is>
      </c>
      <c r="M1246">
        <f>IF(L1246="VOIDED",0,1)</f>
        <v>1</v>
      </c>
      <c r="N1246" t="n">
        <v>200</v>
      </c>
      <c r="O1246" t="inlineStr">
        <is>
          <t>GST on Income</t>
        </is>
      </c>
      <c r="P1246" t="inlineStr">
        <is>
          <t>R04</t>
        </is>
      </c>
      <c r="Q1246" t="inlineStr">
        <is>
          <t>HIRE-BR</t>
        </is>
      </c>
      <c r="R1246">
        <f>IF(OR(Q1246="CONTEXT",Q1246="REVIEW"),"",INDEX('Category Rules'!$D$5:$D$17,MATCH(P1246,'Category Rules'!$A$5:$A$17,0)))</f>
        <v>4010</v>
      </c>
      <c r="S1246" t="str">
        <f>IF(Q1246="CONTEXT","Fencing",IF(Q1246="REVIEW","",INDEX('Category Rules'!$E$5:$E$17,MATCH(P1246,'Category Rules'!$A$5:$A$17,0))))</f>
        <v>Fencing</v>
      </c>
      <c r="T1246" t="str">
        <f>IF(Q1246="DEP","BAS Excluded","GST on Income")</f>
        <v>GST on Income</v>
      </c>
      <c r="U1246">
        <f>IF(O1246=T1246,1,0)</f>
        <v>1</v>
      </c>
      <c r="V1246" s="9">
        <f>IF(OR(M1246=0,U1246=1),0,IF(T1246="GST on Income",ROUND(K1246*0.1,2),ROUND(-K1246*0.1,2)))</f>
        <v>0</v>
      </c>
    </row>
    <row r="1247">
      <c r="A1247" t="inlineStr">
        <is>
          <t>INV-5088-1</t>
        </is>
      </c>
      <c r="B1247" t="inlineStr">
        <is>
          <t>INV-5088</t>
        </is>
      </c>
      <c r="C1247" s="11" t="n">
        <v>46027</v>
      </c>
      <c r="D1247" t="inlineStr">
        <is>
          <t>2026-01</t>
        </is>
      </c>
      <c r="E1247" t="inlineStr">
        <is>
          <t>C0136</t>
        </is>
      </c>
      <c r="F1247" t="inlineStr">
        <is>
          <t>C0036</t>
        </is>
      </c>
      <c r="G1247" t="inlineStr">
        <is>
          <t>Summit Homes Pty Ltd</t>
        </is>
      </c>
      <c r="H1247" t="inlineStr">
        <is>
          <t>S0211</t>
        </is>
      </c>
      <c r="I1247" t="inlineStr">
        <is>
          <t>Collection and dismantle - temporary fencing</t>
        </is>
      </c>
      <c r="J1247" t="n">
        <v>1</v>
      </c>
      <c r="K1247" s="9" t="n">
        <v>165</v>
      </c>
      <c r="L1247" t="inlineStr">
        <is>
          <t>PAID</t>
        </is>
      </c>
      <c r="M1247">
        <f>IF(L1247="VOIDED",0,1)</f>
        <v>1</v>
      </c>
      <c r="N1247" t="n">
        <v>200</v>
      </c>
      <c r="O1247" t="inlineStr">
        <is>
          <t>GST on Income</t>
        </is>
      </c>
      <c r="P1247" t="inlineStr">
        <is>
          <t>R07</t>
        </is>
      </c>
      <c r="Q1247" t="inlineStr">
        <is>
          <t>DEL-FP</t>
        </is>
      </c>
      <c r="R1247">
        <f>IF(OR(Q1247="CONTEXT",Q1247="REVIEW"),"",INDEX('Category Rules'!$D$5:$D$17,MATCH(P1247,'Category Rules'!$A$5:$A$17,0)))</f>
        <v>4020</v>
      </c>
      <c r="S1247" t="str">
        <f>IF(Q1247="CONTEXT","Fencing",IF(Q1247="REVIEW","",INDEX('Category Rules'!$E$5:$E$17,MATCH(P1247,'Category Rules'!$A$5:$A$17,0))))</f>
        <v>Fencing</v>
      </c>
      <c r="T1247" t="str">
        <f>IF(Q1247="DEP","BAS Excluded","GST on Income")</f>
        <v>GST on Income</v>
      </c>
      <c r="U1247">
        <f>IF(O1247=T1247,1,0)</f>
        <v>1</v>
      </c>
      <c r="V1247" s="9">
        <f>IF(OR(M1247=0,U1247=1),0,IF(T1247="GST on Income",ROUND(K1247*0.1,2),ROUND(-K1247*0.1,2)))</f>
        <v>0</v>
      </c>
    </row>
    <row r="1248">
      <c r="A1248" t="inlineStr">
        <is>
          <t>INV-5502-1</t>
        </is>
      </c>
      <c r="B1248" t="inlineStr">
        <is>
          <t>INV-5502</t>
        </is>
      </c>
      <c r="C1248" s="11" t="n">
        <v>46027</v>
      </c>
      <c r="D1248" t="inlineStr">
        <is>
          <t>2026-01</t>
        </is>
      </c>
      <c r="E1248" t="inlineStr">
        <is>
          <t>C0018</t>
        </is>
      </c>
      <c r="F1248" t="inlineStr">
        <is>
          <t>C0018</t>
        </is>
      </c>
      <c r="G1248" t="inlineStr">
        <is>
          <t>Wattle Constructions Pty Ltd</t>
        </is>
      </c>
      <c r="H1248" t="inlineStr">
        <is>
          <t>S0329</t>
        </is>
      </c>
      <c r="I1248" t="inlineStr">
        <is>
          <t>Make safe call-out</t>
        </is>
      </c>
      <c r="J1248" t="n">
        <v>1</v>
      </c>
      <c r="K1248" s="9" t="n">
        <v>385</v>
      </c>
      <c r="L1248" t="inlineStr">
        <is>
          <t>PAID</t>
        </is>
      </c>
      <c r="M1248">
        <f>IF(L1248="VOIDED",0,1)</f>
        <v>1</v>
      </c>
      <c r="N1248" t="n">
        <v>200</v>
      </c>
      <c r="O1248" t="inlineStr">
        <is>
          <t>GST on Income</t>
        </is>
      </c>
      <c r="P1248" t="inlineStr">
        <is>
          <t>R09</t>
        </is>
      </c>
      <c r="Q1248" t="inlineStr">
        <is>
          <t>MS</t>
        </is>
      </c>
      <c r="R1248">
        <f>IF(OR(Q1248="CONTEXT",Q1248="REVIEW"),"",INDEX('Category Rules'!$D$5:$D$17,MATCH(P1248,'Category Rules'!$A$5:$A$17,0)))</f>
        <v>4020</v>
      </c>
      <c r="S1248" t="str">
        <f>IF(Q1248="CONTEXT","Make-safe",IF(Q1248="REVIEW","",INDEX('Category Rules'!$E$5:$E$17,MATCH(P1248,'Category Rules'!$A$5:$A$17,0))))</f>
        <v>Make-safe</v>
      </c>
      <c r="T1248" t="str">
        <f>IF(Q1248="DEP","BAS Excluded","GST on Income")</f>
        <v>GST on Income</v>
      </c>
      <c r="U1248">
        <f>IF(O1248=T1248,1,0)</f>
        <v>1</v>
      </c>
      <c r="V1248" s="9">
        <f>IF(OR(M1248=0,U1248=1),0,IF(T1248="GST on Income",ROUND(K1248*0.1,2),ROUND(-K1248*0.1,2)))</f>
        <v>0</v>
      </c>
    </row>
    <row r="1249">
      <c r="A1249" t="inlineStr">
        <is>
          <t>INV-5796-1</t>
        </is>
      </c>
      <c r="B1249" t="inlineStr">
        <is>
          <t>INV-5796</t>
        </is>
      </c>
      <c r="C1249" s="11" t="n">
        <v>46027</v>
      </c>
      <c r="D1249" t="inlineStr">
        <is>
          <t>2026-01</t>
        </is>
      </c>
      <c r="E1249" t="inlineStr">
        <is>
          <t>C0051</t>
        </is>
      </c>
      <c r="F1249" t="inlineStr">
        <is>
          <t>C0051</t>
        </is>
      </c>
      <c r="G1249" t="inlineStr">
        <is>
          <t>Granite Body Corporate Pty Ltd</t>
        </is>
      </c>
      <c r="H1249" t="inlineStr">
        <is>
          <t>S0488</t>
        </is>
      </c>
      <c r="I1249" t="inlineStr">
        <is>
          <t>Tarp kit hire 3 wks (21/12/25-04/01/26) - 3 kits</t>
        </is>
      </c>
      <c r="J1249" t="n">
        <v>9</v>
      </c>
      <c r="K1249" s="9" t="n">
        <v>315</v>
      </c>
      <c r="L1249" t="inlineStr">
        <is>
          <t>PAID</t>
        </is>
      </c>
      <c r="M1249">
        <f>IF(L1249="VOIDED",0,1)</f>
        <v>1</v>
      </c>
      <c r="N1249" t="n">
        <v>200</v>
      </c>
      <c r="O1249" t="inlineStr">
        <is>
          <t>GST on Income</t>
        </is>
      </c>
      <c r="P1249" t="inlineStr">
        <is>
          <t>R06</t>
        </is>
      </c>
      <c r="Q1249" t="inlineStr">
        <is>
          <t>HIRE-TK</t>
        </is>
      </c>
      <c r="R1249">
        <f>IF(OR(Q1249="CONTEXT",Q1249="REVIEW"),"",INDEX('Category Rules'!$D$5:$D$17,MATCH(P1249,'Category Rules'!$A$5:$A$17,0)))</f>
        <v>4010</v>
      </c>
      <c r="S1249" t="str">
        <f>IF(Q1249="CONTEXT","Make-safe",IF(Q1249="REVIEW","",INDEX('Category Rules'!$E$5:$E$17,MATCH(P1249,'Category Rules'!$A$5:$A$17,0))))</f>
        <v>Make-safe</v>
      </c>
      <c r="T1249" t="str">
        <f>IF(Q1249="DEP","BAS Excluded","GST on Income")</f>
        <v>GST on Income</v>
      </c>
      <c r="U1249">
        <f>IF(O1249=T1249,1,0)</f>
        <v>1</v>
      </c>
      <c r="V1249" s="9">
        <f>IF(OR(M1249=0,U1249=1),0,IF(T1249="GST on Income",ROUND(K1249*0.1,2),ROUND(-K1249*0.1,2)))</f>
        <v>0</v>
      </c>
    </row>
    <row r="1250">
      <c r="A1250" t="inlineStr">
        <is>
          <t>INV-5147-1</t>
        </is>
      </c>
      <c r="B1250" t="inlineStr">
        <is>
          <t>INV-5147</t>
        </is>
      </c>
      <c r="C1250" s="11" t="n">
        <v>46028</v>
      </c>
      <c r="D1250" t="inlineStr">
        <is>
          <t>2026-01</t>
        </is>
      </c>
      <c r="E1250" t="inlineStr">
        <is>
          <t>C0018</t>
        </is>
      </c>
      <c r="F1250" t="inlineStr">
        <is>
          <t>C0018</t>
        </is>
      </c>
      <c r="G1250" t="inlineStr">
        <is>
          <t>Wattle Constructions Pty Ltd</t>
        </is>
      </c>
      <c r="H1250" t="inlineStr">
        <is>
          <t>S0224</t>
        </is>
      </c>
      <c r="I1250" t="inlineStr">
        <is>
          <t>Delivery and installation - temporary fencing</t>
        </is>
      </c>
      <c r="J1250" t="n">
        <v>1</v>
      </c>
      <c r="K1250" s="9" t="n">
        <v>165</v>
      </c>
      <c r="L1250" t="inlineStr">
        <is>
          <t>PAID</t>
        </is>
      </c>
      <c r="M1250">
        <f>IF(L1250="VOIDED",0,1)</f>
        <v>1</v>
      </c>
      <c r="N1250" t="n">
        <v>200</v>
      </c>
      <c r="O1250" t="inlineStr">
        <is>
          <t>GST on Income</t>
        </is>
      </c>
      <c r="P1250" t="inlineStr">
        <is>
          <t>R07</t>
        </is>
      </c>
      <c r="Q1250" t="inlineStr">
        <is>
          <t>DEL-FP</t>
        </is>
      </c>
      <c r="R1250">
        <f>IF(OR(Q1250="CONTEXT",Q1250="REVIEW"),"",INDEX('Category Rules'!$D$5:$D$17,MATCH(P1250,'Category Rules'!$A$5:$A$17,0)))</f>
        <v>4020</v>
      </c>
      <c r="S1250" t="str">
        <f>IF(Q1250="CONTEXT","Fencing",IF(Q1250="REVIEW","",INDEX('Category Rules'!$E$5:$E$17,MATCH(P1250,'Category Rules'!$A$5:$A$17,0))))</f>
        <v>Fencing</v>
      </c>
      <c r="T1250" t="str">
        <f>IF(Q1250="DEP","BAS Excluded","GST on Income")</f>
        <v>GST on Income</v>
      </c>
      <c r="U1250">
        <f>IF(O1250=T1250,1,0)</f>
        <v>1</v>
      </c>
      <c r="V1250" s="9">
        <f>IF(OR(M1250=0,U1250=1),0,IF(T1250="GST on Income",ROUND(K1250*0.1,2),ROUND(-K1250*0.1,2)))</f>
        <v>0</v>
      </c>
    </row>
    <row r="1251">
      <c r="A1251" t="inlineStr">
        <is>
          <t>INV-5147-2</t>
        </is>
      </c>
      <c r="B1251" t="inlineStr">
        <is>
          <t>INV-5147</t>
        </is>
      </c>
      <c r="C1251" s="11" t="n">
        <v>46028</v>
      </c>
      <c r="D1251" t="inlineStr">
        <is>
          <t>2026-01</t>
        </is>
      </c>
      <c r="E1251" t="inlineStr">
        <is>
          <t>C0018</t>
        </is>
      </c>
      <c r="F1251" t="inlineStr">
        <is>
          <t>C0018</t>
        </is>
      </c>
      <c r="G1251" t="inlineStr">
        <is>
          <t>Wattle Constructions Pty Ltd</t>
        </is>
      </c>
      <c r="H1251" t="inlineStr">
        <is>
          <t>S0224</t>
        </is>
      </c>
      <c r="I1251" t="inlineStr">
        <is>
          <t>Installation labour - 155 panels @ 2.20</t>
        </is>
      </c>
      <c r="J1251" t="n">
        <v>155</v>
      </c>
      <c r="K1251" s="9" t="n">
        <v>341</v>
      </c>
      <c r="L1251" t="inlineStr">
        <is>
          <t>PAID</t>
        </is>
      </c>
      <c r="M1251">
        <f>IF(L1251="VOIDED",0,1)</f>
        <v>1</v>
      </c>
      <c r="N1251" t="n">
        <v>200</v>
      </c>
      <c r="O1251" t="inlineStr">
        <is>
          <t>GST on Income</t>
        </is>
      </c>
      <c r="P1251" t="inlineStr">
        <is>
          <t>R07</t>
        </is>
      </c>
      <c r="Q1251" t="inlineStr">
        <is>
          <t>DEL-FP</t>
        </is>
      </c>
      <c r="R1251">
        <f>IF(OR(Q1251="CONTEXT",Q1251="REVIEW"),"",INDEX('Category Rules'!$D$5:$D$17,MATCH(P1251,'Category Rules'!$A$5:$A$17,0)))</f>
        <v>4020</v>
      </c>
      <c r="S1251" t="str">
        <f>IF(Q1251="CONTEXT","Fencing",IF(Q1251="REVIEW","",INDEX('Category Rules'!$E$5:$E$17,MATCH(P1251,'Category Rules'!$A$5:$A$17,0))))</f>
        <v>Fencing</v>
      </c>
      <c r="T1251" t="str">
        <f>IF(Q1251="DEP","BAS Excluded","GST on Income")</f>
        <v>GST on Income</v>
      </c>
      <c r="U1251">
        <f>IF(O1251=T1251,1,0)</f>
        <v>1</v>
      </c>
      <c r="V1251" s="9">
        <f>IF(OR(M1251=0,U1251=1),0,IF(T1251="GST on Income",ROUND(K1251*0.1,2),ROUND(-K1251*0.1,2)))</f>
        <v>0</v>
      </c>
    </row>
    <row r="1252">
      <c r="A1252" t="inlineStr">
        <is>
          <t>INV-5386-1</t>
        </is>
      </c>
      <c r="B1252" t="inlineStr">
        <is>
          <t>INV-5386</t>
        </is>
      </c>
      <c r="C1252" s="11" t="n">
        <v>46028</v>
      </c>
      <c r="D1252" t="inlineStr">
        <is>
          <t>2026-01</t>
        </is>
      </c>
      <c r="E1252" t="inlineStr">
        <is>
          <t>C0049</t>
        </is>
      </c>
      <c r="F1252" t="inlineStr">
        <is>
          <t>C0049</t>
        </is>
      </c>
      <c r="G1252" t="inlineStr">
        <is>
          <t>Fairway Body Corporate Pty Ltd</t>
        </is>
      </c>
      <c r="H1252" t="inlineStr">
        <is>
          <t>S0279</t>
        </is>
      </c>
      <c r="I1252" t="inlineStr">
        <is>
          <t>Scaffold erect - 2 tower(s)</t>
        </is>
      </c>
      <c r="J1252" t="n">
        <v>2</v>
      </c>
      <c r="K1252" s="9" t="n">
        <v>840</v>
      </c>
      <c r="L1252" t="inlineStr">
        <is>
          <t>PAID</t>
        </is>
      </c>
      <c r="M1252">
        <f>IF(L1252="VOIDED",0,1)</f>
        <v>1</v>
      </c>
      <c r="N1252" t="n">
        <v>200</v>
      </c>
      <c r="O1252" t="inlineStr">
        <is>
          <t>GST on Income</t>
        </is>
      </c>
      <c r="P1252" t="inlineStr">
        <is>
          <t>R08</t>
        </is>
      </c>
      <c r="Q1252" t="inlineStr">
        <is>
          <t>LAB-ST</t>
        </is>
      </c>
      <c r="R1252">
        <f>IF(OR(Q1252="CONTEXT",Q1252="REVIEW"),"",INDEX('Category Rules'!$D$5:$D$17,MATCH(P1252,'Category Rules'!$A$5:$A$17,0)))</f>
        <v>4020</v>
      </c>
      <c r="S1252" t="str">
        <f>IF(Q1252="CONTEXT","Scaffolding",IF(Q1252="REVIEW","",INDEX('Category Rules'!$E$5:$E$17,MATCH(P1252,'Category Rules'!$A$5:$A$17,0))))</f>
        <v>Scaffolding</v>
      </c>
      <c r="T1252" t="str">
        <f>IF(Q1252="DEP","BAS Excluded","GST on Income")</f>
        <v>GST on Income</v>
      </c>
      <c r="U1252">
        <f>IF(O1252=T1252,1,0)</f>
        <v>1</v>
      </c>
      <c r="V1252" s="9">
        <f>IF(OR(M1252=0,U1252=1),0,IF(T1252="GST on Income",ROUND(K1252*0.1,2),ROUND(-K1252*0.1,2)))</f>
        <v>0</v>
      </c>
    </row>
    <row r="1253">
      <c r="A1253" t="inlineStr">
        <is>
          <t>INV-5932-1</t>
        </is>
      </c>
      <c r="B1253" t="inlineStr">
        <is>
          <t>INV-5932</t>
        </is>
      </c>
      <c r="C1253" s="11" t="n">
        <v>46028</v>
      </c>
      <c r="D1253" t="inlineStr">
        <is>
          <t>2026-01</t>
        </is>
      </c>
      <c r="E1253" t="inlineStr">
        <is>
          <t>C0012</t>
        </is>
      </c>
      <c r="F1253" t="inlineStr">
        <is>
          <t>C0012</t>
        </is>
      </c>
      <c r="G1253" t="inlineStr">
        <is>
          <t>Kestrel Constructions Pty Ltd</t>
        </is>
      </c>
      <c r="H1253" t="inlineStr">
        <is>
          <t>S0138</t>
        </is>
      </c>
      <c r="I1253" t="inlineStr">
        <is>
          <t>Fence and make safe package - Job 4280</t>
        </is>
      </c>
      <c r="J1253" t="n">
        <v>1</v>
      </c>
      <c r="K1253" s="9" t="n">
        <v>3456.96</v>
      </c>
      <c r="L1253" t="inlineStr">
        <is>
          <t>PAID</t>
        </is>
      </c>
      <c r="M1253">
        <f>IF(L1253="VOIDED",0,1)</f>
        <v>1</v>
      </c>
      <c r="N1253" t="n">
        <v>260</v>
      </c>
      <c r="O1253" t="inlineStr">
        <is>
          <t>GST on Income</t>
        </is>
      </c>
      <c r="P1253" t="inlineStr">
        <is>
          <t>R00</t>
        </is>
      </c>
      <c r="Q1253" t="inlineStr">
        <is>
          <t>CONTEXT</t>
        </is>
      </c>
      <c r="R1253">
        <f>IF(OR(Q1253="CONTEXT",Q1253="REVIEW"),"",INDEX('Category Rules'!$D$5:$D$17,MATCH(P1253,'Category Rules'!$A$5:$A$17,0)))</f>
      </c>
      <c r="S1253" t="str">
        <f>IF(Q1253="CONTEXT","Fencing",IF(Q1253="REVIEW","",INDEX('Category Rules'!$E$5:$E$17,MATCH(P1253,'Category Rules'!$A$5:$A$17,0))))</f>
        <v>Fencing</v>
      </c>
      <c r="T1253" t="str">
        <f>IF(Q1253="DEP","BAS Excluded","GST on Income")</f>
        <v>GST on Income</v>
      </c>
      <c r="U1253">
        <f>IF(O1253=T1253,1,0)</f>
        <v>1</v>
      </c>
      <c r="V1253" s="9">
        <f>IF(OR(M1253=0,U1253=1),0,IF(T1253="GST on Income",ROUND(K1253*0.1,2),ROUND(-K1253*0.1,2)))</f>
        <v>0</v>
      </c>
    </row>
    <row r="1254">
      <c r="A1254" t="inlineStr">
        <is>
          <t>INV-4687-1</t>
        </is>
      </c>
      <c r="B1254" t="inlineStr">
        <is>
          <t>INV-4687</t>
        </is>
      </c>
      <c r="C1254" s="11" t="n">
        <v>46029</v>
      </c>
      <c r="D1254" t="inlineStr">
        <is>
          <t>2026-01</t>
        </is>
      </c>
      <c r="E1254" t="inlineStr">
        <is>
          <t>C0033</t>
        </is>
      </c>
      <c r="F1254" t="inlineStr">
        <is>
          <t>C0033</t>
        </is>
      </c>
      <c r="G1254" t="inlineStr">
        <is>
          <t>Granite Projects Pty Ltd</t>
        </is>
      </c>
      <c r="H1254" t="inlineStr">
        <is>
          <t>S0123</t>
        </is>
      </c>
      <c r="I1254" t="inlineStr">
        <is>
          <t>Temporary fence hire 4 wks (10/12/25-06/01/26) - 135 panels</t>
        </is>
      </c>
      <c r="J1254" t="n">
        <v>540</v>
      </c>
      <c r="K1254" s="9" t="n">
        <v>2430</v>
      </c>
      <c r="L1254" t="inlineStr">
        <is>
          <t>PAID</t>
        </is>
      </c>
      <c r="M1254">
        <f>IF(L1254="VOIDED",0,1)</f>
        <v>1</v>
      </c>
      <c r="N1254" t="n">
        <v>200</v>
      </c>
      <c r="O1254" t="inlineStr">
        <is>
          <t>GST on Income</t>
        </is>
      </c>
      <c r="P1254" t="inlineStr">
        <is>
          <t>R03</t>
        </is>
      </c>
      <c r="Q1254" t="inlineStr">
        <is>
          <t>HIRE-FP</t>
        </is>
      </c>
      <c r="R1254">
        <f>IF(OR(Q1254="CONTEXT",Q1254="REVIEW"),"",INDEX('Category Rules'!$D$5:$D$17,MATCH(P1254,'Category Rules'!$A$5:$A$17,0)))</f>
        <v>4010</v>
      </c>
      <c r="S1254" t="str">
        <f>IF(Q1254="CONTEXT","Fencing",IF(Q1254="REVIEW","",INDEX('Category Rules'!$E$5:$E$17,MATCH(P1254,'Category Rules'!$A$5:$A$17,0))))</f>
        <v>Fencing</v>
      </c>
      <c r="T1254" t="str">
        <f>IF(Q1254="DEP","BAS Excluded","GST on Income")</f>
        <v>GST on Income</v>
      </c>
      <c r="U1254">
        <f>IF(O1254=T1254,1,0)</f>
        <v>1</v>
      </c>
      <c r="V1254" s="9">
        <f>IF(OR(M1254=0,U1254=1),0,IF(T1254="GST on Income",ROUND(K1254*0.1,2),ROUND(-K1254*0.1,2)))</f>
        <v>0</v>
      </c>
    </row>
    <row r="1255">
      <c r="A1255" t="inlineStr">
        <is>
          <t>INV-4847-1</t>
        </is>
      </c>
      <c r="B1255" t="inlineStr">
        <is>
          <t>INV-4847</t>
        </is>
      </c>
      <c r="C1255" s="11" t="n">
        <v>46029</v>
      </c>
      <c r="D1255" t="inlineStr">
        <is>
          <t>2026-01</t>
        </is>
      </c>
      <c r="E1255" t="inlineStr">
        <is>
          <t>C0035</t>
        </is>
      </c>
      <c r="F1255" t="inlineStr">
        <is>
          <t>C0035</t>
        </is>
      </c>
      <c r="G1255" t="inlineStr">
        <is>
          <t>Bayside Homes Pty Ltd</t>
        </is>
      </c>
      <c r="H1255" t="inlineStr">
        <is>
          <t>S0159</t>
        </is>
      </c>
      <c r="I1255" t="inlineStr">
        <is>
          <t>Temporary fence hire 4 wks (10/12/25-06/01/26) - 37 panels</t>
        </is>
      </c>
      <c r="J1255" t="n">
        <v>148</v>
      </c>
      <c r="K1255" s="9" t="n">
        <v>666</v>
      </c>
      <c r="L1255" t="inlineStr">
        <is>
          <t>PAID</t>
        </is>
      </c>
      <c r="M1255">
        <f>IF(L1255="VOIDED",0,1)</f>
        <v>1</v>
      </c>
      <c r="N1255" t="n">
        <v>200</v>
      </c>
      <c r="O1255" t="inlineStr">
        <is>
          <t>GST on Income</t>
        </is>
      </c>
      <c r="P1255" t="inlineStr">
        <is>
          <t>R03</t>
        </is>
      </c>
      <c r="Q1255" t="inlineStr">
        <is>
          <t>HIRE-FP</t>
        </is>
      </c>
      <c r="R1255">
        <f>IF(OR(Q1255="CONTEXT",Q1255="REVIEW"),"",INDEX('Category Rules'!$D$5:$D$17,MATCH(P1255,'Category Rules'!$A$5:$A$17,0)))</f>
        <v>4010</v>
      </c>
      <c r="S1255" t="str">
        <f>IF(Q1255="CONTEXT","Fencing",IF(Q1255="REVIEW","",INDEX('Category Rules'!$E$5:$E$17,MATCH(P1255,'Category Rules'!$A$5:$A$17,0))))</f>
        <v>Fencing</v>
      </c>
      <c r="T1255" t="str">
        <f>IF(Q1255="DEP","BAS Excluded","GST on Income")</f>
        <v>GST on Income</v>
      </c>
      <c r="U1255">
        <f>IF(O1255=T1255,1,0)</f>
        <v>1</v>
      </c>
      <c r="V1255" s="9">
        <f>IF(OR(M1255=0,U1255=1),0,IF(T1255="GST on Income",ROUND(K1255*0.1,2),ROUND(-K1255*0.1,2)))</f>
        <v>0</v>
      </c>
    </row>
    <row r="1256">
      <c r="A1256" t="inlineStr">
        <is>
          <t>INV-5023-1</t>
        </is>
      </c>
      <c r="B1256" t="inlineStr">
        <is>
          <t>INV-5023</t>
        </is>
      </c>
      <c r="C1256" s="11" t="n">
        <v>46029</v>
      </c>
      <c r="D1256" t="inlineStr">
        <is>
          <t>2026-01</t>
        </is>
      </c>
      <c r="E1256" t="inlineStr">
        <is>
          <t>C0143</t>
        </is>
      </c>
      <c r="F1256" t="inlineStr">
        <is>
          <t>C0043</t>
        </is>
      </c>
      <c r="G1256" t="inlineStr">
        <is>
          <t>Banksia Projects Pty Ltd</t>
        </is>
      </c>
      <c r="H1256" t="inlineStr">
        <is>
          <t>S0200</t>
        </is>
      </c>
      <c r="I1256" t="inlineStr">
        <is>
          <t>Temporary fence hire 4 wks (10/12/25-06/01/26) - 116 panels</t>
        </is>
      </c>
      <c r="J1256" t="n">
        <v>464</v>
      </c>
      <c r="K1256" s="9" t="n">
        <v>2088</v>
      </c>
      <c r="L1256" t="inlineStr">
        <is>
          <t>PAID</t>
        </is>
      </c>
      <c r="M1256">
        <f>IF(L1256="VOIDED",0,1)</f>
        <v>1</v>
      </c>
      <c r="N1256" t="n">
        <v>200</v>
      </c>
      <c r="O1256" t="inlineStr">
        <is>
          <t>GST on Income</t>
        </is>
      </c>
      <c r="P1256" t="inlineStr">
        <is>
          <t>R03</t>
        </is>
      </c>
      <c r="Q1256" t="inlineStr">
        <is>
          <t>HIRE-FP</t>
        </is>
      </c>
      <c r="R1256">
        <f>IF(OR(Q1256="CONTEXT",Q1256="REVIEW"),"",INDEX('Category Rules'!$D$5:$D$17,MATCH(P1256,'Category Rules'!$A$5:$A$17,0)))</f>
        <v>4010</v>
      </c>
      <c r="S1256" t="str">
        <f>IF(Q1256="CONTEXT","Fencing",IF(Q1256="REVIEW","",INDEX('Category Rules'!$E$5:$E$17,MATCH(P1256,'Category Rules'!$A$5:$A$17,0))))</f>
        <v>Fencing</v>
      </c>
      <c r="T1256" t="str">
        <f>IF(Q1256="DEP","BAS Excluded","GST on Income")</f>
        <v>GST on Income</v>
      </c>
      <c r="U1256">
        <f>IF(O1256=T1256,1,0)</f>
        <v>1</v>
      </c>
      <c r="V1256" s="9">
        <f>IF(OR(M1256=0,U1256=1),0,IF(T1256="GST on Income",ROUND(K1256*0.1,2),ROUND(-K1256*0.1,2)))</f>
        <v>0</v>
      </c>
    </row>
    <row r="1257">
      <c r="A1257" t="inlineStr">
        <is>
          <t>INV-5370-1</t>
        </is>
      </c>
      <c r="B1257" t="inlineStr">
        <is>
          <t>INV-5370</t>
        </is>
      </c>
      <c r="C1257" s="11" t="n">
        <v>46029</v>
      </c>
      <c r="D1257" t="inlineStr">
        <is>
          <t>2026-01</t>
        </is>
      </c>
      <c r="E1257" t="inlineStr">
        <is>
          <t>C0026</t>
        </is>
      </c>
      <c r="F1257" t="inlineStr">
        <is>
          <t>C0026</t>
        </is>
      </c>
      <c r="G1257" t="inlineStr">
        <is>
          <t>Juniper Constructions</t>
        </is>
      </c>
      <c r="H1257" t="inlineStr">
        <is>
          <t>S0275</t>
        </is>
      </c>
      <c r="I1257" t="inlineStr">
        <is>
          <t>Scaffold erect - 4 tower(s)</t>
        </is>
      </c>
      <c r="J1257" t="n">
        <v>4</v>
      </c>
      <c r="K1257" s="9" t="n">
        <v>1680</v>
      </c>
      <c r="L1257" t="inlineStr">
        <is>
          <t>PAID</t>
        </is>
      </c>
      <c r="M1257">
        <f>IF(L1257="VOIDED",0,1)</f>
        <v>1</v>
      </c>
      <c r="N1257" t="n">
        <v>200</v>
      </c>
      <c r="O1257" t="inlineStr">
        <is>
          <t>GST on Income</t>
        </is>
      </c>
      <c r="P1257" t="inlineStr">
        <is>
          <t>R08</t>
        </is>
      </c>
      <c r="Q1257" t="inlineStr">
        <is>
          <t>LAB-ST</t>
        </is>
      </c>
      <c r="R1257">
        <f>IF(OR(Q1257="CONTEXT",Q1257="REVIEW"),"",INDEX('Category Rules'!$D$5:$D$17,MATCH(P1257,'Category Rules'!$A$5:$A$17,0)))</f>
        <v>4020</v>
      </c>
      <c r="S1257" t="str">
        <f>IF(Q1257="CONTEXT","Scaffolding",IF(Q1257="REVIEW","",INDEX('Category Rules'!$E$5:$E$17,MATCH(P1257,'Category Rules'!$A$5:$A$17,0))))</f>
        <v>Scaffolding</v>
      </c>
      <c r="T1257" t="str">
        <f>IF(Q1257="DEP","BAS Excluded","GST on Income")</f>
        <v>GST on Income</v>
      </c>
      <c r="U1257">
        <f>IF(O1257=T1257,1,0)</f>
        <v>1</v>
      </c>
      <c r="V1257" s="9">
        <f>IF(OR(M1257=0,U1257=1),0,IF(T1257="GST on Income",ROUND(K1257*0.1,2),ROUND(-K1257*0.1,2)))</f>
        <v>0</v>
      </c>
    </row>
    <row r="1258">
      <c r="A1258" t="inlineStr">
        <is>
          <t>INV-4353-1</t>
        </is>
      </c>
      <c r="B1258" t="inlineStr">
        <is>
          <t>INV-4353</t>
        </is>
      </c>
      <c r="C1258" s="11" t="n">
        <v>46030</v>
      </c>
      <c r="D1258" t="inlineStr">
        <is>
          <t>2026-01</t>
        </is>
      </c>
      <c r="E1258" t="inlineStr">
        <is>
          <t>C0001</t>
        </is>
      </c>
      <c r="F1258" t="inlineStr">
        <is>
          <t>C0001</t>
        </is>
      </c>
      <c r="G1258" t="inlineStr">
        <is>
          <t>Parkview Projects Pty Ltd</t>
        </is>
      </c>
      <c r="H1258" t="inlineStr">
        <is>
          <t>S0053</t>
        </is>
      </c>
      <c r="I1258" t="inlineStr">
        <is>
          <t>Temporary fence hire 4 wks (11/12/25-07/01/26) - 143 panels</t>
        </is>
      </c>
      <c r="J1258" t="n">
        <v>572</v>
      </c>
      <c r="K1258" s="9" t="n">
        <v>2574</v>
      </c>
      <c r="L1258" t="inlineStr">
        <is>
          <t>PAID</t>
        </is>
      </c>
      <c r="M1258">
        <f>IF(L1258="VOIDED",0,1)</f>
        <v>1</v>
      </c>
      <c r="N1258" t="n">
        <v>200</v>
      </c>
      <c r="O1258" t="inlineStr">
        <is>
          <t>GST on Income</t>
        </is>
      </c>
      <c r="P1258" t="inlineStr">
        <is>
          <t>R03</t>
        </is>
      </c>
      <c r="Q1258" t="inlineStr">
        <is>
          <t>HIRE-FP</t>
        </is>
      </c>
      <c r="R1258">
        <f>IF(OR(Q1258="CONTEXT",Q1258="REVIEW"),"",INDEX('Category Rules'!$D$5:$D$17,MATCH(P1258,'Category Rules'!$A$5:$A$17,0)))</f>
        <v>4010</v>
      </c>
      <c r="S1258" t="str">
        <f>IF(Q1258="CONTEXT","Fencing",IF(Q1258="REVIEW","",INDEX('Category Rules'!$E$5:$E$17,MATCH(P1258,'Category Rules'!$A$5:$A$17,0))))</f>
        <v>Fencing</v>
      </c>
      <c r="T1258" t="str">
        <f>IF(Q1258="DEP","BAS Excluded","GST on Income")</f>
        <v>GST on Income</v>
      </c>
      <c r="U1258">
        <f>IF(O1258=T1258,1,0)</f>
        <v>1</v>
      </c>
      <c r="V1258" s="9">
        <f>IF(OR(M1258=0,U1258=1),0,IF(T1258="GST on Income",ROUND(K1258*0.1,2),ROUND(-K1258*0.1,2)))</f>
        <v>0</v>
      </c>
    </row>
    <row r="1259">
      <c r="A1259" t="inlineStr">
        <is>
          <t>INV-4391-1</t>
        </is>
      </c>
      <c r="B1259" t="inlineStr">
        <is>
          <t>INV-4391</t>
        </is>
      </c>
      <c r="C1259" s="11" t="n">
        <v>46030</v>
      </c>
      <c r="D1259" t="inlineStr">
        <is>
          <t>2026-01</t>
        </is>
      </c>
      <c r="E1259" t="inlineStr">
        <is>
          <t>C0038</t>
        </is>
      </c>
      <c r="F1259" t="inlineStr">
        <is>
          <t>C0038</t>
        </is>
      </c>
      <c r="G1259" t="inlineStr">
        <is>
          <t>Cobalt Constructions Pty Ltd</t>
        </is>
      </c>
      <c r="H1259" t="inlineStr">
        <is>
          <t>S0061</t>
        </is>
      </c>
      <c r="I1259" t="inlineStr">
        <is>
          <t>Temporary fence hire 4 wks (11/12/25-07/01/26) - 127 panels</t>
        </is>
      </c>
      <c r="J1259" t="n">
        <v>508</v>
      </c>
      <c r="K1259" s="9" t="n">
        <v>2286</v>
      </c>
      <c r="L1259" t="inlineStr">
        <is>
          <t>PAID</t>
        </is>
      </c>
      <c r="M1259">
        <f>IF(L1259="VOIDED",0,1)</f>
        <v>1</v>
      </c>
      <c r="N1259" t="n">
        <v>200</v>
      </c>
      <c r="O1259" t="inlineStr">
        <is>
          <t>GST on Income</t>
        </is>
      </c>
      <c r="P1259" t="inlineStr">
        <is>
          <t>R03</t>
        </is>
      </c>
      <c r="Q1259" t="inlineStr">
        <is>
          <t>HIRE-FP</t>
        </is>
      </c>
      <c r="R1259">
        <f>IF(OR(Q1259="CONTEXT",Q1259="REVIEW"),"",INDEX('Category Rules'!$D$5:$D$17,MATCH(P1259,'Category Rules'!$A$5:$A$17,0)))</f>
        <v>4010</v>
      </c>
      <c r="S1259" t="str">
        <f>IF(Q1259="CONTEXT","Fencing",IF(Q1259="REVIEW","",INDEX('Category Rules'!$E$5:$E$17,MATCH(P1259,'Category Rules'!$A$5:$A$17,0))))</f>
        <v>Fencing</v>
      </c>
      <c r="T1259" t="str">
        <f>IF(Q1259="DEP","BAS Excluded","GST on Income")</f>
        <v>GST on Income</v>
      </c>
      <c r="U1259">
        <f>IF(O1259=T1259,1,0)</f>
        <v>1</v>
      </c>
      <c r="V1259" s="9">
        <f>IF(OR(M1259=0,U1259=1),0,IF(T1259="GST on Income",ROUND(K1259*0.1,2),ROUND(-K1259*0.1,2)))</f>
        <v>0</v>
      </c>
    </row>
    <row r="1260">
      <c r="A1260" t="inlineStr">
        <is>
          <t>INV-4394-1</t>
        </is>
      </c>
      <c r="B1260" t="inlineStr">
        <is>
          <t>INV-4394</t>
        </is>
      </c>
      <c r="C1260" s="11" t="n">
        <v>46030</v>
      </c>
      <c r="D1260" t="inlineStr">
        <is>
          <t>2026-01</t>
        </is>
      </c>
      <c r="E1260" t="inlineStr">
        <is>
          <t>C0038</t>
        </is>
      </c>
      <c r="F1260" t="inlineStr">
        <is>
          <t>C0038</t>
        </is>
      </c>
      <c r="G1260" t="inlineStr">
        <is>
          <t>Cobalt Constructions Pty Ltd</t>
        </is>
      </c>
      <c r="H1260" t="inlineStr">
        <is>
          <t>S0061</t>
        </is>
      </c>
      <c r="I1260" t="inlineStr">
        <is>
          <t>Pedestrian barrier hire 4 wks (11/12/25-07/01/26) - 12 barriers</t>
        </is>
      </c>
      <c r="J1260" t="n">
        <v>48</v>
      </c>
      <c r="K1260" s="9" t="n">
        <v>153.6</v>
      </c>
      <c r="L1260" t="inlineStr">
        <is>
          <t>PAID</t>
        </is>
      </c>
      <c r="M1260">
        <f>IF(L1260="VOIDED",0,1)</f>
        <v>1</v>
      </c>
      <c r="N1260" t="n">
        <v>200</v>
      </c>
      <c r="O1260" t="inlineStr">
        <is>
          <t>GST on Income</t>
        </is>
      </c>
      <c r="P1260" t="inlineStr">
        <is>
          <t>R04</t>
        </is>
      </c>
      <c r="Q1260" t="inlineStr">
        <is>
          <t>HIRE-BR</t>
        </is>
      </c>
      <c r="R1260">
        <f>IF(OR(Q1260="CONTEXT",Q1260="REVIEW"),"",INDEX('Category Rules'!$D$5:$D$17,MATCH(P1260,'Category Rules'!$A$5:$A$17,0)))</f>
        <v>4010</v>
      </c>
      <c r="S1260" t="str">
        <f>IF(Q1260="CONTEXT","Fencing",IF(Q1260="REVIEW","",INDEX('Category Rules'!$E$5:$E$17,MATCH(P1260,'Category Rules'!$A$5:$A$17,0))))</f>
        <v>Fencing</v>
      </c>
      <c r="T1260" t="str">
        <f>IF(Q1260="DEP","BAS Excluded","GST on Income")</f>
        <v>GST on Income</v>
      </c>
      <c r="U1260">
        <f>IF(O1260=T1260,1,0)</f>
        <v>1</v>
      </c>
      <c r="V1260" s="9">
        <f>IF(OR(M1260=0,U1260=1),0,IF(T1260="GST on Income",ROUND(K1260*0.1,2),ROUND(-K1260*0.1,2)))</f>
        <v>0</v>
      </c>
    </row>
    <row r="1261">
      <c r="A1261" t="inlineStr">
        <is>
          <t>INV-4731-1</t>
        </is>
      </c>
      <c r="B1261" t="inlineStr">
        <is>
          <t>INV-4731</t>
        </is>
      </c>
      <c r="C1261" s="11" t="n">
        <v>46030</v>
      </c>
      <c r="D1261" t="inlineStr">
        <is>
          <t>2026-01</t>
        </is>
      </c>
      <c r="E1261" t="inlineStr">
        <is>
          <t>C0040</t>
        </is>
      </c>
      <c r="F1261" t="inlineStr">
        <is>
          <t>C0040</t>
        </is>
      </c>
      <c r="G1261" t="inlineStr">
        <is>
          <t>Coastline Projects Pty Ltd</t>
        </is>
      </c>
      <c r="H1261" t="inlineStr">
        <is>
          <t>S0132</t>
        </is>
      </c>
      <c r="I1261" t="inlineStr">
        <is>
          <t>Temporary fence hire 4 wks (11/12/25-07/01/26) - 146 panels</t>
        </is>
      </c>
      <c r="J1261" t="n">
        <v>584</v>
      </c>
      <c r="K1261" s="9" t="n">
        <v>2628</v>
      </c>
      <c r="L1261" t="inlineStr">
        <is>
          <t>PAID</t>
        </is>
      </c>
      <c r="M1261">
        <f>IF(L1261="VOIDED",0,1)</f>
        <v>1</v>
      </c>
      <c r="N1261" t="n">
        <v>200</v>
      </c>
      <c r="O1261" t="inlineStr">
        <is>
          <t>GST on Income</t>
        </is>
      </c>
      <c r="P1261" t="inlineStr">
        <is>
          <t>R03</t>
        </is>
      </c>
      <c r="Q1261" t="inlineStr">
        <is>
          <t>HIRE-FP</t>
        </is>
      </c>
      <c r="R1261">
        <f>IF(OR(Q1261="CONTEXT",Q1261="REVIEW"),"",INDEX('Category Rules'!$D$5:$D$17,MATCH(P1261,'Category Rules'!$A$5:$A$17,0)))</f>
        <v>4010</v>
      </c>
      <c r="S1261" t="str">
        <f>IF(Q1261="CONTEXT","Fencing",IF(Q1261="REVIEW","",INDEX('Category Rules'!$E$5:$E$17,MATCH(P1261,'Category Rules'!$A$5:$A$17,0))))</f>
        <v>Fencing</v>
      </c>
      <c r="T1261" t="str">
        <f>IF(Q1261="DEP","BAS Excluded","GST on Income")</f>
        <v>GST on Income</v>
      </c>
      <c r="U1261">
        <f>IF(O1261=T1261,1,0)</f>
        <v>1</v>
      </c>
      <c r="V1261" s="9">
        <f>IF(OR(M1261=0,U1261=1),0,IF(T1261="GST on Income",ROUND(K1261*0.1,2),ROUND(-K1261*0.1,2)))</f>
        <v>0</v>
      </c>
    </row>
    <row r="1262">
      <c r="A1262" t="inlineStr">
        <is>
          <t>INV-5450-1</t>
        </is>
      </c>
      <c r="B1262" t="inlineStr">
        <is>
          <t>INV-5450</t>
        </is>
      </c>
      <c r="C1262" s="11" t="n">
        <v>46030</v>
      </c>
      <c r="D1262" t="inlineStr">
        <is>
          <t>2026-01</t>
        </is>
      </c>
      <c r="E1262" t="inlineStr">
        <is>
          <t>C0059</t>
        </is>
      </c>
      <c r="F1262" t="inlineStr">
        <is>
          <t>C0059</t>
        </is>
      </c>
      <c r="G1262" t="inlineStr">
        <is>
          <t>Silverleaf Insurance Repairs Pty Ltd</t>
        </is>
      </c>
      <c r="H1262" t="inlineStr">
        <is>
          <t>S0298</t>
        </is>
      </c>
      <c r="I1262" t="inlineStr">
        <is>
          <t>Tarp kit hire 4 wks (11/12/25-07/01/26) - 2 kits</t>
        </is>
      </c>
      <c r="J1262" t="n">
        <v>8</v>
      </c>
      <c r="K1262" s="9" t="n">
        <v>280</v>
      </c>
      <c r="L1262" t="inlineStr">
        <is>
          <t>PAID</t>
        </is>
      </c>
      <c r="M1262">
        <f>IF(L1262="VOIDED",0,1)</f>
        <v>1</v>
      </c>
      <c r="N1262" t="n">
        <v>200</v>
      </c>
      <c r="O1262" t="inlineStr">
        <is>
          <t>GST on Income</t>
        </is>
      </c>
      <c r="P1262" t="inlineStr">
        <is>
          <t>R06</t>
        </is>
      </c>
      <c r="Q1262" t="inlineStr">
        <is>
          <t>HIRE-TK</t>
        </is>
      </c>
      <c r="R1262">
        <f>IF(OR(Q1262="CONTEXT",Q1262="REVIEW"),"",INDEX('Category Rules'!$D$5:$D$17,MATCH(P1262,'Category Rules'!$A$5:$A$17,0)))</f>
        <v>4010</v>
      </c>
      <c r="S1262" t="str">
        <f>IF(Q1262="CONTEXT","Make-safe",IF(Q1262="REVIEW","",INDEX('Category Rules'!$E$5:$E$17,MATCH(P1262,'Category Rules'!$A$5:$A$17,0))))</f>
        <v>Make-safe</v>
      </c>
      <c r="T1262" t="str">
        <f>IF(Q1262="DEP","BAS Excluded","GST on Income")</f>
        <v>GST on Income</v>
      </c>
      <c r="U1262">
        <f>IF(O1262=T1262,1,0)</f>
        <v>1</v>
      </c>
      <c r="V1262" s="9">
        <f>IF(OR(M1262=0,U1262=1),0,IF(T1262="GST on Income",ROUND(K1262*0.1,2),ROUND(-K1262*0.1,2)))</f>
        <v>0</v>
      </c>
    </row>
    <row r="1263">
      <c r="A1263" t="inlineStr">
        <is>
          <t>INV-4331-1</t>
        </is>
      </c>
      <c r="B1263" t="inlineStr">
        <is>
          <t>INV-4331</t>
        </is>
      </c>
      <c r="C1263" s="11" t="n">
        <v>46031</v>
      </c>
      <c r="D1263" t="inlineStr">
        <is>
          <t>2026-01</t>
        </is>
      </c>
      <c r="E1263" t="inlineStr">
        <is>
          <t>C0042</t>
        </is>
      </c>
      <c r="F1263" t="inlineStr">
        <is>
          <t>C0042</t>
        </is>
      </c>
      <c r="G1263" t="inlineStr">
        <is>
          <t>Lakeside Constructions Pty Ltd</t>
        </is>
      </c>
      <c r="H1263" t="inlineStr">
        <is>
          <t>S0049</t>
        </is>
      </c>
      <c r="I1263" t="inlineStr">
        <is>
          <t>Temporary fence hire 4 wks (12/12/25-08/01/26) - 12 panels</t>
        </is>
      </c>
      <c r="J1263" t="n">
        <v>48</v>
      </c>
      <c r="K1263" s="9" t="n">
        <v>216</v>
      </c>
      <c r="L1263" t="inlineStr">
        <is>
          <t>PAID</t>
        </is>
      </c>
      <c r="M1263">
        <f>IF(L1263="VOIDED",0,1)</f>
        <v>1</v>
      </c>
      <c r="N1263" t="n">
        <v>200</v>
      </c>
      <c r="O1263" t="inlineStr">
        <is>
          <t>GST on Income</t>
        </is>
      </c>
      <c r="P1263" t="inlineStr">
        <is>
          <t>R03</t>
        </is>
      </c>
      <c r="Q1263" t="inlineStr">
        <is>
          <t>HIRE-FP</t>
        </is>
      </c>
      <c r="R1263">
        <f>IF(OR(Q1263="CONTEXT",Q1263="REVIEW"),"",INDEX('Category Rules'!$D$5:$D$17,MATCH(P1263,'Category Rules'!$A$5:$A$17,0)))</f>
        <v>4010</v>
      </c>
      <c r="S1263" t="str">
        <f>IF(Q1263="CONTEXT","Fencing",IF(Q1263="REVIEW","",INDEX('Category Rules'!$E$5:$E$17,MATCH(P1263,'Category Rules'!$A$5:$A$17,0))))</f>
        <v>Fencing</v>
      </c>
      <c r="T1263" t="str">
        <f>IF(Q1263="DEP","BAS Excluded","GST on Income")</f>
        <v>GST on Income</v>
      </c>
      <c r="U1263">
        <f>IF(O1263=T1263,1,0)</f>
        <v>1</v>
      </c>
      <c r="V1263" s="9">
        <f>IF(OR(M1263=0,U1263=1),0,IF(T1263="GST on Income",ROUND(K1263*0.1,2),ROUND(-K1263*0.1,2)))</f>
        <v>0</v>
      </c>
    </row>
    <row r="1264">
      <c r="A1264" t="inlineStr">
        <is>
          <t>INV-4645-1</t>
        </is>
      </c>
      <c r="B1264" t="inlineStr">
        <is>
          <t>INV-4645</t>
        </is>
      </c>
      <c r="C1264" s="11" t="n">
        <v>46031</v>
      </c>
      <c r="D1264" t="inlineStr">
        <is>
          <t>2026-01</t>
        </is>
      </c>
      <c r="E1264" t="inlineStr">
        <is>
          <t>C0040</t>
        </is>
      </c>
      <c r="F1264" t="inlineStr">
        <is>
          <t>C0040</t>
        </is>
      </c>
      <c r="G1264" t="inlineStr">
        <is>
          <t>Coastline Projects Pty Ltd</t>
        </is>
      </c>
      <c r="H1264" t="inlineStr">
        <is>
          <t>S0111</t>
        </is>
      </c>
      <c r="I1264" t="inlineStr">
        <is>
          <t>Temporary fence hire 4 wks (12/12/25-08/01/26) - 35 panels</t>
        </is>
      </c>
      <c r="J1264" t="n">
        <v>140</v>
      </c>
      <c r="K1264" s="9" t="n">
        <v>630</v>
      </c>
      <c r="L1264" t="inlineStr">
        <is>
          <t>PAID</t>
        </is>
      </c>
      <c r="M1264">
        <f>IF(L1264="VOIDED",0,1)</f>
        <v>1</v>
      </c>
      <c r="N1264" t="n">
        <v>200</v>
      </c>
      <c r="O1264" t="inlineStr">
        <is>
          <t>GST on Income</t>
        </is>
      </c>
      <c r="P1264" t="inlineStr">
        <is>
          <t>R03</t>
        </is>
      </c>
      <c r="Q1264" t="inlineStr">
        <is>
          <t>HIRE-FP</t>
        </is>
      </c>
      <c r="R1264">
        <f>IF(OR(Q1264="CONTEXT",Q1264="REVIEW"),"",INDEX('Category Rules'!$D$5:$D$17,MATCH(P1264,'Category Rules'!$A$5:$A$17,0)))</f>
        <v>4010</v>
      </c>
      <c r="S1264" t="str">
        <f>IF(Q1264="CONTEXT","Fencing",IF(Q1264="REVIEW","",INDEX('Category Rules'!$E$5:$E$17,MATCH(P1264,'Category Rules'!$A$5:$A$17,0))))</f>
        <v>Fencing</v>
      </c>
      <c r="T1264" t="str">
        <f>IF(Q1264="DEP","BAS Excluded","GST on Income")</f>
        <v>GST on Income</v>
      </c>
      <c r="U1264">
        <f>IF(O1264=T1264,1,0)</f>
        <v>1</v>
      </c>
      <c r="V1264" s="9">
        <f>IF(OR(M1264=0,U1264=1),0,IF(T1264="GST on Income",ROUND(K1264*0.1,2),ROUND(-K1264*0.1,2)))</f>
        <v>0</v>
      </c>
    </row>
    <row r="1265">
      <c r="A1265" t="inlineStr">
        <is>
          <t>INV-4789-1</t>
        </is>
      </c>
      <c r="B1265" t="inlineStr">
        <is>
          <t>INV-4789</t>
        </is>
      </c>
      <c r="C1265" s="11" t="n">
        <v>46031</v>
      </c>
      <c r="D1265" t="inlineStr">
        <is>
          <t>2026-01</t>
        </is>
      </c>
      <c r="E1265" t="inlineStr">
        <is>
          <t>C0029</t>
        </is>
      </c>
      <c r="F1265" t="inlineStr">
        <is>
          <t>C0029</t>
        </is>
      </c>
      <c r="G1265" t="inlineStr">
        <is>
          <t>Ironbark Constructions</t>
        </is>
      </c>
      <c r="H1265" t="inlineStr">
        <is>
          <t>S0147</t>
        </is>
      </c>
      <c r="I1265" t="inlineStr">
        <is>
          <t>Temporary fence hire 4 wks (14/12/25-08/01/26) - 21 panels</t>
        </is>
      </c>
      <c r="J1265" t="n">
        <v>84</v>
      </c>
      <c r="K1265" s="9" t="n">
        <v>378</v>
      </c>
      <c r="L1265" t="inlineStr">
        <is>
          <t>PAID</t>
        </is>
      </c>
      <c r="M1265">
        <f>IF(L1265="VOIDED",0,1)</f>
        <v>1</v>
      </c>
      <c r="N1265" t="n">
        <v>200</v>
      </c>
      <c r="O1265" t="inlineStr">
        <is>
          <t>GST on Income</t>
        </is>
      </c>
      <c r="P1265" t="inlineStr">
        <is>
          <t>R03</t>
        </is>
      </c>
      <c r="Q1265" t="inlineStr">
        <is>
          <t>HIRE-FP</t>
        </is>
      </c>
      <c r="R1265">
        <f>IF(OR(Q1265="CONTEXT",Q1265="REVIEW"),"",INDEX('Category Rules'!$D$5:$D$17,MATCH(P1265,'Category Rules'!$A$5:$A$17,0)))</f>
        <v>4010</v>
      </c>
      <c r="S1265" t="str">
        <f>IF(Q1265="CONTEXT","Fencing",IF(Q1265="REVIEW","",INDEX('Category Rules'!$E$5:$E$17,MATCH(P1265,'Category Rules'!$A$5:$A$17,0))))</f>
        <v>Fencing</v>
      </c>
      <c r="T1265" t="str">
        <f>IF(Q1265="DEP","BAS Excluded","GST on Income")</f>
        <v>GST on Income</v>
      </c>
      <c r="U1265">
        <f>IF(O1265=T1265,1,0)</f>
        <v>1</v>
      </c>
      <c r="V1265" s="9">
        <f>IF(OR(M1265=0,U1265=1),0,IF(T1265="GST on Income",ROUND(K1265*0.1,2),ROUND(-K1265*0.1,2)))</f>
        <v>0</v>
      </c>
    </row>
    <row r="1266">
      <c r="A1266" t="inlineStr">
        <is>
          <t>INV-4791-1</t>
        </is>
      </c>
      <c r="B1266" t="inlineStr">
        <is>
          <t>INV-4791</t>
        </is>
      </c>
      <c r="C1266" s="11" t="n">
        <v>46031</v>
      </c>
      <c r="D1266" t="inlineStr">
        <is>
          <t>2026-01</t>
        </is>
      </c>
      <c r="E1266" t="inlineStr">
        <is>
          <t>C0029</t>
        </is>
      </c>
      <c r="F1266" t="inlineStr">
        <is>
          <t>C0029</t>
        </is>
      </c>
      <c r="G1266" t="inlineStr">
        <is>
          <t>Ironbark Constructions</t>
        </is>
      </c>
      <c r="H1266" t="inlineStr">
        <is>
          <t>S0147</t>
        </is>
      </c>
      <c r="I1266" t="inlineStr">
        <is>
          <t>Collection and dismantle - temporary fencing</t>
        </is>
      </c>
      <c r="J1266" t="n">
        <v>1</v>
      </c>
      <c r="K1266" s="9" t="n">
        <v>165</v>
      </c>
      <c r="L1266" t="inlineStr">
        <is>
          <t>PAID</t>
        </is>
      </c>
      <c r="M1266">
        <f>IF(L1266="VOIDED",0,1)</f>
        <v>1</v>
      </c>
      <c r="N1266" t="n">
        <v>200</v>
      </c>
      <c r="O1266" t="inlineStr">
        <is>
          <t>GST on Income</t>
        </is>
      </c>
      <c r="P1266" t="inlineStr">
        <is>
          <t>R07</t>
        </is>
      </c>
      <c r="Q1266" t="inlineStr">
        <is>
          <t>DEL-FP</t>
        </is>
      </c>
      <c r="R1266">
        <f>IF(OR(Q1266="CONTEXT",Q1266="REVIEW"),"",INDEX('Category Rules'!$D$5:$D$17,MATCH(P1266,'Category Rules'!$A$5:$A$17,0)))</f>
        <v>4020</v>
      </c>
      <c r="S1266" t="str">
        <f>IF(Q1266="CONTEXT","Fencing",IF(Q1266="REVIEW","",INDEX('Category Rules'!$E$5:$E$17,MATCH(P1266,'Category Rules'!$A$5:$A$17,0))))</f>
        <v>Fencing</v>
      </c>
      <c r="T1266" t="str">
        <f>IF(Q1266="DEP","BAS Excluded","GST on Income")</f>
        <v>GST on Income</v>
      </c>
      <c r="U1266">
        <f>IF(O1266=T1266,1,0)</f>
        <v>1</v>
      </c>
      <c r="V1266" s="9">
        <f>IF(OR(M1266=0,U1266=1),0,IF(T1266="GST on Income",ROUND(K1266*0.1,2),ROUND(-K1266*0.1,2)))</f>
        <v>0</v>
      </c>
    </row>
    <row r="1267">
      <c r="A1267" t="inlineStr">
        <is>
          <t>INV-5209-1</t>
        </is>
      </c>
      <c r="B1267" t="inlineStr">
        <is>
          <t>INV-5209</t>
        </is>
      </c>
      <c r="C1267" s="11" t="n">
        <v>46031</v>
      </c>
      <c r="D1267" t="inlineStr">
        <is>
          <t>2026-01</t>
        </is>
      </c>
      <c r="E1267" t="inlineStr">
        <is>
          <t>C0037</t>
        </is>
      </c>
      <c r="F1267" t="inlineStr">
        <is>
          <t>C0037</t>
        </is>
      </c>
      <c r="G1267" t="inlineStr">
        <is>
          <t>Highpoint Constructions</t>
        </is>
      </c>
      <c r="H1267" t="inlineStr">
        <is>
          <t>S0237</t>
        </is>
      </c>
      <c r="I1267" t="inlineStr">
        <is>
          <t>Scaffold erect - 1 tower(s)</t>
        </is>
      </c>
      <c r="J1267" t="n">
        <v>1</v>
      </c>
      <c r="K1267" s="9" t="n">
        <v>420</v>
      </c>
      <c r="L1267" t="inlineStr">
        <is>
          <t>PAID</t>
        </is>
      </c>
      <c r="M1267">
        <f>IF(L1267="VOIDED",0,1)</f>
        <v>1</v>
      </c>
      <c r="N1267" t="n">
        <v>200</v>
      </c>
      <c r="O1267" t="inlineStr">
        <is>
          <t>GST on Income</t>
        </is>
      </c>
      <c r="P1267" t="inlineStr">
        <is>
          <t>R08</t>
        </is>
      </c>
      <c r="Q1267" t="inlineStr">
        <is>
          <t>LAB-ST</t>
        </is>
      </c>
      <c r="R1267">
        <f>IF(OR(Q1267="CONTEXT",Q1267="REVIEW"),"",INDEX('Category Rules'!$D$5:$D$17,MATCH(P1267,'Category Rules'!$A$5:$A$17,0)))</f>
        <v>4020</v>
      </c>
      <c r="S1267" t="str">
        <f>IF(Q1267="CONTEXT","Scaffolding",IF(Q1267="REVIEW","",INDEX('Category Rules'!$E$5:$E$17,MATCH(P1267,'Category Rules'!$A$5:$A$17,0))))</f>
        <v>Scaffolding</v>
      </c>
      <c r="T1267" t="str">
        <f>IF(Q1267="DEP","BAS Excluded","GST on Income")</f>
        <v>GST on Income</v>
      </c>
      <c r="U1267">
        <f>IF(O1267=T1267,1,0)</f>
        <v>1</v>
      </c>
      <c r="V1267" s="9">
        <f>IF(OR(M1267=0,U1267=1),0,IF(T1267="GST on Income",ROUND(K1267*0.1,2),ROUND(-K1267*0.1,2)))</f>
        <v>0</v>
      </c>
    </row>
    <row r="1268">
      <c r="A1268" t="inlineStr">
        <is>
          <t>INV-4428-1</t>
        </is>
      </c>
      <c r="B1268" t="inlineStr">
        <is>
          <t>INV-4428</t>
        </is>
      </c>
      <c r="C1268" s="11" t="n">
        <v>46032</v>
      </c>
      <c r="D1268" t="inlineStr">
        <is>
          <t>2026-01</t>
        </is>
      </c>
      <c r="E1268" t="inlineStr">
        <is>
          <t>C0061</t>
        </is>
      </c>
      <c r="F1268" t="inlineStr">
        <is>
          <t>C0061</t>
        </is>
      </c>
      <c r="G1268" t="inlineStr">
        <is>
          <t>Southbank Claims Services Pty Ltd</t>
        </is>
      </c>
      <c r="H1268" t="inlineStr">
        <is>
          <t>S0065</t>
        </is>
      </c>
      <c r="I1268" t="inlineStr">
        <is>
          <t>Temporary fence hire 4 wks (13/12/25-09/01/26) - 130 panels</t>
        </is>
      </c>
      <c r="J1268" t="n">
        <v>520</v>
      </c>
      <c r="K1268" s="9" t="n">
        <v>2340</v>
      </c>
      <c r="L1268" t="inlineStr">
        <is>
          <t>PAID</t>
        </is>
      </c>
      <c r="M1268">
        <f>IF(L1268="VOIDED",0,1)</f>
        <v>1</v>
      </c>
      <c r="N1268" t="n">
        <v>200</v>
      </c>
      <c r="O1268" t="inlineStr">
        <is>
          <t>GST on Income</t>
        </is>
      </c>
      <c r="P1268" t="inlineStr">
        <is>
          <t>R03</t>
        </is>
      </c>
      <c r="Q1268" t="inlineStr">
        <is>
          <t>HIRE-FP</t>
        </is>
      </c>
      <c r="R1268">
        <f>IF(OR(Q1268="CONTEXT",Q1268="REVIEW"),"",INDEX('Category Rules'!$D$5:$D$17,MATCH(P1268,'Category Rules'!$A$5:$A$17,0)))</f>
        <v>4010</v>
      </c>
      <c r="S1268" t="str">
        <f>IF(Q1268="CONTEXT","Fencing",IF(Q1268="REVIEW","",INDEX('Category Rules'!$E$5:$E$17,MATCH(P1268,'Category Rules'!$A$5:$A$17,0))))</f>
        <v>Fencing</v>
      </c>
      <c r="T1268" t="str">
        <f>IF(Q1268="DEP","BAS Excluded","GST on Income")</f>
        <v>GST on Income</v>
      </c>
      <c r="U1268">
        <f>IF(O1268=T1268,1,0)</f>
        <v>1</v>
      </c>
      <c r="V1268" s="9">
        <f>IF(OR(M1268=0,U1268=1),0,IF(T1268="GST on Income",ROUND(K1268*0.1,2),ROUND(-K1268*0.1,2)))</f>
        <v>0</v>
      </c>
    </row>
    <row r="1269">
      <c r="A1269" t="inlineStr">
        <is>
          <t>INV-4827-1</t>
        </is>
      </c>
      <c r="B1269" t="inlineStr">
        <is>
          <t>INV-4827</t>
        </is>
      </c>
      <c r="C1269" s="11" t="n">
        <v>46032</v>
      </c>
      <c r="D1269" t="inlineStr">
        <is>
          <t>2026-01</t>
        </is>
      </c>
      <c r="E1269" t="inlineStr">
        <is>
          <t>C0072</t>
        </is>
      </c>
      <c r="F1269" t="inlineStr">
        <is>
          <t>C0072</t>
        </is>
      </c>
      <c r="G1269" t="inlineStr">
        <is>
          <t>Kingston City Council</t>
        </is>
      </c>
      <c r="H1269" t="inlineStr">
        <is>
          <t>S0157</t>
        </is>
      </c>
      <c r="I1269" t="inlineStr">
        <is>
          <t>Temporary fence hire 4 wks (13/12/25-09/01/26) - 145 panels</t>
        </is>
      </c>
      <c r="J1269" t="n">
        <v>580</v>
      </c>
      <c r="K1269" s="9" t="n">
        <v>2610</v>
      </c>
      <c r="L1269" t="inlineStr">
        <is>
          <t>PAID</t>
        </is>
      </c>
      <c r="M1269">
        <f>IF(L1269="VOIDED",0,1)</f>
        <v>1</v>
      </c>
      <c r="N1269" t="n">
        <v>200</v>
      </c>
      <c r="O1269" t="inlineStr">
        <is>
          <t>GST on Income</t>
        </is>
      </c>
      <c r="P1269" t="inlineStr">
        <is>
          <t>R03</t>
        </is>
      </c>
      <c r="Q1269" t="inlineStr">
        <is>
          <t>HIRE-FP</t>
        </is>
      </c>
      <c r="R1269">
        <f>IF(OR(Q1269="CONTEXT",Q1269="REVIEW"),"",INDEX('Category Rules'!$D$5:$D$17,MATCH(P1269,'Category Rules'!$A$5:$A$17,0)))</f>
        <v>4010</v>
      </c>
      <c r="S1269" t="str">
        <f>IF(Q1269="CONTEXT","Fencing",IF(Q1269="REVIEW","",INDEX('Category Rules'!$E$5:$E$17,MATCH(P1269,'Category Rules'!$A$5:$A$17,0))))</f>
        <v>Fencing</v>
      </c>
      <c r="T1269" t="str">
        <f>IF(Q1269="DEP","BAS Excluded","GST on Income")</f>
        <v>GST on Income</v>
      </c>
      <c r="U1269">
        <f>IF(O1269=T1269,1,0)</f>
        <v>1</v>
      </c>
      <c r="V1269" s="9">
        <f>IF(OR(M1269=0,U1269=1),0,IF(T1269="GST on Income",ROUND(K1269*0.1,2),ROUND(-K1269*0.1,2)))</f>
        <v>0</v>
      </c>
    </row>
    <row r="1270">
      <c r="A1270" t="inlineStr">
        <is>
          <t>INV-5142-1</t>
        </is>
      </c>
      <c r="B1270" t="inlineStr">
        <is>
          <t>INV-5142</t>
        </is>
      </c>
      <c r="C1270" s="11" t="n">
        <v>46032</v>
      </c>
      <c r="D1270" t="inlineStr">
        <is>
          <t>2026-01</t>
        </is>
      </c>
      <c r="E1270" t="inlineStr">
        <is>
          <t>C0102</t>
        </is>
      </c>
      <c r="F1270" t="inlineStr">
        <is>
          <t>C0102</t>
        </is>
      </c>
      <c r="G1270" t="inlineStr">
        <is>
          <t>Arjun Doyle</t>
        </is>
      </c>
      <c r="H1270" t="inlineStr">
        <is>
          <t>S0223</t>
        </is>
      </c>
      <c r="I1270" t="inlineStr">
        <is>
          <t>Temporary fence hire 4 wks (13/12/25-09/01/26) - 25 panels</t>
        </is>
      </c>
      <c r="J1270" t="n">
        <v>100</v>
      </c>
      <c r="K1270" s="9" t="n">
        <v>450</v>
      </c>
      <c r="L1270" t="inlineStr">
        <is>
          <t>PAID</t>
        </is>
      </c>
      <c r="M1270">
        <f>IF(L1270="VOIDED",0,1)</f>
        <v>1</v>
      </c>
      <c r="N1270" t="n">
        <v>200</v>
      </c>
      <c r="O1270" t="inlineStr">
        <is>
          <t>GST on Income</t>
        </is>
      </c>
      <c r="P1270" t="inlineStr">
        <is>
          <t>R03</t>
        </is>
      </c>
      <c r="Q1270" t="inlineStr">
        <is>
          <t>HIRE-FP</t>
        </is>
      </c>
      <c r="R1270">
        <f>IF(OR(Q1270="CONTEXT",Q1270="REVIEW"),"",INDEX('Category Rules'!$D$5:$D$17,MATCH(P1270,'Category Rules'!$A$5:$A$17,0)))</f>
        <v>4010</v>
      </c>
      <c r="S1270" t="str">
        <f>IF(Q1270="CONTEXT","Fencing",IF(Q1270="REVIEW","",INDEX('Category Rules'!$E$5:$E$17,MATCH(P1270,'Category Rules'!$A$5:$A$17,0))))</f>
        <v>Fencing</v>
      </c>
      <c r="T1270" t="str">
        <f>IF(Q1270="DEP","BAS Excluded","GST on Income")</f>
        <v>GST on Income</v>
      </c>
      <c r="U1270">
        <f>IF(O1270=T1270,1,0)</f>
        <v>1</v>
      </c>
      <c r="V1270" s="9">
        <f>IF(OR(M1270=0,U1270=1),0,IF(T1270="GST on Income",ROUND(K1270*0.1,2),ROUND(-K1270*0.1,2)))</f>
        <v>0</v>
      </c>
    </row>
    <row r="1271">
      <c r="A1271" t="inlineStr">
        <is>
          <t>INV-5312-1</t>
        </is>
      </c>
      <c r="B1271" t="inlineStr">
        <is>
          <t>INV-5312</t>
        </is>
      </c>
      <c r="C1271" s="11" t="n">
        <v>46032</v>
      </c>
      <c r="D1271" t="inlineStr">
        <is>
          <t>2026-01</t>
        </is>
      </c>
      <c r="E1271" t="inlineStr">
        <is>
          <t>C0014</t>
        </is>
      </c>
      <c r="F1271" t="inlineStr">
        <is>
          <t>C0014</t>
        </is>
      </c>
      <c r="G1271" t="inlineStr">
        <is>
          <t>Riverbend Homes Pty Ltd</t>
        </is>
      </c>
      <c r="H1271" t="inlineStr">
        <is>
          <t>S0263</t>
        </is>
      </c>
      <c r="I1271" t="inlineStr">
        <is>
          <t>Scaffold tower hire 4 wks (13/12/25-09/01/26) - 3 towers</t>
        </is>
      </c>
      <c r="J1271" t="n">
        <v>12</v>
      </c>
      <c r="K1271" s="9" t="n">
        <v>1140</v>
      </c>
      <c r="L1271" t="inlineStr">
        <is>
          <t>PAID</t>
        </is>
      </c>
      <c r="M1271">
        <f>IF(L1271="VOIDED",0,1)</f>
        <v>1</v>
      </c>
      <c r="N1271" t="n">
        <v>200</v>
      </c>
      <c r="O1271" t="inlineStr">
        <is>
          <t>GST on Income</t>
        </is>
      </c>
      <c r="P1271" t="inlineStr">
        <is>
          <t>R05</t>
        </is>
      </c>
      <c r="Q1271" t="inlineStr">
        <is>
          <t>HIRE-ST</t>
        </is>
      </c>
      <c r="R1271">
        <f>IF(OR(Q1271="CONTEXT",Q1271="REVIEW"),"",INDEX('Category Rules'!$D$5:$D$17,MATCH(P1271,'Category Rules'!$A$5:$A$17,0)))</f>
        <v>4010</v>
      </c>
      <c r="S1271" t="str">
        <f>IF(Q1271="CONTEXT","Scaffolding",IF(Q1271="REVIEW","",INDEX('Category Rules'!$E$5:$E$17,MATCH(P1271,'Category Rules'!$A$5:$A$17,0))))</f>
        <v>Scaffolding</v>
      </c>
      <c r="T1271" t="str">
        <f>IF(Q1271="DEP","BAS Excluded","GST on Income")</f>
        <v>GST on Income</v>
      </c>
      <c r="U1271">
        <f>IF(O1271=T1271,1,0)</f>
        <v>1</v>
      </c>
      <c r="V1271" s="9">
        <f>IF(OR(M1271=0,U1271=1),0,IF(T1271="GST on Income",ROUND(K1271*0.1,2),ROUND(-K1271*0.1,2)))</f>
        <v>0</v>
      </c>
    </row>
    <row r="1272">
      <c r="A1272" t="inlineStr">
        <is>
          <t>INV-5364-1</t>
        </is>
      </c>
      <c r="B1272" t="inlineStr">
        <is>
          <t>INV-5364</t>
        </is>
      </c>
      <c r="C1272" s="11" t="n">
        <v>46032</v>
      </c>
      <c r="D1272" t="inlineStr">
        <is>
          <t>2026-01</t>
        </is>
      </c>
      <c r="E1272" t="inlineStr">
        <is>
          <t>C0096</t>
        </is>
      </c>
      <c r="F1272" t="inlineStr">
        <is>
          <t>C0096</t>
        </is>
      </c>
      <c r="G1272" t="inlineStr">
        <is>
          <t>Lucas Kelly</t>
        </is>
      </c>
      <c r="H1272" t="inlineStr">
        <is>
          <t>S0274</t>
        </is>
      </c>
      <c r="I1272" t="inlineStr">
        <is>
          <t>Scaffold tower hire 4 wks (13/12/25-09/01/26) - 1 towers</t>
        </is>
      </c>
      <c r="J1272" t="n">
        <v>4</v>
      </c>
      <c r="K1272" s="9" t="n">
        <v>380</v>
      </c>
      <c r="L1272" t="inlineStr">
        <is>
          <t>PAID</t>
        </is>
      </c>
      <c r="M1272">
        <f>IF(L1272="VOIDED",0,1)</f>
        <v>1</v>
      </c>
      <c r="N1272" t="n">
        <v>200</v>
      </c>
      <c r="O1272" t="inlineStr">
        <is>
          <t>GST on Income</t>
        </is>
      </c>
      <c r="P1272" t="inlineStr">
        <is>
          <t>R05</t>
        </is>
      </c>
      <c r="Q1272" t="inlineStr">
        <is>
          <t>HIRE-ST</t>
        </is>
      </c>
      <c r="R1272">
        <f>IF(OR(Q1272="CONTEXT",Q1272="REVIEW"),"",INDEX('Category Rules'!$D$5:$D$17,MATCH(P1272,'Category Rules'!$A$5:$A$17,0)))</f>
        <v>4010</v>
      </c>
      <c r="S1272" t="str">
        <f>IF(Q1272="CONTEXT","Scaffolding",IF(Q1272="REVIEW","",INDEX('Category Rules'!$E$5:$E$17,MATCH(P1272,'Category Rules'!$A$5:$A$17,0))))</f>
        <v>Scaffolding</v>
      </c>
      <c r="T1272" t="str">
        <f>IF(Q1272="DEP","BAS Excluded","GST on Income")</f>
        <v>GST on Income</v>
      </c>
      <c r="U1272">
        <f>IF(O1272=T1272,1,0)</f>
        <v>1</v>
      </c>
      <c r="V1272" s="9">
        <f>IF(OR(M1272=0,U1272=1),0,IF(T1272="GST on Income",ROUND(K1272*0.1,2),ROUND(-K1272*0.1,2)))</f>
        <v>0</v>
      </c>
    </row>
    <row r="1273">
      <c r="A1273" t="inlineStr">
        <is>
          <t>INV-5397-1</t>
        </is>
      </c>
      <c r="B1273" t="inlineStr">
        <is>
          <t>INV-5397</t>
        </is>
      </c>
      <c r="C1273" s="11" t="n">
        <v>46032</v>
      </c>
      <c r="D1273" t="inlineStr">
        <is>
          <t>2026-01</t>
        </is>
      </c>
      <c r="E1273" t="inlineStr">
        <is>
          <t>C0005</t>
        </is>
      </c>
      <c r="F1273" t="inlineStr">
        <is>
          <t>C0005</t>
        </is>
      </c>
      <c r="G1273" t="inlineStr">
        <is>
          <t>Fairway Developments</t>
        </is>
      </c>
      <c r="H1273" t="inlineStr">
        <is>
          <t>S0282</t>
        </is>
      </c>
      <c r="I1273" t="inlineStr">
        <is>
          <t>Scaffold tower hire 1 wks (09/01/26-09/01/26) - 1 towers</t>
        </is>
      </c>
      <c r="J1273" t="n">
        <v>1</v>
      </c>
      <c r="K1273" s="9" t="n">
        <v>95</v>
      </c>
      <c r="L1273" t="inlineStr">
        <is>
          <t>PAID</t>
        </is>
      </c>
      <c r="M1273">
        <f>IF(L1273="VOIDED",0,1)</f>
        <v>1</v>
      </c>
      <c r="N1273" t="n">
        <v>260</v>
      </c>
      <c r="O1273" t="inlineStr">
        <is>
          <t>GST on Income</t>
        </is>
      </c>
      <c r="P1273" t="inlineStr">
        <is>
          <t>R05</t>
        </is>
      </c>
      <c r="Q1273" t="inlineStr">
        <is>
          <t>HIRE-ST</t>
        </is>
      </c>
      <c r="R1273">
        <f>IF(OR(Q1273="CONTEXT",Q1273="REVIEW"),"",INDEX('Category Rules'!$D$5:$D$17,MATCH(P1273,'Category Rules'!$A$5:$A$17,0)))</f>
        <v>4010</v>
      </c>
      <c r="S1273" t="str">
        <f>IF(Q1273="CONTEXT","Scaffolding",IF(Q1273="REVIEW","",INDEX('Category Rules'!$E$5:$E$17,MATCH(P1273,'Category Rules'!$A$5:$A$17,0))))</f>
        <v>Scaffolding</v>
      </c>
      <c r="T1273" t="str">
        <f>IF(Q1273="DEP","BAS Excluded","GST on Income")</f>
        <v>GST on Income</v>
      </c>
      <c r="U1273">
        <f>IF(O1273=T1273,1,0)</f>
        <v>1</v>
      </c>
      <c r="V1273" s="9">
        <f>IF(OR(M1273=0,U1273=1),0,IF(T1273="GST on Income",ROUND(K1273*0.1,2),ROUND(-K1273*0.1,2)))</f>
        <v>0</v>
      </c>
    </row>
    <row r="1274">
      <c r="A1274" t="inlineStr">
        <is>
          <t>INV-5399-1</t>
        </is>
      </c>
      <c r="B1274" t="inlineStr">
        <is>
          <t>INV-5399</t>
        </is>
      </c>
      <c r="C1274" s="11" t="n">
        <v>46032</v>
      </c>
      <c r="D1274" t="inlineStr">
        <is>
          <t>2026-01</t>
        </is>
      </c>
      <c r="E1274" t="inlineStr">
        <is>
          <t>C0005</t>
        </is>
      </c>
      <c r="F1274" t="inlineStr">
        <is>
          <t>C0005</t>
        </is>
      </c>
      <c r="G1274" t="inlineStr">
        <is>
          <t>Fairway Developments</t>
        </is>
      </c>
      <c r="H1274" t="inlineStr">
        <is>
          <t>S0282</t>
        </is>
      </c>
      <c r="I1274" t="inlineStr">
        <is>
          <t>Scaffold dismantle - 1 tower(s)</t>
        </is>
      </c>
      <c r="J1274" t="n">
        <v>1</v>
      </c>
      <c r="K1274" s="9" t="n">
        <v>320</v>
      </c>
      <c r="L1274" t="inlineStr">
        <is>
          <t>PAID</t>
        </is>
      </c>
      <c r="M1274">
        <f>IF(L1274="VOIDED",0,1)</f>
        <v>1</v>
      </c>
      <c r="N1274" t="n">
        <v>200</v>
      </c>
      <c r="O1274" t="inlineStr">
        <is>
          <t>GST on Income</t>
        </is>
      </c>
      <c r="P1274" t="inlineStr">
        <is>
          <t>R08</t>
        </is>
      </c>
      <c r="Q1274" t="inlineStr">
        <is>
          <t>LAB-ST</t>
        </is>
      </c>
      <c r="R1274">
        <f>IF(OR(Q1274="CONTEXT",Q1274="REVIEW"),"",INDEX('Category Rules'!$D$5:$D$17,MATCH(P1274,'Category Rules'!$A$5:$A$17,0)))</f>
        <v>4020</v>
      </c>
      <c r="S1274" t="str">
        <f>IF(Q1274="CONTEXT","Scaffolding",IF(Q1274="REVIEW","",INDEX('Category Rules'!$E$5:$E$17,MATCH(P1274,'Category Rules'!$A$5:$A$17,0))))</f>
        <v>Scaffolding</v>
      </c>
      <c r="T1274" t="str">
        <f>IF(Q1274="DEP","BAS Excluded","GST on Income")</f>
        <v>GST on Income</v>
      </c>
      <c r="U1274">
        <f>IF(O1274=T1274,1,0)</f>
        <v>1</v>
      </c>
      <c r="V1274" s="9">
        <f>IF(OR(M1274=0,U1274=1),0,IF(T1274="GST on Income",ROUND(K1274*0.1,2),ROUND(-K1274*0.1,2)))</f>
        <v>0</v>
      </c>
    </row>
    <row r="1275">
      <c r="A1275" t="inlineStr">
        <is>
          <t>INV-5753-1</t>
        </is>
      </c>
      <c r="B1275" t="inlineStr">
        <is>
          <t>INV-5753</t>
        </is>
      </c>
      <c r="C1275" s="11" t="n">
        <v>46032</v>
      </c>
      <c r="D1275" t="inlineStr">
        <is>
          <t>2026-01</t>
        </is>
      </c>
      <c r="E1275" t="inlineStr">
        <is>
          <t>C0058</t>
        </is>
      </c>
      <c r="F1275" t="inlineStr">
        <is>
          <t>C0058</t>
        </is>
      </c>
      <c r="G1275" t="inlineStr">
        <is>
          <t>Summit Body Corporate Pty Ltd</t>
        </is>
      </c>
      <c r="H1275" t="inlineStr">
        <is>
          <t>S0461</t>
        </is>
      </c>
      <c r="I1275" t="inlineStr">
        <is>
          <t>Roof repair labour - 12 hrs</t>
        </is>
      </c>
      <c r="J1275" t="n">
        <v>12</v>
      </c>
      <c r="K1275" s="9" t="n">
        <v>1176</v>
      </c>
      <c r="L1275" t="inlineStr">
        <is>
          <t>PAID</t>
        </is>
      </c>
      <c r="M1275">
        <f>IF(L1275="VOIDED",0,1)</f>
        <v>1</v>
      </c>
      <c r="N1275" t="n">
        <v>200</v>
      </c>
      <c r="O1275" t="inlineStr">
        <is>
          <t>GST on Income</t>
        </is>
      </c>
      <c r="P1275" t="inlineStr">
        <is>
          <t>R10</t>
        </is>
      </c>
      <c r="Q1275" t="inlineStr">
        <is>
          <t>LAB-RF</t>
        </is>
      </c>
      <c r="R1275">
        <f>IF(OR(Q1275="CONTEXT",Q1275="REVIEW"),"",INDEX('Category Rules'!$D$5:$D$17,MATCH(P1275,'Category Rules'!$A$5:$A$17,0)))</f>
        <v>4020</v>
      </c>
      <c r="S1275" t="str">
        <f>IF(Q1275="CONTEXT","Roofing",IF(Q1275="REVIEW","",INDEX('Category Rules'!$E$5:$E$17,MATCH(P1275,'Category Rules'!$A$5:$A$17,0))))</f>
        <v>Roofing</v>
      </c>
      <c r="T1275" t="str">
        <f>IF(Q1275="DEP","BAS Excluded","GST on Income")</f>
        <v>GST on Income</v>
      </c>
      <c r="U1275">
        <f>IF(O1275=T1275,1,0)</f>
        <v>1</v>
      </c>
      <c r="V1275" s="9">
        <f>IF(OR(M1275=0,U1275=1),0,IF(T1275="GST on Income",ROUND(K1275*0.1,2),ROUND(-K1275*0.1,2)))</f>
        <v>0</v>
      </c>
    </row>
    <row r="1276">
      <c r="A1276" t="inlineStr">
        <is>
          <t>INV-5753-2</t>
        </is>
      </c>
      <c r="B1276" t="inlineStr">
        <is>
          <t>INV-5753</t>
        </is>
      </c>
      <c r="C1276" s="11" t="n">
        <v>46032</v>
      </c>
      <c r="D1276" t="inlineStr">
        <is>
          <t>2026-01</t>
        </is>
      </c>
      <c r="E1276" t="inlineStr">
        <is>
          <t>C0058</t>
        </is>
      </c>
      <c r="F1276" t="inlineStr">
        <is>
          <t>C0058</t>
        </is>
      </c>
      <c r="G1276" t="inlineStr">
        <is>
          <t>Summit Body Corporate Pty Ltd</t>
        </is>
      </c>
      <c r="H1276" t="inlineStr">
        <is>
          <t>S0461</t>
        </is>
      </c>
      <c r="I1276" t="inlineStr">
        <is>
          <t>Materials - sealant and fixings</t>
        </is>
      </c>
      <c r="J1276" t="n">
        <v>1</v>
      </c>
      <c r="K1276" s="9" t="n">
        <v>504.65</v>
      </c>
      <c r="L1276" t="inlineStr">
        <is>
          <t>PAID</t>
        </is>
      </c>
      <c r="M1276">
        <f>IF(L1276="VOIDED",0,1)</f>
        <v>1</v>
      </c>
      <c r="N1276" t="n">
        <v>200</v>
      </c>
      <c r="O1276" t="inlineStr">
        <is>
          <t>GST on Income</t>
        </is>
      </c>
      <c r="P1276" t="inlineStr">
        <is>
          <t>R11</t>
        </is>
      </c>
      <c r="Q1276" t="inlineStr">
        <is>
          <t>MAT-RF</t>
        </is>
      </c>
      <c r="R1276">
        <f>IF(OR(Q1276="CONTEXT",Q1276="REVIEW"),"",INDEX('Category Rules'!$D$5:$D$17,MATCH(P1276,'Category Rules'!$A$5:$A$17,0)))</f>
        <v>4030</v>
      </c>
      <c r="S1276" t="str">
        <f>IF(Q1276="CONTEXT","Roofing",IF(Q1276="REVIEW","",INDEX('Category Rules'!$E$5:$E$17,MATCH(P1276,'Category Rules'!$A$5:$A$17,0))))</f>
        <v>Roofing</v>
      </c>
      <c r="T1276" t="str">
        <f>IF(Q1276="DEP","BAS Excluded","GST on Income")</f>
        <v>GST on Income</v>
      </c>
      <c r="U1276">
        <f>IF(O1276=T1276,1,0)</f>
        <v>1</v>
      </c>
      <c r="V1276" s="9">
        <f>IF(OR(M1276=0,U1276=1),0,IF(T1276="GST on Income",ROUND(K1276*0.1,2),ROUND(-K1276*0.1,2)))</f>
        <v>0</v>
      </c>
    </row>
    <row r="1277">
      <c r="A1277" t="inlineStr">
        <is>
          <t>INV-5753-3</t>
        </is>
      </c>
      <c r="B1277" t="inlineStr">
        <is>
          <t>INV-5753</t>
        </is>
      </c>
      <c r="C1277" s="11" t="n">
        <v>46032</v>
      </c>
      <c r="D1277" t="inlineStr">
        <is>
          <t>2026-01</t>
        </is>
      </c>
      <c r="E1277" t="inlineStr">
        <is>
          <t>C0058</t>
        </is>
      </c>
      <c r="F1277" t="inlineStr">
        <is>
          <t>C0058</t>
        </is>
      </c>
      <c r="G1277" t="inlineStr">
        <is>
          <t>Summit Body Corporate Pty Ltd</t>
        </is>
      </c>
      <c r="H1277" t="inlineStr">
        <is>
          <t>S0461</t>
        </is>
      </c>
      <c r="I1277" t="inlineStr">
        <is>
          <t>Materials - gutter and downpipe</t>
        </is>
      </c>
      <c r="J1277" t="n">
        <v>1</v>
      </c>
      <c r="K1277" s="9" t="n">
        <v>620.7</v>
      </c>
      <c r="L1277" t="inlineStr">
        <is>
          <t>PAID</t>
        </is>
      </c>
      <c r="M1277">
        <f>IF(L1277="VOIDED",0,1)</f>
        <v>1</v>
      </c>
      <c r="N1277" t="n">
        <v>200</v>
      </c>
      <c r="O1277" t="inlineStr">
        <is>
          <t>BAS Excluded</t>
        </is>
      </c>
      <c r="P1277" t="inlineStr">
        <is>
          <t>R11</t>
        </is>
      </c>
      <c r="Q1277" t="inlineStr">
        <is>
          <t>MAT-RF</t>
        </is>
      </c>
      <c r="R1277">
        <f>IF(OR(Q1277="CONTEXT",Q1277="REVIEW"),"",INDEX('Category Rules'!$D$5:$D$17,MATCH(P1277,'Category Rules'!$A$5:$A$17,0)))</f>
        <v>4030</v>
      </c>
      <c r="S1277" t="str">
        <f>IF(Q1277="CONTEXT","Roofing",IF(Q1277="REVIEW","",INDEX('Category Rules'!$E$5:$E$17,MATCH(P1277,'Category Rules'!$A$5:$A$17,0))))</f>
        <v>Roofing</v>
      </c>
      <c r="T1277" t="str">
        <f>IF(Q1277="DEP","BAS Excluded","GST on Income")</f>
        <v>GST on Income</v>
      </c>
      <c r="U1277">
        <f>IF(O1277=T1277,1,0)</f>
        <v>0</v>
      </c>
      <c r="V1277" s="9">
        <f>IF(OR(M1277=0,U1277=1),0,IF(T1277="GST on Income",ROUND(K1277*0.1,2),ROUND(-K1277*0.1,2)))</f>
        <v>62.07</v>
      </c>
    </row>
    <row r="1278">
      <c r="A1278" t="inlineStr">
        <is>
          <t>INV-5753-4</t>
        </is>
      </c>
      <c r="B1278" t="inlineStr">
        <is>
          <t>INV-5753</t>
        </is>
      </c>
      <c r="C1278" s="11" t="n">
        <v>46032</v>
      </c>
      <c r="D1278" t="inlineStr">
        <is>
          <t>2026-01</t>
        </is>
      </c>
      <c r="E1278" t="inlineStr">
        <is>
          <t>C0058</t>
        </is>
      </c>
      <c r="F1278" t="inlineStr">
        <is>
          <t>C0058</t>
        </is>
      </c>
      <c r="G1278" t="inlineStr">
        <is>
          <t>Summit Body Corporate Pty Ltd</t>
        </is>
      </c>
      <c r="H1278" t="inlineStr">
        <is>
          <t>S0461</t>
        </is>
      </c>
      <c r="I1278" t="inlineStr">
        <is>
          <t>Materials - ridge capping</t>
        </is>
      </c>
      <c r="J1278" t="n">
        <v>1</v>
      </c>
      <c r="K1278" s="9" t="n">
        <v>885.72</v>
      </c>
      <c r="L1278" t="inlineStr">
        <is>
          <t>PAID</t>
        </is>
      </c>
      <c r="M1278">
        <f>IF(L1278="VOIDED",0,1)</f>
        <v>1</v>
      </c>
      <c r="N1278" t="n">
        <v>200</v>
      </c>
      <c r="O1278" t="inlineStr">
        <is>
          <t>GST on Income</t>
        </is>
      </c>
      <c r="P1278" t="inlineStr">
        <is>
          <t>R11</t>
        </is>
      </c>
      <c r="Q1278" t="inlineStr">
        <is>
          <t>MAT-RF</t>
        </is>
      </c>
      <c r="R1278">
        <f>IF(OR(Q1278="CONTEXT",Q1278="REVIEW"),"",INDEX('Category Rules'!$D$5:$D$17,MATCH(P1278,'Category Rules'!$A$5:$A$17,0)))</f>
        <v>4030</v>
      </c>
      <c r="S1278" t="str">
        <f>IF(Q1278="CONTEXT","Roofing",IF(Q1278="REVIEW","",INDEX('Category Rules'!$E$5:$E$17,MATCH(P1278,'Category Rules'!$A$5:$A$17,0))))</f>
        <v>Roofing</v>
      </c>
      <c r="T1278" t="str">
        <f>IF(Q1278="DEP","BAS Excluded","GST on Income")</f>
        <v>GST on Income</v>
      </c>
      <c r="U1278">
        <f>IF(O1278=T1278,1,0)</f>
        <v>1</v>
      </c>
      <c r="V1278" s="9">
        <f>IF(OR(M1278=0,U1278=1),0,IF(T1278="GST on Income",ROUND(K1278*0.1,2),ROUND(-K1278*0.1,2)))</f>
        <v>0</v>
      </c>
    </row>
    <row r="1279">
      <c r="A1279" t="inlineStr">
        <is>
          <t>INV-5811-1</t>
        </is>
      </c>
      <c r="B1279" t="inlineStr">
        <is>
          <t>INV-5811</t>
        </is>
      </c>
      <c r="C1279" s="11" t="n">
        <v>46032</v>
      </c>
      <c r="D1279" t="inlineStr">
        <is>
          <t>2026-01</t>
        </is>
      </c>
      <c r="E1279" t="inlineStr">
        <is>
          <t>C0040</t>
        </is>
      </c>
      <c r="F1279" t="inlineStr">
        <is>
          <t>C0040</t>
        </is>
      </c>
      <c r="G1279" t="inlineStr">
        <is>
          <t>Coastline Projects Pty Ltd</t>
        </is>
      </c>
      <c r="H1279" t="inlineStr">
        <is>
          <t>S0496</t>
        </is>
      </c>
      <c r="I1279" t="inlineStr">
        <is>
          <t>Make safe call-out</t>
        </is>
      </c>
      <c r="J1279" t="n">
        <v>1</v>
      </c>
      <c r="K1279" s="9" t="n">
        <v>385</v>
      </c>
      <c r="L1279" t="inlineStr">
        <is>
          <t>PAID</t>
        </is>
      </c>
      <c r="M1279">
        <f>IF(L1279="VOIDED",0,1)</f>
        <v>1</v>
      </c>
      <c r="N1279" t="n">
        <v>200</v>
      </c>
      <c r="O1279" t="inlineStr">
        <is>
          <t>GST on Income</t>
        </is>
      </c>
      <c r="P1279" t="inlineStr">
        <is>
          <t>R09</t>
        </is>
      </c>
      <c r="Q1279" t="inlineStr">
        <is>
          <t>MS</t>
        </is>
      </c>
      <c r="R1279">
        <f>IF(OR(Q1279="CONTEXT",Q1279="REVIEW"),"",INDEX('Category Rules'!$D$5:$D$17,MATCH(P1279,'Category Rules'!$A$5:$A$17,0)))</f>
        <v>4020</v>
      </c>
      <c r="S1279" t="str">
        <f>IF(Q1279="CONTEXT","Make-safe",IF(Q1279="REVIEW","",INDEX('Category Rules'!$E$5:$E$17,MATCH(P1279,'Category Rules'!$A$5:$A$17,0))))</f>
        <v>Make-safe</v>
      </c>
      <c r="T1279" t="str">
        <f>IF(Q1279="DEP","BAS Excluded","GST on Income")</f>
        <v>GST on Income</v>
      </c>
      <c r="U1279">
        <f>IF(O1279=T1279,1,0)</f>
        <v>1</v>
      </c>
      <c r="V1279" s="9">
        <f>IF(OR(M1279=0,U1279=1),0,IF(T1279="GST on Income",ROUND(K1279*0.1,2),ROUND(-K1279*0.1,2)))</f>
        <v>0</v>
      </c>
    </row>
    <row r="1280">
      <c r="A1280" t="inlineStr">
        <is>
          <t>INV-5811-2</t>
        </is>
      </c>
      <c r="B1280" t="inlineStr">
        <is>
          <t>INV-5811</t>
        </is>
      </c>
      <c r="C1280" s="11" t="n">
        <v>46032</v>
      </c>
      <c r="D1280" t="inlineStr">
        <is>
          <t>2026-01</t>
        </is>
      </c>
      <c r="E1280" t="inlineStr">
        <is>
          <t>C0040</t>
        </is>
      </c>
      <c r="F1280" t="inlineStr">
        <is>
          <t>C0040</t>
        </is>
      </c>
      <c r="G1280" t="inlineStr">
        <is>
          <t>Coastline Projects Pty Ltd</t>
        </is>
      </c>
      <c r="H1280" t="inlineStr">
        <is>
          <t>S0496</t>
        </is>
      </c>
      <c r="I1280" t="inlineStr">
        <is>
          <t>Tarp supply and install - 1 tarp(s)</t>
        </is>
      </c>
      <c r="J1280" t="n">
        <v>1</v>
      </c>
      <c r="K1280" s="9" t="n">
        <v>240</v>
      </c>
      <c r="L1280" t="inlineStr">
        <is>
          <t>PAID</t>
        </is>
      </c>
      <c r="M1280">
        <f>IF(L1280="VOIDED",0,1)</f>
        <v>1</v>
      </c>
      <c r="N1280" t="n">
        <v>260</v>
      </c>
      <c r="O1280" t="inlineStr">
        <is>
          <t>GST on Income</t>
        </is>
      </c>
      <c r="P1280" t="inlineStr">
        <is>
          <t>R09</t>
        </is>
      </c>
      <c r="Q1280" t="inlineStr">
        <is>
          <t>MS</t>
        </is>
      </c>
      <c r="R1280">
        <f>IF(OR(Q1280="CONTEXT",Q1280="REVIEW"),"",INDEX('Category Rules'!$D$5:$D$17,MATCH(P1280,'Category Rules'!$A$5:$A$17,0)))</f>
        <v>4020</v>
      </c>
      <c r="S1280" t="str">
        <f>IF(Q1280="CONTEXT","Make-safe",IF(Q1280="REVIEW","",INDEX('Category Rules'!$E$5:$E$17,MATCH(P1280,'Category Rules'!$A$5:$A$17,0))))</f>
        <v>Make-safe</v>
      </c>
      <c r="T1280" t="str">
        <f>IF(Q1280="DEP","BAS Excluded","GST on Income")</f>
        <v>GST on Income</v>
      </c>
      <c r="U1280">
        <f>IF(O1280=T1280,1,0)</f>
        <v>1</v>
      </c>
      <c r="V1280" s="9">
        <f>IF(OR(M1280=0,U1280=1),0,IF(T1280="GST on Income",ROUND(K1280*0.1,2),ROUND(-K1280*0.1,2)))</f>
        <v>0</v>
      </c>
    </row>
    <row r="1281">
      <c r="A1281" t="inlineStr">
        <is>
          <t>INV-5876-1</t>
        </is>
      </c>
      <c r="B1281" t="inlineStr">
        <is>
          <t>INV-5876</t>
        </is>
      </c>
      <c r="C1281" s="11" t="n">
        <v>46032</v>
      </c>
      <c r="D1281" t="inlineStr">
        <is>
          <t>2026-01</t>
        </is>
      </c>
      <c r="E1281" t="inlineStr">
        <is>
          <t>C0137</t>
        </is>
      </c>
      <c r="F1281" t="inlineStr">
        <is>
          <t>C0062</t>
        </is>
      </c>
      <c r="G1281" t="inlineStr">
        <is>
          <t>Wattle Insurance Repairs Pty Ltd</t>
        </is>
      </c>
      <c r="H1281" t="inlineStr">
        <is>
          <t>S0536</t>
        </is>
      </c>
      <c r="I1281" t="inlineStr">
        <is>
          <t>Roof repair labour - 16 hrs</t>
        </is>
      </c>
      <c r="J1281" t="n">
        <v>16</v>
      </c>
      <c r="K1281" s="9" t="n">
        <v>1568</v>
      </c>
      <c r="L1281" t="inlineStr">
        <is>
          <t>PAID</t>
        </is>
      </c>
      <c r="M1281">
        <f>IF(L1281="VOIDED",0,1)</f>
        <v>1</v>
      </c>
      <c r="N1281" t="n">
        <v>260</v>
      </c>
      <c r="O1281" t="inlineStr">
        <is>
          <t>GST on Income</t>
        </is>
      </c>
      <c r="P1281" t="inlineStr">
        <is>
          <t>R10</t>
        </is>
      </c>
      <c r="Q1281" t="inlineStr">
        <is>
          <t>LAB-RF</t>
        </is>
      </c>
      <c r="R1281">
        <f>IF(OR(Q1281="CONTEXT",Q1281="REVIEW"),"",INDEX('Category Rules'!$D$5:$D$17,MATCH(P1281,'Category Rules'!$A$5:$A$17,0)))</f>
        <v>4020</v>
      </c>
      <c r="S1281" t="str">
        <f>IF(Q1281="CONTEXT","Roofing",IF(Q1281="REVIEW","",INDEX('Category Rules'!$E$5:$E$17,MATCH(P1281,'Category Rules'!$A$5:$A$17,0))))</f>
        <v>Roofing</v>
      </c>
      <c r="T1281" t="str">
        <f>IF(Q1281="DEP","BAS Excluded","GST on Income")</f>
        <v>GST on Income</v>
      </c>
      <c r="U1281">
        <f>IF(O1281=T1281,1,0)</f>
        <v>1</v>
      </c>
      <c r="V1281" s="9">
        <f>IF(OR(M1281=0,U1281=1),0,IF(T1281="GST on Income",ROUND(K1281*0.1,2),ROUND(-K1281*0.1,2)))</f>
        <v>0</v>
      </c>
    </row>
    <row r="1282">
      <c r="A1282" t="inlineStr">
        <is>
          <t>INV-5876-2</t>
        </is>
      </c>
      <c r="B1282" t="inlineStr">
        <is>
          <t>INV-5876</t>
        </is>
      </c>
      <c r="C1282" s="11" t="n">
        <v>46032</v>
      </c>
      <c r="D1282" t="inlineStr">
        <is>
          <t>2026-01</t>
        </is>
      </c>
      <c r="E1282" t="inlineStr">
        <is>
          <t>C0137</t>
        </is>
      </c>
      <c r="F1282" t="inlineStr">
        <is>
          <t>C0062</t>
        </is>
      </c>
      <c r="G1282" t="inlineStr">
        <is>
          <t>Wattle Insurance Repairs Pty Ltd</t>
        </is>
      </c>
      <c r="H1282" t="inlineStr">
        <is>
          <t>S0536</t>
        </is>
      </c>
      <c r="I1282" t="inlineStr">
        <is>
          <t>Materials - roof tiles (matched)</t>
        </is>
      </c>
      <c r="J1282" t="n">
        <v>1</v>
      </c>
      <c r="K1282" s="9" t="n">
        <v>897.02</v>
      </c>
      <c r="L1282" t="inlineStr">
        <is>
          <t>PAID</t>
        </is>
      </c>
      <c r="M1282">
        <f>IF(L1282="VOIDED",0,1)</f>
        <v>1</v>
      </c>
      <c r="N1282" t="n">
        <v>200</v>
      </c>
      <c r="O1282" t="inlineStr">
        <is>
          <t>GST on Income</t>
        </is>
      </c>
      <c r="P1282" t="inlineStr">
        <is>
          <t>R11</t>
        </is>
      </c>
      <c r="Q1282" t="inlineStr">
        <is>
          <t>MAT-RF</t>
        </is>
      </c>
      <c r="R1282">
        <f>IF(OR(Q1282="CONTEXT",Q1282="REVIEW"),"",INDEX('Category Rules'!$D$5:$D$17,MATCH(P1282,'Category Rules'!$A$5:$A$17,0)))</f>
        <v>4030</v>
      </c>
      <c r="S1282" t="str">
        <f>IF(Q1282="CONTEXT","Roofing",IF(Q1282="REVIEW","",INDEX('Category Rules'!$E$5:$E$17,MATCH(P1282,'Category Rules'!$A$5:$A$17,0))))</f>
        <v>Roofing</v>
      </c>
      <c r="T1282" t="str">
        <f>IF(Q1282="DEP","BAS Excluded","GST on Income")</f>
        <v>GST on Income</v>
      </c>
      <c r="U1282">
        <f>IF(O1282=T1282,1,0)</f>
        <v>1</v>
      </c>
      <c r="V1282" s="9">
        <f>IF(OR(M1282=0,U1282=1),0,IF(T1282="GST on Income",ROUND(K1282*0.1,2),ROUND(-K1282*0.1,2)))</f>
        <v>0</v>
      </c>
    </row>
    <row r="1283">
      <c r="A1283" t="inlineStr">
        <is>
          <t>INV-5876-3</t>
        </is>
      </c>
      <c r="B1283" t="inlineStr">
        <is>
          <t>INV-5876</t>
        </is>
      </c>
      <c r="C1283" s="11" t="n">
        <v>46032</v>
      </c>
      <c r="D1283" t="inlineStr">
        <is>
          <t>2026-01</t>
        </is>
      </c>
      <c r="E1283" t="inlineStr">
        <is>
          <t>C0137</t>
        </is>
      </c>
      <c r="F1283" t="inlineStr">
        <is>
          <t>C0062</t>
        </is>
      </c>
      <c r="G1283" t="inlineStr">
        <is>
          <t>Wattle Insurance Repairs Pty Ltd</t>
        </is>
      </c>
      <c r="H1283" t="inlineStr">
        <is>
          <t>S0536</t>
        </is>
      </c>
      <c r="I1283" t="inlineStr">
        <is>
          <t>Materials - Colorbond sheet</t>
        </is>
      </c>
      <c r="J1283" t="n">
        <v>1</v>
      </c>
      <c r="K1283" s="9" t="n">
        <v>1138.84</v>
      </c>
      <c r="L1283" t="inlineStr">
        <is>
          <t>PAID</t>
        </is>
      </c>
      <c r="M1283">
        <f>IF(L1283="VOIDED",0,1)</f>
        <v>1</v>
      </c>
      <c r="N1283" t="n">
        <v>200</v>
      </c>
      <c r="O1283" t="inlineStr">
        <is>
          <t>GST on Income</t>
        </is>
      </c>
      <c r="P1283" t="inlineStr">
        <is>
          <t>R11</t>
        </is>
      </c>
      <c r="Q1283" t="inlineStr">
        <is>
          <t>MAT-RF</t>
        </is>
      </c>
      <c r="R1283">
        <f>IF(OR(Q1283="CONTEXT",Q1283="REVIEW"),"",INDEX('Category Rules'!$D$5:$D$17,MATCH(P1283,'Category Rules'!$A$5:$A$17,0)))</f>
        <v>4030</v>
      </c>
      <c r="S1283" t="str">
        <f>IF(Q1283="CONTEXT","Roofing",IF(Q1283="REVIEW","",INDEX('Category Rules'!$E$5:$E$17,MATCH(P1283,'Category Rules'!$A$5:$A$17,0))))</f>
        <v>Roofing</v>
      </c>
      <c r="T1283" t="str">
        <f>IF(Q1283="DEP","BAS Excluded","GST on Income")</f>
        <v>GST on Income</v>
      </c>
      <c r="U1283">
        <f>IF(O1283=T1283,1,0)</f>
        <v>1</v>
      </c>
      <c r="V1283" s="9">
        <f>IF(OR(M1283=0,U1283=1),0,IF(T1283="GST on Income",ROUND(K1283*0.1,2),ROUND(-K1283*0.1,2)))</f>
        <v>0</v>
      </c>
    </row>
    <row r="1284">
      <c r="A1284" t="inlineStr">
        <is>
          <t>INV-5876-4</t>
        </is>
      </c>
      <c r="B1284" t="inlineStr">
        <is>
          <t>INV-5876</t>
        </is>
      </c>
      <c r="C1284" s="11" t="n">
        <v>46032</v>
      </c>
      <c r="D1284" t="inlineStr">
        <is>
          <t>2026-01</t>
        </is>
      </c>
      <c r="E1284" t="inlineStr">
        <is>
          <t>C0137</t>
        </is>
      </c>
      <c r="F1284" t="inlineStr">
        <is>
          <t>C0062</t>
        </is>
      </c>
      <c r="G1284" t="inlineStr">
        <is>
          <t>Wattle Insurance Repairs Pty Ltd</t>
        </is>
      </c>
      <c r="H1284" t="inlineStr">
        <is>
          <t>S0536</t>
        </is>
      </c>
      <c r="I1284" t="inlineStr">
        <is>
          <t>Materials - flashing</t>
        </is>
      </c>
      <c r="J1284" t="n">
        <v>1</v>
      </c>
      <c r="K1284" s="9" t="n">
        <v>1012.59</v>
      </c>
      <c r="L1284" t="inlineStr">
        <is>
          <t>PAID</t>
        </is>
      </c>
      <c r="M1284">
        <f>IF(L1284="VOIDED",0,1)</f>
        <v>1</v>
      </c>
      <c r="N1284" t="n">
        <v>200</v>
      </c>
      <c r="O1284" t="inlineStr">
        <is>
          <t>GST on Income</t>
        </is>
      </c>
      <c r="P1284" t="inlineStr">
        <is>
          <t>R11</t>
        </is>
      </c>
      <c r="Q1284" t="inlineStr">
        <is>
          <t>MAT-RF</t>
        </is>
      </c>
      <c r="R1284">
        <f>IF(OR(Q1284="CONTEXT",Q1284="REVIEW"),"",INDEX('Category Rules'!$D$5:$D$17,MATCH(P1284,'Category Rules'!$A$5:$A$17,0)))</f>
        <v>4030</v>
      </c>
      <c r="S1284" t="str">
        <f>IF(Q1284="CONTEXT","Roofing",IF(Q1284="REVIEW","",INDEX('Category Rules'!$E$5:$E$17,MATCH(P1284,'Category Rules'!$A$5:$A$17,0))))</f>
        <v>Roofing</v>
      </c>
      <c r="T1284" t="str">
        <f>IF(Q1284="DEP","BAS Excluded","GST on Income")</f>
        <v>GST on Income</v>
      </c>
      <c r="U1284">
        <f>IF(O1284=T1284,1,0)</f>
        <v>1</v>
      </c>
      <c r="V1284" s="9">
        <f>IF(OR(M1284=0,U1284=1),0,IF(T1284="GST on Income",ROUND(K1284*0.1,2),ROUND(-K1284*0.1,2)))</f>
        <v>0</v>
      </c>
    </row>
    <row r="1285">
      <c r="A1285" t="inlineStr">
        <is>
          <t>INV-4283-1</t>
        </is>
      </c>
      <c r="B1285" t="inlineStr">
        <is>
          <t>INV-4283</t>
        </is>
      </c>
      <c r="C1285" s="11" t="n">
        <v>46033</v>
      </c>
      <c r="D1285" t="inlineStr">
        <is>
          <t>2026-01</t>
        </is>
      </c>
      <c r="E1285" t="inlineStr">
        <is>
          <t>C0015</t>
        </is>
      </c>
      <c r="F1285" t="inlineStr">
        <is>
          <t>C0015</t>
        </is>
      </c>
      <c r="G1285" t="inlineStr">
        <is>
          <t>Bluegum Building Group</t>
        </is>
      </c>
      <c r="H1285" t="inlineStr">
        <is>
          <t>S0038</t>
        </is>
      </c>
      <c r="I1285" t="inlineStr">
        <is>
          <t>Temporary fence hire 4 wks (14/12/25-10/01/26) - 137 panels</t>
        </is>
      </c>
      <c r="J1285" t="n">
        <v>548</v>
      </c>
      <c r="K1285" s="9" t="n">
        <v>2466</v>
      </c>
      <c r="L1285" t="inlineStr">
        <is>
          <t>PAID</t>
        </is>
      </c>
      <c r="M1285">
        <f>IF(L1285="VOIDED",0,1)</f>
        <v>1</v>
      </c>
      <c r="N1285" t="n">
        <v>200</v>
      </c>
      <c r="O1285" t="inlineStr">
        <is>
          <t>GST on Income</t>
        </is>
      </c>
      <c r="P1285" t="inlineStr">
        <is>
          <t>R03</t>
        </is>
      </c>
      <c r="Q1285" t="inlineStr">
        <is>
          <t>HIRE-FP</t>
        </is>
      </c>
      <c r="R1285">
        <f>IF(OR(Q1285="CONTEXT",Q1285="REVIEW"),"",INDEX('Category Rules'!$D$5:$D$17,MATCH(P1285,'Category Rules'!$A$5:$A$17,0)))</f>
        <v>4010</v>
      </c>
      <c r="S1285" t="str">
        <f>IF(Q1285="CONTEXT","Fencing",IF(Q1285="REVIEW","",INDEX('Category Rules'!$E$5:$E$17,MATCH(P1285,'Category Rules'!$A$5:$A$17,0))))</f>
        <v>Fencing</v>
      </c>
      <c r="T1285" t="str">
        <f>IF(Q1285="DEP","BAS Excluded","GST on Income")</f>
        <v>GST on Income</v>
      </c>
      <c r="U1285">
        <f>IF(O1285=T1285,1,0)</f>
        <v>1</v>
      </c>
      <c r="V1285" s="9">
        <f>IF(OR(M1285=0,U1285=1),0,IF(T1285="GST on Income",ROUND(K1285*0.1,2),ROUND(-K1285*0.1,2)))</f>
        <v>0</v>
      </c>
    </row>
    <row r="1286">
      <c r="A1286" t="inlineStr">
        <is>
          <t>INV-4288-1</t>
        </is>
      </c>
      <c r="B1286" t="inlineStr">
        <is>
          <t>INV-4288</t>
        </is>
      </c>
      <c r="C1286" s="11" t="n">
        <v>46033</v>
      </c>
      <c r="D1286" t="inlineStr">
        <is>
          <t>2026-01</t>
        </is>
      </c>
      <c r="E1286" t="inlineStr">
        <is>
          <t>C0015</t>
        </is>
      </c>
      <c r="F1286" t="inlineStr">
        <is>
          <t>C0015</t>
        </is>
      </c>
      <c r="G1286" t="inlineStr">
        <is>
          <t>Bluegum Building Group</t>
        </is>
      </c>
      <c r="H1286" t="inlineStr">
        <is>
          <t>S0038</t>
        </is>
      </c>
      <c r="I1286" t="inlineStr">
        <is>
          <t>Pedestrian barrier hire 4 wks (14/12/25-10/01/26) - 20 barriers</t>
        </is>
      </c>
      <c r="J1286" t="n">
        <v>80</v>
      </c>
      <c r="K1286" s="9" t="n">
        <v>256</v>
      </c>
      <c r="L1286" t="inlineStr">
        <is>
          <t>PAID</t>
        </is>
      </c>
      <c r="M1286">
        <f>IF(L1286="VOIDED",0,1)</f>
        <v>1</v>
      </c>
      <c r="N1286" t="n">
        <v>200</v>
      </c>
      <c r="O1286" t="inlineStr">
        <is>
          <t>GST on Income</t>
        </is>
      </c>
      <c r="P1286" t="inlineStr">
        <is>
          <t>R04</t>
        </is>
      </c>
      <c r="Q1286" t="inlineStr">
        <is>
          <t>HIRE-BR</t>
        </is>
      </c>
      <c r="R1286">
        <f>IF(OR(Q1286="CONTEXT",Q1286="REVIEW"),"",INDEX('Category Rules'!$D$5:$D$17,MATCH(P1286,'Category Rules'!$A$5:$A$17,0)))</f>
        <v>4010</v>
      </c>
      <c r="S1286" t="str">
        <f>IF(Q1286="CONTEXT","Fencing",IF(Q1286="REVIEW","",INDEX('Category Rules'!$E$5:$E$17,MATCH(P1286,'Category Rules'!$A$5:$A$17,0))))</f>
        <v>Fencing</v>
      </c>
      <c r="T1286" t="str">
        <f>IF(Q1286="DEP","BAS Excluded","GST on Income")</f>
        <v>GST on Income</v>
      </c>
      <c r="U1286">
        <f>IF(O1286=T1286,1,0)</f>
        <v>1</v>
      </c>
      <c r="V1286" s="9">
        <f>IF(OR(M1286=0,U1286=1),0,IF(T1286="GST on Income",ROUND(K1286*0.1,2),ROUND(-K1286*0.1,2)))</f>
        <v>0</v>
      </c>
    </row>
    <row r="1287">
      <c r="A1287" t="inlineStr">
        <is>
          <t>INV-4290-1</t>
        </is>
      </c>
      <c r="B1287" t="inlineStr">
        <is>
          <t>INV-4290</t>
        </is>
      </c>
      <c r="C1287" s="11" t="n">
        <v>46033</v>
      </c>
      <c r="D1287" t="inlineStr">
        <is>
          <t>2026-01</t>
        </is>
      </c>
      <c r="E1287" t="inlineStr">
        <is>
          <t>C0015</t>
        </is>
      </c>
      <c r="F1287" t="inlineStr">
        <is>
          <t>C0015</t>
        </is>
      </c>
      <c r="G1287" t="inlineStr">
        <is>
          <t>Bluegum Building Group</t>
        </is>
      </c>
      <c r="H1287" t="inlineStr">
        <is>
          <t>S0038</t>
        </is>
      </c>
      <c r="I1287" t="inlineStr">
        <is>
          <t>Collection and dismantle - temporary fencing</t>
        </is>
      </c>
      <c r="J1287" t="n">
        <v>1</v>
      </c>
      <c r="K1287" s="9" t="n">
        <v>165</v>
      </c>
      <c r="L1287" t="inlineStr">
        <is>
          <t>PAID</t>
        </is>
      </c>
      <c r="M1287">
        <f>IF(L1287="VOIDED",0,1)</f>
        <v>1</v>
      </c>
      <c r="N1287" t="n">
        <v>200</v>
      </c>
      <c r="O1287" t="inlineStr">
        <is>
          <t>GST on Income</t>
        </is>
      </c>
      <c r="P1287" t="inlineStr">
        <is>
          <t>R07</t>
        </is>
      </c>
      <c r="Q1287" t="inlineStr">
        <is>
          <t>DEL-FP</t>
        </is>
      </c>
      <c r="R1287">
        <f>IF(OR(Q1287="CONTEXT",Q1287="REVIEW"),"",INDEX('Category Rules'!$D$5:$D$17,MATCH(P1287,'Category Rules'!$A$5:$A$17,0)))</f>
        <v>4020</v>
      </c>
      <c r="S1287" t="str">
        <f>IF(Q1287="CONTEXT","Fencing",IF(Q1287="REVIEW","",INDEX('Category Rules'!$E$5:$E$17,MATCH(P1287,'Category Rules'!$A$5:$A$17,0))))</f>
        <v>Fencing</v>
      </c>
      <c r="T1287" t="str">
        <f>IF(Q1287="DEP","BAS Excluded","GST on Income")</f>
        <v>GST on Income</v>
      </c>
      <c r="U1287">
        <f>IF(O1287=T1287,1,0)</f>
        <v>1</v>
      </c>
      <c r="V1287" s="9">
        <f>IF(OR(M1287=0,U1287=1),0,IF(T1287="GST on Income",ROUND(K1287*0.1,2),ROUND(-K1287*0.1,2)))</f>
        <v>0</v>
      </c>
    </row>
    <row r="1288">
      <c r="A1288" t="inlineStr">
        <is>
          <t>INV-4571-1</t>
        </is>
      </c>
      <c r="B1288" t="inlineStr">
        <is>
          <t>INV-4571</t>
        </is>
      </c>
      <c r="C1288" s="11" t="n">
        <v>46033</v>
      </c>
      <c r="D1288" t="inlineStr">
        <is>
          <t>2026-01</t>
        </is>
      </c>
      <c r="E1288" t="inlineStr">
        <is>
          <t>C0143</t>
        </is>
      </c>
      <c r="F1288" t="inlineStr">
        <is>
          <t>C0043</t>
        </is>
      </c>
      <c r="G1288" t="inlineStr">
        <is>
          <t>Banksia Projects Pty Ltd</t>
        </is>
      </c>
      <c r="H1288" t="inlineStr">
        <is>
          <t>S0095</t>
        </is>
      </c>
      <c r="I1288" t="inlineStr">
        <is>
          <t>Temporary fence hire 4 wks (14/12/25-10/01/26) - 129 panels</t>
        </is>
      </c>
      <c r="J1288" t="n">
        <v>516</v>
      </c>
      <c r="K1288" s="9" t="n">
        <v>2322</v>
      </c>
      <c r="L1288" t="inlineStr">
        <is>
          <t>PAID</t>
        </is>
      </c>
      <c r="M1288">
        <f>IF(L1288="VOIDED",0,1)</f>
        <v>1</v>
      </c>
      <c r="N1288" t="n">
        <v>200</v>
      </c>
      <c r="O1288" t="inlineStr">
        <is>
          <t>GST on Income</t>
        </is>
      </c>
      <c r="P1288" t="inlineStr">
        <is>
          <t>R03</t>
        </is>
      </c>
      <c r="Q1288" t="inlineStr">
        <is>
          <t>HIRE-FP</t>
        </is>
      </c>
      <c r="R1288">
        <f>IF(OR(Q1288="CONTEXT",Q1288="REVIEW"),"",INDEX('Category Rules'!$D$5:$D$17,MATCH(P1288,'Category Rules'!$A$5:$A$17,0)))</f>
        <v>4010</v>
      </c>
      <c r="S1288" t="str">
        <f>IF(Q1288="CONTEXT","Fencing",IF(Q1288="REVIEW","",INDEX('Category Rules'!$E$5:$E$17,MATCH(P1288,'Category Rules'!$A$5:$A$17,0))))</f>
        <v>Fencing</v>
      </c>
      <c r="T1288" t="str">
        <f>IF(Q1288="DEP","BAS Excluded","GST on Income")</f>
        <v>GST on Income</v>
      </c>
      <c r="U1288">
        <f>IF(O1288=T1288,1,0)</f>
        <v>1</v>
      </c>
      <c r="V1288" s="9">
        <f>IF(OR(M1288=0,U1288=1),0,IF(T1288="GST on Income",ROUND(K1288*0.1,2),ROUND(-K1288*0.1,2)))</f>
        <v>0</v>
      </c>
    </row>
    <row r="1289">
      <c r="A1289" t="inlineStr">
        <is>
          <t>INV-5102-1</t>
        </is>
      </c>
      <c r="B1289" t="inlineStr">
        <is>
          <t>INV-5102</t>
        </is>
      </c>
      <c r="C1289" s="11" t="n">
        <v>46033</v>
      </c>
      <c r="D1289" t="inlineStr">
        <is>
          <t>2026-01</t>
        </is>
      </c>
      <c r="E1289" t="inlineStr">
        <is>
          <t>C0002</t>
        </is>
      </c>
      <c r="F1289" t="inlineStr">
        <is>
          <t>C0002</t>
        </is>
      </c>
      <c r="G1289" t="inlineStr">
        <is>
          <t>Summit Building Group</t>
        </is>
      </c>
      <c r="H1289" t="inlineStr">
        <is>
          <t>S0215</t>
        </is>
      </c>
      <c r="I1289" t="inlineStr">
        <is>
          <t>Temporary fence hire 2 wks (28/12/25-10/01/26) - 91 panels</t>
        </is>
      </c>
      <c r="J1289" t="n">
        <v>182</v>
      </c>
      <c r="K1289" s="9" t="n">
        <v>819</v>
      </c>
      <c r="L1289" t="inlineStr">
        <is>
          <t>PAID</t>
        </is>
      </c>
      <c r="M1289">
        <f>IF(L1289="VOIDED",0,1)</f>
        <v>1</v>
      </c>
      <c r="N1289" t="n">
        <v>200</v>
      </c>
      <c r="O1289" t="inlineStr">
        <is>
          <t>GST on Income</t>
        </is>
      </c>
      <c r="P1289" t="inlineStr">
        <is>
          <t>R03</t>
        </is>
      </c>
      <c r="Q1289" t="inlineStr">
        <is>
          <t>HIRE-FP</t>
        </is>
      </c>
      <c r="R1289">
        <f>IF(OR(Q1289="CONTEXT",Q1289="REVIEW"),"",INDEX('Category Rules'!$D$5:$D$17,MATCH(P1289,'Category Rules'!$A$5:$A$17,0)))</f>
        <v>4010</v>
      </c>
      <c r="S1289" t="str">
        <f>IF(Q1289="CONTEXT","Fencing",IF(Q1289="REVIEW","",INDEX('Category Rules'!$E$5:$E$17,MATCH(P1289,'Category Rules'!$A$5:$A$17,0))))</f>
        <v>Fencing</v>
      </c>
      <c r="T1289" t="str">
        <f>IF(Q1289="DEP","BAS Excluded","GST on Income")</f>
        <v>GST on Income</v>
      </c>
      <c r="U1289">
        <f>IF(O1289=T1289,1,0)</f>
        <v>1</v>
      </c>
      <c r="V1289" s="9">
        <f>IF(OR(M1289=0,U1289=1),0,IF(T1289="GST on Income",ROUND(K1289*0.1,2),ROUND(-K1289*0.1,2)))</f>
        <v>0</v>
      </c>
    </row>
    <row r="1290">
      <c r="A1290" t="inlineStr">
        <is>
          <t>INV-5108-1</t>
        </is>
      </c>
      <c r="B1290" t="inlineStr">
        <is>
          <t>INV-5108</t>
        </is>
      </c>
      <c r="C1290" s="11" t="n">
        <v>46033</v>
      </c>
      <c r="D1290" t="inlineStr">
        <is>
          <t>2026-01</t>
        </is>
      </c>
      <c r="E1290" t="inlineStr">
        <is>
          <t>C0002</t>
        </is>
      </c>
      <c r="F1290" t="inlineStr">
        <is>
          <t>C0002</t>
        </is>
      </c>
      <c r="G1290" t="inlineStr">
        <is>
          <t>Summit Building Group</t>
        </is>
      </c>
      <c r="H1290" t="inlineStr">
        <is>
          <t>S0215</t>
        </is>
      </c>
      <c r="I1290" t="inlineStr">
        <is>
          <t>Pedestrian barrier hire 2 wks (28/12/25-10/01/26) - 18 barriers</t>
        </is>
      </c>
      <c r="J1290" t="n">
        <v>36</v>
      </c>
      <c r="K1290" s="9" t="n">
        <v>115.2</v>
      </c>
      <c r="L1290" t="inlineStr">
        <is>
          <t>PAID</t>
        </is>
      </c>
      <c r="M1290">
        <f>IF(L1290="VOIDED",0,1)</f>
        <v>1</v>
      </c>
      <c r="N1290" t="n">
        <v>200</v>
      </c>
      <c r="O1290" t="inlineStr">
        <is>
          <t>GST on Income</t>
        </is>
      </c>
      <c r="P1290" t="inlineStr">
        <is>
          <t>R04</t>
        </is>
      </c>
      <c r="Q1290" t="inlineStr">
        <is>
          <t>HIRE-BR</t>
        </is>
      </c>
      <c r="R1290">
        <f>IF(OR(Q1290="CONTEXT",Q1290="REVIEW"),"",INDEX('Category Rules'!$D$5:$D$17,MATCH(P1290,'Category Rules'!$A$5:$A$17,0)))</f>
        <v>4010</v>
      </c>
      <c r="S1290" t="str">
        <f>IF(Q1290="CONTEXT","Fencing",IF(Q1290="REVIEW","",INDEX('Category Rules'!$E$5:$E$17,MATCH(P1290,'Category Rules'!$A$5:$A$17,0))))</f>
        <v>Fencing</v>
      </c>
      <c r="T1290" t="str">
        <f>IF(Q1290="DEP","BAS Excluded","GST on Income")</f>
        <v>GST on Income</v>
      </c>
      <c r="U1290">
        <f>IF(O1290=T1290,1,0)</f>
        <v>1</v>
      </c>
      <c r="V1290" s="9">
        <f>IF(OR(M1290=0,U1290=1),0,IF(T1290="GST on Income",ROUND(K1290*0.1,2),ROUND(-K1290*0.1,2)))</f>
        <v>0</v>
      </c>
    </row>
    <row r="1291">
      <c r="A1291" t="inlineStr">
        <is>
          <t>INV-5110-1</t>
        </is>
      </c>
      <c r="B1291" t="inlineStr">
        <is>
          <t>INV-5110</t>
        </is>
      </c>
      <c r="C1291" s="11" t="n">
        <v>46033</v>
      </c>
      <c r="D1291" t="inlineStr">
        <is>
          <t>2026-01</t>
        </is>
      </c>
      <c r="E1291" t="inlineStr">
        <is>
          <t>C0002</t>
        </is>
      </c>
      <c r="F1291" t="inlineStr">
        <is>
          <t>C0002</t>
        </is>
      </c>
      <c r="G1291" t="inlineStr">
        <is>
          <t>Summit Building Group</t>
        </is>
      </c>
      <c r="H1291" t="inlineStr">
        <is>
          <t>S0215</t>
        </is>
      </c>
      <c r="I1291" t="inlineStr">
        <is>
          <t>Collection and dismantle - temporary fencing</t>
        </is>
      </c>
      <c r="J1291" t="n">
        <v>1</v>
      </c>
      <c r="K1291" s="9" t="n">
        <v>165</v>
      </c>
      <c r="L1291" t="inlineStr">
        <is>
          <t>PAID</t>
        </is>
      </c>
      <c r="M1291">
        <f>IF(L1291="VOIDED",0,1)</f>
        <v>1</v>
      </c>
      <c r="N1291" t="n">
        <v>200</v>
      </c>
      <c r="O1291" t="inlineStr">
        <is>
          <t>GST on Income</t>
        </is>
      </c>
      <c r="P1291" t="inlineStr">
        <is>
          <t>R07</t>
        </is>
      </c>
      <c r="Q1291" t="inlineStr">
        <is>
          <t>DEL-FP</t>
        </is>
      </c>
      <c r="R1291">
        <f>IF(OR(Q1291="CONTEXT",Q1291="REVIEW"),"",INDEX('Category Rules'!$D$5:$D$17,MATCH(P1291,'Category Rules'!$A$5:$A$17,0)))</f>
        <v>4020</v>
      </c>
      <c r="S1291" t="str">
        <f>IF(Q1291="CONTEXT","Fencing",IF(Q1291="REVIEW","",INDEX('Category Rules'!$E$5:$E$17,MATCH(P1291,'Category Rules'!$A$5:$A$17,0))))</f>
        <v>Fencing</v>
      </c>
      <c r="T1291" t="str">
        <f>IF(Q1291="DEP","BAS Excluded","GST on Income")</f>
        <v>GST on Income</v>
      </c>
      <c r="U1291">
        <f>IF(O1291=T1291,1,0)</f>
        <v>1</v>
      </c>
      <c r="V1291" s="9">
        <f>IF(OR(M1291=0,U1291=1),0,IF(T1291="GST on Income",ROUND(K1291*0.1,2),ROUND(-K1291*0.1,2)))</f>
        <v>0</v>
      </c>
    </row>
    <row r="1292">
      <c r="A1292" t="inlineStr">
        <is>
          <t>INV-5143-1</t>
        </is>
      </c>
      <c r="B1292" t="inlineStr">
        <is>
          <t>INV-5143</t>
        </is>
      </c>
      <c r="C1292" s="11" t="n">
        <v>46033</v>
      </c>
      <c r="D1292" t="inlineStr">
        <is>
          <t>2026-01</t>
        </is>
      </c>
      <c r="E1292" t="inlineStr">
        <is>
          <t>C0102</t>
        </is>
      </c>
      <c r="F1292" t="inlineStr">
        <is>
          <t>C0102</t>
        </is>
      </c>
      <c r="G1292" t="inlineStr">
        <is>
          <t>Arjun Doyle</t>
        </is>
      </c>
      <c r="H1292" t="inlineStr">
        <is>
          <t>S0223</t>
        </is>
      </c>
      <c r="I1292" t="inlineStr">
        <is>
          <t>Temporary fence hire 1 wks (10/01/26-10/01/26) - 25 panels</t>
        </is>
      </c>
      <c r="J1292" t="n">
        <v>25</v>
      </c>
      <c r="K1292" s="9" t="n">
        <v>112.5</v>
      </c>
      <c r="L1292" t="inlineStr">
        <is>
          <t>PAID</t>
        </is>
      </c>
      <c r="M1292">
        <f>IF(L1292="VOIDED",0,1)</f>
        <v>1</v>
      </c>
      <c r="N1292" t="n">
        <v>260</v>
      </c>
      <c r="O1292" t="inlineStr">
        <is>
          <t>GST on Income</t>
        </is>
      </c>
      <c r="P1292" t="inlineStr">
        <is>
          <t>R03</t>
        </is>
      </c>
      <c r="Q1292" t="inlineStr">
        <is>
          <t>HIRE-FP</t>
        </is>
      </c>
      <c r="R1292">
        <f>IF(OR(Q1292="CONTEXT",Q1292="REVIEW"),"",INDEX('Category Rules'!$D$5:$D$17,MATCH(P1292,'Category Rules'!$A$5:$A$17,0)))</f>
        <v>4010</v>
      </c>
      <c r="S1292" t="str">
        <f>IF(Q1292="CONTEXT","Fencing",IF(Q1292="REVIEW","",INDEX('Category Rules'!$E$5:$E$17,MATCH(P1292,'Category Rules'!$A$5:$A$17,0))))</f>
        <v>Fencing</v>
      </c>
      <c r="T1292" t="str">
        <f>IF(Q1292="DEP","BAS Excluded","GST on Income")</f>
        <v>GST on Income</v>
      </c>
      <c r="U1292">
        <f>IF(O1292=T1292,1,0)</f>
        <v>1</v>
      </c>
      <c r="V1292" s="9">
        <f>IF(OR(M1292=0,U1292=1),0,IF(T1292="GST on Income",ROUND(K1292*0.1,2),ROUND(-K1292*0.1,2)))</f>
        <v>0</v>
      </c>
    </row>
    <row r="1293">
      <c r="A1293" t="inlineStr">
        <is>
          <t>INV-5145-1</t>
        </is>
      </c>
      <c r="B1293" t="inlineStr">
        <is>
          <t>INV-5145</t>
        </is>
      </c>
      <c r="C1293" s="11" t="n">
        <v>46033</v>
      </c>
      <c r="D1293" t="inlineStr">
        <is>
          <t>2026-01</t>
        </is>
      </c>
      <c r="E1293" t="inlineStr">
        <is>
          <t>C0102</t>
        </is>
      </c>
      <c r="F1293" t="inlineStr">
        <is>
          <t>C0102</t>
        </is>
      </c>
      <c r="G1293" t="inlineStr">
        <is>
          <t>Arjun Doyle</t>
        </is>
      </c>
      <c r="H1293" t="inlineStr">
        <is>
          <t>S0223</t>
        </is>
      </c>
      <c r="I1293" t="inlineStr">
        <is>
          <t>Collection and dismantle - temporary fencing</t>
        </is>
      </c>
      <c r="J1293" t="n">
        <v>1</v>
      </c>
      <c r="K1293" s="9" t="n">
        <v>165</v>
      </c>
      <c r="L1293" t="inlineStr">
        <is>
          <t>PAID</t>
        </is>
      </c>
      <c r="M1293">
        <f>IF(L1293="VOIDED",0,1)</f>
        <v>1</v>
      </c>
      <c r="N1293" t="n">
        <v>200</v>
      </c>
      <c r="O1293" t="inlineStr">
        <is>
          <t>GST on Income</t>
        </is>
      </c>
      <c r="P1293" t="inlineStr">
        <is>
          <t>R07</t>
        </is>
      </c>
      <c r="Q1293" t="inlineStr">
        <is>
          <t>DEL-FP</t>
        </is>
      </c>
      <c r="R1293">
        <f>IF(OR(Q1293="CONTEXT",Q1293="REVIEW"),"",INDEX('Category Rules'!$D$5:$D$17,MATCH(P1293,'Category Rules'!$A$5:$A$17,0)))</f>
        <v>4020</v>
      </c>
      <c r="S1293" t="str">
        <f>IF(Q1293="CONTEXT","Fencing",IF(Q1293="REVIEW","",INDEX('Category Rules'!$E$5:$E$17,MATCH(P1293,'Category Rules'!$A$5:$A$17,0))))</f>
        <v>Fencing</v>
      </c>
      <c r="T1293" t="str">
        <f>IF(Q1293="DEP","BAS Excluded","GST on Income")</f>
        <v>GST on Income</v>
      </c>
      <c r="U1293">
        <f>IF(O1293=T1293,1,0)</f>
        <v>1</v>
      </c>
      <c r="V1293" s="9">
        <f>IF(OR(M1293=0,U1293=1),0,IF(T1293="GST on Income",ROUND(K1293*0.1,2),ROUND(-K1293*0.1,2)))</f>
        <v>0</v>
      </c>
    </row>
    <row r="1294">
      <c r="A1294" t="inlineStr">
        <is>
          <t>INV-5146-1</t>
        </is>
      </c>
      <c r="B1294" t="inlineStr">
        <is>
          <t>INV-5146</t>
        </is>
      </c>
      <c r="C1294" s="11" t="n">
        <v>46033</v>
      </c>
      <c r="D1294" t="inlineStr">
        <is>
          <t>2026-01</t>
        </is>
      </c>
      <c r="E1294" t="inlineStr">
        <is>
          <t>C0018</t>
        </is>
      </c>
      <c r="F1294" t="inlineStr">
        <is>
          <t>C0018</t>
        </is>
      </c>
      <c r="G1294" t="inlineStr">
        <is>
          <t>Wattle Constructions Pty Ltd</t>
        </is>
      </c>
      <c r="H1294" t="inlineStr">
        <is>
          <t>S0224</t>
        </is>
      </c>
      <c r="I1294" t="inlineStr">
        <is>
          <t>Temporary fence hire 1 wks (06/01/26-10/01/26) - 155 panels</t>
        </is>
      </c>
      <c r="J1294" t="n">
        <v>155</v>
      </c>
      <c r="K1294" s="9" t="n">
        <v>697.5</v>
      </c>
      <c r="L1294" t="inlineStr">
        <is>
          <t>PAID</t>
        </is>
      </c>
      <c r="M1294">
        <f>IF(L1294="VOIDED",0,1)</f>
        <v>1</v>
      </c>
      <c r="N1294" t="n">
        <v>200</v>
      </c>
      <c r="O1294" t="inlineStr">
        <is>
          <t>GST on Income</t>
        </is>
      </c>
      <c r="P1294" t="inlineStr">
        <is>
          <t>R03</t>
        </is>
      </c>
      <c r="Q1294" t="inlineStr">
        <is>
          <t>HIRE-FP</t>
        </is>
      </c>
      <c r="R1294">
        <f>IF(OR(Q1294="CONTEXT",Q1294="REVIEW"),"",INDEX('Category Rules'!$D$5:$D$17,MATCH(P1294,'Category Rules'!$A$5:$A$17,0)))</f>
        <v>4010</v>
      </c>
      <c r="S1294" t="str">
        <f>IF(Q1294="CONTEXT","Fencing",IF(Q1294="REVIEW","",INDEX('Category Rules'!$E$5:$E$17,MATCH(P1294,'Category Rules'!$A$5:$A$17,0))))</f>
        <v>Fencing</v>
      </c>
      <c r="T1294" t="str">
        <f>IF(Q1294="DEP","BAS Excluded","GST on Income")</f>
        <v>GST on Income</v>
      </c>
      <c r="U1294">
        <f>IF(O1294=T1294,1,0)</f>
        <v>1</v>
      </c>
      <c r="V1294" s="9">
        <f>IF(OR(M1294=0,U1294=1),0,IF(T1294="GST on Income",ROUND(K1294*0.1,2),ROUND(-K1294*0.1,2)))</f>
        <v>0</v>
      </c>
    </row>
    <row r="1295">
      <c r="A1295" t="inlineStr">
        <is>
          <t>INV-5148-1</t>
        </is>
      </c>
      <c r="B1295" t="inlineStr">
        <is>
          <t>INV-5148</t>
        </is>
      </c>
      <c r="C1295" s="11" t="n">
        <v>46033</v>
      </c>
      <c r="D1295" t="inlineStr">
        <is>
          <t>2026-01</t>
        </is>
      </c>
      <c r="E1295" t="inlineStr">
        <is>
          <t>C0018</t>
        </is>
      </c>
      <c r="F1295" t="inlineStr">
        <is>
          <t>C0018</t>
        </is>
      </c>
      <c r="G1295" t="inlineStr">
        <is>
          <t>Wattle Constructions Pty Ltd</t>
        </is>
      </c>
      <c r="H1295" t="inlineStr">
        <is>
          <t>S0224</t>
        </is>
      </c>
      <c r="I1295" t="inlineStr">
        <is>
          <t>Collection and dismantle - temporary fencing</t>
        </is>
      </c>
      <c r="J1295" t="n">
        <v>1</v>
      </c>
      <c r="K1295" s="9" t="n">
        <v>165</v>
      </c>
      <c r="L1295" t="inlineStr">
        <is>
          <t>PAID</t>
        </is>
      </c>
      <c r="M1295">
        <f>IF(L1295="VOIDED",0,1)</f>
        <v>1</v>
      </c>
      <c r="N1295" t="n">
        <v>200</v>
      </c>
      <c r="O1295" t="inlineStr">
        <is>
          <t>GST on Income</t>
        </is>
      </c>
      <c r="P1295" t="inlineStr">
        <is>
          <t>R07</t>
        </is>
      </c>
      <c r="Q1295" t="inlineStr">
        <is>
          <t>DEL-FP</t>
        </is>
      </c>
      <c r="R1295">
        <f>IF(OR(Q1295="CONTEXT",Q1295="REVIEW"),"",INDEX('Category Rules'!$D$5:$D$17,MATCH(P1295,'Category Rules'!$A$5:$A$17,0)))</f>
        <v>4020</v>
      </c>
      <c r="S1295" t="str">
        <f>IF(Q1295="CONTEXT","Fencing",IF(Q1295="REVIEW","",INDEX('Category Rules'!$E$5:$E$17,MATCH(P1295,'Category Rules'!$A$5:$A$17,0))))</f>
        <v>Fencing</v>
      </c>
      <c r="T1295" t="str">
        <f>IF(Q1295="DEP","BAS Excluded","GST on Income")</f>
        <v>GST on Income</v>
      </c>
      <c r="U1295">
        <f>IF(O1295=T1295,1,0)</f>
        <v>1</v>
      </c>
      <c r="V1295" s="9">
        <f>IF(OR(M1295=0,U1295=1),0,IF(T1295="GST on Income",ROUND(K1295*0.1,2),ROUND(-K1295*0.1,2)))</f>
        <v>0</v>
      </c>
    </row>
    <row r="1296">
      <c r="A1296" t="inlineStr">
        <is>
          <t>INV-5365-1</t>
        </is>
      </c>
      <c r="B1296" t="inlineStr">
        <is>
          <t>INV-5365</t>
        </is>
      </c>
      <c r="C1296" s="11" t="n">
        <v>46033</v>
      </c>
      <c r="D1296" t="inlineStr">
        <is>
          <t>2026-01</t>
        </is>
      </c>
      <c r="E1296" t="inlineStr">
        <is>
          <t>C0096</t>
        </is>
      </c>
      <c r="F1296" t="inlineStr">
        <is>
          <t>C0096</t>
        </is>
      </c>
      <c r="G1296" t="inlineStr">
        <is>
          <t>Lucas Kelly</t>
        </is>
      </c>
      <c r="H1296" t="inlineStr">
        <is>
          <t>S0274</t>
        </is>
      </c>
      <c r="I1296" t="inlineStr">
        <is>
          <t>Scaffold tower hire 1 wks (10/01/26-10/01/26) - 1 towers</t>
        </is>
      </c>
      <c r="J1296" t="n">
        <v>1</v>
      </c>
      <c r="K1296" s="9" t="n">
        <v>95</v>
      </c>
      <c r="L1296" t="inlineStr">
        <is>
          <t>PAID</t>
        </is>
      </c>
      <c r="M1296">
        <f>IF(L1296="VOIDED",0,1)</f>
        <v>1</v>
      </c>
      <c r="N1296" t="n">
        <v>200</v>
      </c>
      <c r="O1296" t="inlineStr">
        <is>
          <t>GST on Income</t>
        </is>
      </c>
      <c r="P1296" t="inlineStr">
        <is>
          <t>R05</t>
        </is>
      </c>
      <c r="Q1296" t="inlineStr">
        <is>
          <t>HIRE-ST</t>
        </is>
      </c>
      <c r="R1296">
        <f>IF(OR(Q1296="CONTEXT",Q1296="REVIEW"),"",INDEX('Category Rules'!$D$5:$D$17,MATCH(P1296,'Category Rules'!$A$5:$A$17,0)))</f>
        <v>4010</v>
      </c>
      <c r="S1296" t="str">
        <f>IF(Q1296="CONTEXT","Scaffolding",IF(Q1296="REVIEW","",INDEX('Category Rules'!$E$5:$E$17,MATCH(P1296,'Category Rules'!$A$5:$A$17,0))))</f>
        <v>Scaffolding</v>
      </c>
      <c r="T1296" t="str">
        <f>IF(Q1296="DEP","BAS Excluded","GST on Income")</f>
        <v>GST on Income</v>
      </c>
      <c r="U1296">
        <f>IF(O1296=T1296,1,0)</f>
        <v>1</v>
      </c>
      <c r="V1296" s="9">
        <f>IF(OR(M1296=0,U1296=1),0,IF(T1296="GST on Income",ROUND(K1296*0.1,2),ROUND(-K1296*0.1,2)))</f>
        <v>0</v>
      </c>
    </row>
    <row r="1297">
      <c r="A1297" t="inlineStr">
        <is>
          <t>INV-5367-1</t>
        </is>
      </c>
      <c r="B1297" t="inlineStr">
        <is>
          <t>INV-5367</t>
        </is>
      </c>
      <c r="C1297" s="11" t="n">
        <v>46033</v>
      </c>
      <c r="D1297" t="inlineStr">
        <is>
          <t>2026-01</t>
        </is>
      </c>
      <c r="E1297" t="inlineStr">
        <is>
          <t>C0096</t>
        </is>
      </c>
      <c r="F1297" t="inlineStr">
        <is>
          <t>C0096</t>
        </is>
      </c>
      <c r="G1297" t="inlineStr">
        <is>
          <t>Lucas Kelly</t>
        </is>
      </c>
      <c r="H1297" t="inlineStr">
        <is>
          <t>S0274</t>
        </is>
      </c>
      <c r="I1297" t="inlineStr">
        <is>
          <t>Scaffold dismantle - 1 tower(s)</t>
        </is>
      </c>
      <c r="J1297" t="n">
        <v>1</v>
      </c>
      <c r="K1297" s="9" t="n">
        <v>320</v>
      </c>
      <c r="L1297" t="inlineStr">
        <is>
          <t>PAID</t>
        </is>
      </c>
      <c r="M1297">
        <f>IF(L1297="VOIDED",0,1)</f>
        <v>1</v>
      </c>
      <c r="N1297" t="n">
        <v>200</v>
      </c>
      <c r="O1297" t="inlineStr">
        <is>
          <t>GST on Income</t>
        </is>
      </c>
      <c r="P1297" t="inlineStr">
        <is>
          <t>R08</t>
        </is>
      </c>
      <c r="Q1297" t="inlineStr">
        <is>
          <t>LAB-ST</t>
        </is>
      </c>
      <c r="R1297">
        <f>IF(OR(Q1297="CONTEXT",Q1297="REVIEW"),"",INDEX('Category Rules'!$D$5:$D$17,MATCH(P1297,'Category Rules'!$A$5:$A$17,0)))</f>
        <v>4020</v>
      </c>
      <c r="S1297" t="str">
        <f>IF(Q1297="CONTEXT","Scaffolding",IF(Q1297="REVIEW","",INDEX('Category Rules'!$E$5:$E$17,MATCH(P1297,'Category Rules'!$A$5:$A$17,0))))</f>
        <v>Scaffolding</v>
      </c>
      <c r="T1297" t="str">
        <f>IF(Q1297="DEP","BAS Excluded","GST on Income")</f>
        <v>GST on Income</v>
      </c>
      <c r="U1297">
        <f>IF(O1297=T1297,1,0)</f>
        <v>1</v>
      </c>
      <c r="V1297" s="9">
        <f>IF(OR(M1297=0,U1297=1),0,IF(T1297="GST on Income",ROUND(K1297*0.1,2),ROUND(-K1297*0.1,2)))</f>
        <v>0</v>
      </c>
    </row>
    <row r="1298">
      <c r="A1298" t="inlineStr">
        <is>
          <t>INV-4711-1</t>
        </is>
      </c>
      <c r="B1298" t="inlineStr">
        <is>
          <t>INV-4711</t>
        </is>
      </c>
      <c r="C1298" s="11" t="n">
        <v>46034</v>
      </c>
      <c r="D1298" t="inlineStr">
        <is>
          <t>2026-01</t>
        </is>
      </c>
      <c r="E1298" t="inlineStr">
        <is>
          <t>C0030</t>
        </is>
      </c>
      <c r="F1298" t="inlineStr">
        <is>
          <t>C0030</t>
        </is>
      </c>
      <c r="G1298" t="inlineStr">
        <is>
          <t>Bluegum Developments</t>
        </is>
      </c>
      <c r="H1298" t="inlineStr">
        <is>
          <t>S0126</t>
        </is>
      </c>
      <c r="I1298" t="inlineStr">
        <is>
          <t>Temporary fence hire 4 wks (15/12/25-11/01/26) - 82 panels</t>
        </is>
      </c>
      <c r="J1298" t="n">
        <v>328</v>
      </c>
      <c r="K1298" s="9" t="n">
        <v>1476</v>
      </c>
      <c r="L1298" t="inlineStr">
        <is>
          <t>PAID</t>
        </is>
      </c>
      <c r="M1298">
        <f>IF(L1298="VOIDED",0,1)</f>
        <v>1</v>
      </c>
      <c r="N1298" t="n">
        <v>200</v>
      </c>
      <c r="O1298" t="inlineStr">
        <is>
          <t>GST on Income</t>
        </is>
      </c>
      <c r="P1298" t="inlineStr">
        <is>
          <t>R03</t>
        </is>
      </c>
      <c r="Q1298" t="inlineStr">
        <is>
          <t>HIRE-FP</t>
        </is>
      </c>
      <c r="R1298">
        <f>IF(OR(Q1298="CONTEXT",Q1298="REVIEW"),"",INDEX('Category Rules'!$D$5:$D$17,MATCH(P1298,'Category Rules'!$A$5:$A$17,0)))</f>
        <v>4010</v>
      </c>
      <c r="S1298" t="str">
        <f>IF(Q1298="CONTEXT","Fencing",IF(Q1298="REVIEW","",INDEX('Category Rules'!$E$5:$E$17,MATCH(P1298,'Category Rules'!$A$5:$A$17,0))))</f>
        <v>Fencing</v>
      </c>
      <c r="T1298" t="str">
        <f>IF(Q1298="DEP","BAS Excluded","GST on Income")</f>
        <v>GST on Income</v>
      </c>
      <c r="U1298">
        <f>IF(O1298=T1298,1,0)</f>
        <v>1</v>
      </c>
      <c r="V1298" s="9">
        <f>IF(OR(M1298=0,U1298=1),0,IF(T1298="GST on Income",ROUND(K1298*0.1,2),ROUND(-K1298*0.1,2)))</f>
        <v>0</v>
      </c>
    </row>
    <row r="1299">
      <c r="A1299" t="inlineStr">
        <is>
          <t>INV-4892-1</t>
        </is>
      </c>
      <c r="B1299" t="inlineStr">
        <is>
          <t>INV-4892</t>
        </is>
      </c>
      <c r="C1299" s="11" t="n">
        <v>46034</v>
      </c>
      <c r="D1299" t="inlineStr">
        <is>
          <t>2026-01</t>
        </is>
      </c>
      <c r="E1299" t="inlineStr">
        <is>
          <t>C0075</t>
        </is>
      </c>
      <c r="F1299" t="inlineStr">
        <is>
          <t>C0075</t>
        </is>
      </c>
      <c r="G1299" t="inlineStr">
        <is>
          <t>Oakridge Productions</t>
        </is>
      </c>
      <c r="H1299" t="inlineStr">
        <is>
          <t>S0167</t>
        </is>
      </c>
      <c r="I1299" t="inlineStr">
        <is>
          <t>Temporary fence hire 2 wks (04/01/26-11/01/26) - 107 panels</t>
        </is>
      </c>
      <c r="J1299" t="n">
        <v>214</v>
      </c>
      <c r="K1299" s="9" t="n">
        <v>963</v>
      </c>
      <c r="L1299" t="inlineStr">
        <is>
          <t>PAID</t>
        </is>
      </c>
      <c r="M1299">
        <f>IF(L1299="VOIDED",0,1)</f>
        <v>1</v>
      </c>
      <c r="N1299" t="n">
        <v>200</v>
      </c>
      <c r="O1299" t="inlineStr">
        <is>
          <t>GST on Income</t>
        </is>
      </c>
      <c r="P1299" t="inlineStr">
        <is>
          <t>R03</t>
        </is>
      </c>
      <c r="Q1299" t="inlineStr">
        <is>
          <t>HIRE-FP</t>
        </is>
      </c>
      <c r="R1299">
        <f>IF(OR(Q1299="CONTEXT",Q1299="REVIEW"),"",INDEX('Category Rules'!$D$5:$D$17,MATCH(P1299,'Category Rules'!$A$5:$A$17,0)))</f>
        <v>4010</v>
      </c>
      <c r="S1299" t="str">
        <f>IF(Q1299="CONTEXT","Fencing",IF(Q1299="REVIEW","",INDEX('Category Rules'!$E$5:$E$17,MATCH(P1299,'Category Rules'!$A$5:$A$17,0))))</f>
        <v>Fencing</v>
      </c>
      <c r="T1299" t="str">
        <f>IF(Q1299="DEP","BAS Excluded","GST on Income")</f>
        <v>GST on Income</v>
      </c>
      <c r="U1299">
        <f>IF(O1299=T1299,1,0)</f>
        <v>1</v>
      </c>
      <c r="V1299" s="9">
        <f>IF(OR(M1299=0,U1299=1),0,IF(T1299="GST on Income",ROUND(K1299*0.1,2),ROUND(-K1299*0.1,2)))</f>
        <v>0</v>
      </c>
    </row>
    <row r="1300">
      <c r="A1300" t="inlineStr">
        <is>
          <t>INV-4893-1</t>
        </is>
      </c>
      <c r="B1300" t="inlineStr">
        <is>
          <t>INV-4893</t>
        </is>
      </c>
      <c r="C1300" s="11" t="n">
        <v>46034</v>
      </c>
      <c r="D1300" t="inlineStr">
        <is>
          <t>2026-01</t>
        </is>
      </c>
      <c r="E1300" t="inlineStr">
        <is>
          <t>C0075</t>
        </is>
      </c>
      <c r="F1300" t="inlineStr">
        <is>
          <t>C0075</t>
        </is>
      </c>
      <c r="G1300" t="inlineStr">
        <is>
          <t>Oakridge Productions</t>
        </is>
      </c>
      <c r="H1300" t="inlineStr">
        <is>
          <t>S0167</t>
        </is>
      </c>
      <c r="I1300" t="inlineStr">
        <is>
          <t>Pedestrian barrier hire 2 wks (04/01/26-11/01/26) - 17 barriers</t>
        </is>
      </c>
      <c r="J1300" t="n">
        <v>34</v>
      </c>
      <c r="K1300" s="9" t="n">
        <v>108.8</v>
      </c>
      <c r="L1300" t="inlineStr">
        <is>
          <t>PAID</t>
        </is>
      </c>
      <c r="M1300">
        <f>IF(L1300="VOIDED",0,1)</f>
        <v>1</v>
      </c>
      <c r="N1300" t="n">
        <v>200</v>
      </c>
      <c r="O1300" t="inlineStr">
        <is>
          <t>GST on Income</t>
        </is>
      </c>
      <c r="P1300" t="inlineStr">
        <is>
          <t>R04</t>
        </is>
      </c>
      <c r="Q1300" t="inlineStr">
        <is>
          <t>HIRE-BR</t>
        </is>
      </c>
      <c r="R1300">
        <f>IF(OR(Q1300="CONTEXT",Q1300="REVIEW"),"",INDEX('Category Rules'!$D$5:$D$17,MATCH(P1300,'Category Rules'!$A$5:$A$17,0)))</f>
        <v>4010</v>
      </c>
      <c r="S1300" t="str">
        <f>IF(Q1300="CONTEXT","Fencing",IF(Q1300="REVIEW","",INDEX('Category Rules'!$E$5:$E$17,MATCH(P1300,'Category Rules'!$A$5:$A$17,0))))</f>
        <v>Fencing</v>
      </c>
      <c r="T1300" t="str">
        <f>IF(Q1300="DEP","BAS Excluded","GST on Income")</f>
        <v>GST on Income</v>
      </c>
      <c r="U1300">
        <f>IF(O1300=T1300,1,0)</f>
        <v>1</v>
      </c>
      <c r="V1300" s="9">
        <f>IF(OR(M1300=0,U1300=1),0,IF(T1300="GST on Income",ROUND(K1300*0.1,2),ROUND(-K1300*0.1,2)))</f>
        <v>0</v>
      </c>
    </row>
    <row r="1301">
      <c r="A1301" t="inlineStr">
        <is>
          <t>INV-4895-1</t>
        </is>
      </c>
      <c r="B1301" t="inlineStr">
        <is>
          <t>INV-4895</t>
        </is>
      </c>
      <c r="C1301" s="11" t="n">
        <v>46034</v>
      </c>
      <c r="D1301" t="inlineStr">
        <is>
          <t>2026-01</t>
        </is>
      </c>
      <c r="E1301" t="inlineStr">
        <is>
          <t>C0075</t>
        </is>
      </c>
      <c r="F1301" t="inlineStr">
        <is>
          <t>C0075</t>
        </is>
      </c>
      <c r="G1301" t="inlineStr">
        <is>
          <t>Oakridge Productions</t>
        </is>
      </c>
      <c r="H1301" t="inlineStr">
        <is>
          <t>S0167</t>
        </is>
      </c>
      <c r="I1301" t="inlineStr">
        <is>
          <t>Collection and dismantle - temporary fencing</t>
        </is>
      </c>
      <c r="J1301" t="n">
        <v>1</v>
      </c>
      <c r="K1301" s="9" t="n">
        <v>165</v>
      </c>
      <c r="L1301" t="inlineStr">
        <is>
          <t>PAID</t>
        </is>
      </c>
      <c r="M1301">
        <f>IF(L1301="VOIDED",0,1)</f>
        <v>1</v>
      </c>
      <c r="N1301" t="n">
        <v>200</v>
      </c>
      <c r="O1301" t="inlineStr">
        <is>
          <t>GST on Income</t>
        </is>
      </c>
      <c r="P1301" t="inlineStr">
        <is>
          <t>R07</t>
        </is>
      </c>
      <c r="Q1301" t="inlineStr">
        <is>
          <t>DEL-FP</t>
        </is>
      </c>
      <c r="R1301">
        <f>IF(OR(Q1301="CONTEXT",Q1301="REVIEW"),"",INDEX('Category Rules'!$D$5:$D$17,MATCH(P1301,'Category Rules'!$A$5:$A$17,0)))</f>
        <v>4020</v>
      </c>
      <c r="S1301" t="str">
        <f>IF(Q1301="CONTEXT","Fencing",IF(Q1301="REVIEW","",INDEX('Category Rules'!$E$5:$E$17,MATCH(P1301,'Category Rules'!$A$5:$A$17,0))))</f>
        <v>Fencing</v>
      </c>
      <c r="T1301" t="str">
        <f>IF(Q1301="DEP","BAS Excluded","GST on Income")</f>
        <v>GST on Income</v>
      </c>
      <c r="U1301">
        <f>IF(O1301=T1301,1,0)</f>
        <v>1</v>
      </c>
      <c r="V1301" s="9">
        <f>IF(OR(M1301=0,U1301=1),0,IF(T1301="GST on Income",ROUND(K1301*0.1,2),ROUND(-K1301*0.1,2)))</f>
        <v>0</v>
      </c>
    </row>
    <row r="1302">
      <c r="A1302" t="inlineStr">
        <is>
          <t>INV-5375-1</t>
        </is>
      </c>
      <c r="B1302" t="inlineStr">
        <is>
          <t>INV-5375</t>
        </is>
      </c>
      <c r="C1302" s="11" t="n">
        <v>46034</v>
      </c>
      <c r="D1302" t="inlineStr">
        <is>
          <t>2026-01</t>
        </is>
      </c>
      <c r="E1302" t="inlineStr">
        <is>
          <t>C0047</t>
        </is>
      </c>
      <c r="F1302" t="inlineStr">
        <is>
          <t>C0047</t>
        </is>
      </c>
      <c r="G1302" t="inlineStr">
        <is>
          <t>Fairway Owners Corporation Services</t>
        </is>
      </c>
      <c r="H1302" t="inlineStr">
        <is>
          <t>S0278</t>
        </is>
      </c>
      <c r="I1302" t="inlineStr">
        <is>
          <t>Scaffold tower hire 4 wks (15/12/25-11/01/26) - 2 towers</t>
        </is>
      </c>
      <c r="J1302" t="n">
        <v>8</v>
      </c>
      <c r="K1302" s="9" t="n">
        <v>760</v>
      </c>
      <c r="L1302" t="inlineStr">
        <is>
          <t>PAID</t>
        </is>
      </c>
      <c r="M1302">
        <f>IF(L1302="VOIDED",0,1)</f>
        <v>1</v>
      </c>
      <c r="N1302" t="n">
        <v>200</v>
      </c>
      <c r="O1302" t="inlineStr">
        <is>
          <t>GST on Income</t>
        </is>
      </c>
      <c r="P1302" t="inlineStr">
        <is>
          <t>R05</t>
        </is>
      </c>
      <c r="Q1302" t="inlineStr">
        <is>
          <t>HIRE-ST</t>
        </is>
      </c>
      <c r="R1302">
        <f>IF(OR(Q1302="CONTEXT",Q1302="REVIEW"),"",INDEX('Category Rules'!$D$5:$D$17,MATCH(P1302,'Category Rules'!$A$5:$A$17,0)))</f>
        <v>4010</v>
      </c>
      <c r="S1302" t="str">
        <f>IF(Q1302="CONTEXT","Scaffolding",IF(Q1302="REVIEW","",INDEX('Category Rules'!$E$5:$E$17,MATCH(P1302,'Category Rules'!$A$5:$A$17,0))))</f>
        <v>Scaffolding</v>
      </c>
      <c r="T1302" t="str">
        <f>IF(Q1302="DEP","BAS Excluded","GST on Income")</f>
        <v>GST on Income</v>
      </c>
      <c r="U1302">
        <f>IF(O1302=T1302,1,0)</f>
        <v>1</v>
      </c>
      <c r="V1302" s="9">
        <f>IF(OR(M1302=0,U1302=1),0,IF(T1302="GST on Income",ROUND(K1302*0.1,2),ROUND(-K1302*0.1,2)))</f>
        <v>0</v>
      </c>
    </row>
    <row r="1303">
      <c r="A1303" t="inlineStr">
        <is>
          <t>INV-5619-1</t>
        </is>
      </c>
      <c r="B1303" t="inlineStr">
        <is>
          <t>INV-5619</t>
        </is>
      </c>
      <c r="C1303" s="11" t="n">
        <v>46034</v>
      </c>
      <c r="D1303" t="inlineStr">
        <is>
          <t>2026-01</t>
        </is>
      </c>
      <c r="E1303" t="inlineStr">
        <is>
          <t>C0089</t>
        </is>
      </c>
      <c r="F1303" t="inlineStr">
        <is>
          <t>C0089</t>
        </is>
      </c>
      <c r="G1303" t="inlineStr">
        <is>
          <t>Leo Hughes</t>
        </is>
      </c>
      <c r="H1303" t="inlineStr">
        <is>
          <t>S0390</t>
        </is>
      </c>
      <c r="I1303" t="inlineStr">
        <is>
          <t>Make safe call-out</t>
        </is>
      </c>
      <c r="J1303" t="n">
        <v>1</v>
      </c>
      <c r="K1303" s="9" t="n">
        <v>385</v>
      </c>
      <c r="L1303" t="inlineStr">
        <is>
          <t>PAID</t>
        </is>
      </c>
      <c r="M1303">
        <f>IF(L1303="VOIDED",0,1)</f>
        <v>1</v>
      </c>
      <c r="N1303" t="n">
        <v>200</v>
      </c>
      <c r="O1303" t="inlineStr">
        <is>
          <t>GST on Income</t>
        </is>
      </c>
      <c r="P1303" t="inlineStr">
        <is>
          <t>R09</t>
        </is>
      </c>
      <c r="Q1303" t="inlineStr">
        <is>
          <t>MS</t>
        </is>
      </c>
      <c r="R1303">
        <f>IF(OR(Q1303="CONTEXT",Q1303="REVIEW"),"",INDEX('Category Rules'!$D$5:$D$17,MATCH(P1303,'Category Rules'!$A$5:$A$17,0)))</f>
        <v>4020</v>
      </c>
      <c r="S1303" t="str">
        <f>IF(Q1303="CONTEXT","Make-safe",IF(Q1303="REVIEW","",INDEX('Category Rules'!$E$5:$E$17,MATCH(P1303,'Category Rules'!$A$5:$A$17,0))))</f>
        <v>Make-safe</v>
      </c>
      <c r="T1303" t="str">
        <f>IF(Q1303="DEP","BAS Excluded","GST on Income")</f>
        <v>GST on Income</v>
      </c>
      <c r="U1303">
        <f>IF(O1303=T1303,1,0)</f>
        <v>1</v>
      </c>
      <c r="V1303" s="9">
        <f>IF(OR(M1303=0,U1303=1),0,IF(T1303="GST on Income",ROUND(K1303*0.1,2),ROUND(-K1303*0.1,2)))</f>
        <v>0</v>
      </c>
    </row>
    <row r="1304">
      <c r="A1304" t="inlineStr">
        <is>
          <t>INV-5619-2</t>
        </is>
      </c>
      <c r="B1304" t="inlineStr">
        <is>
          <t>INV-5619</t>
        </is>
      </c>
      <c r="C1304" s="11" t="n">
        <v>46034</v>
      </c>
      <c r="D1304" t="inlineStr">
        <is>
          <t>2026-01</t>
        </is>
      </c>
      <c r="E1304" t="inlineStr">
        <is>
          <t>C0089</t>
        </is>
      </c>
      <c r="F1304" t="inlineStr">
        <is>
          <t>C0089</t>
        </is>
      </c>
      <c r="G1304" t="inlineStr">
        <is>
          <t>Leo Hughes</t>
        </is>
      </c>
      <c r="H1304" t="inlineStr">
        <is>
          <t>S0390</t>
        </is>
      </c>
      <c r="I1304" t="inlineStr">
        <is>
          <t>Tarp supply and install - 2 tarp(s)</t>
        </is>
      </c>
      <c r="J1304" t="n">
        <v>2</v>
      </c>
      <c r="K1304" s="9" t="n">
        <v>480</v>
      </c>
      <c r="L1304" t="inlineStr">
        <is>
          <t>PAID</t>
        </is>
      </c>
      <c r="M1304">
        <f>IF(L1304="VOIDED",0,1)</f>
        <v>1</v>
      </c>
      <c r="N1304" t="n">
        <v>200</v>
      </c>
      <c r="O1304" t="inlineStr">
        <is>
          <t>GST on Income</t>
        </is>
      </c>
      <c r="P1304" t="inlineStr">
        <is>
          <t>R09</t>
        </is>
      </c>
      <c r="Q1304" t="inlineStr">
        <is>
          <t>MS</t>
        </is>
      </c>
      <c r="R1304">
        <f>IF(OR(Q1304="CONTEXT",Q1304="REVIEW"),"",INDEX('Category Rules'!$D$5:$D$17,MATCH(P1304,'Category Rules'!$A$5:$A$17,0)))</f>
        <v>4020</v>
      </c>
      <c r="S1304" t="str">
        <f>IF(Q1304="CONTEXT","Make-safe",IF(Q1304="REVIEW","",INDEX('Category Rules'!$E$5:$E$17,MATCH(P1304,'Category Rules'!$A$5:$A$17,0))))</f>
        <v>Make-safe</v>
      </c>
      <c r="T1304" t="str">
        <f>IF(Q1304="DEP","BAS Excluded","GST on Income")</f>
        <v>GST on Income</v>
      </c>
      <c r="U1304">
        <f>IF(O1304=T1304,1,0)</f>
        <v>1</v>
      </c>
      <c r="V1304" s="9">
        <f>IF(OR(M1304=0,U1304=1),0,IF(T1304="GST on Income",ROUND(K1304*0.1,2),ROUND(-K1304*0.1,2)))</f>
        <v>0</v>
      </c>
    </row>
    <row r="1305">
      <c r="A1305" t="inlineStr">
        <is>
          <t>INV-4495-1</t>
        </is>
      </c>
      <c r="B1305" t="inlineStr">
        <is>
          <t>INV-4495</t>
        </is>
      </c>
      <c r="C1305" s="11" t="n">
        <v>46035</v>
      </c>
      <c r="D1305" t="inlineStr">
        <is>
          <t>2026-01</t>
        </is>
      </c>
      <c r="E1305" t="inlineStr">
        <is>
          <t>C0070</t>
        </is>
      </c>
      <c r="F1305" t="inlineStr">
        <is>
          <t>C0070</t>
        </is>
      </c>
      <c r="G1305" t="inlineStr">
        <is>
          <t>Banyule City Council</t>
        </is>
      </c>
      <c r="H1305" t="inlineStr">
        <is>
          <t>S0082</t>
        </is>
      </c>
      <c r="I1305" t="inlineStr">
        <is>
          <t>Temporary fence hire 4 wks (16/12/25-12/01/26) - 158 panels</t>
        </is>
      </c>
      <c r="J1305" t="n">
        <v>632</v>
      </c>
      <c r="K1305" s="9" t="n">
        <v>2844</v>
      </c>
      <c r="L1305" t="inlineStr">
        <is>
          <t>PAID</t>
        </is>
      </c>
      <c r="M1305">
        <f>IF(L1305="VOIDED",0,1)</f>
        <v>1</v>
      </c>
      <c r="N1305" t="n">
        <v>200</v>
      </c>
      <c r="O1305" t="inlineStr">
        <is>
          <t>GST on Income</t>
        </is>
      </c>
      <c r="P1305" t="inlineStr">
        <is>
          <t>R03</t>
        </is>
      </c>
      <c r="Q1305" t="inlineStr">
        <is>
          <t>HIRE-FP</t>
        </is>
      </c>
      <c r="R1305">
        <f>IF(OR(Q1305="CONTEXT",Q1305="REVIEW"),"",INDEX('Category Rules'!$D$5:$D$17,MATCH(P1305,'Category Rules'!$A$5:$A$17,0)))</f>
        <v>4010</v>
      </c>
      <c r="S1305" t="str">
        <f>IF(Q1305="CONTEXT","Fencing",IF(Q1305="REVIEW","",INDEX('Category Rules'!$E$5:$E$17,MATCH(P1305,'Category Rules'!$A$5:$A$17,0))))</f>
        <v>Fencing</v>
      </c>
      <c r="T1305" t="str">
        <f>IF(Q1305="DEP","BAS Excluded","GST on Income")</f>
        <v>GST on Income</v>
      </c>
      <c r="U1305">
        <f>IF(O1305=T1305,1,0)</f>
        <v>1</v>
      </c>
      <c r="V1305" s="9">
        <f>IF(OR(M1305=0,U1305=1),0,IF(T1305="GST on Income",ROUND(K1305*0.1,2),ROUND(-K1305*0.1,2)))</f>
        <v>0</v>
      </c>
    </row>
    <row r="1306">
      <c r="A1306" t="inlineStr">
        <is>
          <t>INV-4962-1</t>
        </is>
      </c>
      <c r="B1306" t="inlineStr">
        <is>
          <t>INV-4962</t>
        </is>
      </c>
      <c r="C1306" s="11" t="n">
        <v>46035</v>
      </c>
      <c r="D1306" t="inlineStr">
        <is>
          <t>2026-01</t>
        </is>
      </c>
      <c r="E1306" t="inlineStr">
        <is>
          <t>C0022</t>
        </is>
      </c>
      <c r="F1306" t="inlineStr">
        <is>
          <t>C0022</t>
        </is>
      </c>
      <c r="G1306" t="inlineStr">
        <is>
          <t>Highpoint Projects</t>
        </is>
      </c>
      <c r="H1306" t="inlineStr">
        <is>
          <t>S0182</t>
        </is>
      </c>
      <c r="I1306" t="inlineStr">
        <is>
          <t>Delivery and installation - temporary fencing</t>
        </is>
      </c>
      <c r="J1306" t="n">
        <v>1</v>
      </c>
      <c r="K1306" s="9" t="n">
        <v>165</v>
      </c>
      <c r="L1306" t="inlineStr">
        <is>
          <t>PAID</t>
        </is>
      </c>
      <c r="M1306">
        <f>IF(L1306="VOIDED",0,1)</f>
        <v>1</v>
      </c>
      <c r="N1306" t="n">
        <v>200</v>
      </c>
      <c r="O1306" t="inlineStr">
        <is>
          <t>GST on Income</t>
        </is>
      </c>
      <c r="P1306" t="inlineStr">
        <is>
          <t>R07</t>
        </is>
      </c>
      <c r="Q1306" t="inlineStr">
        <is>
          <t>DEL-FP</t>
        </is>
      </c>
      <c r="R1306">
        <f>IF(OR(Q1306="CONTEXT",Q1306="REVIEW"),"",INDEX('Category Rules'!$D$5:$D$17,MATCH(P1306,'Category Rules'!$A$5:$A$17,0)))</f>
        <v>4020</v>
      </c>
      <c r="S1306" t="str">
        <f>IF(Q1306="CONTEXT","Fencing",IF(Q1306="REVIEW","",INDEX('Category Rules'!$E$5:$E$17,MATCH(P1306,'Category Rules'!$A$5:$A$17,0))))</f>
        <v>Fencing</v>
      </c>
      <c r="T1306" t="str">
        <f>IF(Q1306="DEP","BAS Excluded","GST on Income")</f>
        <v>GST on Income</v>
      </c>
      <c r="U1306">
        <f>IF(O1306=T1306,1,0)</f>
        <v>1</v>
      </c>
      <c r="V1306" s="9">
        <f>IF(OR(M1306=0,U1306=1),0,IF(T1306="GST on Income",ROUND(K1306*0.1,2),ROUND(-K1306*0.1,2)))</f>
        <v>0</v>
      </c>
    </row>
    <row r="1307">
      <c r="A1307" t="inlineStr">
        <is>
          <t>INV-4962-2</t>
        </is>
      </c>
      <c r="B1307" t="inlineStr">
        <is>
          <t>INV-4962</t>
        </is>
      </c>
      <c r="C1307" s="11" t="n">
        <v>46035</v>
      </c>
      <c r="D1307" t="inlineStr">
        <is>
          <t>2026-01</t>
        </is>
      </c>
      <c r="E1307" t="inlineStr">
        <is>
          <t>C0022</t>
        </is>
      </c>
      <c r="F1307" t="inlineStr">
        <is>
          <t>C0022</t>
        </is>
      </c>
      <c r="G1307" t="inlineStr">
        <is>
          <t>Highpoint Projects</t>
        </is>
      </c>
      <c r="H1307" t="inlineStr">
        <is>
          <t>S0182</t>
        </is>
      </c>
      <c r="I1307" t="inlineStr">
        <is>
          <t>Installation labour - 111 panels @ 2.20</t>
        </is>
      </c>
      <c r="J1307" t="n">
        <v>111</v>
      </c>
      <c r="K1307" s="9" t="n">
        <v>244.2</v>
      </c>
      <c r="L1307" t="inlineStr">
        <is>
          <t>PAID</t>
        </is>
      </c>
      <c r="M1307">
        <f>IF(L1307="VOIDED",0,1)</f>
        <v>1</v>
      </c>
      <c r="N1307" t="n">
        <v>200</v>
      </c>
      <c r="O1307" t="inlineStr">
        <is>
          <t>GST on Income</t>
        </is>
      </c>
      <c r="P1307" t="inlineStr">
        <is>
          <t>R07</t>
        </is>
      </c>
      <c r="Q1307" t="inlineStr">
        <is>
          <t>DEL-FP</t>
        </is>
      </c>
      <c r="R1307">
        <f>IF(OR(Q1307="CONTEXT",Q1307="REVIEW"),"",INDEX('Category Rules'!$D$5:$D$17,MATCH(P1307,'Category Rules'!$A$5:$A$17,0)))</f>
        <v>4020</v>
      </c>
      <c r="S1307" t="str">
        <f>IF(Q1307="CONTEXT","Fencing",IF(Q1307="REVIEW","",INDEX('Category Rules'!$E$5:$E$17,MATCH(P1307,'Category Rules'!$A$5:$A$17,0))))</f>
        <v>Fencing</v>
      </c>
      <c r="T1307" t="str">
        <f>IF(Q1307="DEP","BAS Excluded","GST on Income")</f>
        <v>GST on Income</v>
      </c>
      <c r="U1307">
        <f>IF(O1307=T1307,1,0)</f>
        <v>1</v>
      </c>
      <c r="V1307" s="9">
        <f>IF(OR(M1307=0,U1307=1),0,IF(T1307="GST on Income",ROUND(K1307*0.1,2),ROUND(-K1307*0.1,2)))</f>
        <v>0</v>
      </c>
    </row>
    <row r="1308">
      <c r="A1308" t="inlineStr">
        <is>
          <t>INV-5011-1</t>
        </is>
      </c>
      <c r="B1308" t="inlineStr">
        <is>
          <t>INV-5011</t>
        </is>
      </c>
      <c r="C1308" s="11" t="n">
        <v>46035</v>
      </c>
      <c r="D1308" t="inlineStr">
        <is>
          <t>2026-01</t>
        </is>
      </c>
      <c r="E1308" t="inlineStr">
        <is>
          <t>C0024</t>
        </is>
      </c>
      <c r="F1308" t="inlineStr">
        <is>
          <t>C0024</t>
        </is>
      </c>
      <c r="G1308" t="inlineStr">
        <is>
          <t>Parkview Homes Pty Ltd</t>
        </is>
      </c>
      <c r="H1308" t="inlineStr">
        <is>
          <t>S0197</t>
        </is>
      </c>
      <c r="I1308" t="inlineStr">
        <is>
          <t>Temporary fence hire 4 wks (16/12/25-12/01/26) - 74 panels</t>
        </is>
      </c>
      <c r="J1308" t="n">
        <v>296</v>
      </c>
      <c r="K1308" s="9" t="n">
        <v>1332</v>
      </c>
      <c r="L1308" t="inlineStr">
        <is>
          <t>PAID</t>
        </is>
      </c>
      <c r="M1308">
        <f>IF(L1308="VOIDED",0,1)</f>
        <v>1</v>
      </c>
      <c r="N1308" t="n">
        <v>200</v>
      </c>
      <c r="O1308" t="inlineStr">
        <is>
          <t>GST on Income</t>
        </is>
      </c>
      <c r="P1308" t="inlineStr">
        <is>
          <t>R03</t>
        </is>
      </c>
      <c r="Q1308" t="inlineStr">
        <is>
          <t>HIRE-FP</t>
        </is>
      </c>
      <c r="R1308">
        <f>IF(OR(Q1308="CONTEXT",Q1308="REVIEW"),"",INDEX('Category Rules'!$D$5:$D$17,MATCH(P1308,'Category Rules'!$A$5:$A$17,0)))</f>
        <v>4010</v>
      </c>
      <c r="S1308" t="str">
        <f>IF(Q1308="CONTEXT","Fencing",IF(Q1308="REVIEW","",INDEX('Category Rules'!$E$5:$E$17,MATCH(P1308,'Category Rules'!$A$5:$A$17,0))))</f>
        <v>Fencing</v>
      </c>
      <c r="T1308" t="str">
        <f>IF(Q1308="DEP","BAS Excluded","GST on Income")</f>
        <v>GST on Income</v>
      </c>
      <c r="U1308">
        <f>IF(O1308=T1308,1,0)</f>
        <v>1</v>
      </c>
      <c r="V1308" s="9">
        <f>IF(OR(M1308=0,U1308=1),0,IF(T1308="GST on Income",ROUND(K1308*0.1,2),ROUND(-K1308*0.1,2)))</f>
        <v>0</v>
      </c>
    </row>
    <row r="1309">
      <c r="A1309" t="inlineStr">
        <is>
          <t>INV-5014-1</t>
        </is>
      </c>
      <c r="B1309" t="inlineStr">
        <is>
          <t>INV-5014</t>
        </is>
      </c>
      <c r="C1309" s="11" t="n">
        <v>46035</v>
      </c>
      <c r="D1309" t="inlineStr">
        <is>
          <t>2026-01</t>
        </is>
      </c>
      <c r="E1309" t="inlineStr">
        <is>
          <t>C0024</t>
        </is>
      </c>
      <c r="F1309" t="inlineStr">
        <is>
          <t>C0024</t>
        </is>
      </c>
      <c r="G1309" t="inlineStr">
        <is>
          <t>Parkview Homes Pty Ltd</t>
        </is>
      </c>
      <c r="H1309" t="inlineStr">
        <is>
          <t>S0197</t>
        </is>
      </c>
      <c r="I1309" t="inlineStr">
        <is>
          <t>Pedestrian barrier hire 4 wks (16/12/25-12/01/26) - 4 barriers</t>
        </is>
      </c>
      <c r="J1309" t="n">
        <v>16</v>
      </c>
      <c r="K1309" s="9" t="n">
        <v>51.2</v>
      </c>
      <c r="L1309" t="inlineStr">
        <is>
          <t>PAID</t>
        </is>
      </c>
      <c r="M1309">
        <f>IF(L1309="VOIDED",0,1)</f>
        <v>1</v>
      </c>
      <c r="N1309" t="n">
        <v>200</v>
      </c>
      <c r="O1309" t="inlineStr">
        <is>
          <t>GST on Income</t>
        </is>
      </c>
      <c r="P1309" t="inlineStr">
        <is>
          <t>R04</t>
        </is>
      </c>
      <c r="Q1309" t="inlineStr">
        <is>
          <t>HIRE-BR</t>
        </is>
      </c>
      <c r="R1309">
        <f>IF(OR(Q1309="CONTEXT",Q1309="REVIEW"),"",INDEX('Category Rules'!$D$5:$D$17,MATCH(P1309,'Category Rules'!$A$5:$A$17,0)))</f>
        <v>4010</v>
      </c>
      <c r="S1309" t="str">
        <f>IF(Q1309="CONTEXT","Fencing",IF(Q1309="REVIEW","",INDEX('Category Rules'!$E$5:$E$17,MATCH(P1309,'Category Rules'!$A$5:$A$17,0))))</f>
        <v>Fencing</v>
      </c>
      <c r="T1309" t="str">
        <f>IF(Q1309="DEP","BAS Excluded","GST on Income")</f>
        <v>GST on Income</v>
      </c>
      <c r="U1309">
        <f>IF(O1309=T1309,1,0)</f>
        <v>1</v>
      </c>
      <c r="V1309" s="9">
        <f>IF(OR(M1309=0,U1309=1),0,IF(T1309="GST on Income",ROUND(K1309*0.1,2),ROUND(-K1309*0.1,2)))</f>
        <v>0</v>
      </c>
    </row>
    <row r="1310">
      <c r="A1310" t="inlineStr">
        <is>
          <t>INV-5128-1</t>
        </is>
      </c>
      <c r="B1310" t="inlineStr">
        <is>
          <t>INV-5128</t>
        </is>
      </c>
      <c r="C1310" s="11" t="n">
        <v>46035</v>
      </c>
      <c r="D1310" t="inlineStr">
        <is>
          <t>2026-01</t>
        </is>
      </c>
      <c r="E1310" t="inlineStr">
        <is>
          <t>C0153</t>
        </is>
      </c>
      <c r="F1310" t="inlineStr">
        <is>
          <t>C0098</t>
        </is>
      </c>
      <c r="G1310" t="inlineStr">
        <is>
          <t>Ethan Walker</t>
        </is>
      </c>
      <c r="H1310" t="inlineStr">
        <is>
          <t>S0220</t>
        </is>
      </c>
      <c r="I1310" t="inlineStr">
        <is>
          <t>Temporary fence hire 4 wks (16/12/25-12/01/26) - 114 panels</t>
        </is>
      </c>
      <c r="J1310" t="n">
        <v>456</v>
      </c>
      <c r="K1310" s="9" t="n">
        <v>2052</v>
      </c>
      <c r="L1310" t="inlineStr">
        <is>
          <t>PAID</t>
        </is>
      </c>
      <c r="M1310">
        <f>IF(L1310="VOIDED",0,1)</f>
        <v>1</v>
      </c>
      <c r="N1310" t="n">
        <v>260</v>
      </c>
      <c r="O1310" t="inlineStr">
        <is>
          <t>GST on Income</t>
        </is>
      </c>
      <c r="P1310" t="inlineStr">
        <is>
          <t>R03</t>
        </is>
      </c>
      <c r="Q1310" t="inlineStr">
        <is>
          <t>HIRE-FP</t>
        </is>
      </c>
      <c r="R1310">
        <f>IF(OR(Q1310="CONTEXT",Q1310="REVIEW"),"",INDEX('Category Rules'!$D$5:$D$17,MATCH(P1310,'Category Rules'!$A$5:$A$17,0)))</f>
        <v>4010</v>
      </c>
      <c r="S1310" t="str">
        <f>IF(Q1310="CONTEXT","Fencing",IF(Q1310="REVIEW","",INDEX('Category Rules'!$E$5:$E$17,MATCH(P1310,'Category Rules'!$A$5:$A$17,0))))</f>
        <v>Fencing</v>
      </c>
      <c r="T1310" t="str">
        <f>IF(Q1310="DEP","BAS Excluded","GST on Income")</f>
        <v>GST on Income</v>
      </c>
      <c r="U1310">
        <f>IF(O1310=T1310,1,0)</f>
        <v>1</v>
      </c>
      <c r="V1310" s="9">
        <f>IF(OR(M1310=0,U1310=1),0,IF(T1310="GST on Income",ROUND(K1310*0.1,2),ROUND(-K1310*0.1,2)))</f>
        <v>0</v>
      </c>
    </row>
    <row r="1311">
      <c r="A1311" t="inlineStr">
        <is>
          <t>INV-5564-1</t>
        </is>
      </c>
      <c r="B1311" t="inlineStr">
        <is>
          <t>INV-5564</t>
        </is>
      </c>
      <c r="C1311" s="11" t="n">
        <v>46035</v>
      </c>
      <c r="D1311" t="inlineStr">
        <is>
          <t>2026-01</t>
        </is>
      </c>
      <c r="E1311" t="inlineStr">
        <is>
          <t>C0046</t>
        </is>
      </c>
      <c r="F1311" t="inlineStr">
        <is>
          <t>C0046</t>
        </is>
      </c>
      <c r="G1311" t="inlineStr">
        <is>
          <t>Bayside Owners Corporation Services Pty Ltd</t>
        </is>
      </c>
      <c r="H1311" t="inlineStr">
        <is>
          <t>S0360</t>
        </is>
      </c>
      <c r="I1311" t="inlineStr">
        <is>
          <t>Roof repair labour - 16 hrs</t>
        </is>
      </c>
      <c r="J1311" t="n">
        <v>16</v>
      </c>
      <c r="K1311" s="9" t="n">
        <v>1568</v>
      </c>
      <c r="L1311" t="inlineStr">
        <is>
          <t>PAID</t>
        </is>
      </c>
      <c r="M1311">
        <f>IF(L1311="VOIDED",0,1)</f>
        <v>1</v>
      </c>
      <c r="N1311" t="n">
        <v>200</v>
      </c>
      <c r="O1311" t="inlineStr">
        <is>
          <t>GST on Income</t>
        </is>
      </c>
      <c r="P1311" t="inlineStr">
        <is>
          <t>R10</t>
        </is>
      </c>
      <c r="Q1311" t="inlineStr">
        <is>
          <t>LAB-RF</t>
        </is>
      </c>
      <c r="R1311">
        <f>IF(OR(Q1311="CONTEXT",Q1311="REVIEW"),"",INDEX('Category Rules'!$D$5:$D$17,MATCH(P1311,'Category Rules'!$A$5:$A$17,0)))</f>
        <v>4020</v>
      </c>
      <c r="S1311" t="str">
        <f>IF(Q1311="CONTEXT","Roofing",IF(Q1311="REVIEW","",INDEX('Category Rules'!$E$5:$E$17,MATCH(P1311,'Category Rules'!$A$5:$A$17,0))))</f>
        <v>Roofing</v>
      </c>
      <c r="T1311" t="str">
        <f>IF(Q1311="DEP","BAS Excluded","GST on Income")</f>
        <v>GST on Income</v>
      </c>
      <c r="U1311">
        <f>IF(O1311=T1311,1,0)</f>
        <v>1</v>
      </c>
      <c r="V1311" s="9">
        <f>IF(OR(M1311=0,U1311=1),0,IF(T1311="GST on Income",ROUND(K1311*0.1,2),ROUND(-K1311*0.1,2)))</f>
        <v>0</v>
      </c>
    </row>
    <row r="1312">
      <c r="A1312" t="inlineStr">
        <is>
          <t>INV-5564-2</t>
        </is>
      </c>
      <c r="B1312" t="inlineStr">
        <is>
          <t>INV-5564</t>
        </is>
      </c>
      <c r="C1312" s="11" t="n">
        <v>46035</v>
      </c>
      <c r="D1312" t="inlineStr">
        <is>
          <t>2026-01</t>
        </is>
      </c>
      <c r="E1312" t="inlineStr">
        <is>
          <t>C0046</t>
        </is>
      </c>
      <c r="F1312" t="inlineStr">
        <is>
          <t>C0046</t>
        </is>
      </c>
      <c r="G1312" t="inlineStr">
        <is>
          <t>Bayside Owners Corporation Services Pty Ltd</t>
        </is>
      </c>
      <c r="H1312" t="inlineStr">
        <is>
          <t>S0360</t>
        </is>
      </c>
      <c r="I1312" t="inlineStr">
        <is>
          <t>Materials - gutter and downpipe</t>
        </is>
      </c>
      <c r="J1312" t="n">
        <v>1</v>
      </c>
      <c r="K1312" s="9" t="n">
        <v>460.85</v>
      </c>
      <c r="L1312" t="inlineStr">
        <is>
          <t>PAID</t>
        </is>
      </c>
      <c r="M1312">
        <f>IF(L1312="VOIDED",0,1)</f>
        <v>1</v>
      </c>
      <c r="N1312" t="n">
        <v>200</v>
      </c>
      <c r="O1312" t="inlineStr">
        <is>
          <t>GST on Income</t>
        </is>
      </c>
      <c r="P1312" t="inlineStr">
        <is>
          <t>R11</t>
        </is>
      </c>
      <c r="Q1312" t="inlineStr">
        <is>
          <t>MAT-RF</t>
        </is>
      </c>
      <c r="R1312">
        <f>IF(OR(Q1312="CONTEXT",Q1312="REVIEW"),"",INDEX('Category Rules'!$D$5:$D$17,MATCH(P1312,'Category Rules'!$A$5:$A$17,0)))</f>
        <v>4030</v>
      </c>
      <c r="S1312" t="str">
        <f>IF(Q1312="CONTEXT","Roofing",IF(Q1312="REVIEW","",INDEX('Category Rules'!$E$5:$E$17,MATCH(P1312,'Category Rules'!$A$5:$A$17,0))))</f>
        <v>Roofing</v>
      </c>
      <c r="T1312" t="str">
        <f>IF(Q1312="DEP","BAS Excluded","GST on Income")</f>
        <v>GST on Income</v>
      </c>
      <c r="U1312">
        <f>IF(O1312=T1312,1,0)</f>
        <v>1</v>
      </c>
      <c r="V1312" s="9">
        <f>IF(OR(M1312=0,U1312=1),0,IF(T1312="GST on Income",ROUND(K1312*0.1,2),ROUND(-K1312*0.1,2)))</f>
        <v>0</v>
      </c>
    </row>
    <row r="1313">
      <c r="A1313" t="inlineStr">
        <is>
          <t>INV-5792-1</t>
        </is>
      </c>
      <c r="B1313" t="inlineStr">
        <is>
          <t>INV-5792</t>
        </is>
      </c>
      <c r="C1313" s="11" t="n">
        <v>46035</v>
      </c>
      <c r="D1313" t="inlineStr">
        <is>
          <t>2026-01</t>
        </is>
      </c>
      <c r="E1313" t="inlineStr">
        <is>
          <t>C0014</t>
        </is>
      </c>
      <c r="F1313" t="inlineStr">
        <is>
          <t>C0014</t>
        </is>
      </c>
      <c r="G1313" t="inlineStr">
        <is>
          <t>Riverbend Homes Pty Ltd</t>
        </is>
      </c>
      <c r="H1313" t="inlineStr">
        <is>
          <t>S0486</t>
        </is>
      </c>
      <c r="I1313" t="inlineStr">
        <is>
          <t>Tarp kit hire 3 wks (29/12/25-12/01/26) - 1 kits</t>
        </is>
      </c>
      <c r="J1313" t="n">
        <v>3</v>
      </c>
      <c r="K1313" s="9" t="n">
        <v>105</v>
      </c>
      <c r="L1313" t="inlineStr">
        <is>
          <t>PAID</t>
        </is>
      </c>
      <c r="M1313">
        <f>IF(L1313="VOIDED",0,1)</f>
        <v>1</v>
      </c>
      <c r="N1313" t="n">
        <v>200</v>
      </c>
      <c r="O1313" t="inlineStr">
        <is>
          <t>GST on Income</t>
        </is>
      </c>
      <c r="P1313" t="inlineStr">
        <is>
          <t>R06</t>
        </is>
      </c>
      <c r="Q1313" t="inlineStr">
        <is>
          <t>HIRE-TK</t>
        </is>
      </c>
      <c r="R1313">
        <f>IF(OR(Q1313="CONTEXT",Q1313="REVIEW"),"",INDEX('Category Rules'!$D$5:$D$17,MATCH(P1313,'Category Rules'!$A$5:$A$17,0)))</f>
        <v>4010</v>
      </c>
      <c r="S1313" t="str">
        <f>IF(Q1313="CONTEXT","Make-safe",IF(Q1313="REVIEW","",INDEX('Category Rules'!$E$5:$E$17,MATCH(P1313,'Category Rules'!$A$5:$A$17,0))))</f>
        <v>Make-safe</v>
      </c>
      <c r="T1313" t="str">
        <f>IF(Q1313="DEP","BAS Excluded","GST on Income")</f>
        <v>GST on Income</v>
      </c>
      <c r="U1313">
        <f>IF(O1313=T1313,1,0)</f>
        <v>1</v>
      </c>
      <c r="V1313" s="9">
        <f>IF(OR(M1313=0,U1313=1),0,IF(T1313="GST on Income",ROUND(K1313*0.1,2),ROUND(-K1313*0.1,2)))</f>
        <v>0</v>
      </c>
    </row>
    <row r="1314">
      <c r="A1314" t="inlineStr">
        <is>
          <t>INV-5930-1</t>
        </is>
      </c>
      <c r="B1314" t="inlineStr">
        <is>
          <t>INV-5930</t>
        </is>
      </c>
      <c r="C1314" s="11" t="n">
        <v>46035</v>
      </c>
      <c r="D1314" t="inlineStr">
        <is>
          <t>2026-01</t>
        </is>
      </c>
      <c r="E1314" t="inlineStr">
        <is>
          <t>C0017</t>
        </is>
      </c>
      <c r="F1314" t="inlineStr">
        <is>
          <t>C0017</t>
        </is>
      </c>
      <c r="G1314" t="inlineStr">
        <is>
          <t>Cobalt Developments Pty Ltd</t>
        </is>
      </c>
      <c r="H1314" t="inlineStr"/>
      <c r="I1314" t="inlineStr">
        <is>
          <t>Site works</t>
        </is>
      </c>
      <c r="J1314" t="n">
        <v>1</v>
      </c>
      <c r="K1314" s="9" t="n">
        <v>2264.88</v>
      </c>
      <c r="L1314" t="inlineStr">
        <is>
          <t>PAID</t>
        </is>
      </c>
      <c r="M1314">
        <f>IF(L1314="VOIDED",0,1)</f>
        <v>1</v>
      </c>
      <c r="N1314" t="n">
        <v>200</v>
      </c>
      <c r="O1314" t="inlineStr">
        <is>
          <t>GST on Income</t>
        </is>
      </c>
      <c r="P1314" t="inlineStr">
        <is>
          <t>--</t>
        </is>
      </c>
      <c r="Q1314" t="inlineStr">
        <is>
          <t>REVIEW</t>
        </is>
      </c>
      <c r="R1314">
        <f>IF(OR(Q1314="CONTEXT",Q1314="REVIEW"),"",INDEX('Category Rules'!$D$5:$D$17,MATCH(P1314,'Category Rules'!$A$5:$A$17,0)))</f>
      </c>
      <c r="S1314">
        <f>IF(Q1314="CONTEXT","",IF(Q1314="REVIEW","",INDEX('Category Rules'!$E$5:$E$17,MATCH(P1314,'Category Rules'!$A$5:$A$17,0))))</f>
      </c>
      <c r="T1314" t="str">
        <f>IF(Q1314="DEP","BAS Excluded","GST on Income")</f>
        <v>GST on Income</v>
      </c>
      <c r="U1314">
        <f>IF(O1314=T1314,1,0)</f>
        <v>1</v>
      </c>
      <c r="V1314" s="9">
        <f>IF(OR(M1314=0,U1314=1),0,IF(T1314="GST on Income",ROUND(K1314*0.1,2),ROUND(-K1314*0.1,2)))</f>
        <v>0</v>
      </c>
    </row>
    <row r="1315">
      <c r="A1315" t="inlineStr">
        <is>
          <t>INV-4104-1</t>
        </is>
      </c>
      <c r="B1315" t="inlineStr">
        <is>
          <t>INV-4104</t>
        </is>
      </c>
      <c r="C1315" s="11" t="n">
        <v>46036</v>
      </c>
      <c r="D1315" t="inlineStr">
        <is>
          <t>2026-01</t>
        </is>
      </c>
      <c r="E1315" t="inlineStr">
        <is>
          <t>C0120</t>
        </is>
      </c>
      <c r="F1315" t="inlineStr">
        <is>
          <t>C0120</t>
        </is>
      </c>
      <c r="G1315" t="inlineStr">
        <is>
          <t>Northgate Building Group</t>
        </is>
      </c>
      <c r="H1315" t="inlineStr">
        <is>
          <t>S0001</t>
        </is>
      </c>
      <c r="I1315" t="inlineStr">
        <is>
          <t>Temporary fence hire 4 wks (17/12/25-13/01/26) - 101 panels</t>
        </is>
      </c>
      <c r="J1315" t="n">
        <v>404</v>
      </c>
      <c r="K1315" s="9" t="n">
        <v>1818</v>
      </c>
      <c r="L1315" t="inlineStr">
        <is>
          <t>PAID</t>
        </is>
      </c>
      <c r="M1315">
        <f>IF(L1315="VOIDED",0,1)</f>
        <v>1</v>
      </c>
      <c r="N1315" t="n">
        <v>200</v>
      </c>
      <c r="O1315" t="inlineStr">
        <is>
          <t>GST on Income</t>
        </is>
      </c>
      <c r="P1315" t="inlineStr">
        <is>
          <t>R03</t>
        </is>
      </c>
      <c r="Q1315" t="inlineStr">
        <is>
          <t>HIRE-FP</t>
        </is>
      </c>
      <c r="R1315">
        <f>IF(OR(Q1315="CONTEXT",Q1315="REVIEW"),"",INDEX('Category Rules'!$D$5:$D$17,MATCH(P1315,'Category Rules'!$A$5:$A$17,0)))</f>
        <v>4010</v>
      </c>
      <c r="S1315" t="str">
        <f>IF(Q1315="CONTEXT","Fencing",IF(Q1315="REVIEW","",INDEX('Category Rules'!$E$5:$E$17,MATCH(P1315,'Category Rules'!$A$5:$A$17,0))))</f>
        <v>Fencing</v>
      </c>
      <c r="T1315" t="str">
        <f>IF(Q1315="DEP","BAS Excluded","GST on Income")</f>
        <v>GST on Income</v>
      </c>
      <c r="U1315">
        <f>IF(O1315=T1315,1,0)</f>
        <v>1</v>
      </c>
      <c r="V1315" s="9">
        <f>IF(OR(M1315=0,U1315=1),0,IF(T1315="GST on Income",ROUND(K1315*0.1,2),ROUND(-K1315*0.1,2)))</f>
        <v>0</v>
      </c>
    </row>
    <row r="1316">
      <c r="A1316" t="inlineStr">
        <is>
          <t>INV-4159-1</t>
        </is>
      </c>
      <c r="B1316" t="inlineStr">
        <is>
          <t>INV-4159</t>
        </is>
      </c>
      <c r="C1316" s="11" t="n">
        <v>46036</v>
      </c>
      <c r="D1316" t="inlineStr">
        <is>
          <t>2026-01</t>
        </is>
      </c>
      <c r="E1316" t="inlineStr">
        <is>
          <t>C0015</t>
        </is>
      </c>
      <c r="F1316" t="inlineStr">
        <is>
          <t>C0015</t>
        </is>
      </c>
      <c r="G1316" t="inlineStr">
        <is>
          <t>Bluegum Building Group</t>
        </is>
      </c>
      <c r="H1316" t="inlineStr">
        <is>
          <t>S0011</t>
        </is>
      </c>
      <c r="I1316" t="inlineStr">
        <is>
          <t>Temporary fence hire 4 wks (17/12/25-13/01/26) - 96 panels</t>
        </is>
      </c>
      <c r="J1316" t="n">
        <v>384</v>
      </c>
      <c r="K1316" s="9" t="n">
        <v>1728</v>
      </c>
      <c r="L1316" t="inlineStr">
        <is>
          <t>PAID</t>
        </is>
      </c>
      <c r="M1316">
        <f>IF(L1316="VOIDED",0,1)</f>
        <v>1</v>
      </c>
      <c r="N1316" t="n">
        <v>200</v>
      </c>
      <c r="O1316" t="inlineStr">
        <is>
          <t>GST on Income</t>
        </is>
      </c>
      <c r="P1316" t="inlineStr">
        <is>
          <t>R03</t>
        </is>
      </c>
      <c r="Q1316" t="inlineStr">
        <is>
          <t>HIRE-FP</t>
        </is>
      </c>
      <c r="R1316">
        <f>IF(OR(Q1316="CONTEXT",Q1316="REVIEW"),"",INDEX('Category Rules'!$D$5:$D$17,MATCH(P1316,'Category Rules'!$A$5:$A$17,0)))</f>
        <v>4010</v>
      </c>
      <c r="S1316" t="str">
        <f>IF(Q1316="CONTEXT","Fencing",IF(Q1316="REVIEW","",INDEX('Category Rules'!$E$5:$E$17,MATCH(P1316,'Category Rules'!$A$5:$A$17,0))))</f>
        <v>Fencing</v>
      </c>
      <c r="T1316" t="str">
        <f>IF(Q1316="DEP","BAS Excluded","GST on Income")</f>
        <v>GST on Income</v>
      </c>
      <c r="U1316">
        <f>IF(O1316=T1316,1,0)</f>
        <v>1</v>
      </c>
      <c r="V1316" s="9">
        <f>IF(OR(M1316=0,U1316=1),0,IF(T1316="GST on Income",ROUND(K1316*0.1,2),ROUND(-K1316*0.1,2)))</f>
        <v>0</v>
      </c>
    </row>
    <row r="1317">
      <c r="A1317" t="inlineStr">
        <is>
          <t>INV-5538-1</t>
        </is>
      </c>
      <c r="B1317" t="inlineStr">
        <is>
          <t>INV-5538</t>
        </is>
      </c>
      <c r="C1317" s="11" t="n">
        <v>46036</v>
      </c>
      <c r="D1317" t="inlineStr">
        <is>
          <t>2026-01</t>
        </is>
      </c>
      <c r="E1317" t="inlineStr">
        <is>
          <t>C0063</t>
        </is>
      </c>
      <c r="F1317" t="inlineStr">
        <is>
          <t>C0063</t>
        </is>
      </c>
      <c r="G1317" t="inlineStr">
        <is>
          <t>Highpoint Insurance Repairs Pty Ltd</t>
        </is>
      </c>
      <c r="H1317" t="inlineStr">
        <is>
          <t>S0343</t>
        </is>
      </c>
      <c r="I1317" t="inlineStr">
        <is>
          <t>Emergency make safe call-out - after hours</t>
        </is>
      </c>
      <c r="J1317" t="n">
        <v>1</v>
      </c>
      <c r="K1317" s="9" t="n">
        <v>560</v>
      </c>
      <c r="L1317" t="inlineStr">
        <is>
          <t>PAID</t>
        </is>
      </c>
      <c r="M1317">
        <f>IF(L1317="VOIDED",0,1)</f>
        <v>1</v>
      </c>
      <c r="N1317" t="n">
        <v>200</v>
      </c>
      <c r="O1317" t="inlineStr">
        <is>
          <t>GST on Income</t>
        </is>
      </c>
      <c r="P1317" t="inlineStr">
        <is>
          <t>R09</t>
        </is>
      </c>
      <c r="Q1317" t="inlineStr">
        <is>
          <t>MS</t>
        </is>
      </c>
      <c r="R1317">
        <f>IF(OR(Q1317="CONTEXT",Q1317="REVIEW"),"",INDEX('Category Rules'!$D$5:$D$17,MATCH(P1317,'Category Rules'!$A$5:$A$17,0)))</f>
        <v>4020</v>
      </c>
      <c r="S1317" t="str">
        <f>IF(Q1317="CONTEXT","Make-safe",IF(Q1317="REVIEW","",INDEX('Category Rules'!$E$5:$E$17,MATCH(P1317,'Category Rules'!$A$5:$A$17,0))))</f>
        <v>Make-safe</v>
      </c>
      <c r="T1317" t="str">
        <f>IF(Q1317="DEP","BAS Excluded","GST on Income")</f>
        <v>GST on Income</v>
      </c>
      <c r="U1317">
        <f>IF(O1317=T1317,1,0)</f>
        <v>1</v>
      </c>
      <c r="V1317" s="9">
        <f>IF(OR(M1317=0,U1317=1),0,IF(T1317="GST on Income",ROUND(K1317*0.1,2),ROUND(-K1317*0.1,2)))</f>
        <v>0</v>
      </c>
    </row>
    <row r="1318">
      <c r="A1318" t="inlineStr">
        <is>
          <t>INV-5538-2</t>
        </is>
      </c>
      <c r="B1318" t="inlineStr">
        <is>
          <t>INV-5538</t>
        </is>
      </c>
      <c r="C1318" s="11" t="n">
        <v>46036</v>
      </c>
      <c r="D1318" t="inlineStr">
        <is>
          <t>2026-01</t>
        </is>
      </c>
      <c r="E1318" t="inlineStr">
        <is>
          <t>C0063</t>
        </is>
      </c>
      <c r="F1318" t="inlineStr">
        <is>
          <t>C0063</t>
        </is>
      </c>
      <c r="G1318" t="inlineStr">
        <is>
          <t>Highpoint Insurance Repairs Pty Ltd</t>
        </is>
      </c>
      <c r="H1318" t="inlineStr">
        <is>
          <t>S0343</t>
        </is>
      </c>
      <c r="I1318" t="inlineStr">
        <is>
          <t>Tarp supply and install - 3 tarp(s)</t>
        </is>
      </c>
      <c r="J1318" t="n">
        <v>3</v>
      </c>
      <c r="K1318" s="9" t="n">
        <v>720</v>
      </c>
      <c r="L1318" t="inlineStr">
        <is>
          <t>PAID</t>
        </is>
      </c>
      <c r="M1318">
        <f>IF(L1318="VOIDED",0,1)</f>
        <v>1</v>
      </c>
      <c r="N1318" t="n">
        <v>200</v>
      </c>
      <c r="O1318" t="inlineStr">
        <is>
          <t>GST on Income</t>
        </is>
      </c>
      <c r="P1318" t="inlineStr">
        <is>
          <t>R09</t>
        </is>
      </c>
      <c r="Q1318" t="inlineStr">
        <is>
          <t>MS</t>
        </is>
      </c>
      <c r="R1318">
        <f>IF(OR(Q1318="CONTEXT",Q1318="REVIEW"),"",INDEX('Category Rules'!$D$5:$D$17,MATCH(P1318,'Category Rules'!$A$5:$A$17,0)))</f>
        <v>4020</v>
      </c>
      <c r="S1318" t="str">
        <f>IF(Q1318="CONTEXT","Make-safe",IF(Q1318="REVIEW","",INDEX('Category Rules'!$E$5:$E$17,MATCH(P1318,'Category Rules'!$A$5:$A$17,0))))</f>
        <v>Make-safe</v>
      </c>
      <c r="T1318" t="str">
        <f>IF(Q1318="DEP","BAS Excluded","GST on Income")</f>
        <v>GST on Income</v>
      </c>
      <c r="U1318">
        <f>IF(O1318=T1318,1,0)</f>
        <v>1</v>
      </c>
      <c r="V1318" s="9">
        <f>IF(OR(M1318=0,U1318=1),0,IF(T1318="GST on Income",ROUND(K1318*0.1,2),ROUND(-K1318*0.1,2)))</f>
        <v>0</v>
      </c>
    </row>
    <row r="1319">
      <c r="A1319" t="inlineStr">
        <is>
          <t>INV-4432-1</t>
        </is>
      </c>
      <c r="B1319" t="inlineStr">
        <is>
          <t>INV-4432</t>
        </is>
      </c>
      <c r="C1319" s="11" t="n">
        <v>46037</v>
      </c>
      <c r="D1319" t="inlineStr">
        <is>
          <t>2026-01</t>
        </is>
      </c>
      <c r="E1319" t="inlineStr">
        <is>
          <t>C0071</t>
        </is>
      </c>
      <c r="F1319" t="inlineStr">
        <is>
          <t>C0071</t>
        </is>
      </c>
      <c r="G1319" t="inlineStr">
        <is>
          <t>Maribyrnong City Council</t>
        </is>
      </c>
      <c r="H1319" t="inlineStr">
        <is>
          <t>S0066</t>
        </is>
      </c>
      <c r="I1319" t="inlineStr">
        <is>
          <t>Temporary fence hire 4 wks (18/12/25-14/01/26) - 78 panels</t>
        </is>
      </c>
      <c r="J1319" t="n">
        <v>312</v>
      </c>
      <c r="K1319" s="9" t="n">
        <v>1404</v>
      </c>
      <c r="L1319" t="inlineStr">
        <is>
          <t>PAID</t>
        </is>
      </c>
      <c r="M1319">
        <f>IF(L1319="VOIDED",0,1)</f>
        <v>1</v>
      </c>
      <c r="N1319" t="n">
        <v>200</v>
      </c>
      <c r="O1319" t="inlineStr">
        <is>
          <t>GST on Income</t>
        </is>
      </c>
      <c r="P1319" t="inlineStr">
        <is>
          <t>R03</t>
        </is>
      </c>
      <c r="Q1319" t="inlineStr">
        <is>
          <t>HIRE-FP</t>
        </is>
      </c>
      <c r="R1319">
        <f>IF(OR(Q1319="CONTEXT",Q1319="REVIEW"),"",INDEX('Category Rules'!$D$5:$D$17,MATCH(P1319,'Category Rules'!$A$5:$A$17,0)))</f>
        <v>4010</v>
      </c>
      <c r="S1319" t="str">
        <f>IF(Q1319="CONTEXT","Fencing",IF(Q1319="REVIEW","",INDEX('Category Rules'!$E$5:$E$17,MATCH(P1319,'Category Rules'!$A$5:$A$17,0))))</f>
        <v>Fencing</v>
      </c>
      <c r="T1319" t="str">
        <f>IF(Q1319="DEP","BAS Excluded","GST on Income")</f>
        <v>GST on Income</v>
      </c>
      <c r="U1319">
        <f>IF(O1319=T1319,1,0)</f>
        <v>1</v>
      </c>
      <c r="V1319" s="9">
        <f>IF(OR(M1319=0,U1319=1),0,IF(T1319="GST on Income",ROUND(K1319*0.1,2),ROUND(-K1319*0.1,2)))</f>
        <v>0</v>
      </c>
    </row>
    <row r="1320">
      <c r="A1320" t="inlineStr">
        <is>
          <t>INV-5660-1</t>
        </is>
      </c>
      <c r="B1320" t="inlineStr">
        <is>
          <t>INV-5660</t>
        </is>
      </c>
      <c r="C1320" s="11" t="n">
        <v>46037</v>
      </c>
      <c r="D1320" t="inlineStr">
        <is>
          <t>2026-01</t>
        </is>
      </c>
      <c r="E1320" t="inlineStr">
        <is>
          <t>C0003</t>
        </is>
      </c>
      <c r="F1320" t="inlineStr">
        <is>
          <t>C0003</t>
        </is>
      </c>
      <c r="G1320" t="inlineStr">
        <is>
          <t>Summit Projects Pty Ltd</t>
        </is>
      </c>
      <c r="H1320" t="inlineStr">
        <is>
          <t>S0413</t>
        </is>
      </c>
      <c r="I1320" t="inlineStr">
        <is>
          <t>Tarp kit hire 4 wks (18/12/25-14/01/26) - 1 kits</t>
        </is>
      </c>
      <c r="J1320" t="n">
        <v>4</v>
      </c>
      <c r="K1320" s="9" t="n">
        <v>140</v>
      </c>
      <c r="L1320" t="inlineStr">
        <is>
          <t>PAID</t>
        </is>
      </c>
      <c r="M1320">
        <f>IF(L1320="VOIDED",0,1)</f>
        <v>1</v>
      </c>
      <c r="N1320" t="n">
        <v>200</v>
      </c>
      <c r="O1320" t="inlineStr">
        <is>
          <t>GST on Income</t>
        </is>
      </c>
      <c r="P1320" t="inlineStr">
        <is>
          <t>R06</t>
        </is>
      </c>
      <c r="Q1320" t="inlineStr">
        <is>
          <t>HIRE-TK</t>
        </is>
      </c>
      <c r="R1320">
        <f>IF(OR(Q1320="CONTEXT",Q1320="REVIEW"),"",INDEX('Category Rules'!$D$5:$D$17,MATCH(P1320,'Category Rules'!$A$5:$A$17,0)))</f>
        <v>4010</v>
      </c>
      <c r="S1320" t="str">
        <f>IF(Q1320="CONTEXT","Make-safe",IF(Q1320="REVIEW","",INDEX('Category Rules'!$E$5:$E$17,MATCH(P1320,'Category Rules'!$A$5:$A$17,0))))</f>
        <v>Make-safe</v>
      </c>
      <c r="T1320" t="str">
        <f>IF(Q1320="DEP","BAS Excluded","GST on Income")</f>
        <v>GST on Income</v>
      </c>
      <c r="U1320">
        <f>IF(O1320=T1320,1,0)</f>
        <v>1</v>
      </c>
      <c r="V1320" s="9">
        <f>IF(OR(M1320=0,U1320=1),0,IF(T1320="GST on Income",ROUND(K1320*0.1,2),ROUND(-K1320*0.1,2)))</f>
        <v>0</v>
      </c>
    </row>
    <row r="1321">
      <c r="A1321" t="inlineStr">
        <is>
          <t>INV-5701-1</t>
        </is>
      </c>
      <c r="B1321" t="inlineStr">
        <is>
          <t>INV-5701</t>
        </is>
      </c>
      <c r="C1321" s="11" t="n">
        <v>46037</v>
      </c>
      <c r="D1321" t="inlineStr">
        <is>
          <t>2026-01</t>
        </is>
      </c>
      <c r="E1321" t="inlineStr">
        <is>
          <t>C0066</t>
        </is>
      </c>
      <c r="F1321" t="inlineStr">
        <is>
          <t>C0066</t>
        </is>
      </c>
      <c r="G1321" t="inlineStr">
        <is>
          <t>Northgate Insurance Repairs</t>
        </is>
      </c>
      <c r="H1321" t="inlineStr">
        <is>
          <t>S0435</t>
        </is>
      </c>
      <c r="I1321" t="inlineStr">
        <is>
          <t>Emergency make safe call-out - after hours</t>
        </is>
      </c>
      <c r="J1321" t="n">
        <v>1</v>
      </c>
      <c r="K1321" s="9" t="n">
        <v>560</v>
      </c>
      <c r="L1321" t="inlineStr">
        <is>
          <t>PAID</t>
        </is>
      </c>
      <c r="M1321">
        <f>IF(L1321="VOIDED",0,1)</f>
        <v>1</v>
      </c>
      <c r="N1321" t="n">
        <v>200</v>
      </c>
      <c r="O1321" t="inlineStr">
        <is>
          <t>GST Free Income</t>
        </is>
      </c>
      <c r="P1321" t="inlineStr">
        <is>
          <t>R09</t>
        </is>
      </c>
      <c r="Q1321" t="inlineStr">
        <is>
          <t>MS</t>
        </is>
      </c>
      <c r="R1321">
        <f>IF(OR(Q1321="CONTEXT",Q1321="REVIEW"),"",INDEX('Category Rules'!$D$5:$D$17,MATCH(P1321,'Category Rules'!$A$5:$A$17,0)))</f>
        <v>4020</v>
      </c>
      <c r="S1321" t="str">
        <f>IF(Q1321="CONTEXT","Make-safe",IF(Q1321="REVIEW","",INDEX('Category Rules'!$E$5:$E$17,MATCH(P1321,'Category Rules'!$A$5:$A$17,0))))</f>
        <v>Make-safe</v>
      </c>
      <c r="T1321" t="str">
        <f>IF(Q1321="DEP","BAS Excluded","GST on Income")</f>
        <v>GST on Income</v>
      </c>
      <c r="U1321">
        <f>IF(O1321=T1321,1,0)</f>
        <v>0</v>
      </c>
      <c r="V1321" s="9">
        <f>IF(OR(M1321=0,U1321=1),0,IF(T1321="GST on Income",ROUND(K1321*0.1,2),ROUND(-K1321*0.1,2)))</f>
        <v>56</v>
      </c>
    </row>
    <row r="1322">
      <c r="A1322" t="inlineStr">
        <is>
          <t>INV-5701-2</t>
        </is>
      </c>
      <c r="B1322" t="inlineStr">
        <is>
          <t>INV-5701</t>
        </is>
      </c>
      <c r="C1322" s="11" t="n">
        <v>46037</v>
      </c>
      <c r="D1322" t="inlineStr">
        <is>
          <t>2026-01</t>
        </is>
      </c>
      <c r="E1322" t="inlineStr">
        <is>
          <t>C0066</t>
        </is>
      </c>
      <c r="F1322" t="inlineStr">
        <is>
          <t>C0066</t>
        </is>
      </c>
      <c r="G1322" t="inlineStr">
        <is>
          <t>Northgate Insurance Repairs</t>
        </is>
      </c>
      <c r="H1322" t="inlineStr">
        <is>
          <t>S0435</t>
        </is>
      </c>
      <c r="I1322" t="inlineStr">
        <is>
          <t>Tarp supply and install - 2 tarp(s)</t>
        </is>
      </c>
      <c r="J1322" t="n">
        <v>2</v>
      </c>
      <c r="K1322" s="9" t="n">
        <v>480</v>
      </c>
      <c r="L1322" t="inlineStr">
        <is>
          <t>PAID</t>
        </is>
      </c>
      <c r="M1322">
        <f>IF(L1322="VOIDED",0,1)</f>
        <v>1</v>
      </c>
      <c r="N1322" t="n">
        <v>200</v>
      </c>
      <c r="O1322" t="inlineStr">
        <is>
          <t>GST on Income</t>
        </is>
      </c>
      <c r="P1322" t="inlineStr">
        <is>
          <t>R09</t>
        </is>
      </c>
      <c r="Q1322" t="inlineStr">
        <is>
          <t>MS</t>
        </is>
      </c>
      <c r="R1322">
        <f>IF(OR(Q1322="CONTEXT",Q1322="REVIEW"),"",INDEX('Category Rules'!$D$5:$D$17,MATCH(P1322,'Category Rules'!$A$5:$A$17,0)))</f>
        <v>4020</v>
      </c>
      <c r="S1322" t="str">
        <f>IF(Q1322="CONTEXT","Make-safe",IF(Q1322="REVIEW","",INDEX('Category Rules'!$E$5:$E$17,MATCH(P1322,'Category Rules'!$A$5:$A$17,0))))</f>
        <v>Make-safe</v>
      </c>
      <c r="T1322" t="str">
        <f>IF(Q1322="DEP","BAS Excluded","GST on Income")</f>
        <v>GST on Income</v>
      </c>
      <c r="U1322">
        <f>IF(O1322=T1322,1,0)</f>
        <v>1</v>
      </c>
      <c r="V1322" s="9">
        <f>IF(OR(M1322=0,U1322=1),0,IF(T1322="GST on Income",ROUND(K1322*0.1,2),ROUND(-K1322*0.1,2)))</f>
        <v>0</v>
      </c>
    </row>
    <row r="1323">
      <c r="A1323" t="inlineStr">
        <is>
          <t>INV-5720-1</t>
        </is>
      </c>
      <c r="B1323" t="inlineStr">
        <is>
          <t>INV-5720</t>
        </is>
      </c>
      <c r="C1323" s="11" t="n">
        <v>46037</v>
      </c>
      <c r="D1323" t="inlineStr">
        <is>
          <t>2026-01</t>
        </is>
      </c>
      <c r="E1323" t="inlineStr">
        <is>
          <t>C0068</t>
        </is>
      </c>
      <c r="F1323" t="inlineStr">
        <is>
          <t>C0068</t>
        </is>
      </c>
      <c r="G1323" t="inlineStr">
        <is>
          <t>Coastline Claims Services</t>
        </is>
      </c>
      <c r="H1323" t="inlineStr">
        <is>
          <t>S0445</t>
        </is>
      </c>
      <c r="I1323" t="inlineStr">
        <is>
          <t>Emergency make safe call-out - after hours</t>
        </is>
      </c>
      <c r="J1323" t="n">
        <v>1</v>
      </c>
      <c r="K1323" s="9" t="n">
        <v>560</v>
      </c>
      <c r="L1323" t="inlineStr">
        <is>
          <t>PAID</t>
        </is>
      </c>
      <c r="M1323">
        <f>IF(L1323="VOIDED",0,1)</f>
        <v>1</v>
      </c>
      <c r="N1323" t="n">
        <v>200</v>
      </c>
      <c r="O1323" t="inlineStr">
        <is>
          <t>GST on Income</t>
        </is>
      </c>
      <c r="P1323" t="inlineStr">
        <is>
          <t>R09</t>
        </is>
      </c>
      <c r="Q1323" t="inlineStr">
        <is>
          <t>MS</t>
        </is>
      </c>
      <c r="R1323">
        <f>IF(OR(Q1323="CONTEXT",Q1323="REVIEW"),"",INDEX('Category Rules'!$D$5:$D$17,MATCH(P1323,'Category Rules'!$A$5:$A$17,0)))</f>
        <v>4020</v>
      </c>
      <c r="S1323" t="str">
        <f>IF(Q1323="CONTEXT","Make-safe",IF(Q1323="REVIEW","",INDEX('Category Rules'!$E$5:$E$17,MATCH(P1323,'Category Rules'!$A$5:$A$17,0))))</f>
        <v>Make-safe</v>
      </c>
      <c r="T1323" t="str">
        <f>IF(Q1323="DEP","BAS Excluded","GST on Income")</f>
        <v>GST on Income</v>
      </c>
      <c r="U1323">
        <f>IF(O1323=T1323,1,0)</f>
        <v>1</v>
      </c>
      <c r="V1323" s="9">
        <f>IF(OR(M1323=0,U1323=1),0,IF(T1323="GST on Income",ROUND(K1323*0.1,2),ROUND(-K1323*0.1,2)))</f>
        <v>0</v>
      </c>
    </row>
    <row r="1324">
      <c r="A1324" t="inlineStr">
        <is>
          <t>INV-5720-2</t>
        </is>
      </c>
      <c r="B1324" t="inlineStr">
        <is>
          <t>INV-5720</t>
        </is>
      </c>
      <c r="C1324" s="11" t="n">
        <v>46037</v>
      </c>
      <c r="D1324" t="inlineStr">
        <is>
          <t>2026-01</t>
        </is>
      </c>
      <c r="E1324" t="inlineStr">
        <is>
          <t>C0068</t>
        </is>
      </c>
      <c r="F1324" t="inlineStr">
        <is>
          <t>C0068</t>
        </is>
      </c>
      <c r="G1324" t="inlineStr">
        <is>
          <t>Coastline Claims Services</t>
        </is>
      </c>
      <c r="H1324" t="inlineStr">
        <is>
          <t>S0445</t>
        </is>
      </c>
      <c r="I1324" t="inlineStr">
        <is>
          <t>Tarp supply and install - 2 tarp(s)</t>
        </is>
      </c>
      <c r="J1324" t="n">
        <v>2</v>
      </c>
      <c r="K1324" s="9" t="n">
        <v>480</v>
      </c>
      <c r="L1324" t="inlineStr">
        <is>
          <t>PAID</t>
        </is>
      </c>
      <c r="M1324">
        <f>IF(L1324="VOIDED",0,1)</f>
        <v>1</v>
      </c>
      <c r="N1324" t="n">
        <v>200</v>
      </c>
      <c r="O1324" t="inlineStr">
        <is>
          <t>GST on Income</t>
        </is>
      </c>
      <c r="P1324" t="inlineStr">
        <is>
          <t>R09</t>
        </is>
      </c>
      <c r="Q1324" t="inlineStr">
        <is>
          <t>MS</t>
        </is>
      </c>
      <c r="R1324">
        <f>IF(OR(Q1324="CONTEXT",Q1324="REVIEW"),"",INDEX('Category Rules'!$D$5:$D$17,MATCH(P1324,'Category Rules'!$A$5:$A$17,0)))</f>
        <v>4020</v>
      </c>
      <c r="S1324" t="str">
        <f>IF(Q1324="CONTEXT","Make-safe",IF(Q1324="REVIEW","",INDEX('Category Rules'!$E$5:$E$17,MATCH(P1324,'Category Rules'!$A$5:$A$17,0))))</f>
        <v>Make-safe</v>
      </c>
      <c r="T1324" t="str">
        <f>IF(Q1324="DEP","BAS Excluded","GST on Income")</f>
        <v>GST on Income</v>
      </c>
      <c r="U1324">
        <f>IF(O1324=T1324,1,0)</f>
        <v>1</v>
      </c>
      <c r="V1324" s="9">
        <f>IF(OR(M1324=0,U1324=1),0,IF(T1324="GST on Income",ROUND(K1324*0.1,2),ROUND(-K1324*0.1,2)))</f>
        <v>0</v>
      </c>
    </row>
    <row r="1325">
      <c r="A1325" t="inlineStr">
        <is>
          <t>INV-4516-1</t>
        </is>
      </c>
      <c r="B1325" t="inlineStr">
        <is>
          <t>INV-4516</t>
        </is>
      </c>
      <c r="C1325" s="11" t="n">
        <v>46038</v>
      </c>
      <c r="D1325" t="inlineStr">
        <is>
          <t>2026-01</t>
        </is>
      </c>
      <c r="E1325" t="inlineStr">
        <is>
          <t>C0022</t>
        </is>
      </c>
      <c r="F1325" t="inlineStr">
        <is>
          <t>C0022</t>
        </is>
      </c>
      <c r="G1325" t="inlineStr">
        <is>
          <t>Highpoint Projects</t>
        </is>
      </c>
      <c r="H1325" t="inlineStr">
        <is>
          <t>S0085</t>
        </is>
      </c>
      <c r="I1325" t="inlineStr">
        <is>
          <t>Temporary fence hire 4 wks (19/12/25-15/01/26) - 89 panels</t>
        </is>
      </c>
      <c r="J1325" t="n">
        <v>356</v>
      </c>
      <c r="K1325" s="9" t="n">
        <v>1602</v>
      </c>
      <c r="L1325" t="inlineStr">
        <is>
          <t>PAID</t>
        </is>
      </c>
      <c r="M1325">
        <f>IF(L1325="VOIDED",0,1)</f>
        <v>1</v>
      </c>
      <c r="N1325" t="n">
        <v>200</v>
      </c>
      <c r="O1325" t="inlineStr">
        <is>
          <t>GST on Income</t>
        </is>
      </c>
      <c r="P1325" t="inlineStr">
        <is>
          <t>R03</t>
        </is>
      </c>
      <c r="Q1325" t="inlineStr">
        <is>
          <t>HIRE-FP</t>
        </is>
      </c>
      <c r="R1325">
        <f>IF(OR(Q1325="CONTEXT",Q1325="REVIEW"),"",INDEX('Category Rules'!$D$5:$D$17,MATCH(P1325,'Category Rules'!$A$5:$A$17,0)))</f>
        <v>4010</v>
      </c>
      <c r="S1325" t="str">
        <f>IF(Q1325="CONTEXT","Fencing",IF(Q1325="REVIEW","",INDEX('Category Rules'!$E$5:$E$17,MATCH(P1325,'Category Rules'!$A$5:$A$17,0))))</f>
        <v>Fencing</v>
      </c>
      <c r="T1325" t="str">
        <f>IF(Q1325="DEP","BAS Excluded","GST on Income")</f>
        <v>GST on Income</v>
      </c>
      <c r="U1325">
        <f>IF(O1325=T1325,1,0)</f>
        <v>1</v>
      </c>
      <c r="V1325" s="9">
        <f>IF(OR(M1325=0,U1325=1),0,IF(T1325="GST on Income",ROUND(K1325*0.1,2),ROUND(-K1325*0.1,2)))</f>
        <v>0</v>
      </c>
    </row>
    <row r="1326">
      <c r="A1326" t="inlineStr">
        <is>
          <t>INV-4525-1</t>
        </is>
      </c>
      <c r="B1326" t="inlineStr">
        <is>
          <t>INV-4525</t>
        </is>
      </c>
      <c r="C1326" s="11" t="n">
        <v>46038</v>
      </c>
      <c r="D1326" t="inlineStr">
        <is>
          <t>2026-01</t>
        </is>
      </c>
      <c r="E1326" t="inlineStr">
        <is>
          <t>C0022</t>
        </is>
      </c>
      <c r="F1326" t="inlineStr">
        <is>
          <t>C0022</t>
        </is>
      </c>
      <c r="G1326" t="inlineStr">
        <is>
          <t>Highpoint Projects</t>
        </is>
      </c>
      <c r="H1326" t="inlineStr">
        <is>
          <t>S0085</t>
        </is>
      </c>
      <c r="I1326" t="inlineStr">
        <is>
          <t>Pedestrian barrier hire 4 wks (19/12/25-15/01/26) - 9 barriers</t>
        </is>
      </c>
      <c r="J1326" t="n">
        <v>36</v>
      </c>
      <c r="K1326" s="9" t="n">
        <v>115.2</v>
      </c>
      <c r="L1326" t="inlineStr">
        <is>
          <t>PAID</t>
        </is>
      </c>
      <c r="M1326">
        <f>IF(L1326="VOIDED",0,1)</f>
        <v>1</v>
      </c>
      <c r="N1326" t="n">
        <v>200</v>
      </c>
      <c r="O1326" t="inlineStr">
        <is>
          <t>GST on Income</t>
        </is>
      </c>
      <c r="P1326" t="inlineStr">
        <is>
          <t>R04</t>
        </is>
      </c>
      <c r="Q1326" t="inlineStr">
        <is>
          <t>HIRE-BR</t>
        </is>
      </c>
      <c r="R1326">
        <f>IF(OR(Q1326="CONTEXT",Q1326="REVIEW"),"",INDEX('Category Rules'!$D$5:$D$17,MATCH(P1326,'Category Rules'!$A$5:$A$17,0)))</f>
        <v>4010</v>
      </c>
      <c r="S1326" t="str">
        <f>IF(Q1326="CONTEXT","Fencing",IF(Q1326="REVIEW","",INDEX('Category Rules'!$E$5:$E$17,MATCH(P1326,'Category Rules'!$A$5:$A$17,0))))</f>
        <v>Fencing</v>
      </c>
      <c r="T1326" t="str">
        <f>IF(Q1326="DEP","BAS Excluded","GST on Income")</f>
        <v>GST on Income</v>
      </c>
      <c r="U1326">
        <f>IF(O1326=T1326,1,0)</f>
        <v>1</v>
      </c>
      <c r="V1326" s="9">
        <f>IF(OR(M1326=0,U1326=1),0,IF(T1326="GST on Income",ROUND(K1326*0.1,2),ROUND(-K1326*0.1,2)))</f>
        <v>0</v>
      </c>
    </row>
    <row r="1327">
      <c r="A1327" t="inlineStr">
        <is>
          <t>INV-4744-1</t>
        </is>
      </c>
      <c r="B1327" t="inlineStr">
        <is>
          <t>INV-4744</t>
        </is>
      </c>
      <c r="C1327" s="11" t="n">
        <v>46038</v>
      </c>
      <c r="D1327" t="inlineStr">
        <is>
          <t>2026-01</t>
        </is>
      </c>
      <c r="E1327" t="inlineStr">
        <is>
          <t>C0122</t>
        </is>
      </c>
      <c r="F1327" t="inlineStr">
        <is>
          <t>C0122</t>
        </is>
      </c>
      <c r="G1327" t="inlineStr">
        <is>
          <t>Bluegum Construction Pty Ltd</t>
        </is>
      </c>
      <c r="H1327" t="inlineStr">
        <is>
          <t>S0135</t>
        </is>
      </c>
      <c r="I1327" t="inlineStr">
        <is>
          <t>Temporary fence hire 4 wks (19/12/25-15/01/26) - 65 panels</t>
        </is>
      </c>
      <c r="J1327" t="n">
        <v>260</v>
      </c>
      <c r="K1327" s="9" t="n">
        <v>1170</v>
      </c>
      <c r="L1327" t="inlineStr">
        <is>
          <t>PAID</t>
        </is>
      </c>
      <c r="M1327">
        <f>IF(L1327="VOIDED",0,1)</f>
        <v>1</v>
      </c>
      <c r="N1327" t="n">
        <v>200</v>
      </c>
      <c r="O1327" t="inlineStr">
        <is>
          <t>GST on Income</t>
        </is>
      </c>
      <c r="P1327" t="inlineStr">
        <is>
          <t>R03</t>
        </is>
      </c>
      <c r="Q1327" t="inlineStr">
        <is>
          <t>HIRE-FP</t>
        </is>
      </c>
      <c r="R1327">
        <f>IF(OR(Q1327="CONTEXT",Q1327="REVIEW"),"",INDEX('Category Rules'!$D$5:$D$17,MATCH(P1327,'Category Rules'!$A$5:$A$17,0)))</f>
        <v>4010</v>
      </c>
      <c r="S1327" t="str">
        <f>IF(Q1327="CONTEXT","Fencing",IF(Q1327="REVIEW","",INDEX('Category Rules'!$E$5:$E$17,MATCH(P1327,'Category Rules'!$A$5:$A$17,0))))</f>
        <v>Fencing</v>
      </c>
      <c r="T1327" t="str">
        <f>IF(Q1327="DEP","BAS Excluded","GST on Income")</f>
        <v>GST on Income</v>
      </c>
      <c r="U1327">
        <f>IF(O1327=T1327,1,0)</f>
        <v>1</v>
      </c>
      <c r="V1327" s="9">
        <f>IF(OR(M1327=0,U1327=1),0,IF(T1327="GST on Income",ROUND(K1327*0.1,2),ROUND(-K1327*0.1,2)))</f>
        <v>0</v>
      </c>
    </row>
    <row r="1328">
      <c r="A1328" t="inlineStr">
        <is>
          <t>INV-4749-1</t>
        </is>
      </c>
      <c r="B1328" t="inlineStr">
        <is>
          <t>INV-4749</t>
        </is>
      </c>
      <c r="C1328" s="11" t="n">
        <v>46038</v>
      </c>
      <c r="D1328" t="inlineStr">
        <is>
          <t>2026-01</t>
        </is>
      </c>
      <c r="E1328" t="inlineStr">
        <is>
          <t>C0122</t>
        </is>
      </c>
      <c r="F1328" t="inlineStr">
        <is>
          <t>C0122</t>
        </is>
      </c>
      <c r="G1328" t="inlineStr">
        <is>
          <t>Bluegum Construction Pty Ltd</t>
        </is>
      </c>
      <c r="H1328" t="inlineStr">
        <is>
          <t>S0135</t>
        </is>
      </c>
      <c r="I1328" t="inlineStr">
        <is>
          <t>Pedestrian barrier hire 4 wks (19/12/25-15/01/26) - 11 barriers</t>
        </is>
      </c>
      <c r="J1328" t="n">
        <v>44</v>
      </c>
      <c r="K1328" s="9" t="n">
        <v>140.8</v>
      </c>
      <c r="L1328" t="inlineStr">
        <is>
          <t>PAID</t>
        </is>
      </c>
      <c r="M1328">
        <f>IF(L1328="VOIDED",0,1)</f>
        <v>1</v>
      </c>
      <c r="N1328" t="n">
        <v>200</v>
      </c>
      <c r="O1328" t="inlineStr">
        <is>
          <t>GST on Income</t>
        </is>
      </c>
      <c r="P1328" t="inlineStr">
        <is>
          <t>R04</t>
        </is>
      </c>
      <c r="Q1328" t="inlineStr">
        <is>
          <t>HIRE-BR</t>
        </is>
      </c>
      <c r="R1328">
        <f>IF(OR(Q1328="CONTEXT",Q1328="REVIEW"),"",INDEX('Category Rules'!$D$5:$D$17,MATCH(P1328,'Category Rules'!$A$5:$A$17,0)))</f>
        <v>4010</v>
      </c>
      <c r="S1328" t="str">
        <f>IF(Q1328="CONTEXT","Fencing",IF(Q1328="REVIEW","",INDEX('Category Rules'!$E$5:$E$17,MATCH(P1328,'Category Rules'!$A$5:$A$17,0))))</f>
        <v>Fencing</v>
      </c>
      <c r="T1328" t="str">
        <f>IF(Q1328="DEP","BAS Excluded","GST on Income")</f>
        <v>GST on Income</v>
      </c>
      <c r="U1328">
        <f>IF(O1328=T1328,1,0)</f>
        <v>1</v>
      </c>
      <c r="V1328" s="9">
        <f>IF(OR(M1328=0,U1328=1),0,IF(T1328="GST on Income",ROUND(K1328*0.1,2),ROUND(-K1328*0.1,2)))</f>
        <v>0</v>
      </c>
    </row>
    <row r="1329">
      <c r="A1329" t="inlineStr">
        <is>
          <t>INV-5656-1</t>
        </is>
      </c>
      <c r="B1329" t="inlineStr">
        <is>
          <t>INV-5656</t>
        </is>
      </c>
      <c r="C1329" s="11" t="n">
        <v>46038</v>
      </c>
      <c r="D1329" t="inlineStr">
        <is>
          <t>2026-01</t>
        </is>
      </c>
      <c r="E1329" t="inlineStr">
        <is>
          <t>C0051</t>
        </is>
      </c>
      <c r="F1329" t="inlineStr">
        <is>
          <t>C0051</t>
        </is>
      </c>
      <c r="G1329" t="inlineStr">
        <is>
          <t>Granite Body Corporate Pty Ltd</t>
        </is>
      </c>
      <c r="H1329" t="inlineStr">
        <is>
          <t>S0411</t>
        </is>
      </c>
      <c r="I1329" t="inlineStr">
        <is>
          <t>Make safe call-out</t>
        </is>
      </c>
      <c r="J1329" t="n">
        <v>1</v>
      </c>
      <c r="K1329" s="9" t="n">
        <v>385</v>
      </c>
      <c r="L1329" t="inlineStr">
        <is>
          <t>PAID</t>
        </is>
      </c>
      <c r="M1329">
        <f>IF(L1329="VOIDED",0,1)</f>
        <v>1</v>
      </c>
      <c r="N1329" t="n">
        <v>200</v>
      </c>
      <c r="O1329" t="inlineStr">
        <is>
          <t>GST on Income</t>
        </is>
      </c>
      <c r="P1329" t="inlineStr">
        <is>
          <t>R09</t>
        </is>
      </c>
      <c r="Q1329" t="inlineStr">
        <is>
          <t>MS</t>
        </is>
      </c>
      <c r="R1329">
        <f>IF(OR(Q1329="CONTEXT",Q1329="REVIEW"),"",INDEX('Category Rules'!$D$5:$D$17,MATCH(P1329,'Category Rules'!$A$5:$A$17,0)))</f>
        <v>4020</v>
      </c>
      <c r="S1329" t="str">
        <f>IF(Q1329="CONTEXT","Make-safe",IF(Q1329="REVIEW","",INDEX('Category Rules'!$E$5:$E$17,MATCH(P1329,'Category Rules'!$A$5:$A$17,0))))</f>
        <v>Make-safe</v>
      </c>
      <c r="T1329" t="str">
        <f>IF(Q1329="DEP","BAS Excluded","GST on Income")</f>
        <v>GST on Income</v>
      </c>
      <c r="U1329">
        <f>IF(O1329=T1329,1,0)</f>
        <v>1</v>
      </c>
      <c r="V1329" s="9">
        <f>IF(OR(M1329=0,U1329=1),0,IF(T1329="GST on Income",ROUND(K1329*0.1,2),ROUND(-K1329*0.1,2)))</f>
        <v>0</v>
      </c>
    </row>
    <row r="1330">
      <c r="A1330" t="inlineStr">
        <is>
          <t>INV-5661-1</t>
        </is>
      </c>
      <c r="B1330" t="inlineStr">
        <is>
          <t>INV-5661</t>
        </is>
      </c>
      <c r="C1330" s="11" t="n">
        <v>46038</v>
      </c>
      <c r="D1330" t="inlineStr">
        <is>
          <t>2026-01</t>
        </is>
      </c>
      <c r="E1330" t="inlineStr">
        <is>
          <t>C0003</t>
        </is>
      </c>
      <c r="F1330" t="inlineStr">
        <is>
          <t>C0003</t>
        </is>
      </c>
      <c r="G1330" t="inlineStr">
        <is>
          <t>Summit Projects Pty Ltd</t>
        </is>
      </c>
      <c r="H1330" t="inlineStr">
        <is>
          <t>S0413</t>
        </is>
      </c>
      <c r="I1330" t="inlineStr">
        <is>
          <t>Tarp kit hire 1 wks (15/01/26-15/01/26) - 1 kits</t>
        </is>
      </c>
      <c r="J1330" t="n">
        <v>1</v>
      </c>
      <c r="K1330" s="9" t="n">
        <v>35</v>
      </c>
      <c r="L1330" t="inlineStr">
        <is>
          <t>PAID</t>
        </is>
      </c>
      <c r="M1330">
        <f>IF(L1330="VOIDED",0,1)</f>
        <v>1</v>
      </c>
      <c r="N1330" t="n">
        <v>200</v>
      </c>
      <c r="O1330" t="inlineStr">
        <is>
          <t>GST on Income</t>
        </is>
      </c>
      <c r="P1330" t="inlineStr">
        <is>
          <t>R06</t>
        </is>
      </c>
      <c r="Q1330" t="inlineStr">
        <is>
          <t>HIRE-TK</t>
        </is>
      </c>
      <c r="R1330">
        <f>IF(OR(Q1330="CONTEXT",Q1330="REVIEW"),"",INDEX('Category Rules'!$D$5:$D$17,MATCH(P1330,'Category Rules'!$A$5:$A$17,0)))</f>
        <v>4010</v>
      </c>
      <c r="S1330" t="str">
        <f>IF(Q1330="CONTEXT","Make-safe",IF(Q1330="REVIEW","",INDEX('Category Rules'!$E$5:$E$17,MATCH(P1330,'Category Rules'!$A$5:$A$17,0))))</f>
        <v>Make-safe</v>
      </c>
      <c r="T1330" t="str">
        <f>IF(Q1330="DEP","BAS Excluded","GST on Income")</f>
        <v>GST on Income</v>
      </c>
      <c r="U1330">
        <f>IF(O1330=T1330,1,0)</f>
        <v>1</v>
      </c>
      <c r="V1330" s="9">
        <f>IF(OR(M1330=0,U1330=1),0,IF(T1330="GST on Income",ROUND(K1330*0.1,2),ROUND(-K1330*0.1,2)))</f>
        <v>0</v>
      </c>
    </row>
    <row r="1331">
      <c r="A1331" t="inlineStr">
        <is>
          <t>INV-5794-1</t>
        </is>
      </c>
      <c r="B1331" t="inlineStr">
        <is>
          <t>INV-5794</t>
        </is>
      </c>
      <c r="C1331" s="11" t="n">
        <v>46038</v>
      </c>
      <c r="D1331" t="inlineStr">
        <is>
          <t>2026-01</t>
        </is>
      </c>
      <c r="E1331" t="inlineStr">
        <is>
          <t>C0014</t>
        </is>
      </c>
      <c r="F1331" t="inlineStr">
        <is>
          <t>C0014</t>
        </is>
      </c>
      <c r="G1331" t="inlineStr">
        <is>
          <t>Riverbend Homes Pty Ltd</t>
        </is>
      </c>
      <c r="H1331" t="inlineStr">
        <is>
          <t>S0486</t>
        </is>
      </c>
      <c r="I1331" t="inlineStr">
        <is>
          <t>Roof repair labour - 12 hrs</t>
        </is>
      </c>
      <c r="J1331" t="n">
        <v>12</v>
      </c>
      <c r="K1331" s="9" t="n">
        <v>1176</v>
      </c>
      <c r="L1331" t="inlineStr">
        <is>
          <t>PAID</t>
        </is>
      </c>
      <c r="M1331">
        <f>IF(L1331="VOIDED",0,1)</f>
        <v>1</v>
      </c>
      <c r="N1331" t="n">
        <v>200</v>
      </c>
      <c r="O1331" t="inlineStr">
        <is>
          <t>GST on Income</t>
        </is>
      </c>
      <c r="P1331" t="inlineStr">
        <is>
          <t>R10</t>
        </is>
      </c>
      <c r="Q1331" t="inlineStr">
        <is>
          <t>LAB-RF</t>
        </is>
      </c>
      <c r="R1331">
        <f>IF(OR(Q1331="CONTEXT",Q1331="REVIEW"),"",INDEX('Category Rules'!$D$5:$D$17,MATCH(P1331,'Category Rules'!$A$5:$A$17,0)))</f>
        <v>4020</v>
      </c>
      <c r="S1331" t="str">
        <f>IF(Q1331="CONTEXT","Roofing",IF(Q1331="REVIEW","",INDEX('Category Rules'!$E$5:$E$17,MATCH(P1331,'Category Rules'!$A$5:$A$17,0))))</f>
        <v>Roofing</v>
      </c>
      <c r="T1331" t="str">
        <f>IF(Q1331="DEP","BAS Excluded","GST on Income")</f>
        <v>GST on Income</v>
      </c>
      <c r="U1331">
        <f>IF(O1331=T1331,1,0)</f>
        <v>1</v>
      </c>
      <c r="V1331" s="9">
        <f>IF(OR(M1331=0,U1331=1),0,IF(T1331="GST on Income",ROUND(K1331*0.1,2),ROUND(-K1331*0.1,2)))</f>
        <v>0</v>
      </c>
    </row>
    <row r="1332">
      <c r="A1332" t="inlineStr">
        <is>
          <t>INV-5794-2</t>
        </is>
      </c>
      <c r="B1332" t="inlineStr">
        <is>
          <t>INV-5794</t>
        </is>
      </c>
      <c r="C1332" s="11" t="n">
        <v>46038</v>
      </c>
      <c r="D1332" t="inlineStr">
        <is>
          <t>2026-01</t>
        </is>
      </c>
      <c r="E1332" t="inlineStr">
        <is>
          <t>C0014</t>
        </is>
      </c>
      <c r="F1332" t="inlineStr">
        <is>
          <t>C0014</t>
        </is>
      </c>
      <c r="G1332" t="inlineStr">
        <is>
          <t>Riverbend Homes Pty Ltd</t>
        </is>
      </c>
      <c r="H1332" t="inlineStr">
        <is>
          <t>S0486</t>
        </is>
      </c>
      <c r="I1332" t="inlineStr">
        <is>
          <t>Materials - sealant and fixings</t>
        </is>
      </c>
      <c r="J1332" t="n">
        <v>1</v>
      </c>
      <c r="K1332" s="9" t="n">
        <v>577.05</v>
      </c>
      <c r="L1332" t="inlineStr">
        <is>
          <t>PAID</t>
        </is>
      </c>
      <c r="M1332">
        <f>IF(L1332="VOIDED",0,1)</f>
        <v>1</v>
      </c>
      <c r="N1332" t="n">
        <v>200</v>
      </c>
      <c r="O1332" t="inlineStr">
        <is>
          <t>GST on Income</t>
        </is>
      </c>
      <c r="P1332" t="inlineStr">
        <is>
          <t>R11</t>
        </is>
      </c>
      <c r="Q1332" t="inlineStr">
        <is>
          <t>MAT-RF</t>
        </is>
      </c>
      <c r="R1332">
        <f>IF(OR(Q1332="CONTEXT",Q1332="REVIEW"),"",INDEX('Category Rules'!$D$5:$D$17,MATCH(P1332,'Category Rules'!$A$5:$A$17,0)))</f>
        <v>4030</v>
      </c>
      <c r="S1332" t="str">
        <f>IF(Q1332="CONTEXT","Roofing",IF(Q1332="REVIEW","",INDEX('Category Rules'!$E$5:$E$17,MATCH(P1332,'Category Rules'!$A$5:$A$17,0))))</f>
        <v>Roofing</v>
      </c>
      <c r="T1332" t="str">
        <f>IF(Q1332="DEP","BAS Excluded","GST on Income")</f>
        <v>GST on Income</v>
      </c>
      <c r="U1332">
        <f>IF(O1332=T1332,1,0)</f>
        <v>1</v>
      </c>
      <c r="V1332" s="9">
        <f>IF(OR(M1332=0,U1332=1),0,IF(T1332="GST on Income",ROUND(K1332*0.1,2),ROUND(-K1332*0.1,2)))</f>
        <v>0</v>
      </c>
    </row>
    <row r="1333">
      <c r="A1333" t="inlineStr">
        <is>
          <t>INV-5794-3</t>
        </is>
      </c>
      <c r="B1333" t="inlineStr">
        <is>
          <t>INV-5794</t>
        </is>
      </c>
      <c r="C1333" s="11" t="n">
        <v>46038</v>
      </c>
      <c r="D1333" t="inlineStr">
        <is>
          <t>2026-01</t>
        </is>
      </c>
      <c r="E1333" t="inlineStr">
        <is>
          <t>C0014</t>
        </is>
      </c>
      <c r="F1333" t="inlineStr">
        <is>
          <t>C0014</t>
        </is>
      </c>
      <c r="G1333" t="inlineStr">
        <is>
          <t>Riverbend Homes Pty Ltd</t>
        </is>
      </c>
      <c r="H1333" t="inlineStr">
        <is>
          <t>S0486</t>
        </is>
      </c>
      <c r="I1333" t="inlineStr">
        <is>
          <t>Materials - gutter and downpipe</t>
        </is>
      </c>
      <c r="J1333" t="n">
        <v>1</v>
      </c>
      <c r="K1333" s="9" t="n">
        <v>1032.79</v>
      </c>
      <c r="L1333" t="inlineStr">
        <is>
          <t>PAID</t>
        </is>
      </c>
      <c r="M1333">
        <f>IF(L1333="VOIDED",0,1)</f>
        <v>1</v>
      </c>
      <c r="N1333" t="n">
        <v>200</v>
      </c>
      <c r="O1333" t="inlineStr">
        <is>
          <t>GST on Income</t>
        </is>
      </c>
      <c r="P1333" t="inlineStr">
        <is>
          <t>R11</t>
        </is>
      </c>
      <c r="Q1333" t="inlineStr">
        <is>
          <t>MAT-RF</t>
        </is>
      </c>
      <c r="R1333">
        <f>IF(OR(Q1333="CONTEXT",Q1333="REVIEW"),"",INDEX('Category Rules'!$D$5:$D$17,MATCH(P1333,'Category Rules'!$A$5:$A$17,0)))</f>
        <v>4030</v>
      </c>
      <c r="S1333" t="str">
        <f>IF(Q1333="CONTEXT","Roofing",IF(Q1333="REVIEW","",INDEX('Category Rules'!$E$5:$E$17,MATCH(P1333,'Category Rules'!$A$5:$A$17,0))))</f>
        <v>Roofing</v>
      </c>
      <c r="T1333" t="str">
        <f>IF(Q1333="DEP","BAS Excluded","GST on Income")</f>
        <v>GST on Income</v>
      </c>
      <c r="U1333">
        <f>IF(O1333=T1333,1,0)</f>
        <v>1</v>
      </c>
      <c r="V1333" s="9">
        <f>IF(OR(M1333=0,U1333=1),0,IF(T1333="GST on Income",ROUND(K1333*0.1,2),ROUND(-K1333*0.1,2)))</f>
        <v>0</v>
      </c>
    </row>
    <row r="1334">
      <c r="A1334" t="inlineStr">
        <is>
          <t>INV-5794-4</t>
        </is>
      </c>
      <c r="B1334" t="inlineStr">
        <is>
          <t>INV-5794</t>
        </is>
      </c>
      <c r="C1334" s="11" t="n">
        <v>46038</v>
      </c>
      <c r="D1334" t="inlineStr">
        <is>
          <t>2026-01</t>
        </is>
      </c>
      <c r="E1334" t="inlineStr">
        <is>
          <t>C0014</t>
        </is>
      </c>
      <c r="F1334" t="inlineStr">
        <is>
          <t>C0014</t>
        </is>
      </c>
      <c r="G1334" t="inlineStr">
        <is>
          <t>Riverbend Homes Pty Ltd</t>
        </is>
      </c>
      <c r="H1334" t="inlineStr">
        <is>
          <t>S0486</t>
        </is>
      </c>
      <c r="I1334" t="inlineStr">
        <is>
          <t>Materials - Colorbond sheet</t>
        </is>
      </c>
      <c r="J1334" t="n">
        <v>1</v>
      </c>
      <c r="K1334" s="9" t="n">
        <v>1309.07</v>
      </c>
      <c r="L1334" t="inlineStr">
        <is>
          <t>PAID</t>
        </is>
      </c>
      <c r="M1334">
        <f>IF(L1334="VOIDED",0,1)</f>
        <v>1</v>
      </c>
      <c r="N1334" t="n">
        <v>200</v>
      </c>
      <c r="O1334" t="inlineStr">
        <is>
          <t>GST on Income</t>
        </is>
      </c>
      <c r="P1334" t="inlineStr">
        <is>
          <t>R11</t>
        </is>
      </c>
      <c r="Q1334" t="inlineStr">
        <is>
          <t>MAT-RF</t>
        </is>
      </c>
      <c r="R1334">
        <f>IF(OR(Q1334="CONTEXT",Q1334="REVIEW"),"",INDEX('Category Rules'!$D$5:$D$17,MATCH(P1334,'Category Rules'!$A$5:$A$17,0)))</f>
        <v>4030</v>
      </c>
      <c r="S1334" t="str">
        <f>IF(Q1334="CONTEXT","Roofing",IF(Q1334="REVIEW","",INDEX('Category Rules'!$E$5:$E$17,MATCH(P1334,'Category Rules'!$A$5:$A$17,0))))</f>
        <v>Roofing</v>
      </c>
      <c r="T1334" t="str">
        <f>IF(Q1334="DEP","BAS Excluded","GST on Income")</f>
        <v>GST on Income</v>
      </c>
      <c r="U1334">
        <f>IF(O1334=T1334,1,0)</f>
        <v>1</v>
      </c>
      <c r="V1334" s="9">
        <f>IF(OR(M1334=0,U1334=1),0,IF(T1334="GST on Income",ROUND(K1334*0.1,2),ROUND(-K1334*0.1,2)))</f>
        <v>0</v>
      </c>
    </row>
    <row r="1335">
      <c r="A1335" t="inlineStr">
        <is>
          <t>INV-4217-1</t>
        </is>
      </c>
      <c r="B1335" t="inlineStr">
        <is>
          <t>INV-4217</t>
        </is>
      </c>
      <c r="C1335" s="11" t="n">
        <v>46039</v>
      </c>
      <c r="D1335" t="inlineStr">
        <is>
          <t>2026-01</t>
        </is>
      </c>
      <c r="E1335" t="inlineStr">
        <is>
          <t>C0046</t>
        </is>
      </c>
      <c r="F1335" t="inlineStr">
        <is>
          <t>C0046</t>
        </is>
      </c>
      <c r="G1335" t="inlineStr">
        <is>
          <t>Bayside Owners Corporation Services Pty Ltd</t>
        </is>
      </c>
      <c r="H1335" t="inlineStr">
        <is>
          <t>S0021</t>
        </is>
      </c>
      <c r="I1335" t="inlineStr">
        <is>
          <t>Delivery and installation - temporary fencing</t>
        </is>
      </c>
      <c r="J1335" t="n">
        <v>1</v>
      </c>
      <c r="K1335" s="9" t="n">
        <v>165</v>
      </c>
      <c r="L1335" t="inlineStr">
        <is>
          <t>PAID</t>
        </is>
      </c>
      <c r="M1335">
        <f>IF(L1335="VOIDED",0,1)</f>
        <v>1</v>
      </c>
      <c r="N1335" t="n">
        <v>200</v>
      </c>
      <c r="O1335" t="inlineStr">
        <is>
          <t>GST on Income</t>
        </is>
      </c>
      <c r="P1335" t="inlineStr">
        <is>
          <t>R07</t>
        </is>
      </c>
      <c r="Q1335" t="inlineStr">
        <is>
          <t>DEL-FP</t>
        </is>
      </c>
      <c r="R1335">
        <f>IF(OR(Q1335="CONTEXT",Q1335="REVIEW"),"",INDEX('Category Rules'!$D$5:$D$17,MATCH(P1335,'Category Rules'!$A$5:$A$17,0)))</f>
        <v>4020</v>
      </c>
      <c r="S1335" t="str">
        <f>IF(Q1335="CONTEXT","Fencing",IF(Q1335="REVIEW","",INDEX('Category Rules'!$E$5:$E$17,MATCH(P1335,'Category Rules'!$A$5:$A$17,0))))</f>
        <v>Fencing</v>
      </c>
      <c r="T1335" t="str">
        <f>IF(Q1335="DEP","BAS Excluded","GST on Income")</f>
        <v>GST on Income</v>
      </c>
      <c r="U1335">
        <f>IF(O1335=T1335,1,0)</f>
        <v>1</v>
      </c>
      <c r="V1335" s="9">
        <f>IF(OR(M1335=0,U1335=1),0,IF(T1335="GST on Income",ROUND(K1335*0.1,2),ROUND(-K1335*0.1,2)))</f>
        <v>0</v>
      </c>
    </row>
    <row r="1336">
      <c r="A1336" t="inlineStr">
        <is>
          <t>INV-4217-2</t>
        </is>
      </c>
      <c r="B1336" t="inlineStr">
        <is>
          <t>INV-4217</t>
        </is>
      </c>
      <c r="C1336" s="11" t="n">
        <v>46039</v>
      </c>
      <c r="D1336" t="inlineStr">
        <is>
          <t>2026-01</t>
        </is>
      </c>
      <c r="E1336" t="inlineStr">
        <is>
          <t>C0046</t>
        </is>
      </c>
      <c r="F1336" t="inlineStr">
        <is>
          <t>C0046</t>
        </is>
      </c>
      <c r="G1336" t="inlineStr">
        <is>
          <t>Bayside Owners Corporation Services Pty Ltd</t>
        </is>
      </c>
      <c r="H1336" t="inlineStr">
        <is>
          <t>S0021</t>
        </is>
      </c>
      <c r="I1336" t="inlineStr">
        <is>
          <t>Installation labour - 101 panels @ 2.20</t>
        </is>
      </c>
      <c r="J1336" t="n">
        <v>101</v>
      </c>
      <c r="K1336" s="9" t="n">
        <v>222.2</v>
      </c>
      <c r="L1336" t="inlineStr">
        <is>
          <t>PAID</t>
        </is>
      </c>
      <c r="M1336">
        <f>IF(L1336="VOIDED",0,1)</f>
        <v>1</v>
      </c>
      <c r="N1336" t="n">
        <v>200</v>
      </c>
      <c r="O1336" t="inlineStr">
        <is>
          <t>GST on Income</t>
        </is>
      </c>
      <c r="P1336" t="inlineStr">
        <is>
          <t>R07</t>
        </is>
      </c>
      <c r="Q1336" t="inlineStr">
        <is>
          <t>DEL-FP</t>
        </is>
      </c>
      <c r="R1336">
        <f>IF(OR(Q1336="CONTEXT",Q1336="REVIEW"),"",INDEX('Category Rules'!$D$5:$D$17,MATCH(P1336,'Category Rules'!$A$5:$A$17,0)))</f>
        <v>4020</v>
      </c>
      <c r="S1336" t="str">
        <f>IF(Q1336="CONTEXT","Fencing",IF(Q1336="REVIEW","",INDEX('Category Rules'!$E$5:$E$17,MATCH(P1336,'Category Rules'!$A$5:$A$17,0))))</f>
        <v>Fencing</v>
      </c>
      <c r="T1336" t="str">
        <f>IF(Q1336="DEP","BAS Excluded","GST on Income")</f>
        <v>GST on Income</v>
      </c>
      <c r="U1336">
        <f>IF(O1336=T1336,1,0)</f>
        <v>1</v>
      </c>
      <c r="V1336" s="9">
        <f>IF(OR(M1336=0,U1336=1),0,IF(T1336="GST on Income",ROUND(K1336*0.1,2),ROUND(-K1336*0.1,2)))</f>
        <v>0</v>
      </c>
    </row>
    <row r="1337">
      <c r="A1337" t="inlineStr">
        <is>
          <t>INV-4468-1</t>
        </is>
      </c>
      <c r="B1337" t="inlineStr">
        <is>
          <t>INV-4468</t>
        </is>
      </c>
      <c r="C1337" s="11" t="n">
        <v>46039</v>
      </c>
      <c r="D1337" t="inlineStr">
        <is>
          <t>2026-01</t>
        </is>
      </c>
      <c r="E1337" t="inlineStr">
        <is>
          <t>C0039</t>
        </is>
      </c>
      <c r="F1337" t="inlineStr">
        <is>
          <t>C0039</t>
        </is>
      </c>
      <c r="G1337" t="inlineStr">
        <is>
          <t>Coastline Developments Pty Ltd</t>
        </is>
      </c>
      <c r="H1337" t="inlineStr">
        <is>
          <t>S0075</t>
        </is>
      </c>
      <c r="I1337" t="inlineStr">
        <is>
          <t>Delivery and installation - temporary fencing</t>
        </is>
      </c>
      <c r="J1337" t="n">
        <v>1</v>
      </c>
      <c r="K1337" s="9" t="n">
        <v>165</v>
      </c>
      <c r="L1337" t="inlineStr">
        <is>
          <t>PAID</t>
        </is>
      </c>
      <c r="M1337">
        <f>IF(L1337="VOIDED",0,1)</f>
        <v>1</v>
      </c>
      <c r="N1337" t="n">
        <v>200</v>
      </c>
      <c r="O1337" t="inlineStr">
        <is>
          <t>GST on Income</t>
        </is>
      </c>
      <c r="P1337" t="inlineStr">
        <is>
          <t>R07</t>
        </is>
      </c>
      <c r="Q1337" t="inlineStr">
        <is>
          <t>DEL-FP</t>
        </is>
      </c>
      <c r="R1337">
        <f>IF(OR(Q1337="CONTEXT",Q1337="REVIEW"),"",INDEX('Category Rules'!$D$5:$D$17,MATCH(P1337,'Category Rules'!$A$5:$A$17,0)))</f>
        <v>4020</v>
      </c>
      <c r="S1337" t="str">
        <f>IF(Q1337="CONTEXT","Fencing",IF(Q1337="REVIEW","",INDEX('Category Rules'!$E$5:$E$17,MATCH(P1337,'Category Rules'!$A$5:$A$17,0))))</f>
        <v>Fencing</v>
      </c>
      <c r="T1337" t="str">
        <f>IF(Q1337="DEP","BAS Excluded","GST on Income")</f>
        <v>GST on Income</v>
      </c>
      <c r="U1337">
        <f>IF(O1337=T1337,1,0)</f>
        <v>1</v>
      </c>
      <c r="V1337" s="9">
        <f>IF(OR(M1337=0,U1337=1),0,IF(T1337="GST on Income",ROUND(K1337*0.1,2),ROUND(-K1337*0.1,2)))</f>
        <v>0</v>
      </c>
    </row>
    <row r="1338">
      <c r="A1338" t="inlineStr">
        <is>
          <t>INV-4468-2</t>
        </is>
      </c>
      <c r="B1338" t="inlineStr">
        <is>
          <t>INV-4468</t>
        </is>
      </c>
      <c r="C1338" s="11" t="n">
        <v>46039</v>
      </c>
      <c r="D1338" t="inlineStr">
        <is>
          <t>2026-01</t>
        </is>
      </c>
      <c r="E1338" t="inlineStr">
        <is>
          <t>C0039</t>
        </is>
      </c>
      <c r="F1338" t="inlineStr">
        <is>
          <t>C0039</t>
        </is>
      </c>
      <c r="G1338" t="inlineStr">
        <is>
          <t>Coastline Developments Pty Ltd</t>
        </is>
      </c>
      <c r="H1338" t="inlineStr">
        <is>
          <t>S0075</t>
        </is>
      </c>
      <c r="I1338" t="inlineStr">
        <is>
          <t>Installation labour - 35 panels @ 2.20</t>
        </is>
      </c>
      <c r="J1338" t="n">
        <v>35</v>
      </c>
      <c r="K1338" s="9" t="n">
        <v>77</v>
      </c>
      <c r="L1338" t="inlineStr">
        <is>
          <t>PAID</t>
        </is>
      </c>
      <c r="M1338">
        <f>IF(L1338="VOIDED",0,1)</f>
        <v>1</v>
      </c>
      <c r="N1338" t="n">
        <v>260</v>
      </c>
      <c r="O1338" t="inlineStr">
        <is>
          <t>GST on Income</t>
        </is>
      </c>
      <c r="P1338" t="inlineStr">
        <is>
          <t>R07</t>
        </is>
      </c>
      <c r="Q1338" t="inlineStr">
        <is>
          <t>DEL-FP</t>
        </is>
      </c>
      <c r="R1338">
        <f>IF(OR(Q1338="CONTEXT",Q1338="REVIEW"),"",INDEX('Category Rules'!$D$5:$D$17,MATCH(P1338,'Category Rules'!$A$5:$A$17,0)))</f>
        <v>4020</v>
      </c>
      <c r="S1338" t="str">
        <f>IF(Q1338="CONTEXT","Fencing",IF(Q1338="REVIEW","",INDEX('Category Rules'!$E$5:$E$17,MATCH(P1338,'Category Rules'!$A$5:$A$17,0))))</f>
        <v>Fencing</v>
      </c>
      <c r="T1338" t="str">
        <f>IF(Q1338="DEP","BAS Excluded","GST on Income")</f>
        <v>GST on Income</v>
      </c>
      <c r="U1338">
        <f>IF(O1338=T1338,1,0)</f>
        <v>1</v>
      </c>
      <c r="V1338" s="9">
        <f>IF(OR(M1338=0,U1338=1),0,IF(T1338="GST on Income",ROUND(K1338*0.1,2),ROUND(-K1338*0.1,2)))</f>
        <v>0</v>
      </c>
    </row>
    <row r="1339">
      <c r="A1339" t="inlineStr">
        <is>
          <t>INV-5243-1</t>
        </is>
      </c>
      <c r="B1339" t="inlineStr">
        <is>
          <t>INV-5243</t>
        </is>
      </c>
      <c r="C1339" s="11" t="n">
        <v>46039</v>
      </c>
      <c r="D1339" t="inlineStr">
        <is>
          <t>2026-01</t>
        </is>
      </c>
      <c r="E1339" t="inlineStr">
        <is>
          <t>C0052</t>
        </is>
      </c>
      <c r="F1339" t="inlineStr">
        <is>
          <t>C0052</t>
        </is>
      </c>
      <c r="G1339" t="inlineStr">
        <is>
          <t>Bluegum Body Corporate Pty Ltd</t>
        </is>
      </c>
      <c r="H1339" t="inlineStr">
        <is>
          <t>S0246</t>
        </is>
      </c>
      <c r="I1339" t="inlineStr">
        <is>
          <t>Scaffold tower hire 3 wks (02/01/26-16/01/26) - 4 towers</t>
        </is>
      </c>
      <c r="J1339" t="n">
        <v>12</v>
      </c>
      <c r="K1339" s="9" t="n">
        <v>1140</v>
      </c>
      <c r="L1339" t="inlineStr">
        <is>
          <t>PAID</t>
        </is>
      </c>
      <c r="M1339">
        <f>IF(L1339="VOIDED",0,1)</f>
        <v>1</v>
      </c>
      <c r="N1339" t="n">
        <v>200</v>
      </c>
      <c r="O1339" t="inlineStr">
        <is>
          <t>GST on Income</t>
        </is>
      </c>
      <c r="P1339" t="inlineStr">
        <is>
          <t>R05</t>
        </is>
      </c>
      <c r="Q1339" t="inlineStr">
        <is>
          <t>HIRE-ST</t>
        </is>
      </c>
      <c r="R1339">
        <f>IF(OR(Q1339="CONTEXT",Q1339="REVIEW"),"",INDEX('Category Rules'!$D$5:$D$17,MATCH(P1339,'Category Rules'!$A$5:$A$17,0)))</f>
        <v>4010</v>
      </c>
      <c r="S1339" t="str">
        <f>IF(Q1339="CONTEXT","Scaffolding",IF(Q1339="REVIEW","",INDEX('Category Rules'!$E$5:$E$17,MATCH(P1339,'Category Rules'!$A$5:$A$17,0))))</f>
        <v>Scaffolding</v>
      </c>
      <c r="T1339" t="str">
        <f>IF(Q1339="DEP","BAS Excluded","GST on Income")</f>
        <v>GST on Income</v>
      </c>
      <c r="U1339">
        <f>IF(O1339=T1339,1,0)</f>
        <v>1</v>
      </c>
      <c r="V1339" s="9">
        <f>IF(OR(M1339=0,U1339=1),0,IF(T1339="GST on Income",ROUND(K1339*0.1,2),ROUND(-K1339*0.1,2)))</f>
        <v>0</v>
      </c>
    </row>
    <row r="1340">
      <c r="A1340" t="inlineStr">
        <is>
          <t>INV-5245-1</t>
        </is>
      </c>
      <c r="B1340" t="inlineStr">
        <is>
          <t>INV-5245</t>
        </is>
      </c>
      <c r="C1340" s="11" t="n">
        <v>46039</v>
      </c>
      <c r="D1340" t="inlineStr">
        <is>
          <t>2026-01</t>
        </is>
      </c>
      <c r="E1340" t="inlineStr">
        <is>
          <t>C0052</t>
        </is>
      </c>
      <c r="F1340" t="inlineStr">
        <is>
          <t>C0052</t>
        </is>
      </c>
      <c r="G1340" t="inlineStr">
        <is>
          <t>Bluegum Body Corporate Pty Ltd</t>
        </is>
      </c>
      <c r="H1340" t="inlineStr">
        <is>
          <t>S0246</t>
        </is>
      </c>
      <c r="I1340" t="inlineStr">
        <is>
          <t>Scaffold dismantle - 4 tower(s)</t>
        </is>
      </c>
      <c r="J1340" t="n">
        <v>4</v>
      </c>
      <c r="K1340" s="9" t="n">
        <v>1280</v>
      </c>
      <c r="L1340" t="inlineStr">
        <is>
          <t>PAID</t>
        </is>
      </c>
      <c r="M1340">
        <f>IF(L1340="VOIDED",0,1)</f>
        <v>1</v>
      </c>
      <c r="N1340" t="n">
        <v>200</v>
      </c>
      <c r="O1340" t="inlineStr">
        <is>
          <t>GST on Income</t>
        </is>
      </c>
      <c r="P1340" t="inlineStr">
        <is>
          <t>R08</t>
        </is>
      </c>
      <c r="Q1340" t="inlineStr">
        <is>
          <t>LAB-ST</t>
        </is>
      </c>
      <c r="R1340">
        <f>IF(OR(Q1340="CONTEXT",Q1340="REVIEW"),"",INDEX('Category Rules'!$D$5:$D$17,MATCH(P1340,'Category Rules'!$A$5:$A$17,0)))</f>
        <v>4020</v>
      </c>
      <c r="S1340" t="str">
        <f>IF(Q1340="CONTEXT","Scaffolding",IF(Q1340="REVIEW","",INDEX('Category Rules'!$E$5:$E$17,MATCH(P1340,'Category Rules'!$A$5:$A$17,0))))</f>
        <v>Scaffolding</v>
      </c>
      <c r="T1340" t="str">
        <f>IF(Q1340="DEP","BAS Excluded","GST on Income")</f>
        <v>GST on Income</v>
      </c>
      <c r="U1340">
        <f>IF(O1340=T1340,1,0)</f>
        <v>1</v>
      </c>
      <c r="V1340" s="9">
        <f>IF(OR(M1340=0,U1340=1),0,IF(T1340="GST on Income",ROUND(K1340*0.1,2),ROUND(-K1340*0.1,2)))</f>
        <v>0</v>
      </c>
    </row>
    <row r="1341">
      <c r="A1341" t="inlineStr">
        <is>
          <t>INV-5916-1</t>
        </is>
      </c>
      <c r="B1341" t="inlineStr">
        <is>
          <t>INV-5916</t>
        </is>
      </c>
      <c r="C1341" s="11" t="n">
        <v>46039</v>
      </c>
      <c r="D1341" t="inlineStr">
        <is>
          <t>2026-01</t>
        </is>
      </c>
      <c r="E1341" t="inlineStr">
        <is>
          <t>C0081</t>
        </is>
      </c>
      <c r="F1341" t="inlineStr">
        <is>
          <t>C0081</t>
        </is>
      </c>
      <c r="G1341" t="inlineStr">
        <is>
          <t>Mia Chen</t>
        </is>
      </c>
      <c r="H1341" t="inlineStr">
        <is>
          <t>S0467</t>
        </is>
      </c>
      <c r="I1341" t="inlineStr">
        <is>
          <t>Works completed as discussed</t>
        </is>
      </c>
      <c r="J1341" t="n">
        <v>1</v>
      </c>
      <c r="K1341" s="9" t="n">
        <v>2706.78</v>
      </c>
      <c r="L1341" t="inlineStr">
        <is>
          <t>PAID</t>
        </is>
      </c>
      <c r="M1341">
        <f>IF(L1341="VOIDED",0,1)</f>
        <v>1</v>
      </c>
      <c r="N1341" t="n">
        <v>200</v>
      </c>
      <c r="O1341" t="inlineStr">
        <is>
          <t>GST on Income</t>
        </is>
      </c>
      <c r="P1341" t="inlineStr">
        <is>
          <t>R12</t>
        </is>
      </c>
      <c r="Q1341" t="inlineStr">
        <is>
          <t>CONTEXT</t>
        </is>
      </c>
      <c r="R1341">
        <f>IF(OR(Q1341="CONTEXT",Q1341="REVIEW"),"",INDEX('Category Rules'!$D$5:$D$17,MATCH(P1341,'Category Rules'!$A$5:$A$17,0)))</f>
      </c>
      <c r="S1341" t="str">
        <f>IF(Q1341="CONTEXT","Make-safe",IF(Q1341="REVIEW","",INDEX('Category Rules'!$E$5:$E$17,MATCH(P1341,'Category Rules'!$A$5:$A$17,0))))</f>
        <v>Make-safe</v>
      </c>
      <c r="T1341" t="str">
        <f>IF(Q1341="DEP","BAS Excluded","GST on Income")</f>
        <v>GST on Income</v>
      </c>
      <c r="U1341">
        <f>IF(O1341=T1341,1,0)</f>
        <v>1</v>
      </c>
      <c r="V1341" s="9">
        <f>IF(OR(M1341=0,U1341=1),0,IF(T1341="GST on Income",ROUND(K1341*0.1,2),ROUND(-K1341*0.1,2)))</f>
        <v>0</v>
      </c>
    </row>
    <row r="1342">
      <c r="A1342" t="inlineStr">
        <is>
          <t>INV-4630-1</t>
        </is>
      </c>
      <c r="B1342" t="inlineStr">
        <is>
          <t>INV-4630</t>
        </is>
      </c>
      <c r="C1342" s="11" t="n">
        <v>46040</v>
      </c>
      <c r="D1342" t="inlineStr">
        <is>
          <t>2026-01</t>
        </is>
      </c>
      <c r="E1342" t="inlineStr">
        <is>
          <t>C0041</t>
        </is>
      </c>
      <c r="F1342" t="inlineStr">
        <is>
          <t>C0041</t>
        </is>
      </c>
      <c r="G1342" t="inlineStr">
        <is>
          <t>Summit Builders Pty Ltd</t>
        </is>
      </c>
      <c r="H1342" t="inlineStr">
        <is>
          <t>S0108</t>
        </is>
      </c>
      <c r="I1342" t="inlineStr">
        <is>
          <t>Temporary fence hire 4 wks (21/12/25-17/01/26) - 92 panels</t>
        </is>
      </c>
      <c r="J1342" t="n">
        <v>368</v>
      </c>
      <c r="K1342" s="9" t="n">
        <v>1656</v>
      </c>
      <c r="L1342" t="inlineStr">
        <is>
          <t>PAID</t>
        </is>
      </c>
      <c r="M1342">
        <f>IF(L1342="VOIDED",0,1)</f>
        <v>1</v>
      </c>
      <c r="N1342" t="n">
        <v>200</v>
      </c>
      <c r="O1342" t="inlineStr">
        <is>
          <t>GST on Income</t>
        </is>
      </c>
      <c r="P1342" t="inlineStr">
        <is>
          <t>R03</t>
        </is>
      </c>
      <c r="Q1342" t="inlineStr">
        <is>
          <t>HIRE-FP</t>
        </is>
      </c>
      <c r="R1342">
        <f>IF(OR(Q1342="CONTEXT",Q1342="REVIEW"),"",INDEX('Category Rules'!$D$5:$D$17,MATCH(P1342,'Category Rules'!$A$5:$A$17,0)))</f>
        <v>4010</v>
      </c>
      <c r="S1342" t="str">
        <f>IF(Q1342="CONTEXT","Fencing",IF(Q1342="REVIEW","",INDEX('Category Rules'!$E$5:$E$17,MATCH(P1342,'Category Rules'!$A$5:$A$17,0))))</f>
        <v>Fencing</v>
      </c>
      <c r="T1342" t="str">
        <f>IF(Q1342="DEP","BAS Excluded","GST on Income")</f>
        <v>GST on Income</v>
      </c>
      <c r="U1342">
        <f>IF(O1342=T1342,1,0)</f>
        <v>1</v>
      </c>
      <c r="V1342" s="9">
        <f>IF(OR(M1342=0,U1342=1),0,IF(T1342="GST on Income",ROUND(K1342*0.1,2),ROUND(-K1342*0.1,2)))</f>
        <v>0</v>
      </c>
    </row>
    <row r="1343">
      <c r="A1343" t="inlineStr">
        <is>
          <t>INV-4632-1</t>
        </is>
      </c>
      <c r="B1343" t="inlineStr">
        <is>
          <t>INV-4632</t>
        </is>
      </c>
      <c r="C1343" s="11" t="n">
        <v>46040</v>
      </c>
      <c r="D1343" t="inlineStr">
        <is>
          <t>2026-01</t>
        </is>
      </c>
      <c r="E1343" t="inlineStr">
        <is>
          <t>C0041</t>
        </is>
      </c>
      <c r="F1343" t="inlineStr">
        <is>
          <t>C0041</t>
        </is>
      </c>
      <c r="G1343" t="inlineStr">
        <is>
          <t>Summit Builders Pty Ltd</t>
        </is>
      </c>
      <c r="H1343" t="inlineStr">
        <is>
          <t>S0108</t>
        </is>
      </c>
      <c r="I1343" t="inlineStr">
        <is>
          <t>Pedestrian barrier hire 4 wks (21/12/25-17/01/26) - 17 barriers</t>
        </is>
      </c>
      <c r="J1343" t="n">
        <v>68</v>
      </c>
      <c r="K1343" s="9" t="n">
        <v>217.6</v>
      </c>
      <c r="L1343" t="inlineStr">
        <is>
          <t>PAID</t>
        </is>
      </c>
      <c r="M1343">
        <f>IF(L1343="VOIDED",0,1)</f>
        <v>1</v>
      </c>
      <c r="N1343" t="n">
        <v>200</v>
      </c>
      <c r="O1343" t="inlineStr">
        <is>
          <t>GST on Income</t>
        </is>
      </c>
      <c r="P1343" t="inlineStr">
        <is>
          <t>R04</t>
        </is>
      </c>
      <c r="Q1343" t="inlineStr">
        <is>
          <t>HIRE-BR</t>
        </is>
      </c>
      <c r="R1343">
        <f>IF(OR(Q1343="CONTEXT",Q1343="REVIEW"),"",INDEX('Category Rules'!$D$5:$D$17,MATCH(P1343,'Category Rules'!$A$5:$A$17,0)))</f>
        <v>4010</v>
      </c>
      <c r="S1343" t="str">
        <f>IF(Q1343="CONTEXT","Fencing",IF(Q1343="REVIEW","",INDEX('Category Rules'!$E$5:$E$17,MATCH(P1343,'Category Rules'!$A$5:$A$17,0))))</f>
        <v>Fencing</v>
      </c>
      <c r="T1343" t="str">
        <f>IF(Q1343="DEP","BAS Excluded","GST on Income")</f>
        <v>GST on Income</v>
      </c>
      <c r="U1343">
        <f>IF(O1343=T1343,1,0)</f>
        <v>1</v>
      </c>
      <c r="V1343" s="9">
        <f>IF(OR(M1343=0,U1343=1),0,IF(T1343="GST on Income",ROUND(K1343*0.1,2),ROUND(-K1343*0.1,2)))</f>
        <v>0</v>
      </c>
    </row>
    <row r="1344">
      <c r="A1344" t="inlineStr">
        <is>
          <t>INV-4854-1</t>
        </is>
      </c>
      <c r="B1344" t="inlineStr">
        <is>
          <t>INV-4854</t>
        </is>
      </c>
      <c r="C1344" s="11" t="n">
        <v>46040</v>
      </c>
      <c r="D1344" t="inlineStr">
        <is>
          <t>2026-01</t>
        </is>
      </c>
      <c r="E1344" t="inlineStr">
        <is>
          <t>C0122</t>
        </is>
      </c>
      <c r="F1344" t="inlineStr">
        <is>
          <t>C0122</t>
        </is>
      </c>
      <c r="G1344" t="inlineStr">
        <is>
          <t>Bluegum Construction Pty Ltd</t>
        </is>
      </c>
      <c r="H1344" t="inlineStr">
        <is>
          <t>S0160</t>
        </is>
      </c>
      <c r="I1344" t="inlineStr">
        <is>
          <t>Temporary fence hire 4 wks (21/12/25-17/01/26) - 91 panels</t>
        </is>
      </c>
      <c r="J1344" t="n">
        <v>364</v>
      </c>
      <c r="K1344" s="9" t="n">
        <v>1638</v>
      </c>
      <c r="L1344" t="inlineStr">
        <is>
          <t>PAID</t>
        </is>
      </c>
      <c r="M1344">
        <f>IF(L1344="VOIDED",0,1)</f>
        <v>1</v>
      </c>
      <c r="N1344" t="n">
        <v>200</v>
      </c>
      <c r="O1344" t="inlineStr">
        <is>
          <t>GST on Income</t>
        </is>
      </c>
      <c r="P1344" t="inlineStr">
        <is>
          <t>R03</t>
        </is>
      </c>
      <c r="Q1344" t="inlineStr">
        <is>
          <t>HIRE-FP</t>
        </is>
      </c>
      <c r="R1344">
        <f>IF(OR(Q1344="CONTEXT",Q1344="REVIEW"),"",INDEX('Category Rules'!$D$5:$D$17,MATCH(P1344,'Category Rules'!$A$5:$A$17,0)))</f>
        <v>4010</v>
      </c>
      <c r="S1344" t="str">
        <f>IF(Q1344="CONTEXT","Fencing",IF(Q1344="REVIEW","",INDEX('Category Rules'!$E$5:$E$17,MATCH(P1344,'Category Rules'!$A$5:$A$17,0))))</f>
        <v>Fencing</v>
      </c>
      <c r="T1344" t="str">
        <f>IF(Q1344="DEP","BAS Excluded","GST on Income")</f>
        <v>GST on Income</v>
      </c>
      <c r="U1344">
        <f>IF(O1344=T1344,1,0)</f>
        <v>1</v>
      </c>
      <c r="V1344" s="9">
        <f>IF(OR(M1344=0,U1344=1),0,IF(T1344="GST on Income",ROUND(K1344*0.1,2),ROUND(-K1344*0.1,2)))</f>
        <v>0</v>
      </c>
    </row>
    <row r="1345">
      <c r="A1345" t="inlineStr">
        <is>
          <t>INV-5006-1</t>
        </is>
      </c>
      <c r="B1345" t="inlineStr">
        <is>
          <t>INV-5006</t>
        </is>
      </c>
      <c r="C1345" s="11" t="n">
        <v>46040</v>
      </c>
      <c r="D1345" t="inlineStr">
        <is>
          <t>2026-01</t>
        </is>
      </c>
      <c r="E1345" t="inlineStr">
        <is>
          <t>C0072</t>
        </is>
      </c>
      <c r="F1345" t="inlineStr">
        <is>
          <t>C0072</t>
        </is>
      </c>
      <c r="G1345" t="inlineStr">
        <is>
          <t>Kingston City Council</t>
        </is>
      </c>
      <c r="H1345" t="inlineStr">
        <is>
          <t>S0196</t>
        </is>
      </c>
      <c r="I1345" t="inlineStr">
        <is>
          <t>Temporary fence hire 4 wks (21/12/25-17/01/26) - 122 panels</t>
        </is>
      </c>
      <c r="J1345" t="n">
        <v>488</v>
      </c>
      <c r="K1345" s="9" t="n">
        <v>2196</v>
      </c>
      <c r="L1345" t="inlineStr">
        <is>
          <t>PAID</t>
        </is>
      </c>
      <c r="M1345">
        <f>IF(L1345="VOIDED",0,1)</f>
        <v>1</v>
      </c>
      <c r="N1345" t="n">
        <v>200</v>
      </c>
      <c r="O1345" t="inlineStr">
        <is>
          <t>GST on Income</t>
        </is>
      </c>
      <c r="P1345" t="inlineStr">
        <is>
          <t>R03</t>
        </is>
      </c>
      <c r="Q1345" t="inlineStr">
        <is>
          <t>HIRE-FP</t>
        </is>
      </c>
      <c r="R1345">
        <f>IF(OR(Q1345="CONTEXT",Q1345="REVIEW"),"",INDEX('Category Rules'!$D$5:$D$17,MATCH(P1345,'Category Rules'!$A$5:$A$17,0)))</f>
        <v>4010</v>
      </c>
      <c r="S1345" t="str">
        <f>IF(Q1345="CONTEXT","Fencing",IF(Q1345="REVIEW","",INDEX('Category Rules'!$E$5:$E$17,MATCH(P1345,'Category Rules'!$A$5:$A$17,0))))</f>
        <v>Fencing</v>
      </c>
      <c r="T1345" t="str">
        <f>IF(Q1345="DEP","BAS Excluded","GST on Income")</f>
        <v>GST on Income</v>
      </c>
      <c r="U1345">
        <f>IF(O1345=T1345,1,0)</f>
        <v>1</v>
      </c>
      <c r="V1345" s="9">
        <f>IF(OR(M1345=0,U1345=1),0,IF(T1345="GST on Income",ROUND(K1345*0.1,2),ROUND(-K1345*0.1,2)))</f>
        <v>0</v>
      </c>
    </row>
    <row r="1346">
      <c r="A1346" t="inlineStr">
        <is>
          <t>INV-5231-1</t>
        </is>
      </c>
      <c r="B1346" t="inlineStr">
        <is>
          <t>INV-5231</t>
        </is>
      </c>
      <c r="C1346" s="11" t="n">
        <v>46041</v>
      </c>
      <c r="D1346" t="inlineStr">
        <is>
          <t>2026-01</t>
        </is>
      </c>
      <c r="E1346" t="inlineStr">
        <is>
          <t>C0084</t>
        </is>
      </c>
      <c r="F1346" t="inlineStr">
        <is>
          <t>C0084</t>
        </is>
      </c>
      <c r="G1346" t="inlineStr">
        <is>
          <t>Mia Walker</t>
        </is>
      </c>
      <c r="H1346" t="inlineStr">
        <is>
          <t>S0243</t>
        </is>
      </c>
      <c r="I1346" t="inlineStr">
        <is>
          <t>Scaffold tower hire 3 wks (04/01/26-18/01/26) - 2 towers</t>
        </is>
      </c>
      <c r="J1346" t="n">
        <v>6</v>
      </c>
      <c r="K1346" s="9" t="n">
        <v>570</v>
      </c>
      <c r="L1346" t="inlineStr">
        <is>
          <t>PAID</t>
        </is>
      </c>
      <c r="M1346">
        <f>IF(L1346="VOIDED",0,1)</f>
        <v>1</v>
      </c>
      <c r="N1346" t="n">
        <v>200</v>
      </c>
      <c r="O1346" t="inlineStr">
        <is>
          <t>GST on Income</t>
        </is>
      </c>
      <c r="P1346" t="inlineStr">
        <is>
          <t>R05</t>
        </is>
      </c>
      <c r="Q1346" t="inlineStr">
        <is>
          <t>HIRE-ST</t>
        </is>
      </c>
      <c r="R1346">
        <f>IF(OR(Q1346="CONTEXT",Q1346="REVIEW"),"",INDEX('Category Rules'!$D$5:$D$17,MATCH(P1346,'Category Rules'!$A$5:$A$17,0)))</f>
        <v>4010</v>
      </c>
      <c r="S1346" t="str">
        <f>IF(Q1346="CONTEXT","Scaffolding",IF(Q1346="REVIEW","",INDEX('Category Rules'!$E$5:$E$17,MATCH(P1346,'Category Rules'!$A$5:$A$17,0))))</f>
        <v>Scaffolding</v>
      </c>
      <c r="T1346" t="str">
        <f>IF(Q1346="DEP","BAS Excluded","GST on Income")</f>
        <v>GST on Income</v>
      </c>
      <c r="U1346">
        <f>IF(O1346=T1346,1,0)</f>
        <v>1</v>
      </c>
      <c r="V1346" s="9">
        <f>IF(OR(M1346=0,U1346=1),0,IF(T1346="GST on Income",ROUND(K1346*0.1,2),ROUND(-K1346*0.1,2)))</f>
        <v>0</v>
      </c>
    </row>
    <row r="1347">
      <c r="A1347" t="inlineStr">
        <is>
          <t>INV-5233-1</t>
        </is>
      </c>
      <c r="B1347" t="inlineStr">
        <is>
          <t>INV-5233</t>
        </is>
      </c>
      <c r="C1347" s="11" t="n">
        <v>46041</v>
      </c>
      <c r="D1347" t="inlineStr">
        <is>
          <t>2026-01</t>
        </is>
      </c>
      <c r="E1347" t="inlineStr">
        <is>
          <t>C0084</t>
        </is>
      </c>
      <c r="F1347" t="inlineStr">
        <is>
          <t>C0084</t>
        </is>
      </c>
      <c r="G1347" t="inlineStr">
        <is>
          <t>Mia Walker</t>
        </is>
      </c>
      <c r="H1347" t="inlineStr">
        <is>
          <t>S0243</t>
        </is>
      </c>
      <c r="I1347" t="inlineStr">
        <is>
          <t>Scaffold dismantle - 2 tower(s)</t>
        </is>
      </c>
      <c r="J1347" t="n">
        <v>2</v>
      </c>
      <c r="K1347" s="9" t="n">
        <v>640</v>
      </c>
      <c r="L1347" t="inlineStr">
        <is>
          <t>PAID</t>
        </is>
      </c>
      <c r="M1347">
        <f>IF(L1347="VOIDED",0,1)</f>
        <v>1</v>
      </c>
      <c r="N1347" t="n">
        <v>200</v>
      </c>
      <c r="O1347" t="inlineStr">
        <is>
          <t>GST on Income</t>
        </is>
      </c>
      <c r="P1347" t="inlineStr">
        <is>
          <t>R08</t>
        </is>
      </c>
      <c r="Q1347" t="inlineStr">
        <is>
          <t>LAB-ST</t>
        </is>
      </c>
      <c r="R1347">
        <f>IF(OR(Q1347="CONTEXT",Q1347="REVIEW"),"",INDEX('Category Rules'!$D$5:$D$17,MATCH(P1347,'Category Rules'!$A$5:$A$17,0)))</f>
        <v>4020</v>
      </c>
      <c r="S1347" t="str">
        <f>IF(Q1347="CONTEXT","Scaffolding",IF(Q1347="REVIEW","",INDEX('Category Rules'!$E$5:$E$17,MATCH(P1347,'Category Rules'!$A$5:$A$17,0))))</f>
        <v>Scaffolding</v>
      </c>
      <c r="T1347" t="str">
        <f>IF(Q1347="DEP","BAS Excluded","GST on Income")</f>
        <v>GST on Income</v>
      </c>
      <c r="U1347">
        <f>IF(O1347=T1347,1,0)</f>
        <v>1</v>
      </c>
      <c r="V1347" s="9">
        <f>IF(OR(M1347=0,U1347=1),0,IF(T1347="GST on Income",ROUND(K1347*0.1,2),ROUND(-K1347*0.1,2)))</f>
        <v>0</v>
      </c>
    </row>
    <row r="1348">
      <c r="A1348" t="inlineStr">
        <is>
          <t>INV-5654-1</t>
        </is>
      </c>
      <c r="B1348" t="inlineStr">
        <is>
          <t>INV-5654</t>
        </is>
      </c>
      <c r="C1348" s="11" t="n">
        <v>46041</v>
      </c>
      <c r="D1348" t="inlineStr">
        <is>
          <t>2026-01</t>
        </is>
      </c>
      <c r="E1348" t="inlineStr">
        <is>
          <t>C0062</t>
        </is>
      </c>
      <c r="F1348" t="inlineStr">
        <is>
          <t>C0062</t>
        </is>
      </c>
      <c r="G1348" t="inlineStr">
        <is>
          <t>Wattle Insurance Repairs Pty Ltd</t>
        </is>
      </c>
      <c r="H1348" t="inlineStr">
        <is>
          <t>S0409</t>
        </is>
      </c>
      <c r="I1348" t="inlineStr">
        <is>
          <t>Emergency make safe call-out - after hours</t>
        </is>
      </c>
      <c r="J1348" t="n">
        <v>1</v>
      </c>
      <c r="K1348" s="9" t="n">
        <v>560</v>
      </c>
      <c r="L1348" t="inlineStr">
        <is>
          <t>PAID</t>
        </is>
      </c>
      <c r="M1348">
        <f>IF(L1348="VOIDED",0,1)</f>
        <v>1</v>
      </c>
      <c r="N1348" t="n">
        <v>200</v>
      </c>
      <c r="O1348" t="inlineStr">
        <is>
          <t>GST on Income</t>
        </is>
      </c>
      <c r="P1348" t="inlineStr">
        <is>
          <t>R09</t>
        </is>
      </c>
      <c r="Q1348" t="inlineStr">
        <is>
          <t>MS</t>
        </is>
      </c>
      <c r="R1348">
        <f>IF(OR(Q1348="CONTEXT",Q1348="REVIEW"),"",INDEX('Category Rules'!$D$5:$D$17,MATCH(P1348,'Category Rules'!$A$5:$A$17,0)))</f>
        <v>4020</v>
      </c>
      <c r="S1348" t="str">
        <f>IF(Q1348="CONTEXT","Make-safe",IF(Q1348="REVIEW","",INDEX('Category Rules'!$E$5:$E$17,MATCH(P1348,'Category Rules'!$A$5:$A$17,0))))</f>
        <v>Make-safe</v>
      </c>
      <c r="T1348" t="str">
        <f>IF(Q1348="DEP","BAS Excluded","GST on Income")</f>
        <v>GST on Income</v>
      </c>
      <c r="U1348">
        <f>IF(O1348=T1348,1,0)</f>
        <v>1</v>
      </c>
      <c r="V1348" s="9">
        <f>IF(OR(M1348=0,U1348=1),0,IF(T1348="GST on Income",ROUND(K1348*0.1,2),ROUND(-K1348*0.1,2)))</f>
        <v>0</v>
      </c>
    </row>
    <row r="1349">
      <c r="A1349" t="inlineStr">
        <is>
          <t>INV-5898-1</t>
        </is>
      </c>
      <c r="B1349" t="inlineStr">
        <is>
          <t>INV-5898</t>
        </is>
      </c>
      <c r="C1349" s="11" t="n">
        <v>46041</v>
      </c>
      <c r="D1349" t="inlineStr">
        <is>
          <t>2026-01</t>
        </is>
      </c>
      <c r="E1349" t="inlineStr">
        <is>
          <t>C0042</t>
        </is>
      </c>
      <c r="F1349" t="inlineStr">
        <is>
          <t>C0042</t>
        </is>
      </c>
      <c r="G1349" t="inlineStr">
        <is>
          <t>Lakeside Constructions Pty Ltd</t>
        </is>
      </c>
      <c r="H1349" t="inlineStr">
        <is>
          <t>S0231</t>
        </is>
      </c>
      <c r="I1349" t="inlineStr">
        <is>
          <t>Fence and make safe package - Job 1871</t>
        </is>
      </c>
      <c r="J1349" t="n">
        <v>1</v>
      </c>
      <c r="K1349" s="9" t="n">
        <v>270.11</v>
      </c>
      <c r="L1349" t="inlineStr">
        <is>
          <t>PAID</t>
        </is>
      </c>
      <c r="M1349">
        <f>IF(L1349="VOIDED",0,1)</f>
        <v>1</v>
      </c>
      <c r="N1349" t="n">
        <v>200</v>
      </c>
      <c r="O1349" t="inlineStr">
        <is>
          <t>GST on Income</t>
        </is>
      </c>
      <c r="P1349" t="inlineStr">
        <is>
          <t>R00</t>
        </is>
      </c>
      <c r="Q1349" t="inlineStr">
        <is>
          <t>CONTEXT</t>
        </is>
      </c>
      <c r="R1349">
        <f>IF(OR(Q1349="CONTEXT",Q1349="REVIEW"),"",INDEX('Category Rules'!$D$5:$D$17,MATCH(P1349,'Category Rules'!$A$5:$A$17,0)))</f>
      </c>
      <c r="S1349" t="str">
        <f>IF(Q1349="CONTEXT","Fencing",IF(Q1349="REVIEW","",INDEX('Category Rules'!$E$5:$E$17,MATCH(P1349,'Category Rules'!$A$5:$A$17,0))))</f>
        <v>Fencing</v>
      </c>
      <c r="T1349" t="str">
        <f>IF(Q1349="DEP","BAS Excluded","GST on Income")</f>
        <v>GST on Income</v>
      </c>
      <c r="U1349">
        <f>IF(O1349=T1349,1,0)</f>
        <v>1</v>
      </c>
      <c r="V1349" s="9">
        <f>IF(OR(M1349=0,U1349=1),0,IF(T1349="GST on Income",ROUND(K1349*0.1,2),ROUND(-K1349*0.1,2)))</f>
        <v>0</v>
      </c>
    </row>
    <row r="1350">
      <c r="A1350" t="inlineStr">
        <is>
          <t>CN-5943-1</t>
        </is>
      </c>
      <c r="B1350" t="inlineStr">
        <is>
          <t>CN-5943</t>
        </is>
      </c>
      <c r="C1350" s="11" t="n">
        <v>46042</v>
      </c>
      <c r="D1350" t="inlineStr">
        <is>
          <t>2026-01</t>
        </is>
      </c>
      <c r="E1350" t="inlineStr">
        <is>
          <t>C0080</t>
        </is>
      </c>
      <c r="F1350" t="inlineStr">
        <is>
          <t>C0080</t>
        </is>
      </c>
      <c r="G1350" t="inlineStr">
        <is>
          <t>Ember Productions Pty Ltd</t>
        </is>
      </c>
      <c r="H1350" t="inlineStr">
        <is>
          <t>S0145</t>
        </is>
      </c>
      <c r="I1350" t="inlineStr">
        <is>
          <t>Refund of security deposit - fence panels</t>
        </is>
      </c>
      <c r="J1350" t="n">
        <v>1</v>
      </c>
      <c r="K1350" s="9" t="n">
        <v>-450</v>
      </c>
      <c r="L1350" t="inlineStr">
        <is>
          <t>PAID</t>
        </is>
      </c>
      <c r="M1350">
        <f>IF(L1350="VOIDED",0,1)</f>
        <v>1</v>
      </c>
      <c r="N1350" t="n">
        <v>200</v>
      </c>
      <c r="O1350" t="inlineStr">
        <is>
          <t>GST on Income</t>
        </is>
      </c>
      <c r="P1350" t="inlineStr">
        <is>
          <t>R01</t>
        </is>
      </c>
      <c r="Q1350" t="inlineStr">
        <is>
          <t>DEP</t>
        </is>
      </c>
      <c r="R1350">
        <f>IF(OR(Q1350="CONTEXT",Q1350="REVIEW"),"",INDEX('Category Rules'!$D$5:$D$17,MATCH(P1350,'Category Rules'!$A$5:$A$17,0)))</f>
        <v>835</v>
      </c>
      <c r="S1350" t="str">
        <f>IF(Q1350="CONTEXT","Fencing",IF(Q1350="REVIEW","",INDEX('Category Rules'!$E$5:$E$17,MATCH(P1350,'Category Rules'!$A$5:$A$17,0))))</f>
        <v>Fencing</v>
      </c>
      <c r="T1350" t="str">
        <f>IF(Q1350="DEP","BAS Excluded","GST on Income")</f>
        <v>BAS Excluded</v>
      </c>
      <c r="U1350">
        <f>IF(O1350=T1350,1,0)</f>
        <v>0</v>
      </c>
      <c r="V1350" s="9">
        <f>IF(OR(M1350=0,U1350=1),0,IF(T1350="GST on Income",ROUND(K1350*0.1,2),ROUND(-K1350*0.1,2)))</f>
        <v>45</v>
      </c>
    </row>
    <row r="1351">
      <c r="A1351" t="inlineStr">
        <is>
          <t>INV-4401-1</t>
        </is>
      </c>
      <c r="B1351" t="inlineStr">
        <is>
          <t>INV-4401</t>
        </is>
      </c>
      <c r="C1351" s="11" t="n">
        <v>46042</v>
      </c>
      <c r="D1351" t="inlineStr">
        <is>
          <t>2026-01</t>
        </is>
      </c>
      <c r="E1351" t="inlineStr">
        <is>
          <t>C0119</t>
        </is>
      </c>
      <c r="F1351" t="inlineStr">
        <is>
          <t>C0119</t>
        </is>
      </c>
      <c r="G1351" t="inlineStr">
        <is>
          <t>Northgate Builders Pty Ltd</t>
        </is>
      </c>
      <c r="H1351" t="inlineStr">
        <is>
          <t>S0062</t>
        </is>
      </c>
      <c r="I1351" t="inlineStr">
        <is>
          <t>Temporary fence hire 4 wks (23/12/25-19/01/26) - 135 panels</t>
        </is>
      </c>
      <c r="J1351" t="n">
        <v>540</v>
      </c>
      <c r="K1351" s="9" t="n">
        <v>2430</v>
      </c>
      <c r="L1351" t="inlineStr">
        <is>
          <t>PAID</t>
        </is>
      </c>
      <c r="M1351">
        <f>IF(L1351="VOIDED",0,1)</f>
        <v>1</v>
      </c>
      <c r="N1351" t="n">
        <v>200</v>
      </c>
      <c r="O1351" t="inlineStr">
        <is>
          <t>GST on Income</t>
        </is>
      </c>
      <c r="P1351" t="inlineStr">
        <is>
          <t>R03</t>
        </is>
      </c>
      <c r="Q1351" t="inlineStr">
        <is>
          <t>HIRE-FP</t>
        </is>
      </c>
      <c r="R1351">
        <f>IF(OR(Q1351="CONTEXT",Q1351="REVIEW"),"",INDEX('Category Rules'!$D$5:$D$17,MATCH(P1351,'Category Rules'!$A$5:$A$17,0)))</f>
        <v>4010</v>
      </c>
      <c r="S1351" t="str">
        <f>IF(Q1351="CONTEXT","Fencing",IF(Q1351="REVIEW","",INDEX('Category Rules'!$E$5:$E$17,MATCH(P1351,'Category Rules'!$A$5:$A$17,0))))</f>
        <v>Fencing</v>
      </c>
      <c r="T1351" t="str">
        <f>IF(Q1351="DEP","BAS Excluded","GST on Income")</f>
        <v>GST on Income</v>
      </c>
      <c r="U1351">
        <f>IF(O1351=T1351,1,0)</f>
        <v>1</v>
      </c>
      <c r="V1351" s="9">
        <f>IF(OR(M1351=0,U1351=1),0,IF(T1351="GST on Income",ROUND(K1351*0.1,2),ROUND(-K1351*0.1,2)))</f>
        <v>0</v>
      </c>
    </row>
    <row r="1352">
      <c r="A1352" t="inlineStr">
        <is>
          <t>INV-4410-1</t>
        </is>
      </c>
      <c r="B1352" t="inlineStr">
        <is>
          <t>INV-4410</t>
        </is>
      </c>
      <c r="C1352" s="11" t="n">
        <v>46042</v>
      </c>
      <c r="D1352" t="inlineStr">
        <is>
          <t>2026-01</t>
        </is>
      </c>
      <c r="E1352" t="inlineStr">
        <is>
          <t>C0119</t>
        </is>
      </c>
      <c r="F1352" t="inlineStr">
        <is>
          <t>C0119</t>
        </is>
      </c>
      <c r="G1352" t="inlineStr">
        <is>
          <t>Northgate Builders Pty Ltd</t>
        </is>
      </c>
      <c r="H1352" t="inlineStr">
        <is>
          <t>S0062</t>
        </is>
      </c>
      <c r="I1352" t="inlineStr">
        <is>
          <t>Pedestrian barrier hire 4 wks (23/12/25-19/01/26) - 19 barriers</t>
        </is>
      </c>
      <c r="J1352" t="n">
        <v>76</v>
      </c>
      <c r="K1352" s="9" t="n">
        <v>243.2</v>
      </c>
      <c r="L1352" t="inlineStr">
        <is>
          <t>PAID</t>
        </is>
      </c>
      <c r="M1352">
        <f>IF(L1352="VOIDED",0,1)</f>
        <v>1</v>
      </c>
      <c r="N1352" t="n">
        <v>200</v>
      </c>
      <c r="O1352" t="inlineStr">
        <is>
          <t>GST on Income</t>
        </is>
      </c>
      <c r="P1352" t="inlineStr">
        <is>
          <t>R04</t>
        </is>
      </c>
      <c r="Q1352" t="inlineStr">
        <is>
          <t>HIRE-BR</t>
        </is>
      </c>
      <c r="R1352">
        <f>IF(OR(Q1352="CONTEXT",Q1352="REVIEW"),"",INDEX('Category Rules'!$D$5:$D$17,MATCH(P1352,'Category Rules'!$A$5:$A$17,0)))</f>
        <v>4010</v>
      </c>
      <c r="S1352" t="str">
        <f>IF(Q1352="CONTEXT","Fencing",IF(Q1352="REVIEW","",INDEX('Category Rules'!$E$5:$E$17,MATCH(P1352,'Category Rules'!$A$5:$A$17,0))))</f>
        <v>Fencing</v>
      </c>
      <c r="T1352" t="str">
        <f>IF(Q1352="DEP","BAS Excluded","GST on Income")</f>
        <v>GST on Income</v>
      </c>
      <c r="U1352">
        <f>IF(O1352=T1352,1,0)</f>
        <v>1</v>
      </c>
      <c r="V1352" s="9">
        <f>IF(OR(M1352=0,U1352=1),0,IF(T1352="GST on Income",ROUND(K1352*0.1,2),ROUND(-K1352*0.1,2)))</f>
        <v>0</v>
      </c>
    </row>
    <row r="1353">
      <c r="A1353" t="inlineStr">
        <is>
          <t>INV-5058-1</t>
        </is>
      </c>
      <c r="B1353" t="inlineStr">
        <is>
          <t>INV-5058</t>
        </is>
      </c>
      <c r="C1353" s="11" t="n">
        <v>46042</v>
      </c>
      <c r="D1353" t="inlineStr">
        <is>
          <t>2026-01</t>
        </is>
      </c>
      <c r="E1353" t="inlineStr">
        <is>
          <t>C0025</t>
        </is>
      </c>
      <c r="F1353" t="inlineStr">
        <is>
          <t>C0025</t>
        </is>
      </c>
      <c r="G1353" t="inlineStr">
        <is>
          <t>Silverleaf Building Group Pty Ltd</t>
        </is>
      </c>
      <c r="H1353" t="inlineStr">
        <is>
          <t>S0205</t>
        </is>
      </c>
      <c r="I1353" t="inlineStr">
        <is>
          <t>Temporary fence hire 4 wks (23/12/25-19/01/26) - 77 panels</t>
        </is>
      </c>
      <c r="J1353" t="n">
        <v>308</v>
      </c>
      <c r="K1353" s="9" t="n">
        <v>1386</v>
      </c>
      <c r="L1353" t="inlineStr">
        <is>
          <t>VOIDED</t>
        </is>
      </c>
      <c r="M1353">
        <f>IF(L1353="VOIDED",0,1)</f>
        <v>0</v>
      </c>
      <c r="N1353" t="n">
        <v>200</v>
      </c>
      <c r="O1353" t="inlineStr">
        <is>
          <t>GST on Income</t>
        </is>
      </c>
      <c r="P1353" t="inlineStr">
        <is>
          <t>R03</t>
        </is>
      </c>
      <c r="Q1353" t="inlineStr">
        <is>
          <t>HIRE-FP</t>
        </is>
      </c>
      <c r="R1353">
        <f>IF(OR(Q1353="CONTEXT",Q1353="REVIEW"),"",INDEX('Category Rules'!$D$5:$D$17,MATCH(P1353,'Category Rules'!$A$5:$A$17,0)))</f>
        <v>4010</v>
      </c>
      <c r="S1353" t="str">
        <f>IF(Q1353="CONTEXT","Fencing",IF(Q1353="REVIEW","",INDEX('Category Rules'!$E$5:$E$17,MATCH(P1353,'Category Rules'!$A$5:$A$17,0))))</f>
        <v>Fencing</v>
      </c>
      <c r="T1353" t="str">
        <f>IF(Q1353="DEP","BAS Excluded","GST on Income")</f>
        <v>GST on Income</v>
      </c>
      <c r="U1353">
        <f>IF(O1353=T1353,1,0)</f>
        <v>1</v>
      </c>
      <c r="V1353" s="9">
        <f>IF(OR(M1353=0,U1353=1),0,IF(T1353="GST on Income",ROUND(K1353*0.1,2),ROUND(-K1353*0.1,2)))</f>
        <v>0</v>
      </c>
    </row>
    <row r="1354">
      <c r="A1354" t="inlineStr">
        <is>
          <t>INV-5321-1</t>
        </is>
      </c>
      <c r="B1354" t="inlineStr">
        <is>
          <t>INV-5321</t>
        </is>
      </c>
      <c r="C1354" s="11" t="n">
        <v>46042</v>
      </c>
      <c r="D1354" t="inlineStr">
        <is>
          <t>2026-01</t>
        </is>
      </c>
      <c r="E1354" t="inlineStr">
        <is>
          <t>C0019</t>
        </is>
      </c>
      <c r="F1354" t="inlineStr">
        <is>
          <t>C0019</t>
        </is>
      </c>
      <c r="G1354" t="inlineStr">
        <is>
          <t>Metro Developments</t>
        </is>
      </c>
      <c r="H1354" t="inlineStr">
        <is>
          <t>S0265</t>
        </is>
      </c>
      <c r="I1354" t="inlineStr">
        <is>
          <t>Scaffold tower hire 4 wks (23/12/25-19/01/26) - 1 towers</t>
        </is>
      </c>
      <c r="J1354" t="n">
        <v>4</v>
      </c>
      <c r="K1354" s="9" t="n">
        <v>380</v>
      </c>
      <c r="L1354" t="inlineStr">
        <is>
          <t>PAID</t>
        </is>
      </c>
      <c r="M1354">
        <f>IF(L1354="VOIDED",0,1)</f>
        <v>1</v>
      </c>
      <c r="N1354" t="n">
        <v>200</v>
      </c>
      <c r="O1354" t="inlineStr">
        <is>
          <t>GST on Income</t>
        </is>
      </c>
      <c r="P1354" t="inlineStr">
        <is>
          <t>R05</t>
        </is>
      </c>
      <c r="Q1354" t="inlineStr">
        <is>
          <t>HIRE-ST</t>
        </is>
      </c>
      <c r="R1354">
        <f>IF(OR(Q1354="CONTEXT",Q1354="REVIEW"),"",INDEX('Category Rules'!$D$5:$D$17,MATCH(P1354,'Category Rules'!$A$5:$A$17,0)))</f>
        <v>4010</v>
      </c>
      <c r="S1354" t="str">
        <f>IF(Q1354="CONTEXT","Scaffolding",IF(Q1354="REVIEW","",INDEX('Category Rules'!$E$5:$E$17,MATCH(P1354,'Category Rules'!$A$5:$A$17,0))))</f>
        <v>Scaffolding</v>
      </c>
      <c r="T1354" t="str">
        <f>IF(Q1354="DEP","BAS Excluded","GST on Income")</f>
        <v>GST on Income</v>
      </c>
      <c r="U1354">
        <f>IF(O1354=T1354,1,0)</f>
        <v>1</v>
      </c>
      <c r="V1354" s="9">
        <f>IF(OR(M1354=0,U1354=1),0,IF(T1354="GST on Income",ROUND(K1354*0.1,2),ROUND(-K1354*0.1,2)))</f>
        <v>0</v>
      </c>
    </row>
    <row r="1355">
      <c r="A1355" t="inlineStr">
        <is>
          <t>INV-5721-1</t>
        </is>
      </c>
      <c r="B1355" t="inlineStr">
        <is>
          <t>INV-5721</t>
        </is>
      </c>
      <c r="C1355" s="11" t="n">
        <v>46042</v>
      </c>
      <c r="D1355" t="inlineStr">
        <is>
          <t>2026-01</t>
        </is>
      </c>
      <c r="E1355" t="inlineStr">
        <is>
          <t>C0068</t>
        </is>
      </c>
      <c r="F1355" t="inlineStr">
        <is>
          <t>C0068</t>
        </is>
      </c>
      <c r="G1355" t="inlineStr">
        <is>
          <t>Coastline Claims Services</t>
        </is>
      </c>
      <c r="H1355" t="inlineStr">
        <is>
          <t>S0445</t>
        </is>
      </c>
      <c r="I1355" t="inlineStr">
        <is>
          <t>Roof repair labour - 24 hrs</t>
        </is>
      </c>
      <c r="J1355" t="n">
        <v>24</v>
      </c>
      <c r="K1355" s="9" t="n">
        <v>2352</v>
      </c>
      <c r="L1355" t="inlineStr">
        <is>
          <t>PAID</t>
        </is>
      </c>
      <c r="M1355">
        <f>IF(L1355="VOIDED",0,1)</f>
        <v>1</v>
      </c>
      <c r="N1355" t="n">
        <v>200</v>
      </c>
      <c r="O1355" t="inlineStr">
        <is>
          <t>GST on Income</t>
        </is>
      </c>
      <c r="P1355" t="inlineStr">
        <is>
          <t>R10</t>
        </is>
      </c>
      <c r="Q1355" t="inlineStr">
        <is>
          <t>LAB-RF</t>
        </is>
      </c>
      <c r="R1355">
        <f>IF(OR(Q1355="CONTEXT",Q1355="REVIEW"),"",INDEX('Category Rules'!$D$5:$D$17,MATCH(P1355,'Category Rules'!$A$5:$A$17,0)))</f>
        <v>4020</v>
      </c>
      <c r="S1355" t="str">
        <f>IF(Q1355="CONTEXT","Roofing",IF(Q1355="REVIEW","",INDEX('Category Rules'!$E$5:$E$17,MATCH(P1355,'Category Rules'!$A$5:$A$17,0))))</f>
        <v>Roofing</v>
      </c>
      <c r="T1355" t="str">
        <f>IF(Q1355="DEP","BAS Excluded","GST on Income")</f>
        <v>GST on Income</v>
      </c>
      <c r="U1355">
        <f>IF(O1355=T1355,1,0)</f>
        <v>1</v>
      </c>
      <c r="V1355" s="9">
        <f>IF(OR(M1355=0,U1355=1),0,IF(T1355="GST on Income",ROUND(K1355*0.1,2),ROUND(-K1355*0.1,2)))</f>
        <v>0</v>
      </c>
    </row>
    <row r="1356">
      <c r="A1356" t="inlineStr">
        <is>
          <t>INV-5721-2</t>
        </is>
      </c>
      <c r="B1356" t="inlineStr">
        <is>
          <t>INV-5721</t>
        </is>
      </c>
      <c r="C1356" s="11" t="n">
        <v>46042</v>
      </c>
      <c r="D1356" t="inlineStr">
        <is>
          <t>2026-01</t>
        </is>
      </c>
      <c r="E1356" t="inlineStr">
        <is>
          <t>C0068</t>
        </is>
      </c>
      <c r="F1356" t="inlineStr">
        <is>
          <t>C0068</t>
        </is>
      </c>
      <c r="G1356" t="inlineStr">
        <is>
          <t>Coastline Claims Services</t>
        </is>
      </c>
      <c r="H1356" t="inlineStr">
        <is>
          <t>S0445</t>
        </is>
      </c>
      <c r="I1356" t="inlineStr">
        <is>
          <t>Materials - gutter and downpipe</t>
        </is>
      </c>
      <c r="J1356" t="n">
        <v>1</v>
      </c>
      <c r="K1356" s="9" t="n">
        <v>496.08</v>
      </c>
      <c r="L1356" t="inlineStr">
        <is>
          <t>PAID</t>
        </is>
      </c>
      <c r="M1356">
        <f>IF(L1356="VOIDED",0,1)</f>
        <v>1</v>
      </c>
      <c r="N1356" t="n">
        <v>200</v>
      </c>
      <c r="O1356" t="inlineStr">
        <is>
          <t>GST on Income</t>
        </is>
      </c>
      <c r="P1356" t="inlineStr">
        <is>
          <t>R11</t>
        </is>
      </c>
      <c r="Q1356" t="inlineStr">
        <is>
          <t>MAT-RF</t>
        </is>
      </c>
      <c r="R1356">
        <f>IF(OR(Q1356="CONTEXT",Q1356="REVIEW"),"",INDEX('Category Rules'!$D$5:$D$17,MATCH(P1356,'Category Rules'!$A$5:$A$17,0)))</f>
        <v>4030</v>
      </c>
      <c r="S1356" t="str">
        <f>IF(Q1356="CONTEXT","Roofing",IF(Q1356="REVIEW","",INDEX('Category Rules'!$E$5:$E$17,MATCH(P1356,'Category Rules'!$A$5:$A$17,0))))</f>
        <v>Roofing</v>
      </c>
      <c r="T1356" t="str">
        <f>IF(Q1356="DEP","BAS Excluded","GST on Income")</f>
        <v>GST on Income</v>
      </c>
      <c r="U1356">
        <f>IF(O1356=T1356,1,0)</f>
        <v>1</v>
      </c>
      <c r="V1356" s="9">
        <f>IF(OR(M1356=0,U1356=1),0,IF(T1356="GST on Income",ROUND(K1356*0.1,2),ROUND(-K1356*0.1,2)))</f>
        <v>0</v>
      </c>
    </row>
    <row r="1357">
      <c r="A1357" t="inlineStr">
        <is>
          <t>INV-5721-3</t>
        </is>
      </c>
      <c r="B1357" t="inlineStr">
        <is>
          <t>INV-5721</t>
        </is>
      </c>
      <c r="C1357" s="11" t="n">
        <v>46042</v>
      </c>
      <c r="D1357" t="inlineStr">
        <is>
          <t>2026-01</t>
        </is>
      </c>
      <c r="E1357" t="inlineStr">
        <is>
          <t>C0068</t>
        </is>
      </c>
      <c r="F1357" t="inlineStr">
        <is>
          <t>C0068</t>
        </is>
      </c>
      <c r="G1357" t="inlineStr">
        <is>
          <t>Coastline Claims Services</t>
        </is>
      </c>
      <c r="H1357" t="inlineStr">
        <is>
          <t>S0445</t>
        </is>
      </c>
      <c r="I1357" t="inlineStr">
        <is>
          <t>Materials - sealant and fixings</t>
        </is>
      </c>
      <c r="J1357" t="n">
        <v>1</v>
      </c>
      <c r="K1357" s="9" t="n">
        <v>844.91</v>
      </c>
      <c r="L1357" t="inlineStr">
        <is>
          <t>PAID</t>
        </is>
      </c>
      <c r="M1357">
        <f>IF(L1357="VOIDED",0,1)</f>
        <v>1</v>
      </c>
      <c r="N1357" t="n">
        <v>200</v>
      </c>
      <c r="O1357" t="inlineStr">
        <is>
          <t>GST on Income</t>
        </is>
      </c>
      <c r="P1357" t="inlineStr">
        <is>
          <t>R11</t>
        </is>
      </c>
      <c r="Q1357" t="inlineStr">
        <is>
          <t>MAT-RF</t>
        </is>
      </c>
      <c r="R1357">
        <f>IF(OR(Q1357="CONTEXT",Q1357="REVIEW"),"",INDEX('Category Rules'!$D$5:$D$17,MATCH(P1357,'Category Rules'!$A$5:$A$17,0)))</f>
        <v>4030</v>
      </c>
      <c r="S1357" t="str">
        <f>IF(Q1357="CONTEXT","Roofing",IF(Q1357="REVIEW","",INDEX('Category Rules'!$E$5:$E$17,MATCH(P1357,'Category Rules'!$A$5:$A$17,0))))</f>
        <v>Roofing</v>
      </c>
      <c r="T1357" t="str">
        <f>IF(Q1357="DEP","BAS Excluded","GST on Income")</f>
        <v>GST on Income</v>
      </c>
      <c r="U1357">
        <f>IF(O1357=T1357,1,0)</f>
        <v>1</v>
      </c>
      <c r="V1357" s="9">
        <f>IF(OR(M1357=0,U1357=1),0,IF(T1357="GST on Income",ROUND(K1357*0.1,2),ROUND(-K1357*0.1,2)))</f>
        <v>0</v>
      </c>
    </row>
    <row r="1358">
      <c r="A1358" t="inlineStr">
        <is>
          <t>INV-5721-4</t>
        </is>
      </c>
      <c r="B1358" t="inlineStr">
        <is>
          <t>INV-5721</t>
        </is>
      </c>
      <c r="C1358" s="11" t="n">
        <v>46042</v>
      </c>
      <c r="D1358" t="inlineStr">
        <is>
          <t>2026-01</t>
        </is>
      </c>
      <c r="E1358" t="inlineStr">
        <is>
          <t>C0068</t>
        </is>
      </c>
      <c r="F1358" t="inlineStr">
        <is>
          <t>C0068</t>
        </is>
      </c>
      <c r="G1358" t="inlineStr">
        <is>
          <t>Coastline Claims Services</t>
        </is>
      </c>
      <c r="H1358" t="inlineStr">
        <is>
          <t>S0445</t>
        </is>
      </c>
      <c r="I1358" t="inlineStr">
        <is>
          <t>Waste removal and tip fees</t>
        </is>
      </c>
      <c r="J1358" t="n">
        <v>1</v>
      </c>
      <c r="K1358" s="9" t="n">
        <v>120</v>
      </c>
      <c r="L1358" t="inlineStr">
        <is>
          <t>PAID</t>
        </is>
      </c>
      <c r="M1358">
        <f>IF(L1358="VOIDED",0,1)</f>
        <v>1</v>
      </c>
      <c r="N1358" t="n">
        <v>200</v>
      </c>
      <c r="O1358" t="inlineStr">
        <is>
          <t>GST on Income</t>
        </is>
      </c>
      <c r="P1358" t="inlineStr">
        <is>
          <t>R11</t>
        </is>
      </c>
      <c r="Q1358" t="inlineStr">
        <is>
          <t>MAT-RF</t>
        </is>
      </c>
      <c r="R1358">
        <f>IF(OR(Q1358="CONTEXT",Q1358="REVIEW"),"",INDEX('Category Rules'!$D$5:$D$17,MATCH(P1358,'Category Rules'!$A$5:$A$17,0)))</f>
        <v>4030</v>
      </c>
      <c r="S1358" t="str">
        <f>IF(Q1358="CONTEXT","Roofing",IF(Q1358="REVIEW","",INDEX('Category Rules'!$E$5:$E$17,MATCH(P1358,'Category Rules'!$A$5:$A$17,0))))</f>
        <v>Roofing</v>
      </c>
      <c r="T1358" t="str">
        <f>IF(Q1358="DEP","BAS Excluded","GST on Income")</f>
        <v>GST on Income</v>
      </c>
      <c r="U1358">
        <f>IF(O1358=T1358,1,0)</f>
        <v>1</v>
      </c>
      <c r="V1358" s="9">
        <f>IF(OR(M1358=0,U1358=1),0,IF(T1358="GST on Income",ROUND(K1358*0.1,2),ROUND(-K1358*0.1,2)))</f>
        <v>0</v>
      </c>
    </row>
    <row r="1359">
      <c r="A1359" t="inlineStr">
        <is>
          <t>INV-4257-1</t>
        </is>
      </c>
      <c r="B1359" t="inlineStr">
        <is>
          <t>INV-4257</t>
        </is>
      </c>
      <c r="C1359" s="11" t="n">
        <v>46043</v>
      </c>
      <c r="D1359" t="inlineStr">
        <is>
          <t>2026-01</t>
        </is>
      </c>
      <c r="E1359" t="inlineStr">
        <is>
          <t>C0024</t>
        </is>
      </c>
      <c r="F1359" t="inlineStr">
        <is>
          <t>C0024</t>
        </is>
      </c>
      <c r="G1359" t="inlineStr">
        <is>
          <t>Parkview Homes Pty Ltd</t>
        </is>
      </c>
      <c r="H1359" t="inlineStr">
        <is>
          <t>S0034</t>
        </is>
      </c>
      <c r="I1359" t="inlineStr">
        <is>
          <t>Temporary fence hire 4 wks (24/12/25-20/01/26) - 28 panels</t>
        </is>
      </c>
      <c r="J1359" t="n">
        <v>112</v>
      </c>
      <c r="K1359" s="9" t="n">
        <v>504</v>
      </c>
      <c r="L1359" t="inlineStr">
        <is>
          <t>PAID</t>
        </is>
      </c>
      <c r="M1359">
        <f>IF(L1359="VOIDED",0,1)</f>
        <v>1</v>
      </c>
      <c r="N1359" t="n">
        <v>200</v>
      </c>
      <c r="O1359" t="inlineStr">
        <is>
          <t>GST on Income</t>
        </is>
      </c>
      <c r="P1359" t="inlineStr">
        <is>
          <t>R03</t>
        </is>
      </c>
      <c r="Q1359" t="inlineStr">
        <is>
          <t>HIRE-FP</t>
        </is>
      </c>
      <c r="R1359">
        <f>IF(OR(Q1359="CONTEXT",Q1359="REVIEW"),"",INDEX('Category Rules'!$D$5:$D$17,MATCH(P1359,'Category Rules'!$A$5:$A$17,0)))</f>
        <v>4010</v>
      </c>
      <c r="S1359" t="str">
        <f>IF(Q1359="CONTEXT","Fencing",IF(Q1359="REVIEW","",INDEX('Category Rules'!$E$5:$E$17,MATCH(P1359,'Category Rules'!$A$5:$A$17,0))))</f>
        <v>Fencing</v>
      </c>
      <c r="T1359" t="str">
        <f>IF(Q1359="DEP","BAS Excluded","GST on Income")</f>
        <v>GST on Income</v>
      </c>
      <c r="U1359">
        <f>IF(O1359=T1359,1,0)</f>
        <v>1</v>
      </c>
      <c r="V1359" s="9">
        <f>IF(OR(M1359=0,U1359=1),0,IF(T1359="GST on Income",ROUND(K1359*0.1,2),ROUND(-K1359*0.1,2)))</f>
        <v>0</v>
      </c>
    </row>
    <row r="1360">
      <c r="A1360" t="inlineStr">
        <is>
          <t>INV-4262-1</t>
        </is>
      </c>
      <c r="B1360" t="inlineStr">
        <is>
          <t>INV-4262</t>
        </is>
      </c>
      <c r="C1360" s="11" t="n">
        <v>46043</v>
      </c>
      <c r="D1360" t="inlineStr">
        <is>
          <t>2026-01</t>
        </is>
      </c>
      <c r="E1360" t="inlineStr">
        <is>
          <t>C0024</t>
        </is>
      </c>
      <c r="F1360" t="inlineStr">
        <is>
          <t>C0024</t>
        </is>
      </c>
      <c r="G1360" t="inlineStr">
        <is>
          <t>Parkview Homes Pty Ltd</t>
        </is>
      </c>
      <c r="H1360" t="inlineStr">
        <is>
          <t>S0034</t>
        </is>
      </c>
      <c r="I1360" t="inlineStr">
        <is>
          <t>Pedestrian barrier hire 4 wks (24/12/25-20/01/26) - 16 barriers</t>
        </is>
      </c>
      <c r="J1360" t="n">
        <v>64</v>
      </c>
      <c r="K1360" s="9" t="n">
        <v>204.8</v>
      </c>
      <c r="L1360" t="inlineStr">
        <is>
          <t>PAID</t>
        </is>
      </c>
      <c r="M1360">
        <f>IF(L1360="VOIDED",0,1)</f>
        <v>1</v>
      </c>
      <c r="N1360" t="n">
        <v>200</v>
      </c>
      <c r="O1360" t="inlineStr">
        <is>
          <t>GST on Income</t>
        </is>
      </c>
      <c r="P1360" t="inlineStr">
        <is>
          <t>R04</t>
        </is>
      </c>
      <c r="Q1360" t="inlineStr">
        <is>
          <t>HIRE-BR</t>
        </is>
      </c>
      <c r="R1360">
        <f>IF(OR(Q1360="CONTEXT",Q1360="REVIEW"),"",INDEX('Category Rules'!$D$5:$D$17,MATCH(P1360,'Category Rules'!$A$5:$A$17,0)))</f>
        <v>4010</v>
      </c>
      <c r="S1360" t="str">
        <f>IF(Q1360="CONTEXT","Fencing",IF(Q1360="REVIEW","",INDEX('Category Rules'!$E$5:$E$17,MATCH(P1360,'Category Rules'!$A$5:$A$17,0))))</f>
        <v>Fencing</v>
      </c>
      <c r="T1360" t="str">
        <f>IF(Q1360="DEP","BAS Excluded","GST on Income")</f>
        <v>GST on Income</v>
      </c>
      <c r="U1360">
        <f>IF(O1360=T1360,1,0)</f>
        <v>1</v>
      </c>
      <c r="V1360" s="9">
        <f>IF(OR(M1360=0,U1360=1),0,IF(T1360="GST on Income",ROUND(K1360*0.1,2),ROUND(-K1360*0.1,2)))</f>
        <v>0</v>
      </c>
    </row>
    <row r="1361">
      <c r="A1361" t="inlineStr">
        <is>
          <t>INV-4933-1</t>
        </is>
      </c>
      <c r="B1361" t="inlineStr">
        <is>
          <t>INV-4933</t>
        </is>
      </c>
      <c r="C1361" s="11" t="n">
        <v>46043</v>
      </c>
      <c r="D1361" t="inlineStr">
        <is>
          <t>2026-01</t>
        </is>
      </c>
      <c r="E1361" t="inlineStr">
        <is>
          <t>C0014</t>
        </is>
      </c>
      <c r="F1361" t="inlineStr">
        <is>
          <t>C0014</t>
        </is>
      </c>
      <c r="G1361" t="inlineStr">
        <is>
          <t>Riverbend Homes Pty Ltd</t>
        </is>
      </c>
      <c r="H1361" t="inlineStr">
        <is>
          <t>S0179</t>
        </is>
      </c>
      <c r="I1361" t="inlineStr">
        <is>
          <t>Temporary fence hire 4 wks (24/12/25-20/01/26) - 115 panels</t>
        </is>
      </c>
      <c r="J1361" t="n">
        <v>460</v>
      </c>
      <c r="K1361" s="9" t="n">
        <v>2070</v>
      </c>
      <c r="L1361" t="inlineStr">
        <is>
          <t>PAID</t>
        </is>
      </c>
      <c r="M1361">
        <f>IF(L1361="VOIDED",0,1)</f>
        <v>1</v>
      </c>
      <c r="N1361" t="n">
        <v>200</v>
      </c>
      <c r="O1361" t="inlineStr">
        <is>
          <t>GST on Income</t>
        </is>
      </c>
      <c r="P1361" t="inlineStr">
        <is>
          <t>R03</t>
        </is>
      </c>
      <c r="Q1361" t="inlineStr">
        <is>
          <t>HIRE-FP</t>
        </is>
      </c>
      <c r="R1361">
        <f>IF(OR(Q1361="CONTEXT",Q1361="REVIEW"),"",INDEX('Category Rules'!$D$5:$D$17,MATCH(P1361,'Category Rules'!$A$5:$A$17,0)))</f>
        <v>4010</v>
      </c>
      <c r="S1361" t="str">
        <f>IF(Q1361="CONTEXT","Fencing",IF(Q1361="REVIEW","",INDEX('Category Rules'!$E$5:$E$17,MATCH(P1361,'Category Rules'!$A$5:$A$17,0))))</f>
        <v>Fencing</v>
      </c>
      <c r="T1361" t="str">
        <f>IF(Q1361="DEP","BAS Excluded","GST on Income")</f>
        <v>GST on Income</v>
      </c>
      <c r="U1361">
        <f>IF(O1361=T1361,1,0)</f>
        <v>1</v>
      </c>
      <c r="V1361" s="9">
        <f>IF(OR(M1361=0,U1361=1),0,IF(T1361="GST on Income",ROUND(K1361*0.1,2),ROUND(-K1361*0.1,2)))</f>
        <v>0</v>
      </c>
    </row>
    <row r="1362">
      <c r="A1362" t="inlineStr">
        <is>
          <t>INV-4939-1</t>
        </is>
      </c>
      <c r="B1362" t="inlineStr">
        <is>
          <t>INV-4939</t>
        </is>
      </c>
      <c r="C1362" s="11" t="n">
        <v>46043</v>
      </c>
      <c r="D1362" t="inlineStr">
        <is>
          <t>2026-01</t>
        </is>
      </c>
      <c r="E1362" t="inlineStr">
        <is>
          <t>C0133</t>
        </is>
      </c>
      <c r="F1362" t="inlineStr">
        <is>
          <t>C0014</t>
        </is>
      </c>
      <c r="G1362" t="inlineStr">
        <is>
          <t>Riverbend Homes Pty Ltd</t>
        </is>
      </c>
      <c r="H1362" t="inlineStr">
        <is>
          <t>S0179</t>
        </is>
      </c>
      <c r="I1362" t="inlineStr">
        <is>
          <t>Pedestrian barrier hire 4 wks (24/12/25-20/01/26) - 9 barriers</t>
        </is>
      </c>
      <c r="J1362" t="n">
        <v>36</v>
      </c>
      <c r="K1362" s="9" t="n">
        <v>115.2</v>
      </c>
      <c r="L1362" t="inlineStr">
        <is>
          <t>PAID</t>
        </is>
      </c>
      <c r="M1362">
        <f>IF(L1362="VOIDED",0,1)</f>
        <v>1</v>
      </c>
      <c r="N1362" t="n">
        <v>200</v>
      </c>
      <c r="O1362" t="inlineStr">
        <is>
          <t>GST on Income</t>
        </is>
      </c>
      <c r="P1362" t="inlineStr">
        <is>
          <t>R04</t>
        </is>
      </c>
      <c r="Q1362" t="inlineStr">
        <is>
          <t>HIRE-BR</t>
        </is>
      </c>
      <c r="R1362">
        <f>IF(OR(Q1362="CONTEXT",Q1362="REVIEW"),"",INDEX('Category Rules'!$D$5:$D$17,MATCH(P1362,'Category Rules'!$A$5:$A$17,0)))</f>
        <v>4010</v>
      </c>
      <c r="S1362" t="str">
        <f>IF(Q1362="CONTEXT","Fencing",IF(Q1362="REVIEW","",INDEX('Category Rules'!$E$5:$E$17,MATCH(P1362,'Category Rules'!$A$5:$A$17,0))))</f>
        <v>Fencing</v>
      </c>
      <c r="T1362" t="str">
        <f>IF(Q1362="DEP","BAS Excluded","GST on Income")</f>
        <v>GST on Income</v>
      </c>
      <c r="U1362">
        <f>IF(O1362=T1362,1,0)</f>
        <v>1</v>
      </c>
      <c r="V1362" s="9">
        <f>IF(OR(M1362=0,U1362=1),0,IF(T1362="GST on Income",ROUND(K1362*0.1,2),ROUND(-K1362*0.1,2)))</f>
        <v>0</v>
      </c>
    </row>
    <row r="1363">
      <c r="A1363" t="inlineStr">
        <is>
          <t>INV-4131-1</t>
        </is>
      </c>
      <c r="B1363" t="inlineStr">
        <is>
          <t>INV-4131</t>
        </is>
      </c>
      <c r="C1363" s="11" t="n">
        <v>46044</v>
      </c>
      <c r="D1363" t="inlineStr">
        <is>
          <t>2026-01</t>
        </is>
      </c>
      <c r="E1363" t="inlineStr">
        <is>
          <t>C0030</t>
        </is>
      </c>
      <c r="F1363" t="inlineStr">
        <is>
          <t>C0030</t>
        </is>
      </c>
      <c r="G1363" t="inlineStr">
        <is>
          <t>Bluegum Developments</t>
        </is>
      </c>
      <c r="H1363" t="inlineStr">
        <is>
          <t>S0007</t>
        </is>
      </c>
      <c r="I1363" t="inlineStr">
        <is>
          <t>Temporary fence hire 4 wks (25/12/25-21/01/26) - 71 panels</t>
        </is>
      </c>
      <c r="J1363" t="n">
        <v>284</v>
      </c>
      <c r="K1363" s="9" t="n">
        <v>1278</v>
      </c>
      <c r="L1363" t="inlineStr">
        <is>
          <t>PAID</t>
        </is>
      </c>
      <c r="M1363">
        <f>IF(L1363="VOIDED",0,1)</f>
        <v>1</v>
      </c>
      <c r="N1363" t="n">
        <v>200</v>
      </c>
      <c r="O1363" t="inlineStr">
        <is>
          <t>GST on Income</t>
        </is>
      </c>
      <c r="P1363" t="inlineStr">
        <is>
          <t>R03</t>
        </is>
      </c>
      <c r="Q1363" t="inlineStr">
        <is>
          <t>HIRE-FP</t>
        </is>
      </c>
      <c r="R1363">
        <f>IF(OR(Q1363="CONTEXT",Q1363="REVIEW"),"",INDEX('Category Rules'!$D$5:$D$17,MATCH(P1363,'Category Rules'!$A$5:$A$17,0)))</f>
        <v>4010</v>
      </c>
      <c r="S1363" t="str">
        <f>IF(Q1363="CONTEXT","Fencing",IF(Q1363="REVIEW","",INDEX('Category Rules'!$E$5:$E$17,MATCH(P1363,'Category Rules'!$A$5:$A$17,0))))</f>
        <v>Fencing</v>
      </c>
      <c r="T1363" t="str">
        <f>IF(Q1363="DEP","BAS Excluded","GST on Income")</f>
        <v>GST on Income</v>
      </c>
      <c r="U1363">
        <f>IF(O1363=T1363,1,0)</f>
        <v>1</v>
      </c>
      <c r="V1363" s="9">
        <f>IF(OR(M1363=0,U1363=1),0,IF(T1363="GST on Income",ROUND(K1363*0.1,2),ROUND(-K1363*0.1,2)))</f>
        <v>0</v>
      </c>
    </row>
    <row r="1364">
      <c r="A1364" t="inlineStr">
        <is>
          <t>INV-4429-1</t>
        </is>
      </c>
      <c r="B1364" t="inlineStr">
        <is>
          <t>INV-4429</t>
        </is>
      </c>
      <c r="C1364" s="11" t="n">
        <v>46044</v>
      </c>
      <c r="D1364" t="inlineStr">
        <is>
          <t>2026-01</t>
        </is>
      </c>
      <c r="E1364" t="inlineStr">
        <is>
          <t>C0061</t>
        </is>
      </c>
      <c r="F1364" t="inlineStr">
        <is>
          <t>C0061</t>
        </is>
      </c>
      <c r="G1364" t="inlineStr">
        <is>
          <t>Southbank Claims Services Pty Ltd</t>
        </is>
      </c>
      <c r="H1364" t="inlineStr">
        <is>
          <t>S0065</t>
        </is>
      </c>
      <c r="I1364" t="inlineStr">
        <is>
          <t>Temporary fence hire 2 wks (10/01/26-21/01/26) - 130 panels</t>
        </is>
      </c>
      <c r="J1364" t="n">
        <v>260</v>
      </c>
      <c r="K1364" s="9" t="n">
        <v>1170</v>
      </c>
      <c r="L1364" t="inlineStr">
        <is>
          <t>PAID</t>
        </is>
      </c>
      <c r="M1364">
        <f>IF(L1364="VOIDED",0,1)</f>
        <v>1</v>
      </c>
      <c r="N1364" t="n">
        <v>260</v>
      </c>
      <c r="O1364" t="inlineStr">
        <is>
          <t>GST on Income</t>
        </is>
      </c>
      <c r="P1364" t="inlineStr">
        <is>
          <t>R03</t>
        </is>
      </c>
      <c r="Q1364" t="inlineStr">
        <is>
          <t>HIRE-FP</t>
        </is>
      </c>
      <c r="R1364">
        <f>IF(OR(Q1364="CONTEXT",Q1364="REVIEW"),"",INDEX('Category Rules'!$D$5:$D$17,MATCH(P1364,'Category Rules'!$A$5:$A$17,0)))</f>
        <v>4010</v>
      </c>
      <c r="S1364" t="str">
        <f>IF(Q1364="CONTEXT","Fencing",IF(Q1364="REVIEW","",INDEX('Category Rules'!$E$5:$E$17,MATCH(P1364,'Category Rules'!$A$5:$A$17,0))))</f>
        <v>Fencing</v>
      </c>
      <c r="T1364" t="str">
        <f>IF(Q1364="DEP","BAS Excluded","GST on Income")</f>
        <v>GST on Income</v>
      </c>
      <c r="U1364">
        <f>IF(O1364=T1364,1,0)</f>
        <v>1</v>
      </c>
      <c r="V1364" s="9">
        <f>IF(OR(M1364=0,U1364=1),0,IF(T1364="GST on Income",ROUND(K1364*0.1,2),ROUND(-K1364*0.1,2)))</f>
        <v>0</v>
      </c>
    </row>
    <row r="1365">
      <c r="A1365" t="inlineStr">
        <is>
          <t>INV-4431-1</t>
        </is>
      </c>
      <c r="B1365" t="inlineStr">
        <is>
          <t>INV-4431</t>
        </is>
      </c>
      <c r="C1365" s="11" t="n">
        <v>46044</v>
      </c>
      <c r="D1365" t="inlineStr">
        <is>
          <t>2026-01</t>
        </is>
      </c>
      <c r="E1365" t="inlineStr">
        <is>
          <t>C0061</t>
        </is>
      </c>
      <c r="F1365" t="inlineStr">
        <is>
          <t>C0061</t>
        </is>
      </c>
      <c r="G1365" t="inlineStr">
        <is>
          <t>Southbank Claims Services Pty Ltd</t>
        </is>
      </c>
      <c r="H1365" t="inlineStr">
        <is>
          <t>S0065</t>
        </is>
      </c>
      <c r="I1365" t="inlineStr">
        <is>
          <t>Collection and dismantle - temporary fencing</t>
        </is>
      </c>
      <c r="J1365" t="n">
        <v>1</v>
      </c>
      <c r="K1365" s="9" t="n">
        <v>165</v>
      </c>
      <c r="L1365" t="inlineStr">
        <is>
          <t>PAID</t>
        </is>
      </c>
      <c r="M1365">
        <f>IF(L1365="VOIDED",0,1)</f>
        <v>1</v>
      </c>
      <c r="N1365" t="n">
        <v>200</v>
      </c>
      <c r="O1365" t="inlineStr">
        <is>
          <t>GST on Income</t>
        </is>
      </c>
      <c r="P1365" t="inlineStr">
        <is>
          <t>R07</t>
        </is>
      </c>
      <c r="Q1365" t="inlineStr">
        <is>
          <t>DEL-FP</t>
        </is>
      </c>
      <c r="R1365">
        <f>IF(OR(Q1365="CONTEXT",Q1365="REVIEW"),"",INDEX('Category Rules'!$D$5:$D$17,MATCH(P1365,'Category Rules'!$A$5:$A$17,0)))</f>
        <v>4020</v>
      </c>
      <c r="S1365" t="str">
        <f>IF(Q1365="CONTEXT","Fencing",IF(Q1365="REVIEW","",INDEX('Category Rules'!$E$5:$E$17,MATCH(P1365,'Category Rules'!$A$5:$A$17,0))))</f>
        <v>Fencing</v>
      </c>
      <c r="T1365" t="str">
        <f>IF(Q1365="DEP","BAS Excluded","GST on Income")</f>
        <v>GST on Income</v>
      </c>
      <c r="U1365">
        <f>IF(O1365=T1365,1,0)</f>
        <v>1</v>
      </c>
      <c r="V1365" s="9">
        <f>IF(OR(M1365=0,U1365=1),0,IF(T1365="GST on Income",ROUND(K1365*0.1,2),ROUND(-K1365*0.1,2)))</f>
        <v>0</v>
      </c>
    </row>
    <row r="1366">
      <c r="A1366" t="inlineStr">
        <is>
          <t>INV-4845-1</t>
        </is>
      </c>
      <c r="B1366" t="inlineStr">
        <is>
          <t>INV-4845</t>
        </is>
      </c>
      <c r="C1366" s="11" t="n">
        <v>46044</v>
      </c>
      <c r="D1366" t="inlineStr">
        <is>
          <t>2026-01</t>
        </is>
      </c>
      <c r="E1366" t="inlineStr">
        <is>
          <t>C0136</t>
        </is>
      </c>
      <c r="F1366" t="inlineStr">
        <is>
          <t>C0036</t>
        </is>
      </c>
      <c r="G1366" t="inlineStr">
        <is>
          <t>Summit Homes Pty Ltd</t>
        </is>
      </c>
      <c r="H1366" t="inlineStr">
        <is>
          <t>S0158</t>
        </is>
      </c>
      <c r="I1366" t="inlineStr">
        <is>
          <t>Delivery and installation - temporary fencing</t>
        </is>
      </c>
      <c r="J1366" t="n">
        <v>1</v>
      </c>
      <c r="K1366" s="9" t="n">
        <v>165</v>
      </c>
      <c r="L1366" t="inlineStr">
        <is>
          <t>PAID</t>
        </is>
      </c>
      <c r="M1366">
        <f>IF(L1366="VOIDED",0,1)</f>
        <v>1</v>
      </c>
      <c r="N1366" t="n">
        <v>200</v>
      </c>
      <c r="O1366" t="inlineStr">
        <is>
          <t>GST on Income</t>
        </is>
      </c>
      <c r="P1366" t="inlineStr">
        <is>
          <t>R07</t>
        </is>
      </c>
      <c r="Q1366" t="inlineStr">
        <is>
          <t>DEL-FP</t>
        </is>
      </c>
      <c r="R1366">
        <f>IF(OR(Q1366="CONTEXT",Q1366="REVIEW"),"",INDEX('Category Rules'!$D$5:$D$17,MATCH(P1366,'Category Rules'!$A$5:$A$17,0)))</f>
        <v>4020</v>
      </c>
      <c r="S1366" t="str">
        <f>IF(Q1366="CONTEXT","Fencing",IF(Q1366="REVIEW","",INDEX('Category Rules'!$E$5:$E$17,MATCH(P1366,'Category Rules'!$A$5:$A$17,0))))</f>
        <v>Fencing</v>
      </c>
      <c r="T1366" t="str">
        <f>IF(Q1366="DEP","BAS Excluded","GST on Income")</f>
        <v>GST on Income</v>
      </c>
      <c r="U1366">
        <f>IF(O1366=T1366,1,0)</f>
        <v>1</v>
      </c>
      <c r="V1366" s="9">
        <f>IF(OR(M1366=0,U1366=1),0,IF(T1366="GST on Income",ROUND(K1366*0.1,2),ROUND(-K1366*0.1,2)))</f>
        <v>0</v>
      </c>
    </row>
    <row r="1367">
      <c r="A1367" t="inlineStr">
        <is>
          <t>INV-4845-2</t>
        </is>
      </c>
      <c r="B1367" t="inlineStr">
        <is>
          <t>INV-4845</t>
        </is>
      </c>
      <c r="C1367" s="11" t="n">
        <v>46044</v>
      </c>
      <c r="D1367" t="inlineStr">
        <is>
          <t>2026-01</t>
        </is>
      </c>
      <c r="E1367" t="inlineStr">
        <is>
          <t>C0136</t>
        </is>
      </c>
      <c r="F1367" t="inlineStr">
        <is>
          <t>C0036</t>
        </is>
      </c>
      <c r="G1367" t="inlineStr">
        <is>
          <t>Summit Homes Pty Ltd</t>
        </is>
      </c>
      <c r="H1367" t="inlineStr">
        <is>
          <t>S0158</t>
        </is>
      </c>
      <c r="I1367" t="inlineStr">
        <is>
          <t>Installation labour - 21 panels @ 2.20</t>
        </is>
      </c>
      <c r="J1367" t="n">
        <v>21</v>
      </c>
      <c r="K1367" s="9" t="n">
        <v>46.2</v>
      </c>
      <c r="L1367" t="inlineStr">
        <is>
          <t>PAID</t>
        </is>
      </c>
      <c r="M1367">
        <f>IF(L1367="VOIDED",0,1)</f>
        <v>1</v>
      </c>
      <c r="N1367" t="n">
        <v>260</v>
      </c>
      <c r="O1367" t="inlineStr">
        <is>
          <t>GST on Income</t>
        </is>
      </c>
      <c r="P1367" t="inlineStr">
        <is>
          <t>R07</t>
        </is>
      </c>
      <c r="Q1367" t="inlineStr">
        <is>
          <t>DEL-FP</t>
        </is>
      </c>
      <c r="R1367">
        <f>IF(OR(Q1367="CONTEXT",Q1367="REVIEW"),"",INDEX('Category Rules'!$D$5:$D$17,MATCH(P1367,'Category Rules'!$A$5:$A$17,0)))</f>
        <v>4020</v>
      </c>
      <c r="S1367" t="str">
        <f>IF(Q1367="CONTEXT","Fencing",IF(Q1367="REVIEW","",INDEX('Category Rules'!$E$5:$E$17,MATCH(P1367,'Category Rules'!$A$5:$A$17,0))))</f>
        <v>Fencing</v>
      </c>
      <c r="T1367" t="str">
        <f>IF(Q1367="DEP","BAS Excluded","GST on Income")</f>
        <v>GST on Income</v>
      </c>
      <c r="U1367">
        <f>IF(O1367=T1367,1,0)</f>
        <v>1</v>
      </c>
      <c r="V1367" s="9">
        <f>IF(OR(M1367=0,U1367=1),0,IF(T1367="GST on Income",ROUND(K1367*0.1,2),ROUND(-K1367*0.1,2)))</f>
        <v>0</v>
      </c>
    </row>
    <row r="1368">
      <c r="A1368" t="inlineStr">
        <is>
          <t>INV-5537-1</t>
        </is>
      </c>
      <c r="B1368" t="inlineStr">
        <is>
          <t>INV-5537</t>
        </is>
      </c>
      <c r="C1368" s="11" t="n">
        <v>46044</v>
      </c>
      <c r="D1368" t="inlineStr">
        <is>
          <t>2026-01</t>
        </is>
      </c>
      <c r="E1368" t="inlineStr">
        <is>
          <t>C0063</t>
        </is>
      </c>
      <c r="F1368" t="inlineStr">
        <is>
          <t>C0063</t>
        </is>
      </c>
      <c r="G1368" t="inlineStr">
        <is>
          <t>Highpoint Insurance Repairs Pty Ltd</t>
        </is>
      </c>
      <c r="H1368" t="inlineStr">
        <is>
          <t>S0343</t>
        </is>
      </c>
      <c r="I1368" t="inlineStr">
        <is>
          <t>Tarp kit hire 2 wks (14/01/26-21/01/26) - 3 kits</t>
        </is>
      </c>
      <c r="J1368" t="n">
        <v>6</v>
      </c>
      <c r="K1368" s="9" t="n">
        <v>210</v>
      </c>
      <c r="L1368" t="inlineStr">
        <is>
          <t>PAID</t>
        </is>
      </c>
      <c r="M1368">
        <f>IF(L1368="VOIDED",0,1)</f>
        <v>1</v>
      </c>
      <c r="N1368" t="n">
        <v>200</v>
      </c>
      <c r="O1368" t="inlineStr">
        <is>
          <t>GST on Income</t>
        </is>
      </c>
      <c r="P1368" t="inlineStr">
        <is>
          <t>R06</t>
        </is>
      </c>
      <c r="Q1368" t="inlineStr">
        <is>
          <t>HIRE-TK</t>
        </is>
      </c>
      <c r="R1368">
        <f>IF(OR(Q1368="CONTEXT",Q1368="REVIEW"),"",INDEX('Category Rules'!$D$5:$D$17,MATCH(P1368,'Category Rules'!$A$5:$A$17,0)))</f>
        <v>4010</v>
      </c>
      <c r="S1368" t="str">
        <f>IF(Q1368="CONTEXT","Make-safe",IF(Q1368="REVIEW","",INDEX('Category Rules'!$E$5:$E$17,MATCH(P1368,'Category Rules'!$A$5:$A$17,0))))</f>
        <v>Make-safe</v>
      </c>
      <c r="T1368" t="str">
        <f>IF(Q1368="DEP","BAS Excluded","GST on Income")</f>
        <v>GST on Income</v>
      </c>
      <c r="U1368">
        <f>IF(O1368=T1368,1,0)</f>
        <v>1</v>
      </c>
      <c r="V1368" s="9">
        <f>IF(OR(M1368=0,U1368=1),0,IF(T1368="GST on Income",ROUND(K1368*0.1,2),ROUND(-K1368*0.1,2)))</f>
        <v>0</v>
      </c>
    </row>
    <row r="1369">
      <c r="A1369" t="inlineStr">
        <is>
          <t>INV-5867-1</t>
        </is>
      </c>
      <c r="B1369" t="inlineStr">
        <is>
          <t>INV-5867</t>
        </is>
      </c>
      <c r="C1369" s="11" t="n">
        <v>46044</v>
      </c>
      <c r="D1369" t="inlineStr">
        <is>
          <t>2026-01</t>
        </is>
      </c>
      <c r="E1369" t="inlineStr">
        <is>
          <t>C0106</t>
        </is>
      </c>
      <c r="F1369" t="inlineStr">
        <is>
          <t>C0106</t>
        </is>
      </c>
      <c r="G1369" t="inlineStr">
        <is>
          <t>Ella Wilson</t>
        </is>
      </c>
      <c r="H1369" t="inlineStr">
        <is>
          <t>S0529</t>
        </is>
      </c>
      <c r="I1369" t="inlineStr">
        <is>
          <t>Make safe call-out</t>
        </is>
      </c>
      <c r="J1369" t="n">
        <v>1</v>
      </c>
      <c r="K1369" s="9" t="n">
        <v>385</v>
      </c>
      <c r="L1369" t="inlineStr">
        <is>
          <t>PAID</t>
        </is>
      </c>
      <c r="M1369">
        <f>IF(L1369="VOIDED",0,1)</f>
        <v>1</v>
      </c>
      <c r="N1369" t="n">
        <v>200</v>
      </c>
      <c r="O1369" t="inlineStr">
        <is>
          <t>GST on Income</t>
        </is>
      </c>
      <c r="P1369" t="inlineStr">
        <is>
          <t>R09</t>
        </is>
      </c>
      <c r="Q1369" t="inlineStr">
        <is>
          <t>MS</t>
        </is>
      </c>
      <c r="R1369">
        <f>IF(OR(Q1369="CONTEXT",Q1369="REVIEW"),"",INDEX('Category Rules'!$D$5:$D$17,MATCH(P1369,'Category Rules'!$A$5:$A$17,0)))</f>
        <v>4020</v>
      </c>
      <c r="S1369" t="str">
        <f>IF(Q1369="CONTEXT","Make-safe",IF(Q1369="REVIEW","",INDEX('Category Rules'!$E$5:$E$17,MATCH(P1369,'Category Rules'!$A$5:$A$17,0))))</f>
        <v>Make-safe</v>
      </c>
      <c r="T1369" t="str">
        <f>IF(Q1369="DEP","BAS Excluded","GST on Income")</f>
        <v>GST on Income</v>
      </c>
      <c r="U1369">
        <f>IF(O1369=T1369,1,0)</f>
        <v>1</v>
      </c>
      <c r="V1369" s="9">
        <f>IF(OR(M1369=0,U1369=1),0,IF(T1369="GST on Income",ROUND(K1369*0.1,2),ROUND(-K1369*0.1,2)))</f>
        <v>0</v>
      </c>
    </row>
    <row r="1370">
      <c r="A1370" t="inlineStr">
        <is>
          <t>INV-5867-2</t>
        </is>
      </c>
      <c r="B1370" t="inlineStr">
        <is>
          <t>INV-5867</t>
        </is>
      </c>
      <c r="C1370" s="11" t="n">
        <v>46044</v>
      </c>
      <c r="D1370" t="inlineStr">
        <is>
          <t>2026-01</t>
        </is>
      </c>
      <c r="E1370" t="inlineStr">
        <is>
          <t>C0106</t>
        </is>
      </c>
      <c r="F1370" t="inlineStr">
        <is>
          <t>C0106</t>
        </is>
      </c>
      <c r="G1370" t="inlineStr">
        <is>
          <t>Ella Wilson</t>
        </is>
      </c>
      <c r="H1370" t="inlineStr">
        <is>
          <t>S0529</t>
        </is>
      </c>
      <c r="I1370" t="inlineStr">
        <is>
          <t>Tarp supply and install - 3 tarp(s)</t>
        </is>
      </c>
      <c r="J1370" t="n">
        <v>3</v>
      </c>
      <c r="K1370" s="9" t="n">
        <v>720</v>
      </c>
      <c r="L1370" t="inlineStr">
        <is>
          <t>PAID</t>
        </is>
      </c>
      <c r="M1370">
        <f>IF(L1370="VOIDED",0,1)</f>
        <v>1</v>
      </c>
      <c r="N1370" t="n">
        <v>200</v>
      </c>
      <c r="O1370" t="inlineStr">
        <is>
          <t>GST on Income</t>
        </is>
      </c>
      <c r="P1370" t="inlineStr">
        <is>
          <t>R09</t>
        </is>
      </c>
      <c r="Q1370" t="inlineStr">
        <is>
          <t>MS</t>
        </is>
      </c>
      <c r="R1370">
        <f>IF(OR(Q1370="CONTEXT",Q1370="REVIEW"),"",INDEX('Category Rules'!$D$5:$D$17,MATCH(P1370,'Category Rules'!$A$5:$A$17,0)))</f>
        <v>4020</v>
      </c>
      <c r="S1370" t="str">
        <f>IF(Q1370="CONTEXT","Make-safe",IF(Q1370="REVIEW","",INDEX('Category Rules'!$E$5:$E$17,MATCH(P1370,'Category Rules'!$A$5:$A$17,0))))</f>
        <v>Make-safe</v>
      </c>
      <c r="T1370" t="str">
        <f>IF(Q1370="DEP","BAS Excluded","GST on Income")</f>
        <v>GST on Income</v>
      </c>
      <c r="U1370">
        <f>IF(O1370=T1370,1,0)</f>
        <v>1</v>
      </c>
      <c r="V1370" s="9">
        <f>IF(OR(M1370=0,U1370=1),0,IF(T1370="GST on Income",ROUND(K1370*0.1,2),ROUND(-K1370*0.1,2)))</f>
        <v>0</v>
      </c>
    </row>
    <row r="1371">
      <c r="A1371" t="inlineStr">
        <is>
          <t>INV-4614-1</t>
        </is>
      </c>
      <c r="B1371" t="inlineStr">
        <is>
          <t>INV-4614</t>
        </is>
      </c>
      <c r="C1371" s="11" t="n">
        <v>46045</v>
      </c>
      <c r="D1371" t="inlineStr">
        <is>
          <t>2026-01</t>
        </is>
      </c>
      <c r="E1371" t="inlineStr">
        <is>
          <t>C0035</t>
        </is>
      </c>
      <c r="F1371" t="inlineStr">
        <is>
          <t>C0035</t>
        </is>
      </c>
      <c r="G1371" t="inlineStr">
        <is>
          <t>Bayside Homes Pty Ltd</t>
        </is>
      </c>
      <c r="H1371" t="inlineStr">
        <is>
          <t>S0103</t>
        </is>
      </c>
      <c r="I1371" t="inlineStr">
        <is>
          <t>Temporary fence hire 4 wks (26/12/25-22/01/26) - 21 panels</t>
        </is>
      </c>
      <c r="J1371" t="n">
        <v>84</v>
      </c>
      <c r="K1371" s="9" t="n">
        <v>378</v>
      </c>
      <c r="L1371" t="inlineStr">
        <is>
          <t>PAID</t>
        </is>
      </c>
      <c r="M1371">
        <f>IF(L1371="VOIDED",0,1)</f>
        <v>1</v>
      </c>
      <c r="N1371" t="n">
        <v>200</v>
      </c>
      <c r="O1371" t="inlineStr">
        <is>
          <t>GST on Income</t>
        </is>
      </c>
      <c r="P1371" t="inlineStr">
        <is>
          <t>R03</t>
        </is>
      </c>
      <c r="Q1371" t="inlineStr">
        <is>
          <t>HIRE-FP</t>
        </is>
      </c>
      <c r="R1371">
        <f>IF(OR(Q1371="CONTEXT",Q1371="REVIEW"),"",INDEX('Category Rules'!$D$5:$D$17,MATCH(P1371,'Category Rules'!$A$5:$A$17,0)))</f>
        <v>4010</v>
      </c>
      <c r="S1371" t="str">
        <f>IF(Q1371="CONTEXT","Fencing",IF(Q1371="REVIEW","",INDEX('Category Rules'!$E$5:$E$17,MATCH(P1371,'Category Rules'!$A$5:$A$17,0))))</f>
        <v>Fencing</v>
      </c>
      <c r="T1371" t="str">
        <f>IF(Q1371="DEP","BAS Excluded","GST on Income")</f>
        <v>GST on Income</v>
      </c>
      <c r="U1371">
        <f>IF(O1371=T1371,1,0)</f>
        <v>1</v>
      </c>
      <c r="V1371" s="9">
        <f>IF(OR(M1371=0,U1371=1),0,IF(T1371="GST on Income",ROUND(K1371*0.1,2),ROUND(-K1371*0.1,2)))</f>
        <v>0</v>
      </c>
    </row>
    <row r="1372">
      <c r="A1372" t="inlineStr">
        <is>
          <t>INV-4792-1</t>
        </is>
      </c>
      <c r="B1372" t="inlineStr">
        <is>
          <t>INV-4792</t>
        </is>
      </c>
      <c r="C1372" s="11" t="n">
        <v>46045</v>
      </c>
      <c r="D1372" t="inlineStr">
        <is>
          <t>2026-01</t>
        </is>
      </c>
      <c r="E1372" t="inlineStr">
        <is>
          <t>C0024</t>
        </is>
      </c>
      <c r="F1372" t="inlineStr">
        <is>
          <t>C0024</t>
        </is>
      </c>
      <c r="G1372" t="inlineStr">
        <is>
          <t>Parkview Homes Pty Ltd</t>
        </is>
      </c>
      <c r="H1372" t="inlineStr">
        <is>
          <t>S0148</t>
        </is>
      </c>
      <c r="I1372" t="inlineStr">
        <is>
          <t>Temporary fence hire 4 wks (26/12/25-22/01/26) - 155 panels</t>
        </is>
      </c>
      <c r="J1372" t="n">
        <v>620</v>
      </c>
      <c r="K1372" s="9" t="n">
        <v>2790</v>
      </c>
      <c r="L1372" t="inlineStr">
        <is>
          <t>PAID</t>
        </is>
      </c>
      <c r="M1372">
        <f>IF(L1372="VOIDED",0,1)</f>
        <v>1</v>
      </c>
      <c r="N1372" t="n">
        <v>200</v>
      </c>
      <c r="O1372" t="inlineStr">
        <is>
          <t>GST on Income</t>
        </is>
      </c>
      <c r="P1372" t="inlineStr">
        <is>
          <t>R03</t>
        </is>
      </c>
      <c r="Q1372" t="inlineStr">
        <is>
          <t>HIRE-FP</t>
        </is>
      </c>
      <c r="R1372">
        <f>IF(OR(Q1372="CONTEXT",Q1372="REVIEW"),"",INDEX('Category Rules'!$D$5:$D$17,MATCH(P1372,'Category Rules'!$A$5:$A$17,0)))</f>
        <v>4010</v>
      </c>
      <c r="S1372" t="str">
        <f>IF(Q1372="CONTEXT","Fencing",IF(Q1372="REVIEW","",INDEX('Category Rules'!$E$5:$E$17,MATCH(P1372,'Category Rules'!$A$5:$A$17,0))))</f>
        <v>Fencing</v>
      </c>
      <c r="T1372" t="str">
        <f>IF(Q1372="DEP","BAS Excluded","GST on Income")</f>
        <v>GST on Income</v>
      </c>
      <c r="U1372">
        <f>IF(O1372=T1372,1,0)</f>
        <v>1</v>
      </c>
      <c r="V1372" s="9">
        <f>IF(OR(M1372=0,U1372=1),0,IF(T1372="GST on Income",ROUND(K1372*0.1,2),ROUND(-K1372*0.1,2)))</f>
        <v>0</v>
      </c>
    </row>
    <row r="1373">
      <c r="A1373" t="inlineStr">
        <is>
          <t>INV-4848-1</t>
        </is>
      </c>
      <c r="B1373" t="inlineStr">
        <is>
          <t>INV-4848</t>
        </is>
      </c>
      <c r="C1373" s="11" t="n">
        <v>46045</v>
      </c>
      <c r="D1373" t="inlineStr">
        <is>
          <t>2026-01</t>
        </is>
      </c>
      <c r="E1373" t="inlineStr">
        <is>
          <t>C0035</t>
        </is>
      </c>
      <c r="F1373" t="inlineStr">
        <is>
          <t>C0035</t>
        </is>
      </c>
      <c r="G1373" t="inlineStr">
        <is>
          <t>Bayside Homes Pty Ltd</t>
        </is>
      </c>
      <c r="H1373" t="inlineStr">
        <is>
          <t>S0159</t>
        </is>
      </c>
      <c r="I1373" t="inlineStr">
        <is>
          <t>Temporary fence hire 3 wks (07/01/26-22/01/26) - 37 panels</t>
        </is>
      </c>
      <c r="J1373" t="n">
        <v>111</v>
      </c>
      <c r="K1373" s="9" t="n">
        <v>499.5</v>
      </c>
      <c r="L1373" t="inlineStr">
        <is>
          <t>PAID</t>
        </is>
      </c>
      <c r="M1373">
        <f>IF(L1373="VOIDED",0,1)</f>
        <v>1</v>
      </c>
      <c r="N1373" t="n">
        <v>200</v>
      </c>
      <c r="O1373" t="inlineStr">
        <is>
          <t>GST on Income</t>
        </is>
      </c>
      <c r="P1373" t="inlineStr">
        <is>
          <t>R03</t>
        </is>
      </c>
      <c r="Q1373" t="inlineStr">
        <is>
          <t>HIRE-FP</t>
        </is>
      </c>
      <c r="R1373">
        <f>IF(OR(Q1373="CONTEXT",Q1373="REVIEW"),"",INDEX('Category Rules'!$D$5:$D$17,MATCH(P1373,'Category Rules'!$A$5:$A$17,0)))</f>
        <v>4010</v>
      </c>
      <c r="S1373" t="str">
        <f>IF(Q1373="CONTEXT","Fencing",IF(Q1373="REVIEW","",INDEX('Category Rules'!$E$5:$E$17,MATCH(P1373,'Category Rules'!$A$5:$A$17,0))))</f>
        <v>Fencing</v>
      </c>
      <c r="T1373" t="str">
        <f>IF(Q1373="DEP","BAS Excluded","GST on Income")</f>
        <v>GST on Income</v>
      </c>
      <c r="U1373">
        <f>IF(O1373=T1373,1,0)</f>
        <v>1</v>
      </c>
      <c r="V1373" s="9">
        <f>IF(OR(M1373=0,U1373=1),0,IF(T1373="GST on Income",ROUND(K1373*0.1,2),ROUND(-K1373*0.1,2)))</f>
        <v>0</v>
      </c>
    </row>
    <row r="1374">
      <c r="A1374" t="inlineStr">
        <is>
          <t>INV-4850-1</t>
        </is>
      </c>
      <c r="B1374" t="inlineStr">
        <is>
          <t>INV-4850</t>
        </is>
      </c>
      <c r="C1374" s="11" t="n">
        <v>46045</v>
      </c>
      <c r="D1374" t="inlineStr">
        <is>
          <t>2026-01</t>
        </is>
      </c>
      <c r="E1374" t="inlineStr">
        <is>
          <t>C0035</t>
        </is>
      </c>
      <c r="F1374" t="inlineStr">
        <is>
          <t>C0035</t>
        </is>
      </c>
      <c r="G1374" t="inlineStr">
        <is>
          <t>Bayside Homes Pty Ltd</t>
        </is>
      </c>
      <c r="H1374" t="inlineStr">
        <is>
          <t>S0159</t>
        </is>
      </c>
      <c r="I1374" t="inlineStr">
        <is>
          <t>Collection and dismantle - temporary fencing</t>
        </is>
      </c>
      <c r="J1374" t="n">
        <v>1</v>
      </c>
      <c r="K1374" s="9" t="n">
        <v>165</v>
      </c>
      <c r="L1374" t="inlineStr">
        <is>
          <t>VOIDED</t>
        </is>
      </c>
      <c r="M1374">
        <f>IF(L1374="VOIDED",0,1)</f>
        <v>0</v>
      </c>
      <c r="N1374" t="n">
        <v>200</v>
      </c>
      <c r="O1374" t="inlineStr">
        <is>
          <t>GST on Income</t>
        </is>
      </c>
      <c r="P1374" t="inlineStr">
        <is>
          <t>R07</t>
        </is>
      </c>
      <c r="Q1374" t="inlineStr">
        <is>
          <t>DEL-FP</t>
        </is>
      </c>
      <c r="R1374">
        <f>IF(OR(Q1374="CONTEXT",Q1374="REVIEW"),"",INDEX('Category Rules'!$D$5:$D$17,MATCH(P1374,'Category Rules'!$A$5:$A$17,0)))</f>
        <v>4020</v>
      </c>
      <c r="S1374" t="str">
        <f>IF(Q1374="CONTEXT","Fencing",IF(Q1374="REVIEW","",INDEX('Category Rules'!$E$5:$E$17,MATCH(P1374,'Category Rules'!$A$5:$A$17,0))))</f>
        <v>Fencing</v>
      </c>
      <c r="T1374" t="str">
        <f>IF(Q1374="DEP","BAS Excluded","GST on Income")</f>
        <v>GST on Income</v>
      </c>
      <c r="U1374">
        <f>IF(O1374=T1374,1,0)</f>
        <v>1</v>
      </c>
      <c r="V1374" s="9">
        <f>IF(OR(M1374=0,U1374=1),0,IF(T1374="GST on Income",ROUND(K1374*0.1,2),ROUND(-K1374*0.1,2)))</f>
        <v>0</v>
      </c>
    </row>
    <row r="1375">
      <c r="A1375" t="inlineStr">
        <is>
          <t>INV-4994-1</t>
        </is>
      </c>
      <c r="B1375" t="inlineStr">
        <is>
          <t>INV-4994</t>
        </is>
      </c>
      <c r="C1375" s="11" t="n">
        <v>46045</v>
      </c>
      <c r="D1375" t="inlineStr">
        <is>
          <t>2026-01</t>
        </is>
      </c>
      <c r="E1375" t="inlineStr">
        <is>
          <t>C0074</t>
        </is>
      </c>
      <c r="F1375" t="inlineStr">
        <is>
          <t>C0074</t>
        </is>
      </c>
      <c r="G1375" t="inlineStr">
        <is>
          <t>Ironbark Events Pty Ltd</t>
        </is>
      </c>
      <c r="H1375" t="inlineStr">
        <is>
          <t>S0193</t>
        </is>
      </c>
      <c r="I1375" t="inlineStr">
        <is>
          <t>Delivery and installation - temporary fencing</t>
        </is>
      </c>
      <c r="J1375" t="n">
        <v>1</v>
      </c>
      <c r="K1375" s="9" t="n">
        <v>165</v>
      </c>
      <c r="L1375" t="inlineStr">
        <is>
          <t>PAID</t>
        </is>
      </c>
      <c r="M1375">
        <f>IF(L1375="VOIDED",0,1)</f>
        <v>1</v>
      </c>
      <c r="N1375" t="n">
        <v>200</v>
      </c>
      <c r="O1375" t="inlineStr">
        <is>
          <t>GST on Income</t>
        </is>
      </c>
      <c r="P1375" t="inlineStr">
        <is>
          <t>R07</t>
        </is>
      </c>
      <c r="Q1375" t="inlineStr">
        <is>
          <t>DEL-FP</t>
        </is>
      </c>
      <c r="R1375">
        <f>IF(OR(Q1375="CONTEXT",Q1375="REVIEW"),"",INDEX('Category Rules'!$D$5:$D$17,MATCH(P1375,'Category Rules'!$A$5:$A$17,0)))</f>
        <v>4020</v>
      </c>
      <c r="S1375" t="str">
        <f>IF(Q1375="CONTEXT","Fencing",IF(Q1375="REVIEW","",INDEX('Category Rules'!$E$5:$E$17,MATCH(P1375,'Category Rules'!$A$5:$A$17,0))))</f>
        <v>Fencing</v>
      </c>
      <c r="T1375" t="str">
        <f>IF(Q1375="DEP","BAS Excluded","GST on Income")</f>
        <v>GST on Income</v>
      </c>
      <c r="U1375">
        <f>IF(O1375=T1375,1,0)</f>
        <v>1</v>
      </c>
      <c r="V1375" s="9">
        <f>IF(OR(M1375=0,U1375=1),0,IF(T1375="GST on Income",ROUND(K1375*0.1,2),ROUND(-K1375*0.1,2)))</f>
        <v>0</v>
      </c>
    </row>
    <row r="1376">
      <c r="A1376" t="inlineStr">
        <is>
          <t>INV-4994-2</t>
        </is>
      </c>
      <c r="B1376" t="inlineStr">
        <is>
          <t>INV-4994</t>
        </is>
      </c>
      <c r="C1376" s="11" t="n">
        <v>46045</v>
      </c>
      <c r="D1376" t="inlineStr">
        <is>
          <t>2026-01</t>
        </is>
      </c>
      <c r="E1376" t="inlineStr">
        <is>
          <t>C0074</t>
        </is>
      </c>
      <c r="F1376" t="inlineStr">
        <is>
          <t>C0074</t>
        </is>
      </c>
      <c r="G1376" t="inlineStr">
        <is>
          <t>Ironbark Events Pty Ltd</t>
        </is>
      </c>
      <c r="H1376" t="inlineStr">
        <is>
          <t>S0193</t>
        </is>
      </c>
      <c r="I1376" t="inlineStr">
        <is>
          <t>Installation labour - 73 panels @ 2.20</t>
        </is>
      </c>
      <c r="J1376" t="n">
        <v>73</v>
      </c>
      <c r="K1376" s="9" t="n">
        <v>160.6</v>
      </c>
      <c r="L1376" t="inlineStr">
        <is>
          <t>PAID</t>
        </is>
      </c>
      <c r="M1376">
        <f>IF(L1376="VOIDED",0,1)</f>
        <v>1</v>
      </c>
      <c r="N1376" t="n">
        <v>200</v>
      </c>
      <c r="O1376" t="inlineStr">
        <is>
          <t>GST on Income</t>
        </is>
      </c>
      <c r="P1376" t="inlineStr">
        <is>
          <t>R07</t>
        </is>
      </c>
      <c r="Q1376" t="inlineStr">
        <is>
          <t>DEL-FP</t>
        </is>
      </c>
      <c r="R1376">
        <f>IF(OR(Q1376="CONTEXT",Q1376="REVIEW"),"",INDEX('Category Rules'!$D$5:$D$17,MATCH(P1376,'Category Rules'!$A$5:$A$17,0)))</f>
        <v>4020</v>
      </c>
      <c r="S1376" t="str">
        <f>IF(Q1376="CONTEXT","Fencing",IF(Q1376="REVIEW","",INDEX('Category Rules'!$E$5:$E$17,MATCH(P1376,'Category Rules'!$A$5:$A$17,0))))</f>
        <v>Fencing</v>
      </c>
      <c r="T1376" t="str">
        <f>IF(Q1376="DEP","BAS Excluded","GST on Income")</f>
        <v>GST on Income</v>
      </c>
      <c r="U1376">
        <f>IF(O1376=T1376,1,0)</f>
        <v>1</v>
      </c>
      <c r="V1376" s="9">
        <f>IF(OR(M1376=0,U1376=1),0,IF(T1376="GST on Income",ROUND(K1376*0.1,2),ROUND(-K1376*0.1,2)))</f>
        <v>0</v>
      </c>
    </row>
    <row r="1377">
      <c r="A1377" t="inlineStr">
        <is>
          <t>INV-5451-1</t>
        </is>
      </c>
      <c r="B1377" t="inlineStr">
        <is>
          <t>INV-5451</t>
        </is>
      </c>
      <c r="C1377" s="11" t="n">
        <v>46045</v>
      </c>
      <c r="D1377" t="inlineStr">
        <is>
          <t>2026-01</t>
        </is>
      </c>
      <c r="E1377" t="inlineStr">
        <is>
          <t>C0059</t>
        </is>
      </c>
      <c r="F1377" t="inlineStr">
        <is>
          <t>C0059</t>
        </is>
      </c>
      <c r="G1377" t="inlineStr">
        <is>
          <t>Silverleaf Insurance Repairs Pty Ltd</t>
        </is>
      </c>
      <c r="H1377" t="inlineStr">
        <is>
          <t>S0298</t>
        </is>
      </c>
      <c r="I1377" t="inlineStr">
        <is>
          <t>Tarp kit hire 3 wks (08/01/26-22/01/26) - 2 kits</t>
        </is>
      </c>
      <c r="J1377" t="n">
        <v>6</v>
      </c>
      <c r="K1377" s="9" t="n">
        <v>210</v>
      </c>
      <c r="L1377" t="inlineStr">
        <is>
          <t>PAID</t>
        </is>
      </c>
      <c r="M1377">
        <f>IF(L1377="VOIDED",0,1)</f>
        <v>1</v>
      </c>
      <c r="N1377" t="n">
        <v>200</v>
      </c>
      <c r="O1377" t="inlineStr">
        <is>
          <t>GST on Income</t>
        </is>
      </c>
      <c r="P1377" t="inlineStr">
        <is>
          <t>R06</t>
        </is>
      </c>
      <c r="Q1377" t="inlineStr">
        <is>
          <t>HIRE-TK</t>
        </is>
      </c>
      <c r="R1377">
        <f>IF(OR(Q1377="CONTEXT",Q1377="REVIEW"),"",INDEX('Category Rules'!$D$5:$D$17,MATCH(P1377,'Category Rules'!$A$5:$A$17,0)))</f>
        <v>4010</v>
      </c>
      <c r="S1377" t="str">
        <f>IF(Q1377="CONTEXT","Make-safe",IF(Q1377="REVIEW","",INDEX('Category Rules'!$E$5:$E$17,MATCH(P1377,'Category Rules'!$A$5:$A$17,0))))</f>
        <v>Make-safe</v>
      </c>
      <c r="T1377" t="str">
        <f>IF(Q1377="DEP","BAS Excluded","GST on Income")</f>
        <v>GST on Income</v>
      </c>
      <c r="U1377">
        <f>IF(O1377=T1377,1,0)</f>
        <v>1</v>
      </c>
      <c r="V1377" s="9">
        <f>IF(OR(M1377=0,U1377=1),0,IF(T1377="GST on Income",ROUND(K1377*0.1,2),ROUND(-K1377*0.1,2)))</f>
        <v>0</v>
      </c>
    </row>
    <row r="1378">
      <c r="A1378" t="inlineStr">
        <is>
          <t>INV-5560-1</t>
        </is>
      </c>
      <c r="B1378" t="inlineStr">
        <is>
          <t>INV-5560</t>
        </is>
      </c>
      <c r="C1378" s="11" t="n">
        <v>46045</v>
      </c>
      <c r="D1378" t="inlineStr">
        <is>
          <t>2026-01</t>
        </is>
      </c>
      <c r="E1378" t="inlineStr">
        <is>
          <t>C0065</t>
        </is>
      </c>
      <c r="F1378" t="inlineStr">
        <is>
          <t>C0065</t>
        </is>
      </c>
      <c r="G1378" t="inlineStr">
        <is>
          <t>Stonebridge Claims Services</t>
        </is>
      </c>
      <c r="H1378" t="inlineStr">
        <is>
          <t>S0357</t>
        </is>
      </c>
      <c r="I1378" t="inlineStr">
        <is>
          <t>Emergency make safe call-out - after hours</t>
        </is>
      </c>
      <c r="J1378" t="n">
        <v>1</v>
      </c>
      <c r="K1378" s="9" t="n">
        <v>560</v>
      </c>
      <c r="L1378" t="inlineStr">
        <is>
          <t>PAID</t>
        </is>
      </c>
      <c r="M1378">
        <f>IF(L1378="VOIDED",0,1)</f>
        <v>1</v>
      </c>
      <c r="N1378" t="n">
        <v>200</v>
      </c>
      <c r="O1378" t="inlineStr">
        <is>
          <t>GST on Income</t>
        </is>
      </c>
      <c r="P1378" t="inlineStr">
        <is>
          <t>R09</t>
        </is>
      </c>
      <c r="Q1378" t="inlineStr">
        <is>
          <t>MS</t>
        </is>
      </c>
      <c r="R1378">
        <f>IF(OR(Q1378="CONTEXT",Q1378="REVIEW"),"",INDEX('Category Rules'!$D$5:$D$17,MATCH(P1378,'Category Rules'!$A$5:$A$17,0)))</f>
        <v>4020</v>
      </c>
      <c r="S1378" t="str">
        <f>IF(Q1378="CONTEXT","Make-safe",IF(Q1378="REVIEW","",INDEX('Category Rules'!$E$5:$E$17,MATCH(P1378,'Category Rules'!$A$5:$A$17,0))))</f>
        <v>Make-safe</v>
      </c>
      <c r="T1378" t="str">
        <f>IF(Q1378="DEP","BAS Excluded","GST on Income")</f>
        <v>GST on Income</v>
      </c>
      <c r="U1378">
        <f>IF(O1378=T1378,1,0)</f>
        <v>1</v>
      </c>
      <c r="V1378" s="9">
        <f>IF(OR(M1378=0,U1378=1),0,IF(T1378="GST on Income",ROUND(K1378*0.1,2),ROUND(-K1378*0.1,2)))</f>
        <v>0</v>
      </c>
    </row>
    <row r="1379">
      <c r="A1379" t="inlineStr">
        <is>
          <t>INV-5798-1</t>
        </is>
      </c>
      <c r="B1379" t="inlineStr">
        <is>
          <t>INV-5798</t>
        </is>
      </c>
      <c r="C1379" s="11" t="n">
        <v>46045</v>
      </c>
      <c r="D1379" t="inlineStr">
        <is>
          <t>2026-01</t>
        </is>
      </c>
      <c r="E1379" t="inlineStr">
        <is>
          <t>C0020</t>
        </is>
      </c>
      <c r="F1379" t="inlineStr">
        <is>
          <t>C0020</t>
        </is>
      </c>
      <c r="G1379" t="inlineStr">
        <is>
          <t>Eastlink Constructions</t>
        </is>
      </c>
      <c r="H1379" t="inlineStr">
        <is>
          <t>S0489</t>
        </is>
      </c>
      <c r="I1379" t="inlineStr">
        <is>
          <t>Roof repair labour - 3 hrs</t>
        </is>
      </c>
      <c r="J1379" t="n">
        <v>3</v>
      </c>
      <c r="K1379" s="9" t="n">
        <v>294</v>
      </c>
      <c r="L1379" t="inlineStr">
        <is>
          <t>PAID</t>
        </is>
      </c>
      <c r="M1379">
        <f>IF(L1379="VOIDED",0,1)</f>
        <v>1</v>
      </c>
      <c r="N1379" t="n">
        <v>200</v>
      </c>
      <c r="O1379" t="inlineStr">
        <is>
          <t>GST on Income</t>
        </is>
      </c>
      <c r="P1379" t="inlineStr">
        <is>
          <t>R10</t>
        </is>
      </c>
      <c r="Q1379" t="inlineStr">
        <is>
          <t>LAB-RF</t>
        </is>
      </c>
      <c r="R1379">
        <f>IF(OR(Q1379="CONTEXT",Q1379="REVIEW"),"",INDEX('Category Rules'!$D$5:$D$17,MATCH(P1379,'Category Rules'!$A$5:$A$17,0)))</f>
        <v>4020</v>
      </c>
      <c r="S1379" t="str">
        <f>IF(Q1379="CONTEXT","Roofing",IF(Q1379="REVIEW","",INDEX('Category Rules'!$E$5:$E$17,MATCH(P1379,'Category Rules'!$A$5:$A$17,0))))</f>
        <v>Roofing</v>
      </c>
      <c r="T1379" t="str">
        <f>IF(Q1379="DEP","BAS Excluded","GST on Income")</f>
        <v>GST on Income</v>
      </c>
      <c r="U1379">
        <f>IF(O1379=T1379,1,0)</f>
        <v>1</v>
      </c>
      <c r="V1379" s="9">
        <f>IF(OR(M1379=0,U1379=1),0,IF(T1379="GST on Income",ROUND(K1379*0.1,2),ROUND(-K1379*0.1,2)))</f>
        <v>0</v>
      </c>
    </row>
    <row r="1380">
      <c r="A1380" t="inlineStr">
        <is>
          <t>INV-5798-2</t>
        </is>
      </c>
      <c r="B1380" t="inlineStr">
        <is>
          <t>INV-5798</t>
        </is>
      </c>
      <c r="C1380" s="11" t="n">
        <v>46045</v>
      </c>
      <c r="D1380" t="inlineStr">
        <is>
          <t>2026-01</t>
        </is>
      </c>
      <c r="E1380" t="inlineStr">
        <is>
          <t>C0020</t>
        </is>
      </c>
      <c r="F1380" t="inlineStr">
        <is>
          <t>C0020</t>
        </is>
      </c>
      <c r="G1380" t="inlineStr">
        <is>
          <t>Eastlink Constructions</t>
        </is>
      </c>
      <c r="H1380" t="inlineStr">
        <is>
          <t>S0489</t>
        </is>
      </c>
      <c r="I1380" t="inlineStr">
        <is>
          <t>Materials - roof tiles (matched)</t>
        </is>
      </c>
      <c r="J1380" t="n">
        <v>1</v>
      </c>
      <c r="K1380" s="9" t="n">
        <v>221.87</v>
      </c>
      <c r="L1380" t="inlineStr">
        <is>
          <t>PAID</t>
        </is>
      </c>
      <c r="M1380">
        <f>IF(L1380="VOIDED",0,1)</f>
        <v>1</v>
      </c>
      <c r="N1380" t="n">
        <v>200</v>
      </c>
      <c r="O1380" t="inlineStr">
        <is>
          <t>GST on Income</t>
        </is>
      </c>
      <c r="P1380" t="inlineStr">
        <is>
          <t>R11</t>
        </is>
      </c>
      <c r="Q1380" t="inlineStr">
        <is>
          <t>MAT-RF</t>
        </is>
      </c>
      <c r="R1380">
        <f>IF(OR(Q1380="CONTEXT",Q1380="REVIEW"),"",INDEX('Category Rules'!$D$5:$D$17,MATCH(P1380,'Category Rules'!$A$5:$A$17,0)))</f>
        <v>4030</v>
      </c>
      <c r="S1380" t="str">
        <f>IF(Q1380="CONTEXT","Roofing",IF(Q1380="REVIEW","",INDEX('Category Rules'!$E$5:$E$17,MATCH(P1380,'Category Rules'!$A$5:$A$17,0))))</f>
        <v>Roofing</v>
      </c>
      <c r="T1380" t="str">
        <f>IF(Q1380="DEP","BAS Excluded","GST on Income")</f>
        <v>GST on Income</v>
      </c>
      <c r="U1380">
        <f>IF(O1380=T1380,1,0)</f>
        <v>1</v>
      </c>
      <c r="V1380" s="9">
        <f>IF(OR(M1380=0,U1380=1),0,IF(T1380="GST on Income",ROUND(K1380*0.1,2),ROUND(-K1380*0.1,2)))</f>
        <v>0</v>
      </c>
    </row>
    <row r="1381">
      <c r="A1381" t="inlineStr">
        <is>
          <t>INV-4199-1</t>
        </is>
      </c>
      <c r="B1381" t="inlineStr">
        <is>
          <t>INV-4199</t>
        </is>
      </c>
      <c r="C1381" s="11" t="n">
        <v>46046</v>
      </c>
      <c r="D1381" t="inlineStr">
        <is>
          <t>2026-01</t>
        </is>
      </c>
      <c r="E1381" t="inlineStr">
        <is>
          <t>C0034</t>
        </is>
      </c>
      <c r="F1381" t="inlineStr">
        <is>
          <t>C0034</t>
        </is>
      </c>
      <c r="G1381" t="inlineStr">
        <is>
          <t>Norfolk Constructions Pty Ltd</t>
        </is>
      </c>
      <c r="H1381" t="inlineStr">
        <is>
          <t>S0018</t>
        </is>
      </c>
      <c r="I1381" t="inlineStr">
        <is>
          <t>Temporary fence hire 4 wks (27/12/25-23/01/26) - 44 panels</t>
        </is>
      </c>
      <c r="J1381" t="n">
        <v>176</v>
      </c>
      <c r="K1381" s="9" t="n">
        <v>792</v>
      </c>
      <c r="L1381" t="inlineStr">
        <is>
          <t>PAID</t>
        </is>
      </c>
      <c r="M1381">
        <f>IF(L1381="VOIDED",0,1)</f>
        <v>1</v>
      </c>
      <c r="N1381" t="n">
        <v>200</v>
      </c>
      <c r="O1381" t="inlineStr">
        <is>
          <t>GST on Income</t>
        </is>
      </c>
      <c r="P1381" t="inlineStr">
        <is>
          <t>R03</t>
        </is>
      </c>
      <c r="Q1381" t="inlineStr">
        <is>
          <t>HIRE-FP</t>
        </is>
      </c>
      <c r="R1381">
        <f>IF(OR(Q1381="CONTEXT",Q1381="REVIEW"),"",INDEX('Category Rules'!$D$5:$D$17,MATCH(P1381,'Category Rules'!$A$5:$A$17,0)))</f>
        <v>4010</v>
      </c>
      <c r="S1381" t="str">
        <f>IF(Q1381="CONTEXT","Fencing",IF(Q1381="REVIEW","",INDEX('Category Rules'!$E$5:$E$17,MATCH(P1381,'Category Rules'!$A$5:$A$17,0))))</f>
        <v>Fencing</v>
      </c>
      <c r="T1381" t="str">
        <f>IF(Q1381="DEP","BAS Excluded","GST on Income")</f>
        <v>GST on Income</v>
      </c>
      <c r="U1381">
        <f>IF(O1381=T1381,1,0)</f>
        <v>1</v>
      </c>
      <c r="V1381" s="9">
        <f>IF(OR(M1381=0,U1381=1),0,IF(T1381="GST on Income",ROUND(K1381*0.1,2),ROUND(-K1381*0.1,2)))</f>
        <v>0</v>
      </c>
    </row>
    <row r="1382">
      <c r="A1382" t="inlineStr">
        <is>
          <t>INV-4272-1</t>
        </is>
      </c>
      <c r="B1382" t="inlineStr">
        <is>
          <t>INV-4272</t>
        </is>
      </c>
      <c r="C1382" s="11" t="n">
        <v>46046</v>
      </c>
      <c r="D1382" t="inlineStr">
        <is>
          <t>2026-01</t>
        </is>
      </c>
      <c r="E1382" t="inlineStr">
        <is>
          <t>C0041</t>
        </is>
      </c>
      <c r="F1382" t="inlineStr">
        <is>
          <t>C0041</t>
        </is>
      </c>
      <c r="G1382" t="inlineStr">
        <is>
          <t>Summit Builders Pty Ltd</t>
        </is>
      </c>
      <c r="H1382" t="inlineStr">
        <is>
          <t>S0036</t>
        </is>
      </c>
      <c r="I1382" t="inlineStr">
        <is>
          <t>Temporary fence hire 4 wks (27/12/25-23/01/26) - 173 panels</t>
        </is>
      </c>
      <c r="J1382" t="n">
        <v>692</v>
      </c>
      <c r="K1382" s="9" t="n">
        <v>3114</v>
      </c>
      <c r="L1382" t="inlineStr">
        <is>
          <t>PAID</t>
        </is>
      </c>
      <c r="M1382">
        <f>IF(L1382="VOIDED",0,1)</f>
        <v>1</v>
      </c>
      <c r="N1382" t="n">
        <v>200</v>
      </c>
      <c r="O1382" t="inlineStr">
        <is>
          <t>GST on Income</t>
        </is>
      </c>
      <c r="P1382" t="inlineStr">
        <is>
          <t>R03</t>
        </is>
      </c>
      <c r="Q1382" t="inlineStr">
        <is>
          <t>HIRE-FP</t>
        </is>
      </c>
      <c r="R1382">
        <f>IF(OR(Q1382="CONTEXT",Q1382="REVIEW"),"",INDEX('Category Rules'!$D$5:$D$17,MATCH(P1382,'Category Rules'!$A$5:$A$17,0)))</f>
        <v>4010</v>
      </c>
      <c r="S1382" t="str">
        <f>IF(Q1382="CONTEXT","Fencing",IF(Q1382="REVIEW","",INDEX('Category Rules'!$E$5:$E$17,MATCH(P1382,'Category Rules'!$A$5:$A$17,0))))</f>
        <v>Fencing</v>
      </c>
      <c r="T1382" t="str">
        <f>IF(Q1382="DEP","BAS Excluded","GST on Income")</f>
        <v>GST on Income</v>
      </c>
      <c r="U1382">
        <f>IF(O1382=T1382,1,0)</f>
        <v>1</v>
      </c>
      <c r="V1382" s="9">
        <f>IF(OR(M1382=0,U1382=1),0,IF(T1382="GST on Income",ROUND(K1382*0.1,2),ROUND(-K1382*0.1,2)))</f>
        <v>0</v>
      </c>
    </row>
    <row r="1383">
      <c r="A1383" t="inlineStr">
        <is>
          <t>INV-5120-1</t>
        </is>
      </c>
      <c r="B1383" t="inlineStr">
        <is>
          <t>INV-5120</t>
        </is>
      </c>
      <c r="C1383" s="11" t="n">
        <v>46046</v>
      </c>
      <c r="D1383" t="inlineStr">
        <is>
          <t>2026-01</t>
        </is>
      </c>
      <c r="E1383" t="inlineStr">
        <is>
          <t>C0011</t>
        </is>
      </c>
      <c r="F1383" t="inlineStr">
        <is>
          <t>C0011</t>
        </is>
      </c>
      <c r="G1383" t="inlineStr">
        <is>
          <t>Wattle Homes Pty Ltd</t>
        </is>
      </c>
      <c r="H1383" t="inlineStr">
        <is>
          <t>S0217</t>
        </is>
      </c>
      <c r="I1383" t="inlineStr">
        <is>
          <t>Delivery and installation - temporary fencing</t>
        </is>
      </c>
      <c r="J1383" t="n">
        <v>1</v>
      </c>
      <c r="K1383" s="9" t="n">
        <v>165</v>
      </c>
      <c r="L1383" t="inlineStr">
        <is>
          <t>PAID</t>
        </is>
      </c>
      <c r="M1383">
        <f>IF(L1383="VOIDED",0,1)</f>
        <v>1</v>
      </c>
      <c r="N1383" t="n">
        <v>200</v>
      </c>
      <c r="O1383" t="inlineStr">
        <is>
          <t>GST on Income</t>
        </is>
      </c>
      <c r="P1383" t="inlineStr">
        <is>
          <t>R07</t>
        </is>
      </c>
      <c r="Q1383" t="inlineStr">
        <is>
          <t>DEL-FP</t>
        </is>
      </c>
      <c r="R1383">
        <f>IF(OR(Q1383="CONTEXT",Q1383="REVIEW"),"",INDEX('Category Rules'!$D$5:$D$17,MATCH(P1383,'Category Rules'!$A$5:$A$17,0)))</f>
        <v>4020</v>
      </c>
      <c r="S1383" t="str">
        <f>IF(Q1383="CONTEXT","Fencing",IF(Q1383="REVIEW","",INDEX('Category Rules'!$E$5:$E$17,MATCH(P1383,'Category Rules'!$A$5:$A$17,0))))</f>
        <v>Fencing</v>
      </c>
      <c r="T1383" t="str">
        <f>IF(Q1383="DEP","BAS Excluded","GST on Income")</f>
        <v>GST on Income</v>
      </c>
      <c r="U1383">
        <f>IF(O1383=T1383,1,0)</f>
        <v>1</v>
      </c>
      <c r="V1383" s="9">
        <f>IF(OR(M1383=0,U1383=1),0,IF(T1383="GST on Income",ROUND(K1383*0.1,2),ROUND(-K1383*0.1,2)))</f>
        <v>0</v>
      </c>
    </row>
    <row r="1384">
      <c r="A1384" t="inlineStr">
        <is>
          <t>INV-5120-2</t>
        </is>
      </c>
      <c r="B1384" t="inlineStr">
        <is>
          <t>INV-5120</t>
        </is>
      </c>
      <c r="C1384" s="11" t="n">
        <v>46046</v>
      </c>
      <c r="D1384" t="inlineStr">
        <is>
          <t>2026-01</t>
        </is>
      </c>
      <c r="E1384" t="inlineStr">
        <is>
          <t>C0011</t>
        </is>
      </c>
      <c r="F1384" t="inlineStr">
        <is>
          <t>C0011</t>
        </is>
      </c>
      <c r="G1384" t="inlineStr">
        <is>
          <t>Wattle Homes Pty Ltd</t>
        </is>
      </c>
      <c r="H1384" t="inlineStr">
        <is>
          <t>S0217</t>
        </is>
      </c>
      <c r="I1384" t="inlineStr">
        <is>
          <t>Installation labour - 128 panels @ 2.20</t>
        </is>
      </c>
      <c r="J1384" t="n">
        <v>128</v>
      </c>
      <c r="K1384" s="9" t="n">
        <v>281.6</v>
      </c>
      <c r="L1384" t="inlineStr">
        <is>
          <t>PAID</t>
        </is>
      </c>
      <c r="M1384">
        <f>IF(L1384="VOIDED",0,1)</f>
        <v>1</v>
      </c>
      <c r="N1384" t="n">
        <v>200</v>
      </c>
      <c r="O1384" t="inlineStr">
        <is>
          <t>GST on Income</t>
        </is>
      </c>
      <c r="P1384" t="inlineStr">
        <is>
          <t>R07</t>
        </is>
      </c>
      <c r="Q1384" t="inlineStr">
        <is>
          <t>DEL-FP</t>
        </is>
      </c>
      <c r="R1384">
        <f>IF(OR(Q1384="CONTEXT",Q1384="REVIEW"),"",INDEX('Category Rules'!$D$5:$D$17,MATCH(P1384,'Category Rules'!$A$5:$A$17,0)))</f>
        <v>4020</v>
      </c>
      <c r="S1384" t="str">
        <f>IF(Q1384="CONTEXT","Fencing",IF(Q1384="REVIEW","",INDEX('Category Rules'!$E$5:$E$17,MATCH(P1384,'Category Rules'!$A$5:$A$17,0))))</f>
        <v>Fencing</v>
      </c>
      <c r="T1384" t="str">
        <f>IF(Q1384="DEP","BAS Excluded","GST on Income")</f>
        <v>GST on Income</v>
      </c>
      <c r="U1384">
        <f>IF(O1384=T1384,1,0)</f>
        <v>1</v>
      </c>
      <c r="V1384" s="9">
        <f>IF(OR(M1384=0,U1384=1),0,IF(T1384="GST on Income",ROUND(K1384*0.1,2),ROUND(-K1384*0.1,2)))</f>
        <v>0</v>
      </c>
    </row>
    <row r="1385">
      <c r="A1385" t="inlineStr">
        <is>
          <t>INV-5479-1</t>
        </is>
      </c>
      <c r="B1385" t="inlineStr">
        <is>
          <t>INV-5479</t>
        </is>
      </c>
      <c r="C1385" s="11" t="n">
        <v>46046</v>
      </c>
      <c r="D1385" t="inlineStr">
        <is>
          <t>2026-01</t>
        </is>
      </c>
      <c r="E1385" t="inlineStr">
        <is>
          <t>C0063</t>
        </is>
      </c>
      <c r="F1385" t="inlineStr">
        <is>
          <t>C0063</t>
        </is>
      </c>
      <c r="G1385" t="inlineStr">
        <is>
          <t>Highpoint Insurance Repairs Pty Ltd</t>
        </is>
      </c>
      <c r="H1385" t="inlineStr">
        <is>
          <t>S0314</t>
        </is>
      </c>
      <c r="I1385" t="inlineStr">
        <is>
          <t>Tarp kit hire 4 wks (27/12/25-23/01/26) - 1 kits</t>
        </is>
      </c>
      <c r="J1385" t="n">
        <v>4</v>
      </c>
      <c r="K1385" s="9" t="n">
        <v>140</v>
      </c>
      <c r="L1385" t="inlineStr">
        <is>
          <t>PAID</t>
        </is>
      </c>
      <c r="M1385">
        <f>IF(L1385="VOIDED",0,1)</f>
        <v>1</v>
      </c>
      <c r="N1385" t="n">
        <v>200</v>
      </c>
      <c r="O1385" t="inlineStr">
        <is>
          <t>GST on Income</t>
        </is>
      </c>
      <c r="P1385" t="inlineStr">
        <is>
          <t>R06</t>
        </is>
      </c>
      <c r="Q1385" t="inlineStr">
        <is>
          <t>HIRE-TK</t>
        </is>
      </c>
      <c r="R1385">
        <f>IF(OR(Q1385="CONTEXT",Q1385="REVIEW"),"",INDEX('Category Rules'!$D$5:$D$17,MATCH(P1385,'Category Rules'!$A$5:$A$17,0)))</f>
        <v>4010</v>
      </c>
      <c r="S1385" t="str">
        <f>IF(Q1385="CONTEXT","Make-safe",IF(Q1385="REVIEW","",INDEX('Category Rules'!$E$5:$E$17,MATCH(P1385,'Category Rules'!$A$5:$A$17,0))))</f>
        <v>Make-safe</v>
      </c>
      <c r="T1385" t="str">
        <f>IF(Q1385="DEP","BAS Excluded","GST on Income")</f>
        <v>GST on Income</v>
      </c>
      <c r="U1385">
        <f>IF(O1385=T1385,1,0)</f>
        <v>1</v>
      </c>
      <c r="V1385" s="9">
        <f>IF(OR(M1385=0,U1385=1),0,IF(T1385="GST on Income",ROUND(K1385*0.1,2),ROUND(-K1385*0.1,2)))</f>
        <v>0</v>
      </c>
    </row>
    <row r="1386">
      <c r="A1386" t="inlineStr">
        <is>
          <t>INV-4466-1</t>
        </is>
      </c>
      <c r="B1386" t="inlineStr">
        <is>
          <t>INV-4466</t>
        </is>
      </c>
      <c r="C1386" s="11" t="n">
        <v>46047</v>
      </c>
      <c r="D1386" t="inlineStr">
        <is>
          <t>2026-01</t>
        </is>
      </c>
      <c r="E1386" t="inlineStr">
        <is>
          <t>C0039</t>
        </is>
      </c>
      <c r="F1386" t="inlineStr">
        <is>
          <t>C0039</t>
        </is>
      </c>
      <c r="G1386" t="inlineStr">
        <is>
          <t>Coastline Developments Pty Ltd</t>
        </is>
      </c>
      <c r="H1386" t="inlineStr">
        <is>
          <t>S0075</t>
        </is>
      </c>
      <c r="I1386" t="inlineStr">
        <is>
          <t>Temporary fence hire 2 wks (17/01/26-24/01/26) - 35 panels</t>
        </is>
      </c>
      <c r="J1386" t="n">
        <v>70</v>
      </c>
      <c r="K1386" s="9" t="n">
        <v>315</v>
      </c>
      <c r="L1386" t="inlineStr">
        <is>
          <t>PAID</t>
        </is>
      </c>
      <c r="M1386">
        <f>IF(L1386="VOIDED",0,1)</f>
        <v>1</v>
      </c>
      <c r="N1386" t="n">
        <v>200</v>
      </c>
      <c r="O1386" t="inlineStr">
        <is>
          <t>GST on Income</t>
        </is>
      </c>
      <c r="P1386" t="inlineStr">
        <is>
          <t>R03</t>
        </is>
      </c>
      <c r="Q1386" t="inlineStr">
        <is>
          <t>HIRE-FP</t>
        </is>
      </c>
      <c r="R1386">
        <f>IF(OR(Q1386="CONTEXT",Q1386="REVIEW"),"",INDEX('Category Rules'!$D$5:$D$17,MATCH(P1386,'Category Rules'!$A$5:$A$17,0)))</f>
        <v>4010</v>
      </c>
      <c r="S1386" t="str">
        <f>IF(Q1386="CONTEXT","Fencing",IF(Q1386="REVIEW","",INDEX('Category Rules'!$E$5:$E$17,MATCH(P1386,'Category Rules'!$A$5:$A$17,0))))</f>
        <v>Fencing</v>
      </c>
      <c r="T1386" t="str">
        <f>IF(Q1386="DEP","BAS Excluded","GST on Income")</f>
        <v>GST on Income</v>
      </c>
      <c r="U1386">
        <f>IF(O1386=T1386,1,0)</f>
        <v>1</v>
      </c>
      <c r="V1386" s="9">
        <f>IF(OR(M1386=0,U1386=1),0,IF(T1386="GST on Income",ROUND(K1386*0.1,2),ROUND(-K1386*0.1,2)))</f>
        <v>0</v>
      </c>
    </row>
    <row r="1387">
      <c r="A1387" t="inlineStr">
        <is>
          <t>INV-4467-1</t>
        </is>
      </c>
      <c r="B1387" t="inlineStr">
        <is>
          <t>INV-4467</t>
        </is>
      </c>
      <c r="C1387" s="11" t="n">
        <v>46047</v>
      </c>
      <c r="D1387" t="inlineStr">
        <is>
          <t>2026-01</t>
        </is>
      </c>
      <c r="E1387" t="inlineStr">
        <is>
          <t>C0142</t>
        </is>
      </c>
      <c r="F1387" t="inlineStr">
        <is>
          <t>C0039</t>
        </is>
      </c>
      <c r="G1387" t="inlineStr">
        <is>
          <t>Coastline Developments Pty Ltd</t>
        </is>
      </c>
      <c r="H1387" t="inlineStr">
        <is>
          <t>S0075</t>
        </is>
      </c>
      <c r="I1387" t="inlineStr">
        <is>
          <t>Pedestrian barrier hire 2 wks (17/01/26-24/01/26) - 4 barriers</t>
        </is>
      </c>
      <c r="J1387" t="n">
        <v>8</v>
      </c>
      <c r="K1387" s="9" t="n">
        <v>25.6</v>
      </c>
      <c r="L1387" t="inlineStr">
        <is>
          <t>PAID</t>
        </is>
      </c>
      <c r="M1387">
        <f>IF(L1387="VOIDED",0,1)</f>
        <v>1</v>
      </c>
      <c r="N1387" t="n">
        <v>200</v>
      </c>
      <c r="O1387" t="inlineStr">
        <is>
          <t>GST on Income</t>
        </is>
      </c>
      <c r="P1387" t="inlineStr">
        <is>
          <t>R04</t>
        </is>
      </c>
      <c r="Q1387" t="inlineStr">
        <is>
          <t>HIRE-BR</t>
        </is>
      </c>
      <c r="R1387">
        <f>IF(OR(Q1387="CONTEXT",Q1387="REVIEW"),"",INDEX('Category Rules'!$D$5:$D$17,MATCH(P1387,'Category Rules'!$A$5:$A$17,0)))</f>
        <v>4010</v>
      </c>
      <c r="S1387" t="str">
        <f>IF(Q1387="CONTEXT","Fencing",IF(Q1387="REVIEW","",INDEX('Category Rules'!$E$5:$E$17,MATCH(P1387,'Category Rules'!$A$5:$A$17,0))))</f>
        <v>Fencing</v>
      </c>
      <c r="T1387" t="str">
        <f>IF(Q1387="DEP","BAS Excluded","GST on Income")</f>
        <v>GST on Income</v>
      </c>
      <c r="U1387">
        <f>IF(O1387=T1387,1,0)</f>
        <v>1</v>
      </c>
      <c r="V1387" s="9">
        <f>IF(OR(M1387=0,U1387=1),0,IF(T1387="GST on Income",ROUND(K1387*0.1,2),ROUND(-K1387*0.1,2)))</f>
        <v>0</v>
      </c>
    </row>
    <row r="1388">
      <c r="A1388" t="inlineStr">
        <is>
          <t>INV-4469-1</t>
        </is>
      </c>
      <c r="B1388" t="inlineStr">
        <is>
          <t>INV-4469</t>
        </is>
      </c>
      <c r="C1388" s="11" t="n">
        <v>46047</v>
      </c>
      <c r="D1388" t="inlineStr">
        <is>
          <t>2026-01</t>
        </is>
      </c>
      <c r="E1388" t="inlineStr">
        <is>
          <t>C0039</t>
        </is>
      </c>
      <c r="F1388" t="inlineStr">
        <is>
          <t>C0039</t>
        </is>
      </c>
      <c r="G1388" t="inlineStr">
        <is>
          <t>Coastline Developments Pty Ltd</t>
        </is>
      </c>
      <c r="H1388" t="inlineStr">
        <is>
          <t>S0075</t>
        </is>
      </c>
      <c r="I1388" t="inlineStr">
        <is>
          <t>Collection and dismantle - temporary fencing</t>
        </is>
      </c>
      <c r="J1388" t="n">
        <v>1</v>
      </c>
      <c r="K1388" s="9" t="n">
        <v>165</v>
      </c>
      <c r="L1388" t="inlineStr">
        <is>
          <t>PAID</t>
        </is>
      </c>
      <c r="M1388">
        <f>IF(L1388="VOIDED",0,1)</f>
        <v>1</v>
      </c>
      <c r="N1388" t="n">
        <v>200</v>
      </c>
      <c r="O1388" t="inlineStr">
        <is>
          <t>GST on Income</t>
        </is>
      </c>
      <c r="P1388" t="inlineStr">
        <is>
          <t>R07</t>
        </is>
      </c>
      <c r="Q1388" t="inlineStr">
        <is>
          <t>DEL-FP</t>
        </is>
      </c>
      <c r="R1388">
        <f>IF(OR(Q1388="CONTEXT",Q1388="REVIEW"),"",INDEX('Category Rules'!$D$5:$D$17,MATCH(P1388,'Category Rules'!$A$5:$A$17,0)))</f>
        <v>4020</v>
      </c>
      <c r="S1388" t="str">
        <f>IF(Q1388="CONTEXT","Fencing",IF(Q1388="REVIEW","",INDEX('Category Rules'!$E$5:$E$17,MATCH(P1388,'Category Rules'!$A$5:$A$17,0))))</f>
        <v>Fencing</v>
      </c>
      <c r="T1388" t="str">
        <f>IF(Q1388="DEP","BAS Excluded","GST on Income")</f>
        <v>GST on Income</v>
      </c>
      <c r="U1388">
        <f>IF(O1388=T1388,1,0)</f>
        <v>1</v>
      </c>
      <c r="V1388" s="9">
        <f>IF(OR(M1388=0,U1388=1),0,IF(T1388="GST on Income",ROUND(K1388*0.1,2),ROUND(-K1388*0.1,2)))</f>
        <v>0</v>
      </c>
    </row>
    <row r="1389">
      <c r="A1389" t="inlineStr">
        <is>
          <t>INV-5175-1</t>
        </is>
      </c>
      <c r="B1389" t="inlineStr">
        <is>
          <t>INV-5175</t>
        </is>
      </c>
      <c r="C1389" s="11" t="n">
        <v>46047</v>
      </c>
      <c r="D1389" t="inlineStr">
        <is>
          <t>2026-01</t>
        </is>
      </c>
      <c r="E1389" t="inlineStr">
        <is>
          <t>C0042</t>
        </is>
      </c>
      <c r="F1389" t="inlineStr">
        <is>
          <t>C0042</t>
        </is>
      </c>
      <c r="G1389" t="inlineStr">
        <is>
          <t>Lakeside Constructions Pty Ltd</t>
        </is>
      </c>
      <c r="H1389" t="inlineStr">
        <is>
          <t>S0231</t>
        </is>
      </c>
      <c r="I1389" t="inlineStr">
        <is>
          <t>Temporary fence hire 4 wks (28/12/25-24/01/26) - 125 panels</t>
        </is>
      </c>
      <c r="J1389" t="n">
        <v>500</v>
      </c>
      <c r="K1389" s="9" t="n">
        <v>2250</v>
      </c>
      <c r="L1389" t="inlineStr">
        <is>
          <t>PAID</t>
        </is>
      </c>
      <c r="M1389">
        <f>IF(L1389="VOIDED",0,1)</f>
        <v>1</v>
      </c>
      <c r="N1389" t="n">
        <v>200</v>
      </c>
      <c r="O1389" t="inlineStr">
        <is>
          <t>GST on Income</t>
        </is>
      </c>
      <c r="P1389" t="inlineStr">
        <is>
          <t>R03</t>
        </is>
      </c>
      <c r="Q1389" t="inlineStr">
        <is>
          <t>HIRE-FP</t>
        </is>
      </c>
      <c r="R1389">
        <f>IF(OR(Q1389="CONTEXT",Q1389="REVIEW"),"",INDEX('Category Rules'!$D$5:$D$17,MATCH(P1389,'Category Rules'!$A$5:$A$17,0)))</f>
        <v>4010</v>
      </c>
      <c r="S1389" t="str">
        <f>IF(Q1389="CONTEXT","Fencing",IF(Q1389="REVIEW","",INDEX('Category Rules'!$E$5:$E$17,MATCH(P1389,'Category Rules'!$A$5:$A$17,0))))</f>
        <v>Fencing</v>
      </c>
      <c r="T1389" t="str">
        <f>IF(Q1389="DEP","BAS Excluded","GST on Income")</f>
        <v>GST on Income</v>
      </c>
      <c r="U1389">
        <f>IF(O1389=T1389,1,0)</f>
        <v>1</v>
      </c>
      <c r="V1389" s="9">
        <f>IF(OR(M1389=0,U1389=1),0,IF(T1389="GST on Income",ROUND(K1389*0.1,2),ROUND(-K1389*0.1,2)))</f>
        <v>0</v>
      </c>
    </row>
    <row r="1390">
      <c r="A1390" t="inlineStr">
        <is>
          <t>INV-5480-1</t>
        </is>
      </c>
      <c r="B1390" t="inlineStr">
        <is>
          <t>INV-5480</t>
        </is>
      </c>
      <c r="C1390" s="11" t="n">
        <v>46047</v>
      </c>
      <c r="D1390" t="inlineStr">
        <is>
          <t>2026-01</t>
        </is>
      </c>
      <c r="E1390" t="inlineStr">
        <is>
          <t>C0063</t>
        </is>
      </c>
      <c r="F1390" t="inlineStr">
        <is>
          <t>C0063</t>
        </is>
      </c>
      <c r="G1390" t="inlineStr">
        <is>
          <t>Highpoint Insurance Repairs Pty Ltd</t>
        </is>
      </c>
      <c r="H1390" t="inlineStr">
        <is>
          <t>S0314</t>
        </is>
      </c>
      <c r="I1390" t="inlineStr">
        <is>
          <t>Tarp kit hire 1 wks (24/01/26-24/01/26) - 1 kits</t>
        </is>
      </c>
      <c r="J1390" t="n">
        <v>1</v>
      </c>
      <c r="K1390" s="9" t="n">
        <v>35</v>
      </c>
      <c r="L1390" t="inlineStr">
        <is>
          <t>PAID</t>
        </is>
      </c>
      <c r="M1390">
        <f>IF(L1390="VOIDED",0,1)</f>
        <v>1</v>
      </c>
      <c r="N1390" t="n">
        <v>200</v>
      </c>
      <c r="O1390" t="inlineStr">
        <is>
          <t>GST on Income</t>
        </is>
      </c>
      <c r="P1390" t="inlineStr">
        <is>
          <t>R06</t>
        </is>
      </c>
      <c r="Q1390" t="inlineStr">
        <is>
          <t>HIRE-TK</t>
        </is>
      </c>
      <c r="R1390">
        <f>IF(OR(Q1390="CONTEXT",Q1390="REVIEW"),"",INDEX('Category Rules'!$D$5:$D$17,MATCH(P1390,'Category Rules'!$A$5:$A$17,0)))</f>
        <v>4010</v>
      </c>
      <c r="S1390" t="str">
        <f>IF(Q1390="CONTEXT","Make-safe",IF(Q1390="REVIEW","",INDEX('Category Rules'!$E$5:$E$17,MATCH(P1390,'Category Rules'!$A$5:$A$17,0))))</f>
        <v>Make-safe</v>
      </c>
      <c r="T1390" t="str">
        <f>IF(Q1390="DEP","BAS Excluded","GST on Income")</f>
        <v>GST on Income</v>
      </c>
      <c r="U1390">
        <f>IF(O1390=T1390,1,0)</f>
        <v>1</v>
      </c>
      <c r="V1390" s="9">
        <f>IF(OR(M1390=0,U1390=1),0,IF(T1390="GST on Income",ROUND(K1390*0.1,2),ROUND(-K1390*0.1,2)))</f>
        <v>0</v>
      </c>
    </row>
    <row r="1391">
      <c r="A1391" t="inlineStr">
        <is>
          <t>INV-5503-1</t>
        </is>
      </c>
      <c r="B1391" t="inlineStr">
        <is>
          <t>INV-5503</t>
        </is>
      </c>
      <c r="C1391" s="11" t="n">
        <v>46047</v>
      </c>
      <c r="D1391" t="inlineStr">
        <is>
          <t>2026-01</t>
        </is>
      </c>
      <c r="E1391" t="inlineStr">
        <is>
          <t>C0018</t>
        </is>
      </c>
      <c r="F1391" t="inlineStr">
        <is>
          <t>C0018</t>
        </is>
      </c>
      <c r="G1391" t="inlineStr">
        <is>
          <t>Wattle Constructions Pty Ltd</t>
        </is>
      </c>
      <c r="H1391" t="inlineStr">
        <is>
          <t>S0329</t>
        </is>
      </c>
      <c r="I1391" t="inlineStr">
        <is>
          <t>Roof repair labour - 16 hrs</t>
        </is>
      </c>
      <c r="J1391" t="n">
        <v>16</v>
      </c>
      <c r="K1391" s="9" t="n">
        <v>1568</v>
      </c>
      <c r="L1391" t="inlineStr">
        <is>
          <t>PAID</t>
        </is>
      </c>
      <c r="M1391">
        <f>IF(L1391="VOIDED",0,1)</f>
        <v>1</v>
      </c>
      <c r="N1391" t="n">
        <v>200</v>
      </c>
      <c r="O1391" t="inlineStr">
        <is>
          <t>GST on Income</t>
        </is>
      </c>
      <c r="P1391" t="inlineStr">
        <is>
          <t>R10</t>
        </is>
      </c>
      <c r="Q1391" t="inlineStr">
        <is>
          <t>LAB-RF</t>
        </is>
      </c>
      <c r="R1391">
        <f>IF(OR(Q1391="CONTEXT",Q1391="REVIEW"),"",INDEX('Category Rules'!$D$5:$D$17,MATCH(P1391,'Category Rules'!$A$5:$A$17,0)))</f>
        <v>4020</v>
      </c>
      <c r="S1391" t="str">
        <f>IF(Q1391="CONTEXT","Roofing",IF(Q1391="REVIEW","",INDEX('Category Rules'!$E$5:$E$17,MATCH(P1391,'Category Rules'!$A$5:$A$17,0))))</f>
        <v>Roofing</v>
      </c>
      <c r="T1391" t="str">
        <f>IF(Q1391="DEP","BAS Excluded","GST on Income")</f>
        <v>GST on Income</v>
      </c>
      <c r="U1391">
        <f>IF(O1391=T1391,1,0)</f>
        <v>1</v>
      </c>
      <c r="V1391" s="9">
        <f>IF(OR(M1391=0,U1391=1),0,IF(T1391="GST on Income",ROUND(K1391*0.1,2),ROUND(-K1391*0.1,2)))</f>
        <v>0</v>
      </c>
    </row>
    <row r="1392">
      <c r="A1392" t="inlineStr">
        <is>
          <t>INV-5503-2</t>
        </is>
      </c>
      <c r="B1392" t="inlineStr">
        <is>
          <t>INV-5503</t>
        </is>
      </c>
      <c r="C1392" s="11" t="n">
        <v>46047</v>
      </c>
      <c r="D1392" t="inlineStr">
        <is>
          <t>2026-01</t>
        </is>
      </c>
      <c r="E1392" t="inlineStr">
        <is>
          <t>C0018</t>
        </is>
      </c>
      <c r="F1392" t="inlineStr">
        <is>
          <t>C0018</t>
        </is>
      </c>
      <c r="G1392" t="inlineStr">
        <is>
          <t>Wattle Constructions Pty Ltd</t>
        </is>
      </c>
      <c r="H1392" t="inlineStr">
        <is>
          <t>S0329</t>
        </is>
      </c>
      <c r="I1392" t="inlineStr">
        <is>
          <t>Materials - gutter and downpipe</t>
        </is>
      </c>
      <c r="J1392" t="n">
        <v>1</v>
      </c>
      <c r="K1392" s="9" t="n">
        <v>163.03</v>
      </c>
      <c r="L1392" t="inlineStr">
        <is>
          <t>PAID</t>
        </is>
      </c>
      <c r="M1392">
        <f>IF(L1392="VOIDED",0,1)</f>
        <v>1</v>
      </c>
      <c r="N1392" t="n">
        <v>200</v>
      </c>
      <c r="O1392" t="inlineStr">
        <is>
          <t>GST on Income</t>
        </is>
      </c>
      <c r="P1392" t="inlineStr">
        <is>
          <t>R11</t>
        </is>
      </c>
      <c r="Q1392" t="inlineStr">
        <is>
          <t>MAT-RF</t>
        </is>
      </c>
      <c r="R1392">
        <f>IF(OR(Q1392="CONTEXT",Q1392="REVIEW"),"",INDEX('Category Rules'!$D$5:$D$17,MATCH(P1392,'Category Rules'!$A$5:$A$17,0)))</f>
        <v>4030</v>
      </c>
      <c r="S1392" t="str">
        <f>IF(Q1392="CONTEXT","Roofing",IF(Q1392="REVIEW","",INDEX('Category Rules'!$E$5:$E$17,MATCH(P1392,'Category Rules'!$A$5:$A$17,0))))</f>
        <v>Roofing</v>
      </c>
      <c r="T1392" t="str">
        <f>IF(Q1392="DEP","BAS Excluded","GST on Income")</f>
        <v>GST on Income</v>
      </c>
      <c r="U1392">
        <f>IF(O1392=T1392,1,0)</f>
        <v>1</v>
      </c>
      <c r="V1392" s="9">
        <f>IF(OR(M1392=0,U1392=1),0,IF(T1392="GST on Income",ROUND(K1392*0.1,2),ROUND(-K1392*0.1,2)))</f>
        <v>0</v>
      </c>
    </row>
    <row r="1393">
      <c r="A1393" t="inlineStr">
        <is>
          <t>INV-5863-1</t>
        </is>
      </c>
      <c r="B1393" t="inlineStr">
        <is>
          <t>INV-5863</t>
        </is>
      </c>
      <c r="C1393" s="11" t="n">
        <v>46047</v>
      </c>
      <c r="D1393" t="inlineStr">
        <is>
          <t>2026-01</t>
        </is>
      </c>
      <c r="E1393" t="inlineStr">
        <is>
          <t>C0120</t>
        </is>
      </c>
      <c r="F1393" t="inlineStr">
        <is>
          <t>C0120</t>
        </is>
      </c>
      <c r="G1393" t="inlineStr">
        <is>
          <t>Northgate Building Group</t>
        </is>
      </c>
      <c r="H1393" t="inlineStr">
        <is>
          <t>S0528</t>
        </is>
      </c>
      <c r="I1393" t="inlineStr">
        <is>
          <t>Emergency make safe call-out - after hours</t>
        </is>
      </c>
      <c r="J1393" t="n">
        <v>1</v>
      </c>
      <c r="K1393" s="9" t="n">
        <v>560</v>
      </c>
      <c r="L1393" t="inlineStr">
        <is>
          <t>PAID</t>
        </is>
      </c>
      <c r="M1393">
        <f>IF(L1393="VOIDED",0,1)</f>
        <v>1</v>
      </c>
      <c r="N1393" t="n">
        <v>260</v>
      </c>
      <c r="O1393" t="inlineStr">
        <is>
          <t>GST on Income</t>
        </is>
      </c>
      <c r="P1393" t="inlineStr">
        <is>
          <t>R09</t>
        </is>
      </c>
      <c r="Q1393" t="inlineStr">
        <is>
          <t>MS</t>
        </is>
      </c>
      <c r="R1393">
        <f>IF(OR(Q1393="CONTEXT",Q1393="REVIEW"),"",INDEX('Category Rules'!$D$5:$D$17,MATCH(P1393,'Category Rules'!$A$5:$A$17,0)))</f>
        <v>4020</v>
      </c>
      <c r="S1393" t="str">
        <f>IF(Q1393="CONTEXT","Make-safe",IF(Q1393="REVIEW","",INDEX('Category Rules'!$E$5:$E$17,MATCH(P1393,'Category Rules'!$A$5:$A$17,0))))</f>
        <v>Make-safe</v>
      </c>
      <c r="T1393" t="str">
        <f>IF(Q1393="DEP","BAS Excluded","GST on Income")</f>
        <v>GST on Income</v>
      </c>
      <c r="U1393">
        <f>IF(O1393=T1393,1,0)</f>
        <v>1</v>
      </c>
      <c r="V1393" s="9">
        <f>IF(OR(M1393=0,U1393=1),0,IF(T1393="GST on Income",ROUND(K1393*0.1,2),ROUND(-K1393*0.1,2)))</f>
        <v>0</v>
      </c>
    </row>
    <row r="1394">
      <c r="A1394" t="inlineStr">
        <is>
          <t>INV-5863-2</t>
        </is>
      </c>
      <c r="B1394" t="inlineStr">
        <is>
          <t>INV-5863</t>
        </is>
      </c>
      <c r="C1394" s="11" t="n">
        <v>46047</v>
      </c>
      <c r="D1394" t="inlineStr">
        <is>
          <t>2026-01</t>
        </is>
      </c>
      <c r="E1394" t="inlineStr">
        <is>
          <t>C0120</t>
        </is>
      </c>
      <c r="F1394" t="inlineStr">
        <is>
          <t>C0120</t>
        </is>
      </c>
      <c r="G1394" t="inlineStr">
        <is>
          <t>Northgate Building Group</t>
        </is>
      </c>
      <c r="H1394" t="inlineStr">
        <is>
          <t>S0528</t>
        </is>
      </c>
      <c r="I1394" t="inlineStr">
        <is>
          <t>Tarp supply and install - 3 tarp(s)</t>
        </is>
      </c>
      <c r="J1394" t="n">
        <v>3</v>
      </c>
      <c r="K1394" s="9" t="n">
        <v>720</v>
      </c>
      <c r="L1394" t="inlineStr">
        <is>
          <t>PAID</t>
        </is>
      </c>
      <c r="M1394">
        <f>IF(L1394="VOIDED",0,1)</f>
        <v>1</v>
      </c>
      <c r="N1394" t="n">
        <v>200</v>
      </c>
      <c r="O1394" t="inlineStr">
        <is>
          <t>GST on Income</t>
        </is>
      </c>
      <c r="P1394" t="inlineStr">
        <is>
          <t>R09</t>
        </is>
      </c>
      <c r="Q1394" t="inlineStr">
        <is>
          <t>MS</t>
        </is>
      </c>
      <c r="R1394">
        <f>IF(OR(Q1394="CONTEXT",Q1394="REVIEW"),"",INDEX('Category Rules'!$D$5:$D$17,MATCH(P1394,'Category Rules'!$A$5:$A$17,0)))</f>
        <v>4020</v>
      </c>
      <c r="S1394" t="str">
        <f>IF(Q1394="CONTEXT","Make-safe",IF(Q1394="REVIEW","",INDEX('Category Rules'!$E$5:$E$17,MATCH(P1394,'Category Rules'!$A$5:$A$17,0))))</f>
        <v>Make-safe</v>
      </c>
      <c r="T1394" t="str">
        <f>IF(Q1394="DEP","BAS Excluded","GST on Income")</f>
        <v>GST on Income</v>
      </c>
      <c r="U1394">
        <f>IF(O1394=T1394,1,0)</f>
        <v>1</v>
      </c>
      <c r="V1394" s="9">
        <f>IF(OR(M1394=0,U1394=1),0,IF(T1394="GST on Income",ROUND(K1394*0.1,2),ROUND(-K1394*0.1,2)))</f>
        <v>0</v>
      </c>
    </row>
    <row r="1395">
      <c r="A1395" t="inlineStr">
        <is>
          <t>INV-4392-1</t>
        </is>
      </c>
      <c r="B1395" t="inlineStr">
        <is>
          <t>INV-4392</t>
        </is>
      </c>
      <c r="C1395" s="11" t="n">
        <v>46048</v>
      </c>
      <c r="D1395" t="inlineStr">
        <is>
          <t>2026-01</t>
        </is>
      </c>
      <c r="E1395" t="inlineStr">
        <is>
          <t>C0038</t>
        </is>
      </c>
      <c r="F1395" t="inlineStr">
        <is>
          <t>C0038</t>
        </is>
      </c>
      <c r="G1395" t="inlineStr">
        <is>
          <t>Cobalt Constructions Pty Ltd</t>
        </is>
      </c>
      <c r="H1395" t="inlineStr">
        <is>
          <t>S0061</t>
        </is>
      </c>
      <c r="I1395" t="inlineStr">
        <is>
          <t>Temporary fence hire 3 wks (08/01/26-25/01/26) - 127 panels</t>
        </is>
      </c>
      <c r="J1395" t="n">
        <v>381</v>
      </c>
      <c r="K1395" s="9" t="n">
        <v>1714.5</v>
      </c>
      <c r="L1395" t="inlineStr">
        <is>
          <t>PAID</t>
        </is>
      </c>
      <c r="M1395">
        <f>IF(L1395="VOIDED",0,1)</f>
        <v>1</v>
      </c>
      <c r="N1395" t="n">
        <v>200</v>
      </c>
      <c r="O1395" t="inlineStr">
        <is>
          <t>GST on Income</t>
        </is>
      </c>
      <c r="P1395" t="inlineStr">
        <is>
          <t>R03</t>
        </is>
      </c>
      <c r="Q1395" t="inlineStr">
        <is>
          <t>HIRE-FP</t>
        </is>
      </c>
      <c r="R1395">
        <f>IF(OR(Q1395="CONTEXT",Q1395="REVIEW"),"",INDEX('Category Rules'!$D$5:$D$17,MATCH(P1395,'Category Rules'!$A$5:$A$17,0)))</f>
        <v>4010</v>
      </c>
      <c r="S1395" t="str">
        <f>IF(Q1395="CONTEXT","Fencing",IF(Q1395="REVIEW","",INDEX('Category Rules'!$E$5:$E$17,MATCH(P1395,'Category Rules'!$A$5:$A$17,0))))</f>
        <v>Fencing</v>
      </c>
      <c r="T1395" t="str">
        <f>IF(Q1395="DEP","BAS Excluded","GST on Income")</f>
        <v>GST on Income</v>
      </c>
      <c r="U1395">
        <f>IF(O1395=T1395,1,0)</f>
        <v>1</v>
      </c>
      <c r="V1395" s="9">
        <f>IF(OR(M1395=0,U1395=1),0,IF(T1395="GST on Income",ROUND(K1395*0.1,2),ROUND(-K1395*0.1,2)))</f>
        <v>0</v>
      </c>
    </row>
    <row r="1396">
      <c r="A1396" t="inlineStr">
        <is>
          <t>INV-4396-1</t>
        </is>
      </c>
      <c r="B1396" t="inlineStr">
        <is>
          <t>INV-4396</t>
        </is>
      </c>
      <c r="C1396" s="11" t="n">
        <v>46048</v>
      </c>
      <c r="D1396" t="inlineStr">
        <is>
          <t>2026-01</t>
        </is>
      </c>
      <c r="E1396" t="inlineStr">
        <is>
          <t>C0038</t>
        </is>
      </c>
      <c r="F1396" t="inlineStr">
        <is>
          <t>C0038</t>
        </is>
      </c>
      <c r="G1396" t="inlineStr">
        <is>
          <t>Cobalt Constructions Pty Ltd</t>
        </is>
      </c>
      <c r="H1396" t="inlineStr">
        <is>
          <t>S0061</t>
        </is>
      </c>
      <c r="I1396" t="inlineStr">
        <is>
          <t>Collection and dismantle - temporary fencing</t>
        </is>
      </c>
      <c r="J1396" t="n">
        <v>1</v>
      </c>
      <c r="K1396" s="9" t="n">
        <v>165</v>
      </c>
      <c r="L1396" t="inlineStr">
        <is>
          <t>PAID</t>
        </is>
      </c>
      <c r="M1396">
        <f>IF(L1396="VOIDED",0,1)</f>
        <v>1</v>
      </c>
      <c r="N1396" t="n">
        <v>200</v>
      </c>
      <c r="O1396" t="inlineStr">
        <is>
          <t>GST on Income</t>
        </is>
      </c>
      <c r="P1396" t="inlineStr">
        <is>
          <t>R07</t>
        </is>
      </c>
      <c r="Q1396" t="inlineStr">
        <is>
          <t>DEL-FP</t>
        </is>
      </c>
      <c r="R1396">
        <f>IF(OR(Q1396="CONTEXT",Q1396="REVIEW"),"",INDEX('Category Rules'!$D$5:$D$17,MATCH(P1396,'Category Rules'!$A$5:$A$17,0)))</f>
        <v>4020</v>
      </c>
      <c r="S1396" t="str">
        <f>IF(Q1396="CONTEXT","Fencing",IF(Q1396="REVIEW","",INDEX('Category Rules'!$E$5:$E$17,MATCH(P1396,'Category Rules'!$A$5:$A$17,0))))</f>
        <v>Fencing</v>
      </c>
      <c r="T1396" t="str">
        <f>IF(Q1396="DEP","BAS Excluded","GST on Income")</f>
        <v>GST on Income</v>
      </c>
      <c r="U1396">
        <f>IF(O1396=T1396,1,0)</f>
        <v>1</v>
      </c>
      <c r="V1396" s="9">
        <f>IF(OR(M1396=0,U1396=1),0,IF(T1396="GST on Income",ROUND(K1396*0.1,2),ROUND(-K1396*0.1,2)))</f>
        <v>0</v>
      </c>
    </row>
    <row r="1397">
      <c r="A1397" t="inlineStr">
        <is>
          <t>INV-4597-1</t>
        </is>
      </c>
      <c r="B1397" t="inlineStr">
        <is>
          <t>INV-4597</t>
        </is>
      </c>
      <c r="C1397" s="11" t="n">
        <v>46048</v>
      </c>
      <c r="D1397" t="inlineStr">
        <is>
          <t>2026-01</t>
        </is>
      </c>
      <c r="E1397" t="inlineStr">
        <is>
          <t>C0022</t>
        </is>
      </c>
      <c r="F1397" t="inlineStr">
        <is>
          <t>C0022</t>
        </is>
      </c>
      <c r="G1397" t="inlineStr">
        <is>
          <t>Highpoint Projects</t>
        </is>
      </c>
      <c r="H1397" t="inlineStr">
        <is>
          <t>S0099</t>
        </is>
      </c>
      <c r="I1397" t="inlineStr">
        <is>
          <t>Delivery and installation - temporary fencing</t>
        </is>
      </c>
      <c r="J1397" t="n">
        <v>1</v>
      </c>
      <c r="K1397" s="9" t="n">
        <v>165</v>
      </c>
      <c r="L1397" t="inlineStr">
        <is>
          <t>PAID</t>
        </is>
      </c>
      <c r="M1397">
        <f>IF(L1397="VOIDED",0,1)</f>
        <v>1</v>
      </c>
      <c r="N1397" t="n">
        <v>200</v>
      </c>
      <c r="O1397" t="inlineStr">
        <is>
          <t>GST on Income</t>
        </is>
      </c>
      <c r="P1397" t="inlineStr">
        <is>
          <t>R07</t>
        </is>
      </c>
      <c r="Q1397" t="inlineStr">
        <is>
          <t>DEL-FP</t>
        </is>
      </c>
      <c r="R1397">
        <f>IF(OR(Q1397="CONTEXT",Q1397="REVIEW"),"",INDEX('Category Rules'!$D$5:$D$17,MATCH(P1397,'Category Rules'!$A$5:$A$17,0)))</f>
        <v>4020</v>
      </c>
      <c r="S1397" t="str">
        <f>IF(Q1397="CONTEXT","Fencing",IF(Q1397="REVIEW","",INDEX('Category Rules'!$E$5:$E$17,MATCH(P1397,'Category Rules'!$A$5:$A$17,0))))</f>
        <v>Fencing</v>
      </c>
      <c r="T1397" t="str">
        <f>IF(Q1397="DEP","BAS Excluded","GST on Income")</f>
        <v>GST on Income</v>
      </c>
      <c r="U1397">
        <f>IF(O1397=T1397,1,0)</f>
        <v>1</v>
      </c>
      <c r="V1397" s="9">
        <f>IF(OR(M1397=0,U1397=1),0,IF(T1397="GST on Income",ROUND(K1397*0.1,2),ROUND(-K1397*0.1,2)))</f>
        <v>0</v>
      </c>
    </row>
    <row r="1398">
      <c r="A1398" t="inlineStr">
        <is>
          <t>INV-4597-2</t>
        </is>
      </c>
      <c r="B1398" t="inlineStr">
        <is>
          <t>INV-4597</t>
        </is>
      </c>
      <c r="C1398" s="11" t="n">
        <v>46048</v>
      </c>
      <c r="D1398" t="inlineStr">
        <is>
          <t>2026-01</t>
        </is>
      </c>
      <c r="E1398" t="inlineStr">
        <is>
          <t>C0022</t>
        </is>
      </c>
      <c r="F1398" t="inlineStr">
        <is>
          <t>C0022</t>
        </is>
      </c>
      <c r="G1398" t="inlineStr">
        <is>
          <t>Highpoint Projects</t>
        </is>
      </c>
      <c r="H1398" t="inlineStr">
        <is>
          <t>S0099</t>
        </is>
      </c>
      <c r="I1398" t="inlineStr">
        <is>
          <t>Installation labour - 70 panels @ 2.20</t>
        </is>
      </c>
      <c r="J1398" t="n">
        <v>70</v>
      </c>
      <c r="K1398" s="9" t="n">
        <v>154</v>
      </c>
      <c r="L1398" t="inlineStr">
        <is>
          <t>PAID</t>
        </is>
      </c>
      <c r="M1398">
        <f>IF(L1398="VOIDED",0,1)</f>
        <v>1</v>
      </c>
      <c r="N1398" t="n">
        <v>200</v>
      </c>
      <c r="O1398" t="inlineStr">
        <is>
          <t>GST on Income</t>
        </is>
      </c>
      <c r="P1398" t="inlineStr">
        <is>
          <t>R07</t>
        </is>
      </c>
      <c r="Q1398" t="inlineStr">
        <is>
          <t>DEL-FP</t>
        </is>
      </c>
      <c r="R1398">
        <f>IF(OR(Q1398="CONTEXT",Q1398="REVIEW"),"",INDEX('Category Rules'!$D$5:$D$17,MATCH(P1398,'Category Rules'!$A$5:$A$17,0)))</f>
        <v>4020</v>
      </c>
      <c r="S1398" t="str">
        <f>IF(Q1398="CONTEXT","Fencing",IF(Q1398="REVIEW","",INDEX('Category Rules'!$E$5:$E$17,MATCH(P1398,'Category Rules'!$A$5:$A$17,0))))</f>
        <v>Fencing</v>
      </c>
      <c r="T1398" t="str">
        <f>IF(Q1398="DEP","BAS Excluded","GST on Income")</f>
        <v>GST on Income</v>
      </c>
      <c r="U1398">
        <f>IF(O1398=T1398,1,0)</f>
        <v>1</v>
      </c>
      <c r="V1398" s="9">
        <f>IF(OR(M1398=0,U1398=1),0,IF(T1398="GST on Income",ROUND(K1398*0.1,2),ROUND(-K1398*0.1,2)))</f>
        <v>0</v>
      </c>
    </row>
    <row r="1399">
      <c r="A1399" t="inlineStr">
        <is>
          <t>INV-5221-1</t>
        </is>
      </c>
      <c r="B1399" t="inlineStr">
        <is>
          <t>INV-5221</t>
        </is>
      </c>
      <c r="C1399" s="11" t="n">
        <v>46048</v>
      </c>
      <c r="D1399" t="inlineStr">
        <is>
          <t>2026-01</t>
        </is>
      </c>
      <c r="E1399" t="inlineStr">
        <is>
          <t>C0103</t>
        </is>
      </c>
      <c r="F1399" t="inlineStr">
        <is>
          <t>C0103</t>
        </is>
      </c>
      <c r="G1399" t="inlineStr">
        <is>
          <t>Grace Martin</t>
        </is>
      </c>
      <c r="H1399" t="inlineStr">
        <is>
          <t>S0240</t>
        </is>
      </c>
      <c r="I1399" t="inlineStr">
        <is>
          <t>Scaffold tower hire 4 wks (29/12/25-25/01/26) - 1 towers</t>
        </is>
      </c>
      <c r="J1399" t="n">
        <v>4</v>
      </c>
      <c r="K1399" s="9" t="n">
        <v>380</v>
      </c>
      <c r="L1399" t="inlineStr">
        <is>
          <t>PAID</t>
        </is>
      </c>
      <c r="M1399">
        <f>IF(L1399="VOIDED",0,1)</f>
        <v>1</v>
      </c>
      <c r="N1399" t="n">
        <v>200</v>
      </c>
      <c r="O1399" t="inlineStr">
        <is>
          <t>GST on Income</t>
        </is>
      </c>
      <c r="P1399" t="inlineStr">
        <is>
          <t>R05</t>
        </is>
      </c>
      <c r="Q1399" t="inlineStr">
        <is>
          <t>HIRE-ST</t>
        </is>
      </c>
      <c r="R1399">
        <f>IF(OR(Q1399="CONTEXT",Q1399="REVIEW"),"",INDEX('Category Rules'!$D$5:$D$17,MATCH(P1399,'Category Rules'!$A$5:$A$17,0)))</f>
        <v>4010</v>
      </c>
      <c r="S1399" t="str">
        <f>IF(Q1399="CONTEXT","Scaffolding",IF(Q1399="REVIEW","",INDEX('Category Rules'!$E$5:$E$17,MATCH(P1399,'Category Rules'!$A$5:$A$17,0))))</f>
        <v>Scaffolding</v>
      </c>
      <c r="T1399" t="str">
        <f>IF(Q1399="DEP","BAS Excluded","GST on Income")</f>
        <v>GST on Income</v>
      </c>
      <c r="U1399">
        <f>IF(O1399=T1399,1,0)</f>
        <v>1</v>
      </c>
      <c r="V1399" s="9">
        <f>IF(OR(M1399=0,U1399=1),0,IF(T1399="GST on Income",ROUND(K1399*0.1,2),ROUND(-K1399*0.1,2)))</f>
        <v>0</v>
      </c>
    </row>
    <row r="1400">
      <c r="A1400" t="inlineStr">
        <is>
          <t>INV-5354-1</t>
        </is>
      </c>
      <c r="B1400" t="inlineStr">
        <is>
          <t>INV-5354</t>
        </is>
      </c>
      <c r="C1400" s="11" t="n">
        <v>46048</v>
      </c>
      <c r="D1400" t="inlineStr">
        <is>
          <t>2026-01</t>
        </is>
      </c>
      <c r="E1400" t="inlineStr">
        <is>
          <t>C0098</t>
        </is>
      </c>
      <c r="F1400" t="inlineStr">
        <is>
          <t>C0098</t>
        </is>
      </c>
      <c r="G1400" t="inlineStr">
        <is>
          <t>Ethan Walker</t>
        </is>
      </c>
      <c r="H1400" t="inlineStr">
        <is>
          <t>S0272</t>
        </is>
      </c>
      <c r="I1400" t="inlineStr">
        <is>
          <t>Scaffold tower hire 4 wks (04/01/26-25/01/26) - 1 towers</t>
        </is>
      </c>
      <c r="J1400" t="n">
        <v>4</v>
      </c>
      <c r="K1400" s="9" t="n">
        <v>380</v>
      </c>
      <c r="L1400" t="inlineStr">
        <is>
          <t>PAID</t>
        </is>
      </c>
      <c r="M1400">
        <f>IF(L1400="VOIDED",0,1)</f>
        <v>1</v>
      </c>
      <c r="N1400" t="n">
        <v>200</v>
      </c>
      <c r="O1400" t="inlineStr">
        <is>
          <t>GST on Income</t>
        </is>
      </c>
      <c r="P1400" t="inlineStr">
        <is>
          <t>R05</t>
        </is>
      </c>
      <c r="Q1400" t="inlineStr">
        <is>
          <t>HIRE-ST</t>
        </is>
      </c>
      <c r="R1400">
        <f>IF(OR(Q1400="CONTEXT",Q1400="REVIEW"),"",INDEX('Category Rules'!$D$5:$D$17,MATCH(P1400,'Category Rules'!$A$5:$A$17,0)))</f>
        <v>4010</v>
      </c>
      <c r="S1400" t="str">
        <f>IF(Q1400="CONTEXT","Scaffolding",IF(Q1400="REVIEW","",INDEX('Category Rules'!$E$5:$E$17,MATCH(P1400,'Category Rules'!$A$5:$A$17,0))))</f>
        <v>Scaffolding</v>
      </c>
      <c r="T1400" t="str">
        <f>IF(Q1400="DEP","BAS Excluded","GST on Income")</f>
        <v>GST on Income</v>
      </c>
      <c r="U1400">
        <f>IF(O1400=T1400,1,0)</f>
        <v>1</v>
      </c>
      <c r="V1400" s="9">
        <f>IF(OR(M1400=0,U1400=1),0,IF(T1400="GST on Income",ROUND(K1400*0.1,2),ROUND(-K1400*0.1,2)))</f>
        <v>0</v>
      </c>
    </row>
    <row r="1401">
      <c r="A1401" t="inlineStr">
        <is>
          <t>INV-5356-1</t>
        </is>
      </c>
      <c r="B1401" t="inlineStr">
        <is>
          <t>INV-5356</t>
        </is>
      </c>
      <c r="C1401" s="11" t="n">
        <v>46048</v>
      </c>
      <c r="D1401" t="inlineStr">
        <is>
          <t>2026-01</t>
        </is>
      </c>
      <c r="E1401" t="inlineStr">
        <is>
          <t>C0153</t>
        </is>
      </c>
      <c r="F1401" t="inlineStr">
        <is>
          <t>C0098</t>
        </is>
      </c>
      <c r="G1401" t="inlineStr">
        <is>
          <t>Ethan Walker</t>
        </is>
      </c>
      <c r="H1401" t="inlineStr">
        <is>
          <t>S0272</t>
        </is>
      </c>
      <c r="I1401" t="inlineStr">
        <is>
          <t>Scaffold dismantle - 1 tower(s)</t>
        </is>
      </c>
      <c r="J1401" t="n">
        <v>1</v>
      </c>
      <c r="K1401" s="9" t="n">
        <v>320</v>
      </c>
      <c r="L1401" t="inlineStr">
        <is>
          <t>PAID</t>
        </is>
      </c>
      <c r="M1401">
        <f>IF(L1401="VOIDED",0,1)</f>
        <v>1</v>
      </c>
      <c r="N1401" t="n">
        <v>200</v>
      </c>
      <c r="O1401" t="inlineStr">
        <is>
          <t>GST on Income</t>
        </is>
      </c>
      <c r="P1401" t="inlineStr">
        <is>
          <t>R08</t>
        </is>
      </c>
      <c r="Q1401" t="inlineStr">
        <is>
          <t>LAB-ST</t>
        </is>
      </c>
      <c r="R1401">
        <f>IF(OR(Q1401="CONTEXT",Q1401="REVIEW"),"",INDEX('Category Rules'!$D$5:$D$17,MATCH(P1401,'Category Rules'!$A$5:$A$17,0)))</f>
        <v>4020</v>
      </c>
      <c r="S1401" t="str">
        <f>IF(Q1401="CONTEXT","Scaffolding",IF(Q1401="REVIEW","",INDEX('Category Rules'!$E$5:$E$17,MATCH(P1401,'Category Rules'!$A$5:$A$17,0))))</f>
        <v>Scaffolding</v>
      </c>
      <c r="T1401" t="str">
        <f>IF(Q1401="DEP","BAS Excluded","GST on Income")</f>
        <v>GST on Income</v>
      </c>
      <c r="U1401">
        <f>IF(O1401=T1401,1,0)</f>
        <v>1</v>
      </c>
      <c r="V1401" s="9">
        <f>IF(OR(M1401=0,U1401=1),0,IF(T1401="GST on Income",ROUND(K1401*0.1,2),ROUND(-K1401*0.1,2)))</f>
        <v>0</v>
      </c>
    </row>
    <row r="1402">
      <c r="A1402" t="inlineStr">
        <is>
          <t>INV-5493-1</t>
        </is>
      </c>
      <c r="B1402" t="inlineStr">
        <is>
          <t>INV-5493</t>
        </is>
      </c>
      <c r="C1402" s="11" t="n">
        <v>46048</v>
      </c>
      <c r="D1402" t="inlineStr">
        <is>
          <t>2026-01</t>
        </is>
      </c>
      <c r="E1402" t="inlineStr">
        <is>
          <t>C0122</t>
        </is>
      </c>
      <c r="F1402" t="inlineStr">
        <is>
          <t>C0122</t>
        </is>
      </c>
      <c r="G1402" t="inlineStr">
        <is>
          <t>Bluegum Construction Pty Ltd</t>
        </is>
      </c>
      <c r="H1402" t="inlineStr">
        <is>
          <t>S0323</t>
        </is>
      </c>
      <c r="I1402" t="inlineStr">
        <is>
          <t>Roof repair labour - 4 hrs</t>
        </is>
      </c>
      <c r="J1402" t="n">
        <v>4</v>
      </c>
      <c r="K1402" s="9" t="n">
        <v>392</v>
      </c>
      <c r="L1402" t="inlineStr">
        <is>
          <t>PAID</t>
        </is>
      </c>
      <c r="M1402">
        <f>IF(L1402="VOIDED",0,1)</f>
        <v>1</v>
      </c>
      <c r="N1402" t="n">
        <v>200</v>
      </c>
      <c r="O1402" t="inlineStr">
        <is>
          <t>GST on Income</t>
        </is>
      </c>
      <c r="P1402" t="inlineStr">
        <is>
          <t>R10</t>
        </is>
      </c>
      <c r="Q1402" t="inlineStr">
        <is>
          <t>LAB-RF</t>
        </is>
      </c>
      <c r="R1402">
        <f>IF(OR(Q1402="CONTEXT",Q1402="REVIEW"),"",INDEX('Category Rules'!$D$5:$D$17,MATCH(P1402,'Category Rules'!$A$5:$A$17,0)))</f>
        <v>4020</v>
      </c>
      <c r="S1402" t="str">
        <f>IF(Q1402="CONTEXT","Roofing",IF(Q1402="REVIEW","",INDEX('Category Rules'!$E$5:$E$17,MATCH(P1402,'Category Rules'!$A$5:$A$17,0))))</f>
        <v>Roofing</v>
      </c>
      <c r="T1402" t="str">
        <f>IF(Q1402="DEP","BAS Excluded","GST on Income")</f>
        <v>GST on Income</v>
      </c>
      <c r="U1402">
        <f>IF(O1402=T1402,1,0)</f>
        <v>1</v>
      </c>
      <c r="V1402" s="9">
        <f>IF(OR(M1402=0,U1402=1),0,IF(T1402="GST on Income",ROUND(K1402*0.1,2),ROUND(-K1402*0.1,2)))</f>
        <v>0</v>
      </c>
    </row>
    <row r="1403">
      <c r="A1403" t="inlineStr">
        <is>
          <t>INV-5493-2</t>
        </is>
      </c>
      <c r="B1403" t="inlineStr">
        <is>
          <t>INV-5493</t>
        </is>
      </c>
      <c r="C1403" s="11" t="n">
        <v>46048</v>
      </c>
      <c r="D1403" t="inlineStr">
        <is>
          <t>2026-01</t>
        </is>
      </c>
      <c r="E1403" t="inlineStr">
        <is>
          <t>C0122</t>
        </is>
      </c>
      <c r="F1403" t="inlineStr">
        <is>
          <t>C0122</t>
        </is>
      </c>
      <c r="G1403" t="inlineStr">
        <is>
          <t>Bluegum Construction Pty Ltd</t>
        </is>
      </c>
      <c r="H1403" t="inlineStr">
        <is>
          <t>S0323</t>
        </is>
      </c>
      <c r="I1403" t="inlineStr">
        <is>
          <t>Materials - ridge capping</t>
        </is>
      </c>
      <c r="J1403" t="n">
        <v>1</v>
      </c>
      <c r="K1403" s="9" t="n">
        <v>1267.08</v>
      </c>
      <c r="L1403" t="inlineStr">
        <is>
          <t>PAID</t>
        </is>
      </c>
      <c r="M1403">
        <f>IF(L1403="VOIDED",0,1)</f>
        <v>1</v>
      </c>
      <c r="N1403" t="n">
        <v>200</v>
      </c>
      <c r="O1403" t="inlineStr">
        <is>
          <t>GST on Income</t>
        </is>
      </c>
      <c r="P1403" t="inlineStr">
        <is>
          <t>R11</t>
        </is>
      </c>
      <c r="Q1403" t="inlineStr">
        <is>
          <t>MAT-RF</t>
        </is>
      </c>
      <c r="R1403">
        <f>IF(OR(Q1403="CONTEXT",Q1403="REVIEW"),"",INDEX('Category Rules'!$D$5:$D$17,MATCH(P1403,'Category Rules'!$A$5:$A$17,0)))</f>
        <v>4030</v>
      </c>
      <c r="S1403" t="str">
        <f>IF(Q1403="CONTEXT","Roofing",IF(Q1403="REVIEW","",INDEX('Category Rules'!$E$5:$E$17,MATCH(P1403,'Category Rules'!$A$5:$A$17,0))))</f>
        <v>Roofing</v>
      </c>
      <c r="T1403" t="str">
        <f>IF(Q1403="DEP","BAS Excluded","GST on Income")</f>
        <v>GST on Income</v>
      </c>
      <c r="U1403">
        <f>IF(O1403=T1403,1,0)</f>
        <v>1</v>
      </c>
      <c r="V1403" s="9">
        <f>IF(OR(M1403=0,U1403=1),0,IF(T1403="GST on Income",ROUND(K1403*0.1,2),ROUND(-K1403*0.1,2)))</f>
        <v>0</v>
      </c>
    </row>
    <row r="1404">
      <c r="A1404" t="inlineStr">
        <is>
          <t>INV-5493-3</t>
        </is>
      </c>
      <c r="B1404" t="inlineStr">
        <is>
          <t>INV-5493</t>
        </is>
      </c>
      <c r="C1404" s="11" t="n">
        <v>46048</v>
      </c>
      <c r="D1404" t="inlineStr">
        <is>
          <t>2026-01</t>
        </is>
      </c>
      <c r="E1404" t="inlineStr">
        <is>
          <t>C0122</t>
        </is>
      </c>
      <c r="F1404" t="inlineStr">
        <is>
          <t>C0122</t>
        </is>
      </c>
      <c r="G1404" t="inlineStr">
        <is>
          <t>Bluegum Construction Pty Ltd</t>
        </is>
      </c>
      <c r="H1404" t="inlineStr">
        <is>
          <t>S0323</t>
        </is>
      </c>
      <c r="I1404" t="inlineStr">
        <is>
          <t>Materials - gutter and downpipe</t>
        </is>
      </c>
      <c r="J1404" t="n">
        <v>1</v>
      </c>
      <c r="K1404" s="9" t="n">
        <v>735.97</v>
      </c>
      <c r="L1404" t="inlineStr">
        <is>
          <t>PAID</t>
        </is>
      </c>
      <c r="M1404">
        <f>IF(L1404="VOIDED",0,1)</f>
        <v>1</v>
      </c>
      <c r="N1404" t="n">
        <v>200</v>
      </c>
      <c r="O1404" t="inlineStr">
        <is>
          <t>GST on Income</t>
        </is>
      </c>
      <c r="P1404" t="inlineStr">
        <is>
          <t>R11</t>
        </is>
      </c>
      <c r="Q1404" t="inlineStr">
        <is>
          <t>MAT-RF</t>
        </is>
      </c>
      <c r="R1404">
        <f>IF(OR(Q1404="CONTEXT",Q1404="REVIEW"),"",INDEX('Category Rules'!$D$5:$D$17,MATCH(P1404,'Category Rules'!$A$5:$A$17,0)))</f>
        <v>4030</v>
      </c>
      <c r="S1404" t="str">
        <f>IF(Q1404="CONTEXT","Roofing",IF(Q1404="REVIEW","",INDEX('Category Rules'!$E$5:$E$17,MATCH(P1404,'Category Rules'!$A$5:$A$17,0))))</f>
        <v>Roofing</v>
      </c>
      <c r="T1404" t="str">
        <f>IF(Q1404="DEP","BAS Excluded","GST on Income")</f>
        <v>GST on Income</v>
      </c>
      <c r="U1404">
        <f>IF(O1404=T1404,1,0)</f>
        <v>1</v>
      </c>
      <c r="V1404" s="9">
        <f>IF(OR(M1404=0,U1404=1),0,IF(T1404="GST on Income",ROUND(K1404*0.1,2),ROUND(-K1404*0.1,2)))</f>
        <v>0</v>
      </c>
    </row>
    <row r="1405">
      <c r="A1405" t="inlineStr">
        <is>
          <t>INV-5695-1</t>
        </is>
      </c>
      <c r="B1405" t="inlineStr">
        <is>
          <t>INV-5695</t>
        </is>
      </c>
      <c r="C1405" s="11" t="n">
        <v>46048</v>
      </c>
      <c r="D1405" t="inlineStr">
        <is>
          <t>2026-01</t>
        </is>
      </c>
      <c r="E1405" t="inlineStr">
        <is>
          <t>C0060</t>
        </is>
      </c>
      <c r="F1405" t="inlineStr">
        <is>
          <t>C0060</t>
        </is>
      </c>
      <c r="G1405" t="inlineStr">
        <is>
          <t>Redline Claims Services</t>
        </is>
      </c>
      <c r="H1405" t="inlineStr">
        <is>
          <t>S0433</t>
        </is>
      </c>
      <c r="I1405" t="inlineStr">
        <is>
          <t>Make safe call-out</t>
        </is>
      </c>
      <c r="J1405" t="n">
        <v>1</v>
      </c>
      <c r="K1405" s="9" t="n">
        <v>385</v>
      </c>
      <c r="L1405" t="inlineStr">
        <is>
          <t>PAID</t>
        </is>
      </c>
      <c r="M1405">
        <f>IF(L1405="VOIDED",0,1)</f>
        <v>1</v>
      </c>
      <c r="N1405" t="n">
        <v>200</v>
      </c>
      <c r="O1405" t="inlineStr">
        <is>
          <t>GST on Income</t>
        </is>
      </c>
      <c r="P1405" t="inlineStr">
        <is>
          <t>R09</t>
        </is>
      </c>
      <c r="Q1405" t="inlineStr">
        <is>
          <t>MS</t>
        </is>
      </c>
      <c r="R1405">
        <f>IF(OR(Q1405="CONTEXT",Q1405="REVIEW"),"",INDEX('Category Rules'!$D$5:$D$17,MATCH(P1405,'Category Rules'!$A$5:$A$17,0)))</f>
        <v>4020</v>
      </c>
      <c r="S1405" t="str">
        <f>IF(Q1405="CONTEXT","Make-safe",IF(Q1405="REVIEW","",INDEX('Category Rules'!$E$5:$E$17,MATCH(P1405,'Category Rules'!$A$5:$A$17,0))))</f>
        <v>Make-safe</v>
      </c>
      <c r="T1405" t="str">
        <f>IF(Q1405="DEP","BAS Excluded","GST on Income")</f>
        <v>GST on Income</v>
      </c>
      <c r="U1405">
        <f>IF(O1405=T1405,1,0)</f>
        <v>1</v>
      </c>
      <c r="V1405" s="9">
        <f>IF(OR(M1405=0,U1405=1),0,IF(T1405="GST on Income",ROUND(K1405*0.1,2),ROUND(-K1405*0.1,2)))</f>
        <v>0</v>
      </c>
    </row>
    <row r="1406">
      <c r="A1406" t="inlineStr">
        <is>
          <t>INV-5742-1</t>
        </is>
      </c>
      <c r="B1406" t="inlineStr">
        <is>
          <t>INV-5742</t>
        </is>
      </c>
      <c r="C1406" s="11" t="n">
        <v>46048</v>
      </c>
      <c r="D1406" t="inlineStr">
        <is>
          <t>2026-01</t>
        </is>
      </c>
      <c r="E1406" t="inlineStr">
        <is>
          <t>C0006</t>
        </is>
      </c>
      <c r="F1406" t="inlineStr">
        <is>
          <t>C0006</t>
        </is>
      </c>
      <c r="G1406" t="inlineStr">
        <is>
          <t>Harbour Homes</t>
        </is>
      </c>
      <c r="H1406" t="inlineStr">
        <is>
          <t>S0456</t>
        </is>
      </c>
      <c r="I1406" t="inlineStr">
        <is>
          <t>Make safe call-out</t>
        </is>
      </c>
      <c r="J1406" t="n">
        <v>1</v>
      </c>
      <c r="K1406" s="9" t="n">
        <v>385</v>
      </c>
      <c r="L1406" t="inlineStr">
        <is>
          <t>PAID</t>
        </is>
      </c>
      <c r="M1406">
        <f>IF(L1406="VOIDED",0,1)</f>
        <v>1</v>
      </c>
      <c r="N1406" t="n">
        <v>200</v>
      </c>
      <c r="O1406" t="inlineStr">
        <is>
          <t>GST on Income</t>
        </is>
      </c>
      <c r="P1406" t="inlineStr">
        <is>
          <t>R09</t>
        </is>
      </c>
      <c r="Q1406" t="inlineStr">
        <is>
          <t>MS</t>
        </is>
      </c>
      <c r="R1406">
        <f>IF(OR(Q1406="CONTEXT",Q1406="REVIEW"),"",INDEX('Category Rules'!$D$5:$D$17,MATCH(P1406,'Category Rules'!$A$5:$A$17,0)))</f>
        <v>4020</v>
      </c>
      <c r="S1406" t="str">
        <f>IF(Q1406="CONTEXT","Make-safe",IF(Q1406="REVIEW","",INDEX('Category Rules'!$E$5:$E$17,MATCH(P1406,'Category Rules'!$A$5:$A$17,0))))</f>
        <v>Make-safe</v>
      </c>
      <c r="T1406" t="str">
        <f>IF(Q1406="DEP","BAS Excluded","GST on Income")</f>
        <v>GST on Income</v>
      </c>
      <c r="U1406">
        <f>IF(O1406=T1406,1,0)</f>
        <v>1</v>
      </c>
      <c r="V1406" s="9">
        <f>IF(OR(M1406=0,U1406=1),0,IF(T1406="GST on Income",ROUND(K1406*0.1,2),ROUND(-K1406*0.1,2)))</f>
        <v>0</v>
      </c>
    </row>
    <row r="1407">
      <c r="A1407" t="inlineStr">
        <is>
          <t>INV-5807-1</t>
        </is>
      </c>
      <c r="B1407" t="inlineStr">
        <is>
          <t>INV-5807</t>
        </is>
      </c>
      <c r="C1407" s="11" t="n">
        <v>46048</v>
      </c>
      <c r="D1407" t="inlineStr">
        <is>
          <t>2026-01</t>
        </is>
      </c>
      <c r="E1407" t="inlineStr">
        <is>
          <t>C0067</t>
        </is>
      </c>
      <c r="F1407" t="inlineStr">
        <is>
          <t>C0067</t>
        </is>
      </c>
      <c r="G1407" t="inlineStr">
        <is>
          <t>Banksia Claims Services Pty Ltd</t>
        </is>
      </c>
      <c r="H1407" t="inlineStr">
        <is>
          <t>S0493</t>
        </is>
      </c>
      <c r="I1407" t="inlineStr">
        <is>
          <t>Make safe call-out</t>
        </is>
      </c>
      <c r="J1407" t="n">
        <v>1</v>
      </c>
      <c r="K1407" s="9" t="n">
        <v>385</v>
      </c>
      <c r="L1407" t="inlineStr">
        <is>
          <t>PAID</t>
        </is>
      </c>
      <c r="M1407">
        <f>IF(L1407="VOIDED",0,1)</f>
        <v>1</v>
      </c>
      <c r="N1407" t="n">
        <v>200</v>
      </c>
      <c r="O1407" t="inlineStr">
        <is>
          <t>GST on Income</t>
        </is>
      </c>
      <c r="P1407" t="inlineStr">
        <is>
          <t>R09</t>
        </is>
      </c>
      <c r="Q1407" t="inlineStr">
        <is>
          <t>MS</t>
        </is>
      </c>
      <c r="R1407">
        <f>IF(OR(Q1407="CONTEXT",Q1407="REVIEW"),"",INDEX('Category Rules'!$D$5:$D$17,MATCH(P1407,'Category Rules'!$A$5:$A$17,0)))</f>
        <v>4020</v>
      </c>
      <c r="S1407" t="str">
        <f>IF(Q1407="CONTEXT","Make-safe",IF(Q1407="REVIEW","",INDEX('Category Rules'!$E$5:$E$17,MATCH(P1407,'Category Rules'!$A$5:$A$17,0))))</f>
        <v>Make-safe</v>
      </c>
      <c r="T1407" t="str">
        <f>IF(Q1407="DEP","BAS Excluded","GST on Income")</f>
        <v>GST on Income</v>
      </c>
      <c r="U1407">
        <f>IF(O1407=T1407,1,0)</f>
        <v>1</v>
      </c>
      <c r="V1407" s="9">
        <f>IF(OR(M1407=0,U1407=1),0,IF(T1407="GST on Income",ROUND(K1407*0.1,2),ROUND(-K1407*0.1,2)))</f>
        <v>0</v>
      </c>
    </row>
    <row r="1408">
      <c r="A1408" t="inlineStr">
        <is>
          <t>INV-5807-2</t>
        </is>
      </c>
      <c r="B1408" t="inlineStr">
        <is>
          <t>INV-5807</t>
        </is>
      </c>
      <c r="C1408" s="11" t="n">
        <v>46048</v>
      </c>
      <c r="D1408" t="inlineStr">
        <is>
          <t>2026-01</t>
        </is>
      </c>
      <c r="E1408" t="inlineStr">
        <is>
          <t>C0067</t>
        </is>
      </c>
      <c r="F1408" t="inlineStr">
        <is>
          <t>C0067</t>
        </is>
      </c>
      <c r="G1408" t="inlineStr">
        <is>
          <t>Banksia Claims Services Pty Ltd</t>
        </is>
      </c>
      <c r="H1408" t="inlineStr">
        <is>
          <t>S0493</t>
        </is>
      </c>
      <c r="I1408" t="inlineStr">
        <is>
          <t>Tarp supply and install - 1 tarp(s)</t>
        </is>
      </c>
      <c r="J1408" t="n">
        <v>1</v>
      </c>
      <c r="K1408" s="9" t="n">
        <v>240</v>
      </c>
      <c r="L1408" t="inlineStr">
        <is>
          <t>PAID</t>
        </is>
      </c>
      <c r="M1408">
        <f>IF(L1408="VOIDED",0,1)</f>
        <v>1</v>
      </c>
      <c r="N1408" t="n">
        <v>200</v>
      </c>
      <c r="O1408" t="inlineStr">
        <is>
          <t>GST on Income</t>
        </is>
      </c>
      <c r="P1408" t="inlineStr">
        <is>
          <t>R09</t>
        </is>
      </c>
      <c r="Q1408" t="inlineStr">
        <is>
          <t>MS</t>
        </is>
      </c>
      <c r="R1408">
        <f>IF(OR(Q1408="CONTEXT",Q1408="REVIEW"),"",INDEX('Category Rules'!$D$5:$D$17,MATCH(P1408,'Category Rules'!$A$5:$A$17,0)))</f>
        <v>4020</v>
      </c>
      <c r="S1408" t="str">
        <f>IF(Q1408="CONTEXT","Make-safe",IF(Q1408="REVIEW","",INDEX('Category Rules'!$E$5:$E$17,MATCH(P1408,'Category Rules'!$A$5:$A$17,0))))</f>
        <v>Make-safe</v>
      </c>
      <c r="T1408" t="str">
        <f>IF(Q1408="DEP","BAS Excluded","GST on Income")</f>
        <v>GST on Income</v>
      </c>
      <c r="U1408">
        <f>IF(O1408=T1408,1,0)</f>
        <v>1</v>
      </c>
      <c r="V1408" s="9">
        <f>IF(OR(M1408=0,U1408=1),0,IF(T1408="GST on Income",ROUND(K1408*0.1,2),ROUND(-K1408*0.1,2)))</f>
        <v>0</v>
      </c>
    </row>
    <row r="1409">
      <c r="A1409" t="inlineStr">
        <is>
          <t>INV-5891-1</t>
        </is>
      </c>
      <c r="B1409" t="inlineStr">
        <is>
          <t>INV-5891</t>
        </is>
      </c>
      <c r="C1409" s="11" t="n">
        <v>46048</v>
      </c>
      <c r="D1409" t="inlineStr">
        <is>
          <t>2026-01</t>
        </is>
      </c>
      <c r="E1409" t="inlineStr">
        <is>
          <t>C0063</t>
        </is>
      </c>
      <c r="F1409" t="inlineStr">
        <is>
          <t>C0063</t>
        </is>
      </c>
      <c r="G1409" t="inlineStr">
        <is>
          <t>Highpoint Insurance Repairs Pty Ltd</t>
        </is>
      </c>
      <c r="H1409" t="inlineStr">
        <is>
          <t>S0546</t>
        </is>
      </c>
      <c r="I1409" t="inlineStr">
        <is>
          <t>Tarp kit hire 4 wks (29/12/25-25/01/26) - 3 kits</t>
        </is>
      </c>
      <c r="J1409" t="n">
        <v>12</v>
      </c>
      <c r="K1409" s="9" t="n">
        <v>420</v>
      </c>
      <c r="L1409" t="inlineStr">
        <is>
          <t>PAID</t>
        </is>
      </c>
      <c r="M1409">
        <f>IF(L1409="VOIDED",0,1)</f>
        <v>1</v>
      </c>
      <c r="N1409" t="n">
        <v>200</v>
      </c>
      <c r="O1409" t="inlineStr">
        <is>
          <t>GST on Income</t>
        </is>
      </c>
      <c r="P1409" t="inlineStr">
        <is>
          <t>R06</t>
        </is>
      </c>
      <c r="Q1409" t="inlineStr">
        <is>
          <t>HIRE-TK</t>
        </is>
      </c>
      <c r="R1409">
        <f>IF(OR(Q1409="CONTEXT",Q1409="REVIEW"),"",INDEX('Category Rules'!$D$5:$D$17,MATCH(P1409,'Category Rules'!$A$5:$A$17,0)))</f>
        <v>4010</v>
      </c>
      <c r="S1409" t="str">
        <f>IF(Q1409="CONTEXT","Make-safe",IF(Q1409="REVIEW","",INDEX('Category Rules'!$E$5:$E$17,MATCH(P1409,'Category Rules'!$A$5:$A$17,0))))</f>
        <v>Make-safe</v>
      </c>
      <c r="T1409" t="str">
        <f>IF(Q1409="DEP","BAS Excluded","GST on Income")</f>
        <v>GST on Income</v>
      </c>
      <c r="U1409">
        <f>IF(O1409=T1409,1,0)</f>
        <v>1</v>
      </c>
      <c r="V1409" s="9">
        <f>IF(OR(M1409=0,U1409=1),0,IF(T1409="GST on Income",ROUND(K1409*0.1,2),ROUND(-K1409*0.1,2)))</f>
        <v>0</v>
      </c>
    </row>
    <row r="1410">
      <c r="A1410" t="inlineStr">
        <is>
          <t>INV-5912-1</t>
        </is>
      </c>
      <c r="B1410" t="inlineStr">
        <is>
          <t>INV-5912</t>
        </is>
      </c>
      <c r="C1410" s="11" t="n">
        <v>46048</v>
      </c>
      <c r="D1410" t="inlineStr">
        <is>
          <t>2026-01</t>
        </is>
      </c>
      <c r="E1410" t="inlineStr">
        <is>
          <t>C0059</t>
        </is>
      </c>
      <c r="F1410" t="inlineStr">
        <is>
          <t>C0059</t>
        </is>
      </c>
      <c r="G1410" t="inlineStr">
        <is>
          <t>Silverleaf Insurance Repairs Pty Ltd</t>
        </is>
      </c>
      <c r="H1410" t="inlineStr"/>
      <c r="I1410" t="inlineStr">
        <is>
          <t>Variation 3059 - additional works</t>
        </is>
      </c>
      <c r="J1410" t="n">
        <v>1</v>
      </c>
      <c r="K1410" s="9" t="n">
        <v>860.29</v>
      </c>
      <c r="L1410" t="inlineStr">
        <is>
          <t>PAID</t>
        </is>
      </c>
      <c r="M1410">
        <f>IF(L1410="VOIDED",0,1)</f>
        <v>1</v>
      </c>
      <c r="N1410" t="n">
        <v>200</v>
      </c>
      <c r="O1410" t="inlineStr">
        <is>
          <t>GST on Income</t>
        </is>
      </c>
      <c r="P1410" t="inlineStr">
        <is>
          <t>--</t>
        </is>
      </c>
      <c r="Q1410" t="inlineStr">
        <is>
          <t>REVIEW</t>
        </is>
      </c>
      <c r="R1410">
        <f>IF(OR(Q1410="CONTEXT",Q1410="REVIEW"),"",INDEX('Category Rules'!$D$5:$D$17,MATCH(P1410,'Category Rules'!$A$5:$A$17,0)))</f>
      </c>
      <c r="S1410">
        <f>IF(Q1410="CONTEXT","",IF(Q1410="REVIEW","",INDEX('Category Rules'!$E$5:$E$17,MATCH(P1410,'Category Rules'!$A$5:$A$17,0))))</f>
      </c>
      <c r="T1410" t="str">
        <f>IF(Q1410="DEP","BAS Excluded","GST on Income")</f>
        <v>GST on Income</v>
      </c>
      <c r="U1410">
        <f>IF(O1410=T1410,1,0)</f>
        <v>1</v>
      </c>
      <c r="V1410" s="9">
        <f>IF(OR(M1410=0,U1410=1),0,IF(T1410="GST on Income",ROUND(K1410*0.1,2),ROUND(-K1410*0.1,2)))</f>
        <v>0</v>
      </c>
    </row>
    <row r="1411">
      <c r="A1411" t="inlineStr">
        <is>
          <t>INV-4273-1</t>
        </is>
      </c>
      <c r="B1411" t="inlineStr">
        <is>
          <t>INV-4273</t>
        </is>
      </c>
      <c r="C1411" s="11" t="n">
        <v>46049</v>
      </c>
      <c r="D1411" t="inlineStr">
        <is>
          <t>2026-01</t>
        </is>
      </c>
      <c r="E1411" t="inlineStr">
        <is>
          <t>C0041</t>
        </is>
      </c>
      <c r="F1411" t="inlineStr">
        <is>
          <t>C0041</t>
        </is>
      </c>
      <c r="G1411" t="inlineStr">
        <is>
          <t>Summit Builders Pty Ltd</t>
        </is>
      </c>
      <c r="H1411" t="inlineStr">
        <is>
          <t>S0036</t>
        </is>
      </c>
      <c r="I1411" t="inlineStr">
        <is>
          <t>Temporary fence hire 1 wks (24/01/26-26/01/26) - 173 panels</t>
        </is>
      </c>
      <c r="J1411" t="n">
        <v>173</v>
      </c>
      <c r="K1411" s="9" t="n">
        <v>778.5</v>
      </c>
      <c r="L1411" t="inlineStr">
        <is>
          <t>PAID</t>
        </is>
      </c>
      <c r="M1411">
        <f>IF(L1411="VOIDED",0,1)</f>
        <v>1</v>
      </c>
      <c r="N1411" t="n">
        <v>200</v>
      </c>
      <c r="O1411" t="inlineStr">
        <is>
          <t>GST on Income</t>
        </is>
      </c>
      <c r="P1411" t="inlineStr">
        <is>
          <t>R03</t>
        </is>
      </c>
      <c r="Q1411" t="inlineStr">
        <is>
          <t>HIRE-FP</t>
        </is>
      </c>
      <c r="R1411">
        <f>IF(OR(Q1411="CONTEXT",Q1411="REVIEW"),"",INDEX('Category Rules'!$D$5:$D$17,MATCH(P1411,'Category Rules'!$A$5:$A$17,0)))</f>
        <v>4010</v>
      </c>
      <c r="S1411" t="str">
        <f>IF(Q1411="CONTEXT","Fencing",IF(Q1411="REVIEW","",INDEX('Category Rules'!$E$5:$E$17,MATCH(P1411,'Category Rules'!$A$5:$A$17,0))))</f>
        <v>Fencing</v>
      </c>
      <c r="T1411" t="str">
        <f>IF(Q1411="DEP","BAS Excluded","GST on Income")</f>
        <v>GST on Income</v>
      </c>
      <c r="U1411">
        <f>IF(O1411=T1411,1,0)</f>
        <v>1</v>
      </c>
      <c r="V1411" s="9">
        <f>IF(OR(M1411=0,U1411=1),0,IF(T1411="GST on Income",ROUND(K1411*0.1,2),ROUND(-K1411*0.1,2)))</f>
        <v>0</v>
      </c>
    </row>
    <row r="1412">
      <c r="A1412" t="inlineStr">
        <is>
          <t>INV-4275-1</t>
        </is>
      </c>
      <c r="B1412" t="inlineStr">
        <is>
          <t>INV-4275</t>
        </is>
      </c>
      <c r="C1412" s="11" t="n">
        <v>46049</v>
      </c>
      <c r="D1412" t="inlineStr">
        <is>
          <t>2026-01</t>
        </is>
      </c>
      <c r="E1412" t="inlineStr">
        <is>
          <t>C0041</t>
        </is>
      </c>
      <c r="F1412" t="inlineStr">
        <is>
          <t>C0041</t>
        </is>
      </c>
      <c r="G1412" t="inlineStr">
        <is>
          <t>Summit Builders Pty Ltd</t>
        </is>
      </c>
      <c r="H1412" t="inlineStr">
        <is>
          <t>S0036</t>
        </is>
      </c>
      <c r="I1412" t="inlineStr">
        <is>
          <t>Collection and dismantle - temporary fencing</t>
        </is>
      </c>
      <c r="J1412" t="n">
        <v>1</v>
      </c>
      <c r="K1412" s="9" t="n">
        <v>165</v>
      </c>
      <c r="L1412" t="inlineStr">
        <is>
          <t>PAID</t>
        </is>
      </c>
      <c r="M1412">
        <f>IF(L1412="VOIDED",0,1)</f>
        <v>1</v>
      </c>
      <c r="N1412" t="n">
        <v>200</v>
      </c>
      <c r="O1412" t="inlineStr">
        <is>
          <t>GST on Income</t>
        </is>
      </c>
      <c r="P1412" t="inlineStr">
        <is>
          <t>R07</t>
        </is>
      </c>
      <c r="Q1412" t="inlineStr">
        <is>
          <t>DEL-FP</t>
        </is>
      </c>
      <c r="R1412">
        <f>IF(OR(Q1412="CONTEXT",Q1412="REVIEW"),"",INDEX('Category Rules'!$D$5:$D$17,MATCH(P1412,'Category Rules'!$A$5:$A$17,0)))</f>
        <v>4020</v>
      </c>
      <c r="S1412" t="str">
        <f>IF(Q1412="CONTEXT","Fencing",IF(Q1412="REVIEW","",INDEX('Category Rules'!$E$5:$E$17,MATCH(P1412,'Category Rules'!$A$5:$A$17,0))))</f>
        <v>Fencing</v>
      </c>
      <c r="T1412" t="str">
        <f>IF(Q1412="DEP","BAS Excluded","GST on Income")</f>
        <v>GST on Income</v>
      </c>
      <c r="U1412">
        <f>IF(O1412=T1412,1,0)</f>
        <v>1</v>
      </c>
      <c r="V1412" s="9">
        <f>IF(OR(M1412=0,U1412=1),0,IF(T1412="GST on Income",ROUND(K1412*0.1,2),ROUND(-K1412*0.1,2)))</f>
        <v>0</v>
      </c>
    </row>
    <row r="1413">
      <c r="A1413" t="inlineStr">
        <is>
          <t>INV-4978-1</t>
        </is>
      </c>
      <c r="B1413" t="inlineStr">
        <is>
          <t>INV-4978</t>
        </is>
      </c>
      <c r="C1413" s="11" t="n">
        <v>46049</v>
      </c>
      <c r="D1413" t="inlineStr">
        <is>
          <t>2026-01</t>
        </is>
      </c>
      <c r="E1413" t="inlineStr">
        <is>
          <t>C0010</t>
        </is>
      </c>
      <c r="F1413" t="inlineStr">
        <is>
          <t>C0010</t>
        </is>
      </c>
      <c r="G1413" t="inlineStr">
        <is>
          <t>Eastlink Developments</t>
        </is>
      </c>
      <c r="H1413" t="inlineStr">
        <is>
          <t>S0187</t>
        </is>
      </c>
      <c r="I1413" t="inlineStr">
        <is>
          <t>Temporary fence hire 4 wks (30/12/25-26/01/26) - 120 panels</t>
        </is>
      </c>
      <c r="J1413" t="n">
        <v>480</v>
      </c>
      <c r="K1413" s="9" t="n">
        <v>2160</v>
      </c>
      <c r="L1413" t="inlineStr">
        <is>
          <t>PAID</t>
        </is>
      </c>
      <c r="M1413">
        <f>IF(L1413="VOIDED",0,1)</f>
        <v>1</v>
      </c>
      <c r="N1413" t="n">
        <v>200</v>
      </c>
      <c r="O1413" t="inlineStr">
        <is>
          <t>GST on Income</t>
        </is>
      </c>
      <c r="P1413" t="inlineStr">
        <is>
          <t>R03</t>
        </is>
      </c>
      <c r="Q1413" t="inlineStr">
        <is>
          <t>HIRE-FP</t>
        </is>
      </c>
      <c r="R1413">
        <f>IF(OR(Q1413="CONTEXT",Q1413="REVIEW"),"",INDEX('Category Rules'!$D$5:$D$17,MATCH(P1413,'Category Rules'!$A$5:$A$17,0)))</f>
        <v>4010</v>
      </c>
      <c r="S1413" t="str">
        <f>IF(Q1413="CONTEXT","Fencing",IF(Q1413="REVIEW","",INDEX('Category Rules'!$E$5:$E$17,MATCH(P1413,'Category Rules'!$A$5:$A$17,0))))</f>
        <v>Fencing</v>
      </c>
      <c r="T1413" t="str">
        <f>IF(Q1413="DEP","BAS Excluded","GST on Income")</f>
        <v>GST on Income</v>
      </c>
      <c r="U1413">
        <f>IF(O1413=T1413,1,0)</f>
        <v>1</v>
      </c>
      <c r="V1413" s="9">
        <f>IF(OR(M1413=0,U1413=1),0,IF(T1413="GST on Income",ROUND(K1413*0.1,2),ROUND(-K1413*0.1,2)))</f>
        <v>0</v>
      </c>
    </row>
    <row r="1414">
      <c r="A1414" t="inlineStr">
        <is>
          <t>INV-5043-1</t>
        </is>
      </c>
      <c r="B1414" t="inlineStr">
        <is>
          <t>INV-5043</t>
        </is>
      </c>
      <c r="C1414" s="11" t="n">
        <v>46049</v>
      </c>
      <c r="D1414" t="inlineStr">
        <is>
          <t>2026-01</t>
        </is>
      </c>
      <c r="E1414" t="inlineStr">
        <is>
          <t>C0071</t>
        </is>
      </c>
      <c r="F1414" t="inlineStr">
        <is>
          <t>C0071</t>
        </is>
      </c>
      <c r="G1414" t="inlineStr">
        <is>
          <t>Maribyrnong City Council</t>
        </is>
      </c>
      <c r="H1414" t="inlineStr">
        <is>
          <t>S0202</t>
        </is>
      </c>
      <c r="I1414" t="inlineStr">
        <is>
          <t>Delivery and installation - temporary fencing</t>
        </is>
      </c>
      <c r="J1414" t="n">
        <v>1</v>
      </c>
      <c r="K1414" s="9" t="n">
        <v>165</v>
      </c>
      <c r="L1414" t="inlineStr">
        <is>
          <t>PAID</t>
        </is>
      </c>
      <c r="M1414">
        <f>IF(L1414="VOIDED",0,1)</f>
        <v>1</v>
      </c>
      <c r="N1414" t="n">
        <v>200</v>
      </c>
      <c r="O1414" t="inlineStr">
        <is>
          <t>GST on Income</t>
        </is>
      </c>
      <c r="P1414" t="inlineStr">
        <is>
          <t>R07</t>
        </is>
      </c>
      <c r="Q1414" t="inlineStr">
        <is>
          <t>DEL-FP</t>
        </is>
      </c>
      <c r="R1414">
        <f>IF(OR(Q1414="CONTEXT",Q1414="REVIEW"),"",INDEX('Category Rules'!$D$5:$D$17,MATCH(P1414,'Category Rules'!$A$5:$A$17,0)))</f>
        <v>4020</v>
      </c>
      <c r="S1414" t="str">
        <f>IF(Q1414="CONTEXT","Fencing",IF(Q1414="REVIEW","",INDEX('Category Rules'!$E$5:$E$17,MATCH(P1414,'Category Rules'!$A$5:$A$17,0))))</f>
        <v>Fencing</v>
      </c>
      <c r="T1414" t="str">
        <f>IF(Q1414="DEP","BAS Excluded","GST on Income")</f>
        <v>GST on Income</v>
      </c>
      <c r="U1414">
        <f>IF(O1414=T1414,1,0)</f>
        <v>1</v>
      </c>
      <c r="V1414" s="9">
        <f>IF(OR(M1414=0,U1414=1),0,IF(T1414="GST on Income",ROUND(K1414*0.1,2),ROUND(-K1414*0.1,2)))</f>
        <v>0</v>
      </c>
    </row>
    <row r="1415">
      <c r="A1415" t="inlineStr">
        <is>
          <t>INV-5043-2</t>
        </is>
      </c>
      <c r="B1415" t="inlineStr">
        <is>
          <t>INV-5043</t>
        </is>
      </c>
      <c r="C1415" s="11" t="n">
        <v>46049</v>
      </c>
      <c r="D1415" t="inlineStr">
        <is>
          <t>2026-01</t>
        </is>
      </c>
      <c r="E1415" t="inlineStr">
        <is>
          <t>C0071</t>
        </is>
      </c>
      <c r="F1415" t="inlineStr">
        <is>
          <t>C0071</t>
        </is>
      </c>
      <c r="G1415" t="inlineStr">
        <is>
          <t>Maribyrnong City Council</t>
        </is>
      </c>
      <c r="H1415" t="inlineStr">
        <is>
          <t>S0202</t>
        </is>
      </c>
      <c r="I1415" t="inlineStr">
        <is>
          <t>Installation labour - 42 panels @ 2.20</t>
        </is>
      </c>
      <c r="J1415" t="n">
        <v>42</v>
      </c>
      <c r="K1415" s="9" t="n">
        <v>92.40000000000001</v>
      </c>
      <c r="L1415" t="inlineStr">
        <is>
          <t>PAID</t>
        </is>
      </c>
      <c r="M1415">
        <f>IF(L1415="VOIDED",0,1)</f>
        <v>1</v>
      </c>
      <c r="N1415" t="n">
        <v>260</v>
      </c>
      <c r="O1415" t="inlineStr">
        <is>
          <t>GST on Income</t>
        </is>
      </c>
      <c r="P1415" t="inlineStr">
        <is>
          <t>R07</t>
        </is>
      </c>
      <c r="Q1415" t="inlineStr">
        <is>
          <t>DEL-FP</t>
        </is>
      </c>
      <c r="R1415">
        <f>IF(OR(Q1415="CONTEXT",Q1415="REVIEW"),"",INDEX('Category Rules'!$D$5:$D$17,MATCH(P1415,'Category Rules'!$A$5:$A$17,0)))</f>
        <v>4020</v>
      </c>
      <c r="S1415" t="str">
        <f>IF(Q1415="CONTEXT","Fencing",IF(Q1415="REVIEW","",INDEX('Category Rules'!$E$5:$E$17,MATCH(P1415,'Category Rules'!$A$5:$A$17,0))))</f>
        <v>Fencing</v>
      </c>
      <c r="T1415" t="str">
        <f>IF(Q1415="DEP","BAS Excluded","GST on Income")</f>
        <v>GST on Income</v>
      </c>
      <c r="U1415">
        <f>IF(O1415=T1415,1,0)</f>
        <v>1</v>
      </c>
      <c r="V1415" s="9">
        <f>IF(OR(M1415=0,U1415=1),0,IF(T1415="GST on Income",ROUND(K1415*0.1,2),ROUND(-K1415*0.1,2)))</f>
        <v>0</v>
      </c>
    </row>
    <row r="1416">
      <c r="A1416" t="inlineStr">
        <is>
          <t>INV-5222-1</t>
        </is>
      </c>
      <c r="B1416" t="inlineStr">
        <is>
          <t>INV-5222</t>
        </is>
      </c>
      <c r="C1416" s="11" t="n">
        <v>46049</v>
      </c>
      <c r="D1416" t="inlineStr">
        <is>
          <t>2026-01</t>
        </is>
      </c>
      <c r="E1416" t="inlineStr">
        <is>
          <t>C0103</t>
        </is>
      </c>
      <c r="F1416" t="inlineStr">
        <is>
          <t>C0103</t>
        </is>
      </c>
      <c r="G1416" t="inlineStr">
        <is>
          <t>Grace Martin</t>
        </is>
      </c>
      <c r="H1416" t="inlineStr">
        <is>
          <t>S0240</t>
        </is>
      </c>
      <c r="I1416" t="inlineStr">
        <is>
          <t>Scaffold tower hire 1 wks (26/01/26-26/01/26) - 1 towers</t>
        </is>
      </c>
      <c r="J1416" t="n">
        <v>1</v>
      </c>
      <c r="K1416" s="9" t="n">
        <v>95</v>
      </c>
      <c r="L1416" t="inlineStr">
        <is>
          <t>PAID</t>
        </is>
      </c>
      <c r="M1416">
        <f>IF(L1416="VOIDED",0,1)</f>
        <v>1</v>
      </c>
      <c r="N1416" t="n">
        <v>200</v>
      </c>
      <c r="O1416" t="inlineStr">
        <is>
          <t>GST on Income</t>
        </is>
      </c>
      <c r="P1416" t="inlineStr">
        <is>
          <t>R05</t>
        </is>
      </c>
      <c r="Q1416" t="inlineStr">
        <is>
          <t>HIRE-ST</t>
        </is>
      </c>
      <c r="R1416">
        <f>IF(OR(Q1416="CONTEXT",Q1416="REVIEW"),"",INDEX('Category Rules'!$D$5:$D$17,MATCH(P1416,'Category Rules'!$A$5:$A$17,0)))</f>
        <v>4010</v>
      </c>
      <c r="S1416" t="str">
        <f>IF(Q1416="CONTEXT","Scaffolding",IF(Q1416="REVIEW","",INDEX('Category Rules'!$E$5:$E$17,MATCH(P1416,'Category Rules'!$A$5:$A$17,0))))</f>
        <v>Scaffolding</v>
      </c>
      <c r="T1416" t="str">
        <f>IF(Q1416="DEP","BAS Excluded","GST on Income")</f>
        <v>GST on Income</v>
      </c>
      <c r="U1416">
        <f>IF(O1416=T1416,1,0)</f>
        <v>1</v>
      </c>
      <c r="V1416" s="9">
        <f>IF(OR(M1416=0,U1416=1),0,IF(T1416="GST on Income",ROUND(K1416*0.1,2),ROUND(-K1416*0.1,2)))</f>
        <v>0</v>
      </c>
    </row>
    <row r="1417">
      <c r="A1417" t="inlineStr">
        <is>
          <t>INV-5224-1</t>
        </is>
      </c>
      <c r="B1417" t="inlineStr">
        <is>
          <t>INV-5224</t>
        </is>
      </c>
      <c r="C1417" s="11" t="n">
        <v>46049</v>
      </c>
      <c r="D1417" t="inlineStr">
        <is>
          <t>2026-01</t>
        </is>
      </c>
      <c r="E1417" t="inlineStr">
        <is>
          <t>C0103</t>
        </is>
      </c>
      <c r="F1417" t="inlineStr">
        <is>
          <t>C0103</t>
        </is>
      </c>
      <c r="G1417" t="inlineStr">
        <is>
          <t>Grace Martin</t>
        </is>
      </c>
      <c r="H1417" t="inlineStr">
        <is>
          <t>S0240</t>
        </is>
      </c>
      <c r="I1417" t="inlineStr">
        <is>
          <t>Scaffold dismantle - 1 tower(s)</t>
        </is>
      </c>
      <c r="J1417" t="n">
        <v>1</v>
      </c>
      <c r="K1417" s="9" t="n">
        <v>320</v>
      </c>
      <c r="L1417" t="inlineStr">
        <is>
          <t>PAID</t>
        </is>
      </c>
      <c r="M1417">
        <f>IF(L1417="VOIDED",0,1)</f>
        <v>1</v>
      </c>
      <c r="N1417" t="n">
        <v>200</v>
      </c>
      <c r="O1417" t="inlineStr">
        <is>
          <t>GST on Income</t>
        </is>
      </c>
      <c r="P1417" t="inlineStr">
        <is>
          <t>R08</t>
        </is>
      </c>
      <c r="Q1417" t="inlineStr">
        <is>
          <t>LAB-ST</t>
        </is>
      </c>
      <c r="R1417">
        <f>IF(OR(Q1417="CONTEXT",Q1417="REVIEW"),"",INDEX('Category Rules'!$D$5:$D$17,MATCH(P1417,'Category Rules'!$A$5:$A$17,0)))</f>
        <v>4020</v>
      </c>
      <c r="S1417" t="str">
        <f>IF(Q1417="CONTEXT","Scaffolding",IF(Q1417="REVIEW","",INDEX('Category Rules'!$E$5:$E$17,MATCH(P1417,'Category Rules'!$A$5:$A$17,0))))</f>
        <v>Scaffolding</v>
      </c>
      <c r="T1417" t="str">
        <f>IF(Q1417="DEP","BAS Excluded","GST on Income")</f>
        <v>GST on Income</v>
      </c>
      <c r="U1417">
        <f>IF(O1417=T1417,1,0)</f>
        <v>1</v>
      </c>
      <c r="V1417" s="9">
        <f>IF(OR(M1417=0,U1417=1),0,IF(T1417="GST on Income",ROUND(K1417*0.1,2),ROUND(-K1417*0.1,2)))</f>
        <v>0</v>
      </c>
    </row>
    <row r="1418">
      <c r="A1418" t="inlineStr">
        <is>
          <t>INV-5240-1</t>
        </is>
      </c>
      <c r="B1418" t="inlineStr">
        <is>
          <t>INV-5240</t>
        </is>
      </c>
      <c r="C1418" s="11" t="n">
        <v>46049</v>
      </c>
      <c r="D1418" t="inlineStr">
        <is>
          <t>2026-01</t>
        </is>
      </c>
      <c r="E1418" t="inlineStr">
        <is>
          <t>C0105</t>
        </is>
      </c>
      <c r="F1418" t="inlineStr">
        <is>
          <t>C0105</t>
        </is>
      </c>
      <c r="G1418" t="inlineStr">
        <is>
          <t>Priya Walker</t>
        </is>
      </c>
      <c r="H1418" t="inlineStr">
        <is>
          <t>S0245</t>
        </is>
      </c>
      <c r="I1418" t="inlineStr">
        <is>
          <t>Scaffold erect - 4 tower(s)</t>
        </is>
      </c>
      <c r="J1418" t="n">
        <v>4</v>
      </c>
      <c r="K1418" s="9" t="n">
        <v>1680</v>
      </c>
      <c r="L1418" t="inlineStr">
        <is>
          <t>PAID</t>
        </is>
      </c>
      <c r="M1418">
        <f>IF(L1418="VOIDED",0,1)</f>
        <v>1</v>
      </c>
      <c r="N1418" t="n">
        <v>200</v>
      </c>
      <c r="O1418" t="inlineStr">
        <is>
          <t>GST on Income</t>
        </is>
      </c>
      <c r="P1418" t="inlineStr">
        <is>
          <t>R08</t>
        </is>
      </c>
      <c r="Q1418" t="inlineStr">
        <is>
          <t>LAB-ST</t>
        </is>
      </c>
      <c r="R1418">
        <f>IF(OR(Q1418="CONTEXT",Q1418="REVIEW"),"",INDEX('Category Rules'!$D$5:$D$17,MATCH(P1418,'Category Rules'!$A$5:$A$17,0)))</f>
        <v>4020</v>
      </c>
      <c r="S1418" t="str">
        <f>IF(Q1418="CONTEXT","Scaffolding",IF(Q1418="REVIEW","",INDEX('Category Rules'!$E$5:$E$17,MATCH(P1418,'Category Rules'!$A$5:$A$17,0))))</f>
        <v>Scaffolding</v>
      </c>
      <c r="T1418" t="str">
        <f>IF(Q1418="DEP","BAS Excluded","GST on Income")</f>
        <v>GST on Income</v>
      </c>
      <c r="U1418">
        <f>IF(O1418=T1418,1,0)</f>
        <v>1</v>
      </c>
      <c r="V1418" s="9">
        <f>IF(OR(M1418=0,U1418=1),0,IF(T1418="GST on Income",ROUND(K1418*0.1,2),ROUND(-K1418*0.1,2)))</f>
        <v>0</v>
      </c>
    </row>
    <row r="1419">
      <c r="A1419" t="inlineStr">
        <is>
          <t>INV-5736-1</t>
        </is>
      </c>
      <c r="B1419" t="inlineStr">
        <is>
          <t>INV-5736</t>
        </is>
      </c>
      <c r="C1419" s="11" t="n">
        <v>46049</v>
      </c>
      <c r="D1419" t="inlineStr">
        <is>
          <t>2026-01</t>
        </is>
      </c>
      <c r="E1419" t="inlineStr">
        <is>
          <t>C0066</t>
        </is>
      </c>
      <c r="F1419" t="inlineStr">
        <is>
          <t>C0066</t>
        </is>
      </c>
      <c r="G1419" t="inlineStr">
        <is>
          <t>Northgate Insurance Repairs</t>
        </is>
      </c>
      <c r="H1419" t="inlineStr">
        <is>
          <t>S0453</t>
        </is>
      </c>
      <c r="I1419" t="inlineStr">
        <is>
          <t>Make safe call-out</t>
        </is>
      </c>
      <c r="J1419" t="n">
        <v>1</v>
      </c>
      <c r="K1419" s="9" t="n">
        <v>385</v>
      </c>
      <c r="L1419" t="inlineStr">
        <is>
          <t>PAID</t>
        </is>
      </c>
      <c r="M1419">
        <f>IF(L1419="VOIDED",0,1)</f>
        <v>1</v>
      </c>
      <c r="N1419" t="n">
        <v>200</v>
      </c>
      <c r="O1419" t="inlineStr">
        <is>
          <t>GST Free Income</t>
        </is>
      </c>
      <c r="P1419" t="inlineStr">
        <is>
          <t>R09</t>
        </is>
      </c>
      <c r="Q1419" t="inlineStr">
        <is>
          <t>MS</t>
        </is>
      </c>
      <c r="R1419">
        <f>IF(OR(Q1419="CONTEXT",Q1419="REVIEW"),"",INDEX('Category Rules'!$D$5:$D$17,MATCH(P1419,'Category Rules'!$A$5:$A$17,0)))</f>
        <v>4020</v>
      </c>
      <c r="S1419" t="str">
        <f>IF(Q1419="CONTEXT","Make-safe",IF(Q1419="REVIEW","",INDEX('Category Rules'!$E$5:$E$17,MATCH(P1419,'Category Rules'!$A$5:$A$17,0))))</f>
        <v>Make-safe</v>
      </c>
      <c r="T1419" t="str">
        <f>IF(Q1419="DEP","BAS Excluded","GST on Income")</f>
        <v>GST on Income</v>
      </c>
      <c r="U1419">
        <f>IF(O1419=T1419,1,0)</f>
        <v>0</v>
      </c>
      <c r="V1419" s="9">
        <f>IF(OR(M1419=0,U1419=1),0,IF(T1419="GST on Income",ROUND(K1419*0.1,2),ROUND(-K1419*0.1,2)))</f>
        <v>38.5</v>
      </c>
    </row>
    <row r="1420">
      <c r="A1420" t="inlineStr">
        <is>
          <t>INV-5736-2</t>
        </is>
      </c>
      <c r="B1420" t="inlineStr">
        <is>
          <t>INV-5736</t>
        </is>
      </c>
      <c r="C1420" s="11" t="n">
        <v>46049</v>
      </c>
      <c r="D1420" t="inlineStr">
        <is>
          <t>2026-01</t>
        </is>
      </c>
      <c r="E1420" t="inlineStr">
        <is>
          <t>C0066</t>
        </is>
      </c>
      <c r="F1420" t="inlineStr">
        <is>
          <t>C0066</t>
        </is>
      </c>
      <c r="G1420" t="inlineStr">
        <is>
          <t>Northgate Insurance Repairs</t>
        </is>
      </c>
      <c r="H1420" t="inlineStr">
        <is>
          <t>S0453</t>
        </is>
      </c>
      <c r="I1420" t="inlineStr">
        <is>
          <t>Tarp supply and install - 1 tarp(s)</t>
        </is>
      </c>
      <c r="J1420" t="n">
        <v>1</v>
      </c>
      <c r="K1420" s="9" t="n">
        <v>240</v>
      </c>
      <c r="L1420" t="inlineStr">
        <is>
          <t>PAID</t>
        </is>
      </c>
      <c r="M1420">
        <f>IF(L1420="VOIDED",0,1)</f>
        <v>1</v>
      </c>
      <c r="N1420" t="n">
        <v>200</v>
      </c>
      <c r="O1420" t="inlineStr">
        <is>
          <t>GST on Income</t>
        </is>
      </c>
      <c r="P1420" t="inlineStr">
        <is>
          <t>R09</t>
        </is>
      </c>
      <c r="Q1420" t="inlineStr">
        <is>
          <t>MS</t>
        </is>
      </c>
      <c r="R1420">
        <f>IF(OR(Q1420="CONTEXT",Q1420="REVIEW"),"",INDEX('Category Rules'!$D$5:$D$17,MATCH(P1420,'Category Rules'!$A$5:$A$17,0)))</f>
        <v>4020</v>
      </c>
      <c r="S1420" t="str">
        <f>IF(Q1420="CONTEXT","Make-safe",IF(Q1420="REVIEW","",INDEX('Category Rules'!$E$5:$E$17,MATCH(P1420,'Category Rules'!$A$5:$A$17,0))))</f>
        <v>Make-safe</v>
      </c>
      <c r="T1420" t="str">
        <f>IF(Q1420="DEP","BAS Excluded","GST on Income")</f>
        <v>GST on Income</v>
      </c>
      <c r="U1420">
        <f>IF(O1420=T1420,1,0)</f>
        <v>1</v>
      </c>
      <c r="V1420" s="9">
        <f>IF(OR(M1420=0,U1420=1),0,IF(T1420="GST on Income",ROUND(K1420*0.1,2),ROUND(-K1420*0.1,2)))</f>
        <v>0</v>
      </c>
    </row>
    <row r="1421">
      <c r="A1421" t="inlineStr">
        <is>
          <t>INV-5743-1</t>
        </is>
      </c>
      <c r="B1421" t="inlineStr">
        <is>
          <t>INV-5743</t>
        </is>
      </c>
      <c r="C1421" s="11" t="n">
        <v>46049</v>
      </c>
      <c r="D1421" t="inlineStr">
        <is>
          <t>2026-01</t>
        </is>
      </c>
      <c r="E1421" t="inlineStr">
        <is>
          <t>C0059</t>
        </is>
      </c>
      <c r="F1421" t="inlineStr">
        <is>
          <t>C0059</t>
        </is>
      </c>
      <c r="G1421" t="inlineStr">
        <is>
          <t>Silverleaf Insurance Repairs Pty Ltd</t>
        </is>
      </c>
      <c r="H1421" t="inlineStr">
        <is>
          <t>S0457</t>
        </is>
      </c>
      <c r="I1421" t="inlineStr">
        <is>
          <t>Emergency make safe call-out - after hours</t>
        </is>
      </c>
      <c r="J1421" t="n">
        <v>1</v>
      </c>
      <c r="K1421" s="9" t="n">
        <v>560</v>
      </c>
      <c r="L1421" t="inlineStr">
        <is>
          <t>PAID</t>
        </is>
      </c>
      <c r="M1421">
        <f>IF(L1421="VOIDED",0,1)</f>
        <v>1</v>
      </c>
      <c r="N1421" t="n">
        <v>200</v>
      </c>
      <c r="O1421" t="inlineStr">
        <is>
          <t>GST on Income</t>
        </is>
      </c>
      <c r="P1421" t="inlineStr">
        <is>
          <t>R09</t>
        </is>
      </c>
      <c r="Q1421" t="inlineStr">
        <is>
          <t>MS</t>
        </is>
      </c>
      <c r="R1421">
        <f>IF(OR(Q1421="CONTEXT",Q1421="REVIEW"),"",INDEX('Category Rules'!$D$5:$D$17,MATCH(P1421,'Category Rules'!$A$5:$A$17,0)))</f>
        <v>4020</v>
      </c>
      <c r="S1421" t="str">
        <f>IF(Q1421="CONTEXT","Make-safe",IF(Q1421="REVIEW","",INDEX('Category Rules'!$E$5:$E$17,MATCH(P1421,'Category Rules'!$A$5:$A$17,0))))</f>
        <v>Make-safe</v>
      </c>
      <c r="T1421" t="str">
        <f>IF(Q1421="DEP","BAS Excluded","GST on Income")</f>
        <v>GST on Income</v>
      </c>
      <c r="U1421">
        <f>IF(O1421=T1421,1,0)</f>
        <v>1</v>
      </c>
      <c r="V1421" s="9">
        <f>IF(OR(M1421=0,U1421=1),0,IF(T1421="GST on Income",ROUND(K1421*0.1,2),ROUND(-K1421*0.1,2)))</f>
        <v>0</v>
      </c>
    </row>
    <row r="1422">
      <c r="A1422" t="inlineStr">
        <is>
          <t>INV-4296-1</t>
        </is>
      </c>
      <c r="B1422" t="inlineStr">
        <is>
          <t>INV-4296</t>
        </is>
      </c>
      <c r="C1422" s="11" t="n">
        <v>46050</v>
      </c>
      <c r="D1422" t="inlineStr">
        <is>
          <t>2026-01</t>
        </is>
      </c>
      <c r="E1422" t="inlineStr">
        <is>
          <t>C0020</t>
        </is>
      </c>
      <c r="F1422" t="inlineStr">
        <is>
          <t>C0020</t>
        </is>
      </c>
      <c r="G1422" t="inlineStr">
        <is>
          <t>Eastlink Constructions</t>
        </is>
      </c>
      <c r="H1422" t="inlineStr">
        <is>
          <t>S0041</t>
        </is>
      </c>
      <c r="I1422" t="inlineStr">
        <is>
          <t>Temporary fence hire 4 wks (31/12/25-27/01/26) - 141 panels</t>
        </is>
      </c>
      <c r="J1422" t="n">
        <v>564</v>
      </c>
      <c r="K1422" s="9" t="n">
        <v>2538</v>
      </c>
      <c r="L1422" t="inlineStr">
        <is>
          <t>PAID</t>
        </is>
      </c>
      <c r="M1422">
        <f>IF(L1422="VOIDED",0,1)</f>
        <v>1</v>
      </c>
      <c r="N1422" t="n">
        <v>200</v>
      </c>
      <c r="O1422" t="inlineStr">
        <is>
          <t>GST on Income</t>
        </is>
      </c>
      <c r="P1422" t="inlineStr">
        <is>
          <t>R03</t>
        </is>
      </c>
      <c r="Q1422" t="inlineStr">
        <is>
          <t>HIRE-FP</t>
        </is>
      </c>
      <c r="R1422">
        <f>IF(OR(Q1422="CONTEXT",Q1422="REVIEW"),"",INDEX('Category Rules'!$D$5:$D$17,MATCH(P1422,'Category Rules'!$A$5:$A$17,0)))</f>
        <v>4010</v>
      </c>
      <c r="S1422" t="str">
        <f>IF(Q1422="CONTEXT","Fencing",IF(Q1422="REVIEW","",INDEX('Category Rules'!$E$5:$E$17,MATCH(P1422,'Category Rules'!$A$5:$A$17,0))))</f>
        <v>Fencing</v>
      </c>
      <c r="T1422" t="str">
        <f>IF(Q1422="DEP","BAS Excluded","GST on Income")</f>
        <v>GST on Income</v>
      </c>
      <c r="U1422">
        <f>IF(O1422=T1422,1,0)</f>
        <v>1</v>
      </c>
      <c r="V1422" s="9">
        <f>IF(OR(M1422=0,U1422=1),0,IF(T1422="GST on Income",ROUND(K1422*0.1,2),ROUND(-K1422*0.1,2)))</f>
        <v>0</v>
      </c>
    </row>
    <row r="1423">
      <c r="A1423" t="inlineStr">
        <is>
          <t>INV-4300-1</t>
        </is>
      </c>
      <c r="B1423" t="inlineStr">
        <is>
          <t>INV-4300</t>
        </is>
      </c>
      <c r="C1423" s="11" t="n">
        <v>46050</v>
      </c>
      <c r="D1423" t="inlineStr">
        <is>
          <t>2026-01</t>
        </is>
      </c>
      <c r="E1423" t="inlineStr">
        <is>
          <t>C0020</t>
        </is>
      </c>
      <c r="F1423" t="inlineStr">
        <is>
          <t>C0020</t>
        </is>
      </c>
      <c r="G1423" t="inlineStr">
        <is>
          <t>Eastlink Constructions</t>
        </is>
      </c>
      <c r="H1423" t="inlineStr">
        <is>
          <t>S0041</t>
        </is>
      </c>
      <c r="I1423" t="inlineStr">
        <is>
          <t>Pedestrian barrier hire 4 wks (31/12/25-27/01/26) - 13 barriers</t>
        </is>
      </c>
      <c r="J1423" t="n">
        <v>52</v>
      </c>
      <c r="K1423" s="9" t="n">
        <v>166.4</v>
      </c>
      <c r="L1423" t="inlineStr">
        <is>
          <t>PAID</t>
        </is>
      </c>
      <c r="M1423">
        <f>IF(L1423="VOIDED",0,1)</f>
        <v>1</v>
      </c>
      <c r="N1423" t="n">
        <v>200</v>
      </c>
      <c r="O1423" t="inlineStr">
        <is>
          <t>GST on Income</t>
        </is>
      </c>
      <c r="P1423" t="inlineStr">
        <is>
          <t>R04</t>
        </is>
      </c>
      <c r="Q1423" t="inlineStr">
        <is>
          <t>HIRE-BR</t>
        </is>
      </c>
      <c r="R1423">
        <f>IF(OR(Q1423="CONTEXT",Q1423="REVIEW"),"",INDEX('Category Rules'!$D$5:$D$17,MATCH(P1423,'Category Rules'!$A$5:$A$17,0)))</f>
        <v>4010</v>
      </c>
      <c r="S1423" t="str">
        <f>IF(Q1423="CONTEXT","Fencing",IF(Q1423="REVIEW","",INDEX('Category Rules'!$E$5:$E$17,MATCH(P1423,'Category Rules'!$A$5:$A$17,0))))</f>
        <v>Fencing</v>
      </c>
      <c r="T1423" t="str">
        <f>IF(Q1423="DEP","BAS Excluded","GST on Income")</f>
        <v>GST on Income</v>
      </c>
      <c r="U1423">
        <f>IF(O1423=T1423,1,0)</f>
        <v>1</v>
      </c>
      <c r="V1423" s="9">
        <f>IF(OR(M1423=0,U1423=1),0,IF(T1423="GST on Income",ROUND(K1423*0.1,2),ROUND(-K1423*0.1,2)))</f>
        <v>0</v>
      </c>
    </row>
    <row r="1424">
      <c r="A1424" t="inlineStr">
        <is>
          <t>INV-4607-1</t>
        </is>
      </c>
      <c r="B1424" t="inlineStr">
        <is>
          <t>INV-4607</t>
        </is>
      </c>
      <c r="C1424" s="11" t="n">
        <v>46050</v>
      </c>
      <c r="D1424" t="inlineStr">
        <is>
          <t>2026-01</t>
        </is>
      </c>
      <c r="E1424" t="inlineStr">
        <is>
          <t>C0027</t>
        </is>
      </c>
      <c r="F1424" t="inlineStr">
        <is>
          <t>C0027</t>
        </is>
      </c>
      <c r="G1424" t="inlineStr">
        <is>
          <t>Metro Projects Pty Ltd</t>
        </is>
      </c>
      <c r="H1424" t="inlineStr">
        <is>
          <t>S0100</t>
        </is>
      </c>
      <c r="I1424" t="inlineStr">
        <is>
          <t>Delivery and installation - temporary fencing</t>
        </is>
      </c>
      <c r="J1424" t="n">
        <v>1</v>
      </c>
      <c r="K1424" s="9" t="n">
        <v>165</v>
      </c>
      <c r="L1424" t="inlineStr">
        <is>
          <t>PAID</t>
        </is>
      </c>
      <c r="M1424">
        <f>IF(L1424="VOIDED",0,1)</f>
        <v>1</v>
      </c>
      <c r="N1424" t="n">
        <v>200</v>
      </c>
      <c r="O1424" t="inlineStr">
        <is>
          <t>GST on Income</t>
        </is>
      </c>
      <c r="P1424" t="inlineStr">
        <is>
          <t>R07</t>
        </is>
      </c>
      <c r="Q1424" t="inlineStr">
        <is>
          <t>DEL-FP</t>
        </is>
      </c>
      <c r="R1424">
        <f>IF(OR(Q1424="CONTEXT",Q1424="REVIEW"),"",INDEX('Category Rules'!$D$5:$D$17,MATCH(P1424,'Category Rules'!$A$5:$A$17,0)))</f>
        <v>4020</v>
      </c>
      <c r="S1424" t="str">
        <f>IF(Q1424="CONTEXT","Fencing",IF(Q1424="REVIEW","",INDEX('Category Rules'!$E$5:$E$17,MATCH(P1424,'Category Rules'!$A$5:$A$17,0))))</f>
        <v>Fencing</v>
      </c>
      <c r="T1424" t="str">
        <f>IF(Q1424="DEP","BAS Excluded","GST on Income")</f>
        <v>GST on Income</v>
      </c>
      <c r="U1424">
        <f>IF(O1424=T1424,1,0)</f>
        <v>1</v>
      </c>
      <c r="V1424" s="9">
        <f>IF(OR(M1424=0,U1424=1),0,IF(T1424="GST on Income",ROUND(K1424*0.1,2),ROUND(-K1424*0.1,2)))</f>
        <v>0</v>
      </c>
    </row>
    <row r="1425">
      <c r="A1425" t="inlineStr">
        <is>
          <t>INV-4607-2</t>
        </is>
      </c>
      <c r="B1425" t="inlineStr">
        <is>
          <t>INV-4607</t>
        </is>
      </c>
      <c r="C1425" s="11" t="n">
        <v>46050</v>
      </c>
      <c r="D1425" t="inlineStr">
        <is>
          <t>2026-01</t>
        </is>
      </c>
      <c r="E1425" t="inlineStr">
        <is>
          <t>C0027</t>
        </is>
      </c>
      <c r="F1425" t="inlineStr">
        <is>
          <t>C0027</t>
        </is>
      </c>
      <c r="G1425" t="inlineStr">
        <is>
          <t>Metro Projects Pty Ltd</t>
        </is>
      </c>
      <c r="H1425" t="inlineStr">
        <is>
          <t>S0100</t>
        </is>
      </c>
      <c r="I1425" t="inlineStr">
        <is>
          <t>Installation labour - 141 panels @ 2.20</t>
        </is>
      </c>
      <c r="J1425" t="n">
        <v>141</v>
      </c>
      <c r="K1425" s="9" t="n">
        <v>310.2</v>
      </c>
      <c r="L1425" t="inlineStr">
        <is>
          <t>PAID</t>
        </is>
      </c>
      <c r="M1425">
        <f>IF(L1425="VOIDED",0,1)</f>
        <v>1</v>
      </c>
      <c r="N1425" t="n">
        <v>200</v>
      </c>
      <c r="O1425" t="inlineStr">
        <is>
          <t>GST on Income</t>
        </is>
      </c>
      <c r="P1425" t="inlineStr">
        <is>
          <t>R07</t>
        </is>
      </c>
      <c r="Q1425" t="inlineStr">
        <is>
          <t>DEL-FP</t>
        </is>
      </c>
      <c r="R1425">
        <f>IF(OR(Q1425="CONTEXT",Q1425="REVIEW"),"",INDEX('Category Rules'!$D$5:$D$17,MATCH(P1425,'Category Rules'!$A$5:$A$17,0)))</f>
        <v>4020</v>
      </c>
      <c r="S1425" t="str">
        <f>IF(Q1425="CONTEXT","Fencing",IF(Q1425="REVIEW","",INDEX('Category Rules'!$E$5:$E$17,MATCH(P1425,'Category Rules'!$A$5:$A$17,0))))</f>
        <v>Fencing</v>
      </c>
      <c r="T1425" t="str">
        <f>IF(Q1425="DEP","BAS Excluded","GST on Income")</f>
        <v>GST on Income</v>
      </c>
      <c r="U1425">
        <f>IF(O1425=T1425,1,0)</f>
        <v>1</v>
      </c>
      <c r="V1425" s="9">
        <f>IF(OR(M1425=0,U1425=1),0,IF(T1425="GST on Income",ROUND(K1425*0.1,2),ROUND(-K1425*0.1,2)))</f>
        <v>0</v>
      </c>
    </row>
    <row r="1426">
      <c r="A1426" t="inlineStr">
        <is>
          <t>INV-5616-1</t>
        </is>
      </c>
      <c r="B1426" t="inlineStr">
        <is>
          <t>INV-5616</t>
        </is>
      </c>
      <c r="C1426" s="11" t="n">
        <v>46050</v>
      </c>
      <c r="D1426" t="inlineStr">
        <is>
          <t>2026-01</t>
        </is>
      </c>
      <c r="E1426" t="inlineStr">
        <is>
          <t>C0128</t>
        </is>
      </c>
      <c r="F1426" t="inlineStr">
        <is>
          <t>C0115</t>
        </is>
      </c>
      <c r="G1426" t="inlineStr">
        <is>
          <t>Arjun Smith</t>
        </is>
      </c>
      <c r="H1426" t="inlineStr">
        <is>
          <t>S0388</t>
        </is>
      </c>
      <c r="I1426" t="inlineStr">
        <is>
          <t>Roof repair labour - 4 hrs</t>
        </is>
      </c>
      <c r="J1426" t="n">
        <v>4</v>
      </c>
      <c r="K1426" s="9" t="n">
        <v>392</v>
      </c>
      <c r="L1426" t="inlineStr">
        <is>
          <t>PAID</t>
        </is>
      </c>
      <c r="M1426">
        <f>IF(L1426="VOIDED",0,1)</f>
        <v>1</v>
      </c>
      <c r="N1426" t="n">
        <v>200</v>
      </c>
      <c r="O1426" t="inlineStr">
        <is>
          <t>GST on Income</t>
        </is>
      </c>
      <c r="P1426" t="inlineStr">
        <is>
          <t>R10</t>
        </is>
      </c>
      <c r="Q1426" t="inlineStr">
        <is>
          <t>LAB-RF</t>
        </is>
      </c>
      <c r="R1426">
        <f>IF(OR(Q1426="CONTEXT",Q1426="REVIEW"),"",INDEX('Category Rules'!$D$5:$D$17,MATCH(P1426,'Category Rules'!$A$5:$A$17,0)))</f>
        <v>4020</v>
      </c>
      <c r="S1426" t="str">
        <f>IF(Q1426="CONTEXT","Roofing",IF(Q1426="REVIEW","",INDEX('Category Rules'!$E$5:$E$17,MATCH(P1426,'Category Rules'!$A$5:$A$17,0))))</f>
        <v>Roofing</v>
      </c>
      <c r="T1426" t="str">
        <f>IF(Q1426="DEP","BAS Excluded","GST on Income")</f>
        <v>GST on Income</v>
      </c>
      <c r="U1426">
        <f>IF(O1426=T1426,1,0)</f>
        <v>1</v>
      </c>
      <c r="V1426" s="9">
        <f>IF(OR(M1426=0,U1426=1),0,IF(T1426="GST on Income",ROUND(K1426*0.1,2),ROUND(-K1426*0.1,2)))</f>
        <v>0</v>
      </c>
    </row>
    <row r="1427">
      <c r="A1427" t="inlineStr">
        <is>
          <t>INV-5616-2</t>
        </is>
      </c>
      <c r="B1427" t="inlineStr">
        <is>
          <t>INV-5616</t>
        </is>
      </c>
      <c r="C1427" s="11" t="n">
        <v>46050</v>
      </c>
      <c r="D1427" t="inlineStr">
        <is>
          <t>2026-01</t>
        </is>
      </c>
      <c r="E1427" t="inlineStr">
        <is>
          <t>C0128</t>
        </is>
      </c>
      <c r="F1427" t="inlineStr">
        <is>
          <t>C0115</t>
        </is>
      </c>
      <c r="G1427" t="inlineStr">
        <is>
          <t>Arjun Smith</t>
        </is>
      </c>
      <c r="H1427" t="inlineStr">
        <is>
          <t>S0388</t>
        </is>
      </c>
      <c r="I1427" t="inlineStr">
        <is>
          <t>Materials - flashing</t>
        </is>
      </c>
      <c r="J1427" t="n">
        <v>1</v>
      </c>
      <c r="K1427" s="9" t="n">
        <v>767.66</v>
      </c>
      <c r="L1427" t="inlineStr">
        <is>
          <t>PAID</t>
        </is>
      </c>
      <c r="M1427">
        <f>IF(L1427="VOIDED",0,1)</f>
        <v>1</v>
      </c>
      <c r="N1427" t="n">
        <v>200</v>
      </c>
      <c r="O1427" t="inlineStr">
        <is>
          <t>GST on Income</t>
        </is>
      </c>
      <c r="P1427" t="inlineStr">
        <is>
          <t>R11</t>
        </is>
      </c>
      <c r="Q1427" t="inlineStr">
        <is>
          <t>MAT-RF</t>
        </is>
      </c>
      <c r="R1427">
        <f>IF(OR(Q1427="CONTEXT",Q1427="REVIEW"),"",INDEX('Category Rules'!$D$5:$D$17,MATCH(P1427,'Category Rules'!$A$5:$A$17,0)))</f>
        <v>4030</v>
      </c>
      <c r="S1427" t="str">
        <f>IF(Q1427="CONTEXT","Roofing",IF(Q1427="REVIEW","",INDEX('Category Rules'!$E$5:$E$17,MATCH(P1427,'Category Rules'!$A$5:$A$17,0))))</f>
        <v>Roofing</v>
      </c>
      <c r="T1427" t="str">
        <f>IF(Q1427="DEP","BAS Excluded","GST on Income")</f>
        <v>GST on Income</v>
      </c>
      <c r="U1427">
        <f>IF(O1427=T1427,1,0)</f>
        <v>1</v>
      </c>
      <c r="V1427" s="9">
        <f>IF(OR(M1427=0,U1427=1),0,IF(T1427="GST on Income",ROUND(K1427*0.1,2),ROUND(-K1427*0.1,2)))</f>
        <v>0</v>
      </c>
    </row>
    <row r="1428">
      <c r="A1428" t="inlineStr">
        <is>
          <t>INV-5616-3</t>
        </is>
      </c>
      <c r="B1428" t="inlineStr">
        <is>
          <t>INV-5616</t>
        </is>
      </c>
      <c r="C1428" s="11" t="n">
        <v>46050</v>
      </c>
      <c r="D1428" t="inlineStr">
        <is>
          <t>2026-01</t>
        </is>
      </c>
      <c r="E1428" t="inlineStr">
        <is>
          <t>C0128</t>
        </is>
      </c>
      <c r="F1428" t="inlineStr">
        <is>
          <t>C0115</t>
        </is>
      </c>
      <c r="G1428" t="inlineStr">
        <is>
          <t>Arjun Smith</t>
        </is>
      </c>
      <c r="H1428" t="inlineStr">
        <is>
          <t>S0388</t>
        </is>
      </c>
      <c r="I1428" t="inlineStr">
        <is>
          <t>Materials - gutter and downpipe</t>
        </is>
      </c>
      <c r="J1428" t="n">
        <v>1</v>
      </c>
      <c r="K1428" s="9" t="n">
        <v>672.3200000000001</v>
      </c>
      <c r="L1428" t="inlineStr">
        <is>
          <t>PAID</t>
        </is>
      </c>
      <c r="M1428">
        <f>IF(L1428="VOIDED",0,1)</f>
        <v>1</v>
      </c>
      <c r="N1428" t="n">
        <v>200</v>
      </c>
      <c r="O1428" t="inlineStr">
        <is>
          <t>GST on Income</t>
        </is>
      </c>
      <c r="P1428" t="inlineStr">
        <is>
          <t>R11</t>
        </is>
      </c>
      <c r="Q1428" t="inlineStr">
        <is>
          <t>MAT-RF</t>
        </is>
      </c>
      <c r="R1428">
        <f>IF(OR(Q1428="CONTEXT",Q1428="REVIEW"),"",INDEX('Category Rules'!$D$5:$D$17,MATCH(P1428,'Category Rules'!$A$5:$A$17,0)))</f>
        <v>4030</v>
      </c>
      <c r="S1428" t="str">
        <f>IF(Q1428="CONTEXT","Roofing",IF(Q1428="REVIEW","",INDEX('Category Rules'!$E$5:$E$17,MATCH(P1428,'Category Rules'!$A$5:$A$17,0))))</f>
        <v>Roofing</v>
      </c>
      <c r="T1428" t="str">
        <f>IF(Q1428="DEP","BAS Excluded","GST on Income")</f>
        <v>GST on Income</v>
      </c>
      <c r="U1428">
        <f>IF(O1428=T1428,1,0)</f>
        <v>1</v>
      </c>
      <c r="V1428" s="9">
        <f>IF(OR(M1428=0,U1428=1),0,IF(T1428="GST on Income",ROUND(K1428*0.1,2),ROUND(-K1428*0.1,2)))</f>
        <v>0</v>
      </c>
    </row>
    <row r="1429">
      <c r="A1429" t="inlineStr">
        <is>
          <t>INV-5616-4</t>
        </is>
      </c>
      <c r="B1429" t="inlineStr">
        <is>
          <t>INV-5616</t>
        </is>
      </c>
      <c r="C1429" s="11" t="n">
        <v>46050</v>
      </c>
      <c r="D1429" t="inlineStr">
        <is>
          <t>2026-01</t>
        </is>
      </c>
      <c r="E1429" t="inlineStr">
        <is>
          <t>C0128</t>
        </is>
      </c>
      <c r="F1429" t="inlineStr">
        <is>
          <t>C0115</t>
        </is>
      </c>
      <c r="G1429" t="inlineStr">
        <is>
          <t>Arjun Smith</t>
        </is>
      </c>
      <c r="H1429" t="inlineStr">
        <is>
          <t>S0388</t>
        </is>
      </c>
      <c r="I1429" t="inlineStr">
        <is>
          <t>Materials - ridge capping</t>
        </is>
      </c>
      <c r="J1429" t="n">
        <v>1</v>
      </c>
      <c r="K1429" s="9" t="n">
        <v>990.64</v>
      </c>
      <c r="L1429" t="inlineStr">
        <is>
          <t>PAID</t>
        </is>
      </c>
      <c r="M1429">
        <f>IF(L1429="VOIDED",0,1)</f>
        <v>1</v>
      </c>
      <c r="N1429" t="n">
        <v>260</v>
      </c>
      <c r="O1429" t="inlineStr">
        <is>
          <t>GST on Income</t>
        </is>
      </c>
      <c r="P1429" t="inlineStr">
        <is>
          <t>R11</t>
        </is>
      </c>
      <c r="Q1429" t="inlineStr">
        <is>
          <t>MAT-RF</t>
        </is>
      </c>
      <c r="R1429">
        <f>IF(OR(Q1429="CONTEXT",Q1429="REVIEW"),"",INDEX('Category Rules'!$D$5:$D$17,MATCH(P1429,'Category Rules'!$A$5:$A$17,0)))</f>
        <v>4030</v>
      </c>
      <c r="S1429" t="str">
        <f>IF(Q1429="CONTEXT","Roofing",IF(Q1429="REVIEW","",INDEX('Category Rules'!$E$5:$E$17,MATCH(P1429,'Category Rules'!$A$5:$A$17,0))))</f>
        <v>Roofing</v>
      </c>
      <c r="T1429" t="str">
        <f>IF(Q1429="DEP","BAS Excluded","GST on Income")</f>
        <v>GST on Income</v>
      </c>
      <c r="U1429">
        <f>IF(O1429=T1429,1,0)</f>
        <v>1</v>
      </c>
      <c r="V1429" s="9">
        <f>IF(OR(M1429=0,U1429=1),0,IF(T1429="GST on Income",ROUND(K1429*0.1,2),ROUND(-K1429*0.1,2)))</f>
        <v>0</v>
      </c>
    </row>
    <row r="1430">
      <c r="A1430" t="inlineStr">
        <is>
          <t>INV-5685-1</t>
        </is>
      </c>
      <c r="B1430" t="inlineStr">
        <is>
          <t>INV-5685</t>
        </is>
      </c>
      <c r="C1430" s="11" t="n">
        <v>46050</v>
      </c>
      <c r="D1430" t="inlineStr">
        <is>
          <t>2026-01</t>
        </is>
      </c>
      <c r="E1430" t="inlineStr">
        <is>
          <t>C0066</t>
        </is>
      </c>
      <c r="F1430" t="inlineStr">
        <is>
          <t>C0066</t>
        </is>
      </c>
      <c r="G1430" t="inlineStr">
        <is>
          <t>Northgate Insurance Repairs</t>
        </is>
      </c>
      <c r="H1430" t="inlineStr">
        <is>
          <t>S0426</t>
        </is>
      </c>
      <c r="I1430" t="inlineStr">
        <is>
          <t>Roof repair labour - 6 hrs</t>
        </is>
      </c>
      <c r="J1430" t="n">
        <v>6</v>
      </c>
      <c r="K1430" s="9" t="n">
        <v>588</v>
      </c>
      <c r="L1430" t="inlineStr">
        <is>
          <t>PAID</t>
        </is>
      </c>
      <c r="M1430">
        <f>IF(L1430="VOIDED",0,1)</f>
        <v>1</v>
      </c>
      <c r="N1430" t="n">
        <v>200</v>
      </c>
      <c r="O1430" t="inlineStr">
        <is>
          <t>GST on Income</t>
        </is>
      </c>
      <c r="P1430" t="inlineStr">
        <is>
          <t>R10</t>
        </is>
      </c>
      <c r="Q1430" t="inlineStr">
        <is>
          <t>LAB-RF</t>
        </is>
      </c>
      <c r="R1430">
        <f>IF(OR(Q1430="CONTEXT",Q1430="REVIEW"),"",INDEX('Category Rules'!$D$5:$D$17,MATCH(P1430,'Category Rules'!$A$5:$A$17,0)))</f>
        <v>4020</v>
      </c>
      <c r="S1430" t="str">
        <f>IF(Q1430="CONTEXT","Roofing",IF(Q1430="REVIEW","",INDEX('Category Rules'!$E$5:$E$17,MATCH(P1430,'Category Rules'!$A$5:$A$17,0))))</f>
        <v>Roofing</v>
      </c>
      <c r="T1430" t="str">
        <f>IF(Q1430="DEP","BAS Excluded","GST on Income")</f>
        <v>GST on Income</v>
      </c>
      <c r="U1430">
        <f>IF(O1430=T1430,1,0)</f>
        <v>1</v>
      </c>
      <c r="V1430" s="9">
        <f>IF(OR(M1430=0,U1430=1),0,IF(T1430="GST on Income",ROUND(K1430*0.1,2),ROUND(-K1430*0.1,2)))</f>
        <v>0</v>
      </c>
    </row>
    <row r="1431">
      <c r="A1431" t="inlineStr">
        <is>
          <t>INV-5685-2</t>
        </is>
      </c>
      <c r="B1431" t="inlineStr">
        <is>
          <t>INV-5685</t>
        </is>
      </c>
      <c r="C1431" s="11" t="n">
        <v>46050</v>
      </c>
      <c r="D1431" t="inlineStr">
        <is>
          <t>2026-01</t>
        </is>
      </c>
      <c r="E1431" t="inlineStr">
        <is>
          <t>C0066</t>
        </is>
      </c>
      <c r="F1431" t="inlineStr">
        <is>
          <t>C0066</t>
        </is>
      </c>
      <c r="G1431" t="inlineStr">
        <is>
          <t>Northgate Insurance Repairs</t>
        </is>
      </c>
      <c r="H1431" t="inlineStr">
        <is>
          <t>S0426</t>
        </is>
      </c>
      <c r="I1431" t="inlineStr">
        <is>
          <t>Materials - flashing</t>
        </is>
      </c>
      <c r="J1431" t="n">
        <v>1</v>
      </c>
      <c r="K1431" s="9" t="n">
        <v>1009.01</v>
      </c>
      <c r="L1431" t="inlineStr">
        <is>
          <t>PAID</t>
        </is>
      </c>
      <c r="M1431">
        <f>IF(L1431="VOIDED",0,1)</f>
        <v>1</v>
      </c>
      <c r="N1431" t="n">
        <v>200</v>
      </c>
      <c r="O1431" t="inlineStr">
        <is>
          <t>GST on Income</t>
        </is>
      </c>
      <c r="P1431" t="inlineStr">
        <is>
          <t>R11</t>
        </is>
      </c>
      <c r="Q1431" t="inlineStr">
        <is>
          <t>MAT-RF</t>
        </is>
      </c>
      <c r="R1431">
        <f>IF(OR(Q1431="CONTEXT",Q1431="REVIEW"),"",INDEX('Category Rules'!$D$5:$D$17,MATCH(P1431,'Category Rules'!$A$5:$A$17,0)))</f>
        <v>4030</v>
      </c>
      <c r="S1431" t="str">
        <f>IF(Q1431="CONTEXT","Roofing",IF(Q1431="REVIEW","",INDEX('Category Rules'!$E$5:$E$17,MATCH(P1431,'Category Rules'!$A$5:$A$17,0))))</f>
        <v>Roofing</v>
      </c>
      <c r="T1431" t="str">
        <f>IF(Q1431="DEP","BAS Excluded","GST on Income")</f>
        <v>GST on Income</v>
      </c>
      <c r="U1431">
        <f>IF(O1431=T1431,1,0)</f>
        <v>1</v>
      </c>
      <c r="V1431" s="9">
        <f>IF(OR(M1431=0,U1431=1),0,IF(T1431="GST on Income",ROUND(K1431*0.1,2),ROUND(-K1431*0.1,2)))</f>
        <v>0</v>
      </c>
    </row>
    <row r="1432">
      <c r="A1432" t="inlineStr">
        <is>
          <t>INV-5685-3</t>
        </is>
      </c>
      <c r="B1432" t="inlineStr">
        <is>
          <t>INV-5685</t>
        </is>
      </c>
      <c r="C1432" s="11" t="n">
        <v>46050</v>
      </c>
      <c r="D1432" t="inlineStr">
        <is>
          <t>2026-01</t>
        </is>
      </c>
      <c r="E1432" t="inlineStr">
        <is>
          <t>C0066</t>
        </is>
      </c>
      <c r="F1432" t="inlineStr">
        <is>
          <t>C0066</t>
        </is>
      </c>
      <c r="G1432" t="inlineStr">
        <is>
          <t>Northgate Insurance Repairs</t>
        </is>
      </c>
      <c r="H1432" t="inlineStr">
        <is>
          <t>S0426</t>
        </is>
      </c>
      <c r="I1432" t="inlineStr">
        <is>
          <t>Materials - Colorbond sheet</t>
        </is>
      </c>
      <c r="J1432" t="n">
        <v>1</v>
      </c>
      <c r="K1432" s="9" t="n">
        <v>64.06999999999999</v>
      </c>
      <c r="L1432" t="inlineStr">
        <is>
          <t>PAID</t>
        </is>
      </c>
      <c r="M1432">
        <f>IF(L1432="VOIDED",0,1)</f>
        <v>1</v>
      </c>
      <c r="N1432" t="n">
        <v>200</v>
      </c>
      <c r="O1432" t="inlineStr">
        <is>
          <t>GST on Income</t>
        </is>
      </c>
      <c r="P1432" t="inlineStr">
        <is>
          <t>R11</t>
        </is>
      </c>
      <c r="Q1432" t="inlineStr">
        <is>
          <t>MAT-RF</t>
        </is>
      </c>
      <c r="R1432">
        <f>IF(OR(Q1432="CONTEXT",Q1432="REVIEW"),"",INDEX('Category Rules'!$D$5:$D$17,MATCH(P1432,'Category Rules'!$A$5:$A$17,0)))</f>
        <v>4030</v>
      </c>
      <c r="S1432" t="str">
        <f>IF(Q1432="CONTEXT","Roofing",IF(Q1432="REVIEW","",INDEX('Category Rules'!$E$5:$E$17,MATCH(P1432,'Category Rules'!$A$5:$A$17,0))))</f>
        <v>Roofing</v>
      </c>
      <c r="T1432" t="str">
        <f>IF(Q1432="DEP","BAS Excluded","GST on Income")</f>
        <v>GST on Income</v>
      </c>
      <c r="U1432">
        <f>IF(O1432=T1432,1,0)</f>
        <v>1</v>
      </c>
      <c r="V1432" s="9">
        <f>IF(OR(M1432=0,U1432=1),0,IF(T1432="GST on Income",ROUND(K1432*0.1,2),ROUND(-K1432*0.1,2)))</f>
        <v>0</v>
      </c>
    </row>
    <row r="1433">
      <c r="A1433" t="inlineStr">
        <is>
          <t>INV-4871-1</t>
        </is>
      </c>
      <c r="B1433" t="inlineStr">
        <is>
          <t>INV-4871</t>
        </is>
      </c>
      <c r="C1433" s="11" t="n">
        <v>46051</v>
      </c>
      <c r="D1433" t="inlineStr">
        <is>
          <t>2026-01</t>
        </is>
      </c>
      <c r="E1433" t="inlineStr">
        <is>
          <t>C0022</t>
        </is>
      </c>
      <c r="F1433" t="inlineStr">
        <is>
          <t>C0022</t>
        </is>
      </c>
      <c r="G1433" t="inlineStr">
        <is>
          <t>Highpoint Projects</t>
        </is>
      </c>
      <c r="H1433" t="inlineStr">
        <is>
          <t>S0162</t>
        </is>
      </c>
      <c r="I1433" t="inlineStr">
        <is>
          <t>Delivery and installation - temporary fencing</t>
        </is>
      </c>
      <c r="J1433" t="n">
        <v>1</v>
      </c>
      <c r="K1433" s="9" t="n">
        <v>165</v>
      </c>
      <c r="L1433" t="inlineStr">
        <is>
          <t>PAID</t>
        </is>
      </c>
      <c r="M1433">
        <f>IF(L1433="VOIDED",0,1)</f>
        <v>1</v>
      </c>
      <c r="N1433" t="n">
        <v>200</v>
      </c>
      <c r="O1433" t="inlineStr">
        <is>
          <t>GST on Income</t>
        </is>
      </c>
      <c r="P1433" t="inlineStr">
        <is>
          <t>R07</t>
        </is>
      </c>
      <c r="Q1433" t="inlineStr">
        <is>
          <t>DEL-FP</t>
        </is>
      </c>
      <c r="R1433">
        <f>IF(OR(Q1433="CONTEXT",Q1433="REVIEW"),"",INDEX('Category Rules'!$D$5:$D$17,MATCH(P1433,'Category Rules'!$A$5:$A$17,0)))</f>
        <v>4020</v>
      </c>
      <c r="S1433" t="str">
        <f>IF(Q1433="CONTEXT","Fencing",IF(Q1433="REVIEW","",INDEX('Category Rules'!$E$5:$E$17,MATCH(P1433,'Category Rules'!$A$5:$A$17,0))))</f>
        <v>Fencing</v>
      </c>
      <c r="T1433" t="str">
        <f>IF(Q1433="DEP","BAS Excluded","GST on Income")</f>
        <v>GST on Income</v>
      </c>
      <c r="U1433">
        <f>IF(O1433=T1433,1,0)</f>
        <v>1</v>
      </c>
      <c r="V1433" s="9">
        <f>IF(OR(M1433=0,U1433=1),0,IF(T1433="GST on Income",ROUND(K1433*0.1,2),ROUND(-K1433*0.1,2)))</f>
        <v>0</v>
      </c>
    </row>
    <row r="1434">
      <c r="A1434" t="inlineStr">
        <is>
          <t>INV-4871-2</t>
        </is>
      </c>
      <c r="B1434" t="inlineStr">
        <is>
          <t>INV-4871</t>
        </is>
      </c>
      <c r="C1434" s="11" t="n">
        <v>46051</v>
      </c>
      <c r="D1434" t="inlineStr">
        <is>
          <t>2026-01</t>
        </is>
      </c>
      <c r="E1434" t="inlineStr">
        <is>
          <t>C0022</t>
        </is>
      </c>
      <c r="F1434" t="inlineStr">
        <is>
          <t>C0022</t>
        </is>
      </c>
      <c r="G1434" t="inlineStr">
        <is>
          <t>Highpoint Projects</t>
        </is>
      </c>
      <c r="H1434" t="inlineStr">
        <is>
          <t>S0162</t>
        </is>
      </c>
      <c r="I1434" t="inlineStr">
        <is>
          <t>Installation labour - 100 panels @ 2.20</t>
        </is>
      </c>
      <c r="J1434" t="n">
        <v>100</v>
      </c>
      <c r="K1434" s="9" t="n">
        <v>220</v>
      </c>
      <c r="L1434" t="inlineStr">
        <is>
          <t>PAID</t>
        </is>
      </c>
      <c r="M1434">
        <f>IF(L1434="VOIDED",0,1)</f>
        <v>1</v>
      </c>
      <c r="N1434" t="n">
        <v>200</v>
      </c>
      <c r="O1434" t="inlineStr">
        <is>
          <t>GST on Income</t>
        </is>
      </c>
      <c r="P1434" t="inlineStr">
        <is>
          <t>R07</t>
        </is>
      </c>
      <c r="Q1434" t="inlineStr">
        <is>
          <t>DEL-FP</t>
        </is>
      </c>
      <c r="R1434">
        <f>IF(OR(Q1434="CONTEXT",Q1434="REVIEW"),"",INDEX('Category Rules'!$D$5:$D$17,MATCH(P1434,'Category Rules'!$A$5:$A$17,0)))</f>
        <v>4020</v>
      </c>
      <c r="S1434" t="str">
        <f>IF(Q1434="CONTEXT","Fencing",IF(Q1434="REVIEW","",INDEX('Category Rules'!$E$5:$E$17,MATCH(P1434,'Category Rules'!$A$5:$A$17,0))))</f>
        <v>Fencing</v>
      </c>
      <c r="T1434" t="str">
        <f>IF(Q1434="DEP","BAS Excluded","GST on Income")</f>
        <v>GST on Income</v>
      </c>
      <c r="U1434">
        <f>IF(O1434=T1434,1,0)</f>
        <v>1</v>
      </c>
      <c r="V1434" s="9">
        <f>IF(OR(M1434=0,U1434=1),0,IF(T1434="GST on Income",ROUND(K1434*0.1,2),ROUND(-K1434*0.1,2)))</f>
        <v>0</v>
      </c>
    </row>
    <row r="1435">
      <c r="A1435" t="inlineStr">
        <is>
          <t>INV-5192-1</t>
        </is>
      </c>
      <c r="B1435" t="inlineStr">
        <is>
          <t>INV-5192</t>
        </is>
      </c>
      <c r="C1435" s="11" t="n">
        <v>46051</v>
      </c>
      <c r="D1435" t="inlineStr">
        <is>
          <t>2026-01</t>
        </is>
      </c>
      <c r="E1435" t="inlineStr">
        <is>
          <t>C0148</t>
        </is>
      </c>
      <c r="F1435" t="inlineStr">
        <is>
          <t>C0042</t>
        </is>
      </c>
      <c r="G1435" t="inlineStr">
        <is>
          <t>Lakeside Constructions Pty Ltd</t>
        </is>
      </c>
      <c r="H1435" t="inlineStr">
        <is>
          <t>S0233</t>
        </is>
      </c>
      <c r="I1435" t="inlineStr">
        <is>
          <t>Scaffold tower hire 4 wks (01/01/26-28/01/26) - 2 towers</t>
        </is>
      </c>
      <c r="J1435" t="n">
        <v>8</v>
      </c>
      <c r="K1435" s="9" t="n">
        <v>760</v>
      </c>
      <c r="L1435" t="inlineStr">
        <is>
          <t>PAID</t>
        </is>
      </c>
      <c r="M1435">
        <f>IF(L1435="VOIDED",0,1)</f>
        <v>1</v>
      </c>
      <c r="N1435" t="n">
        <v>200</v>
      </c>
      <c r="O1435" t="inlineStr">
        <is>
          <t>GST on Income</t>
        </is>
      </c>
      <c r="P1435" t="inlineStr">
        <is>
          <t>R05</t>
        </is>
      </c>
      <c r="Q1435" t="inlineStr">
        <is>
          <t>HIRE-ST</t>
        </is>
      </c>
      <c r="R1435">
        <f>IF(OR(Q1435="CONTEXT",Q1435="REVIEW"),"",INDEX('Category Rules'!$D$5:$D$17,MATCH(P1435,'Category Rules'!$A$5:$A$17,0)))</f>
        <v>4010</v>
      </c>
      <c r="S1435" t="str">
        <f>IF(Q1435="CONTEXT","Scaffolding",IF(Q1435="REVIEW","",INDEX('Category Rules'!$E$5:$E$17,MATCH(P1435,'Category Rules'!$A$5:$A$17,0))))</f>
        <v>Scaffolding</v>
      </c>
      <c r="T1435" t="str">
        <f>IF(Q1435="DEP","BAS Excluded","GST on Income")</f>
        <v>GST on Income</v>
      </c>
      <c r="U1435">
        <f>IF(O1435=T1435,1,0)</f>
        <v>1</v>
      </c>
      <c r="V1435" s="9">
        <f>IF(OR(M1435=0,U1435=1),0,IF(T1435="GST on Income",ROUND(K1435*0.1,2),ROUND(-K1435*0.1,2)))</f>
        <v>0</v>
      </c>
    </row>
    <row r="1436">
      <c r="A1436" t="inlineStr">
        <is>
          <t>INV-5194-1</t>
        </is>
      </c>
      <c r="B1436" t="inlineStr">
        <is>
          <t>INV-5194</t>
        </is>
      </c>
      <c r="C1436" s="11" t="n">
        <v>46052</v>
      </c>
      <c r="D1436" t="inlineStr">
        <is>
          <t>2026-01</t>
        </is>
      </c>
      <c r="E1436" t="inlineStr">
        <is>
          <t>C0148</t>
        </is>
      </c>
      <c r="F1436" t="inlineStr">
        <is>
          <t>C0042</t>
        </is>
      </c>
      <c r="G1436" t="inlineStr">
        <is>
          <t>Lakeside Constructions Pty Ltd</t>
        </is>
      </c>
      <c r="H1436" t="inlineStr">
        <is>
          <t>S0233</t>
        </is>
      </c>
      <c r="I1436" t="inlineStr">
        <is>
          <t>Scaffold dismantle - 2 tower(s)</t>
        </is>
      </c>
      <c r="J1436" t="n">
        <v>2</v>
      </c>
      <c r="K1436" s="9" t="n">
        <v>640</v>
      </c>
      <c r="L1436" t="inlineStr">
        <is>
          <t>PAID</t>
        </is>
      </c>
      <c r="M1436">
        <f>IF(L1436="VOIDED",0,1)</f>
        <v>1</v>
      </c>
      <c r="N1436" t="n">
        <v>200</v>
      </c>
      <c r="O1436" t="inlineStr">
        <is>
          <t>GST on Income</t>
        </is>
      </c>
      <c r="P1436" t="inlineStr">
        <is>
          <t>R08</t>
        </is>
      </c>
      <c r="Q1436" t="inlineStr">
        <is>
          <t>LAB-ST</t>
        </is>
      </c>
      <c r="R1436">
        <f>IF(OR(Q1436="CONTEXT",Q1436="REVIEW"),"",INDEX('Category Rules'!$D$5:$D$17,MATCH(P1436,'Category Rules'!$A$5:$A$17,0)))</f>
        <v>4020</v>
      </c>
      <c r="S1436" t="str">
        <f>IF(Q1436="CONTEXT","Scaffolding",IF(Q1436="REVIEW","",INDEX('Category Rules'!$E$5:$E$17,MATCH(P1436,'Category Rules'!$A$5:$A$17,0))))</f>
        <v>Scaffolding</v>
      </c>
      <c r="T1436" t="str">
        <f>IF(Q1436="DEP","BAS Excluded","GST on Income")</f>
        <v>GST on Income</v>
      </c>
      <c r="U1436">
        <f>IF(O1436=T1436,1,0)</f>
        <v>1</v>
      </c>
      <c r="V1436" s="9">
        <f>IF(OR(M1436=0,U1436=1),0,IF(T1436="GST on Income",ROUND(K1436*0.1,2),ROUND(-K1436*0.1,2)))</f>
        <v>0</v>
      </c>
    </row>
    <row r="1437">
      <c r="A1437" t="inlineStr">
        <is>
          <t>INV-5719-1</t>
        </is>
      </c>
      <c r="B1437" t="inlineStr">
        <is>
          <t>INV-5719</t>
        </is>
      </c>
      <c r="C1437" s="11" t="n">
        <v>46052</v>
      </c>
      <c r="D1437" t="inlineStr">
        <is>
          <t>2026-01</t>
        </is>
      </c>
      <c r="E1437" t="inlineStr">
        <is>
          <t>C0068</t>
        </is>
      </c>
      <c r="F1437" t="inlineStr">
        <is>
          <t>C0068</t>
        </is>
      </c>
      <c r="G1437" t="inlineStr">
        <is>
          <t>Coastline Claims Services</t>
        </is>
      </c>
      <c r="H1437" t="inlineStr">
        <is>
          <t>S0445</t>
        </is>
      </c>
      <c r="I1437" t="inlineStr">
        <is>
          <t>Tarp kit hire 3 wks (15/01/26-29/01/26) - 2 kits</t>
        </is>
      </c>
      <c r="J1437" t="n">
        <v>6</v>
      </c>
      <c r="K1437" s="9" t="n">
        <v>210</v>
      </c>
      <c r="L1437" t="inlineStr">
        <is>
          <t>PAID</t>
        </is>
      </c>
      <c r="M1437">
        <f>IF(L1437="VOIDED",0,1)</f>
        <v>1</v>
      </c>
      <c r="N1437" t="n">
        <v>200</v>
      </c>
      <c r="O1437" t="inlineStr">
        <is>
          <t>GST on Income</t>
        </is>
      </c>
      <c r="P1437" t="inlineStr">
        <is>
          <t>R06</t>
        </is>
      </c>
      <c r="Q1437" t="inlineStr">
        <is>
          <t>HIRE-TK</t>
        </is>
      </c>
      <c r="R1437">
        <f>IF(OR(Q1437="CONTEXT",Q1437="REVIEW"),"",INDEX('Category Rules'!$D$5:$D$17,MATCH(P1437,'Category Rules'!$A$5:$A$17,0)))</f>
        <v>4010</v>
      </c>
      <c r="S1437" t="str">
        <f>IF(Q1437="CONTEXT","Make-safe",IF(Q1437="REVIEW","",INDEX('Category Rules'!$E$5:$E$17,MATCH(P1437,'Category Rules'!$A$5:$A$17,0))))</f>
        <v>Make-safe</v>
      </c>
      <c r="T1437" t="str">
        <f>IF(Q1437="DEP","BAS Excluded","GST on Income")</f>
        <v>GST on Income</v>
      </c>
      <c r="U1437">
        <f>IF(O1437=T1437,1,0)</f>
        <v>1</v>
      </c>
      <c r="V1437" s="9">
        <f>IF(OR(M1437=0,U1437=1),0,IF(T1437="GST on Income",ROUND(K1437*0.1,2),ROUND(-K1437*0.1,2)))</f>
        <v>0</v>
      </c>
    </row>
    <row r="1438">
      <c r="A1438" t="inlineStr">
        <is>
          <t>CN-5945-1</t>
        </is>
      </c>
      <c r="B1438" t="inlineStr">
        <is>
          <t>CN-5945</t>
        </is>
      </c>
      <c r="C1438" s="11" t="n">
        <v>46053</v>
      </c>
      <c r="D1438" t="inlineStr">
        <is>
          <t>2026-01</t>
        </is>
      </c>
      <c r="E1438" t="inlineStr">
        <is>
          <t>C0014</t>
        </is>
      </c>
      <c r="F1438" t="inlineStr">
        <is>
          <t>C0014</t>
        </is>
      </c>
      <c r="G1438" t="inlineStr">
        <is>
          <t>Riverbend Homes Pty Ltd</t>
        </is>
      </c>
      <c r="H1438" t="inlineStr">
        <is>
          <t>S0009</t>
        </is>
      </c>
      <c r="I1438" t="inlineStr">
        <is>
          <t>Refund of security deposit - fence panels</t>
        </is>
      </c>
      <c r="J1438" t="n">
        <v>1</v>
      </c>
      <c r="K1438" s="9" t="n">
        <v>-580</v>
      </c>
      <c r="L1438" t="inlineStr">
        <is>
          <t>PAID</t>
        </is>
      </c>
      <c r="M1438">
        <f>IF(L1438="VOIDED",0,1)</f>
        <v>1</v>
      </c>
      <c r="N1438" t="n">
        <v>200</v>
      </c>
      <c r="O1438" t="inlineStr">
        <is>
          <t>GST on Income</t>
        </is>
      </c>
      <c r="P1438" t="inlineStr">
        <is>
          <t>R01</t>
        </is>
      </c>
      <c r="Q1438" t="inlineStr">
        <is>
          <t>DEP</t>
        </is>
      </c>
      <c r="R1438">
        <f>IF(OR(Q1438="CONTEXT",Q1438="REVIEW"),"",INDEX('Category Rules'!$D$5:$D$17,MATCH(P1438,'Category Rules'!$A$5:$A$17,0)))</f>
        <v>835</v>
      </c>
      <c r="S1438" t="str">
        <f>IF(Q1438="CONTEXT","Fencing",IF(Q1438="REVIEW","",INDEX('Category Rules'!$E$5:$E$17,MATCH(P1438,'Category Rules'!$A$5:$A$17,0))))</f>
        <v>Fencing</v>
      </c>
      <c r="T1438" t="str">
        <f>IF(Q1438="DEP","BAS Excluded","GST on Income")</f>
        <v>BAS Excluded</v>
      </c>
      <c r="U1438">
        <f>IF(O1438=T1438,1,0)</f>
        <v>0</v>
      </c>
      <c r="V1438" s="9">
        <f>IF(OR(M1438=0,U1438=1),0,IF(T1438="GST on Income",ROUND(K1438*0.1,2),ROUND(-K1438*0.1,2)))</f>
        <v>58</v>
      </c>
    </row>
    <row r="1439">
      <c r="A1439" t="inlineStr">
        <is>
          <t>INV-4383-1</t>
        </is>
      </c>
      <c r="B1439" t="inlineStr">
        <is>
          <t>INV-4383</t>
        </is>
      </c>
      <c r="C1439" s="11" t="n">
        <v>46053</v>
      </c>
      <c r="D1439" t="inlineStr">
        <is>
          <t>2026-01</t>
        </is>
      </c>
      <c r="E1439" t="inlineStr">
        <is>
          <t>C0022</t>
        </is>
      </c>
      <c r="F1439" t="inlineStr">
        <is>
          <t>C0022</t>
        </is>
      </c>
      <c r="G1439" t="inlineStr">
        <is>
          <t>Highpoint Projects</t>
        </is>
      </c>
      <c r="H1439" t="inlineStr">
        <is>
          <t>S0057</t>
        </is>
      </c>
      <c r="I1439" t="inlineStr">
        <is>
          <t>Delivery and installation - temporary fencing</t>
        </is>
      </c>
      <c r="J1439" t="n">
        <v>1</v>
      </c>
      <c r="K1439" s="9" t="n">
        <v>165</v>
      </c>
      <c r="L1439" t="inlineStr">
        <is>
          <t>PAID</t>
        </is>
      </c>
      <c r="M1439">
        <f>IF(L1439="VOIDED",0,1)</f>
        <v>1</v>
      </c>
      <c r="N1439" t="n">
        <v>200</v>
      </c>
      <c r="O1439" t="inlineStr">
        <is>
          <t>GST on Income</t>
        </is>
      </c>
      <c r="P1439" t="inlineStr">
        <is>
          <t>R07</t>
        </is>
      </c>
      <c r="Q1439" t="inlineStr">
        <is>
          <t>DEL-FP</t>
        </is>
      </c>
      <c r="R1439">
        <f>IF(OR(Q1439="CONTEXT",Q1439="REVIEW"),"",INDEX('Category Rules'!$D$5:$D$17,MATCH(P1439,'Category Rules'!$A$5:$A$17,0)))</f>
        <v>4020</v>
      </c>
      <c r="S1439" t="str">
        <f>IF(Q1439="CONTEXT","Fencing",IF(Q1439="REVIEW","",INDEX('Category Rules'!$E$5:$E$17,MATCH(P1439,'Category Rules'!$A$5:$A$17,0))))</f>
        <v>Fencing</v>
      </c>
      <c r="T1439" t="str">
        <f>IF(Q1439="DEP","BAS Excluded","GST on Income")</f>
        <v>GST on Income</v>
      </c>
      <c r="U1439">
        <f>IF(O1439=T1439,1,0)</f>
        <v>1</v>
      </c>
      <c r="V1439" s="9">
        <f>IF(OR(M1439=0,U1439=1),0,IF(T1439="GST on Income",ROUND(K1439*0.1,2),ROUND(-K1439*0.1,2)))</f>
        <v>0</v>
      </c>
    </row>
    <row r="1440">
      <c r="A1440" t="inlineStr">
        <is>
          <t>INV-4383-2</t>
        </is>
      </c>
      <c r="B1440" t="inlineStr">
        <is>
          <t>INV-4383</t>
        </is>
      </c>
      <c r="C1440" s="11" t="n">
        <v>46053</v>
      </c>
      <c r="D1440" t="inlineStr">
        <is>
          <t>2026-01</t>
        </is>
      </c>
      <c r="E1440" t="inlineStr">
        <is>
          <t>C0022</t>
        </is>
      </c>
      <c r="F1440" t="inlineStr">
        <is>
          <t>C0022</t>
        </is>
      </c>
      <c r="G1440" t="inlineStr">
        <is>
          <t>Highpoint Projects</t>
        </is>
      </c>
      <c r="H1440" t="inlineStr">
        <is>
          <t>S0057</t>
        </is>
      </c>
      <c r="I1440" t="inlineStr">
        <is>
          <t>Installation labour - 133 panels @ 2.20</t>
        </is>
      </c>
      <c r="J1440" t="n">
        <v>133</v>
      </c>
      <c r="K1440" s="9" t="n">
        <v>292.6</v>
      </c>
      <c r="L1440" t="inlineStr">
        <is>
          <t>PAID</t>
        </is>
      </c>
      <c r="M1440">
        <f>IF(L1440="VOIDED",0,1)</f>
        <v>1</v>
      </c>
      <c r="N1440" t="n">
        <v>200</v>
      </c>
      <c r="O1440" t="inlineStr">
        <is>
          <t>GST on Income</t>
        </is>
      </c>
      <c r="P1440" t="inlineStr">
        <is>
          <t>R07</t>
        </is>
      </c>
      <c r="Q1440" t="inlineStr">
        <is>
          <t>DEL-FP</t>
        </is>
      </c>
      <c r="R1440">
        <f>IF(OR(Q1440="CONTEXT",Q1440="REVIEW"),"",INDEX('Category Rules'!$D$5:$D$17,MATCH(P1440,'Category Rules'!$A$5:$A$17,0)))</f>
        <v>4020</v>
      </c>
      <c r="S1440" t="str">
        <f>IF(Q1440="CONTEXT","Fencing",IF(Q1440="REVIEW","",INDEX('Category Rules'!$E$5:$E$17,MATCH(P1440,'Category Rules'!$A$5:$A$17,0))))</f>
        <v>Fencing</v>
      </c>
      <c r="T1440" t="str">
        <f>IF(Q1440="DEP","BAS Excluded","GST on Income")</f>
        <v>GST on Income</v>
      </c>
      <c r="U1440">
        <f>IF(O1440=T1440,1,0)</f>
        <v>1</v>
      </c>
      <c r="V1440" s="9">
        <f>IF(OR(M1440=0,U1440=1),0,IF(T1440="GST on Income",ROUND(K1440*0.1,2),ROUND(-K1440*0.1,2)))</f>
        <v>0</v>
      </c>
    </row>
    <row r="1441">
      <c r="A1441" t="inlineStr">
        <is>
          <t>INV-4882-1</t>
        </is>
      </c>
      <c r="B1441" t="inlineStr">
        <is>
          <t>INV-4882</t>
        </is>
      </c>
      <c r="C1441" s="11" t="n">
        <v>46053</v>
      </c>
      <c r="D1441" t="inlineStr">
        <is>
          <t>2026-01</t>
        </is>
      </c>
      <c r="E1441" t="inlineStr">
        <is>
          <t>C0119</t>
        </is>
      </c>
      <c r="F1441" t="inlineStr">
        <is>
          <t>C0119</t>
        </is>
      </c>
      <c r="G1441" t="inlineStr">
        <is>
          <t>Northgate Builders Pty Ltd</t>
        </is>
      </c>
      <c r="H1441" t="inlineStr">
        <is>
          <t>S0165</t>
        </is>
      </c>
      <c r="I1441" t="inlineStr">
        <is>
          <t>Temporary fence hire 4 wks (03/01/26-30/01/26) - 140 panels</t>
        </is>
      </c>
      <c r="J1441" t="n">
        <v>560</v>
      </c>
      <c r="K1441" s="9" t="n">
        <v>2520</v>
      </c>
      <c r="L1441" t="inlineStr">
        <is>
          <t>PAID</t>
        </is>
      </c>
      <c r="M1441">
        <f>IF(L1441="VOIDED",0,1)</f>
        <v>1</v>
      </c>
      <c r="N1441" t="n">
        <v>200</v>
      </c>
      <c r="O1441" t="inlineStr">
        <is>
          <t>GST on Income</t>
        </is>
      </c>
      <c r="P1441" t="inlineStr">
        <is>
          <t>R03</t>
        </is>
      </c>
      <c r="Q1441" t="inlineStr">
        <is>
          <t>HIRE-FP</t>
        </is>
      </c>
      <c r="R1441">
        <f>IF(OR(Q1441="CONTEXT",Q1441="REVIEW"),"",INDEX('Category Rules'!$D$5:$D$17,MATCH(P1441,'Category Rules'!$A$5:$A$17,0)))</f>
        <v>4010</v>
      </c>
      <c r="S1441" t="str">
        <f>IF(Q1441="CONTEXT","Fencing",IF(Q1441="REVIEW","",INDEX('Category Rules'!$E$5:$E$17,MATCH(P1441,'Category Rules'!$A$5:$A$17,0))))</f>
        <v>Fencing</v>
      </c>
      <c r="T1441" t="str">
        <f>IF(Q1441="DEP","BAS Excluded","GST on Income")</f>
        <v>GST on Income</v>
      </c>
      <c r="U1441">
        <f>IF(O1441=T1441,1,0)</f>
        <v>1</v>
      </c>
      <c r="V1441" s="9">
        <f>IF(OR(M1441=0,U1441=1),0,IF(T1441="GST on Income",ROUND(K1441*0.1,2),ROUND(-K1441*0.1,2)))</f>
        <v>0</v>
      </c>
    </row>
    <row r="1442">
      <c r="A1442" t="inlineStr">
        <is>
          <t>INV-5001-1</t>
        </is>
      </c>
      <c r="B1442" t="inlineStr">
        <is>
          <t>INV-5001</t>
        </is>
      </c>
      <c r="C1442" s="11" t="n">
        <v>46053</v>
      </c>
      <c r="D1442" t="inlineStr">
        <is>
          <t>2026-01</t>
        </is>
      </c>
      <c r="E1442" t="inlineStr">
        <is>
          <t>C0022</t>
        </is>
      </c>
      <c r="F1442" t="inlineStr">
        <is>
          <t>C0022</t>
        </is>
      </c>
      <c r="G1442" t="inlineStr">
        <is>
          <t>Highpoint Projects</t>
        </is>
      </c>
      <c r="H1442" t="inlineStr">
        <is>
          <t>S0195</t>
        </is>
      </c>
      <c r="I1442" t="inlineStr">
        <is>
          <t>Temporary fence hire 4 wks (03/01/26-30/01/26) - 26 panels</t>
        </is>
      </c>
      <c r="J1442" t="n">
        <v>104</v>
      </c>
      <c r="K1442" s="9" t="n">
        <v>468</v>
      </c>
      <c r="L1442" t="inlineStr">
        <is>
          <t>PAID</t>
        </is>
      </c>
      <c r="M1442">
        <f>IF(L1442="VOIDED",0,1)</f>
        <v>1</v>
      </c>
      <c r="N1442" t="n">
        <v>260</v>
      </c>
      <c r="O1442" t="inlineStr">
        <is>
          <t>GST on Income</t>
        </is>
      </c>
      <c r="P1442" t="inlineStr">
        <is>
          <t>R03</t>
        </is>
      </c>
      <c r="Q1442" t="inlineStr">
        <is>
          <t>HIRE-FP</t>
        </is>
      </c>
      <c r="R1442">
        <f>IF(OR(Q1442="CONTEXT",Q1442="REVIEW"),"",INDEX('Category Rules'!$D$5:$D$17,MATCH(P1442,'Category Rules'!$A$5:$A$17,0)))</f>
        <v>4010</v>
      </c>
      <c r="S1442" t="str">
        <f>IF(Q1442="CONTEXT","Fencing",IF(Q1442="REVIEW","",INDEX('Category Rules'!$E$5:$E$17,MATCH(P1442,'Category Rules'!$A$5:$A$17,0))))</f>
        <v>Fencing</v>
      </c>
      <c r="T1442" t="str">
        <f>IF(Q1442="DEP","BAS Excluded","GST on Income")</f>
        <v>GST on Income</v>
      </c>
      <c r="U1442">
        <f>IF(O1442=T1442,1,0)</f>
        <v>1</v>
      </c>
      <c r="V1442" s="9">
        <f>IF(OR(M1442=0,U1442=1),0,IF(T1442="GST on Income",ROUND(K1442*0.1,2),ROUND(-K1442*0.1,2)))</f>
        <v>0</v>
      </c>
    </row>
    <row r="1443">
      <c r="A1443" t="inlineStr">
        <is>
          <t>INV-5812-1</t>
        </is>
      </c>
      <c r="B1443" t="inlineStr">
        <is>
          <t>INV-5812</t>
        </is>
      </c>
      <c r="C1443" s="11" t="n">
        <v>46053</v>
      </c>
      <c r="D1443" t="inlineStr">
        <is>
          <t>2026-01</t>
        </is>
      </c>
      <c r="E1443" t="inlineStr">
        <is>
          <t>C0151</t>
        </is>
      </c>
      <c r="F1443" t="inlineStr">
        <is>
          <t>C0040</t>
        </is>
      </c>
      <c r="G1443" t="inlineStr">
        <is>
          <t>Coastline Projects Pty Ltd</t>
        </is>
      </c>
      <c r="H1443" t="inlineStr">
        <is>
          <t>S0496</t>
        </is>
      </c>
      <c r="I1443" t="inlineStr">
        <is>
          <t>Roof repair labour - 8 hrs</t>
        </is>
      </c>
      <c r="J1443" t="n">
        <v>8</v>
      </c>
      <c r="K1443" s="9" t="n">
        <v>784</v>
      </c>
      <c r="L1443" t="inlineStr">
        <is>
          <t>PAID</t>
        </is>
      </c>
      <c r="M1443">
        <f>IF(L1443="VOIDED",0,1)</f>
        <v>1</v>
      </c>
      <c r="N1443" t="n">
        <v>200</v>
      </c>
      <c r="O1443" t="inlineStr">
        <is>
          <t>GST on Income</t>
        </is>
      </c>
      <c r="P1443" t="inlineStr">
        <is>
          <t>R10</t>
        </is>
      </c>
      <c r="Q1443" t="inlineStr">
        <is>
          <t>LAB-RF</t>
        </is>
      </c>
      <c r="R1443">
        <f>IF(OR(Q1443="CONTEXT",Q1443="REVIEW"),"",INDEX('Category Rules'!$D$5:$D$17,MATCH(P1443,'Category Rules'!$A$5:$A$17,0)))</f>
        <v>4020</v>
      </c>
      <c r="S1443" t="str">
        <f>IF(Q1443="CONTEXT","Roofing",IF(Q1443="REVIEW","",INDEX('Category Rules'!$E$5:$E$17,MATCH(P1443,'Category Rules'!$A$5:$A$17,0))))</f>
        <v>Roofing</v>
      </c>
      <c r="T1443" t="str">
        <f>IF(Q1443="DEP","BAS Excluded","GST on Income")</f>
        <v>GST on Income</v>
      </c>
      <c r="U1443">
        <f>IF(O1443=T1443,1,0)</f>
        <v>1</v>
      </c>
      <c r="V1443" s="9">
        <f>IF(OR(M1443=0,U1443=1),0,IF(T1443="GST on Income",ROUND(K1443*0.1,2),ROUND(-K1443*0.1,2)))</f>
        <v>0</v>
      </c>
    </row>
    <row r="1444">
      <c r="A1444" t="inlineStr">
        <is>
          <t>INV-5812-2</t>
        </is>
      </c>
      <c r="B1444" t="inlineStr">
        <is>
          <t>INV-5812</t>
        </is>
      </c>
      <c r="C1444" s="11" t="n">
        <v>46053</v>
      </c>
      <c r="D1444" t="inlineStr">
        <is>
          <t>2026-01</t>
        </is>
      </c>
      <c r="E1444" t="inlineStr">
        <is>
          <t>C0151</t>
        </is>
      </c>
      <c r="F1444" t="inlineStr">
        <is>
          <t>C0040</t>
        </is>
      </c>
      <c r="G1444" t="inlineStr">
        <is>
          <t>Coastline Projects Pty Ltd</t>
        </is>
      </c>
      <c r="H1444" t="inlineStr">
        <is>
          <t>S0496</t>
        </is>
      </c>
      <c r="I1444" t="inlineStr">
        <is>
          <t>Materials - ridge capping</t>
        </is>
      </c>
      <c r="J1444" t="n">
        <v>1</v>
      </c>
      <c r="K1444" s="9" t="n">
        <v>841.92</v>
      </c>
      <c r="L1444" t="inlineStr">
        <is>
          <t>PAID</t>
        </is>
      </c>
      <c r="M1444">
        <f>IF(L1444="VOIDED",0,1)</f>
        <v>1</v>
      </c>
      <c r="N1444" t="n">
        <v>260</v>
      </c>
      <c r="O1444" t="inlineStr">
        <is>
          <t>GST on Income</t>
        </is>
      </c>
      <c r="P1444" t="inlineStr">
        <is>
          <t>R11</t>
        </is>
      </c>
      <c r="Q1444" t="inlineStr">
        <is>
          <t>MAT-RF</t>
        </is>
      </c>
      <c r="R1444">
        <f>IF(OR(Q1444="CONTEXT",Q1444="REVIEW"),"",INDEX('Category Rules'!$D$5:$D$17,MATCH(P1444,'Category Rules'!$A$5:$A$17,0)))</f>
        <v>4030</v>
      </c>
      <c r="S1444" t="str">
        <f>IF(Q1444="CONTEXT","Roofing",IF(Q1444="REVIEW","",INDEX('Category Rules'!$E$5:$E$17,MATCH(P1444,'Category Rules'!$A$5:$A$17,0))))</f>
        <v>Roofing</v>
      </c>
      <c r="T1444" t="str">
        <f>IF(Q1444="DEP","BAS Excluded","GST on Income")</f>
        <v>GST on Income</v>
      </c>
      <c r="U1444">
        <f>IF(O1444=T1444,1,0)</f>
        <v>1</v>
      </c>
      <c r="V1444" s="9">
        <f>IF(OR(M1444=0,U1444=1),0,IF(T1444="GST on Income",ROUND(K1444*0.1,2),ROUND(-K1444*0.1,2)))</f>
        <v>0</v>
      </c>
    </row>
    <row r="1445">
      <c r="A1445" t="inlineStr">
        <is>
          <t>INV-5812-3</t>
        </is>
      </c>
      <c r="B1445" t="inlineStr">
        <is>
          <t>INV-5812</t>
        </is>
      </c>
      <c r="C1445" s="11" t="n">
        <v>46053</v>
      </c>
      <c r="D1445" t="inlineStr">
        <is>
          <t>2026-01</t>
        </is>
      </c>
      <c r="E1445" t="inlineStr">
        <is>
          <t>C0151</t>
        </is>
      </c>
      <c r="F1445" t="inlineStr">
        <is>
          <t>C0040</t>
        </is>
      </c>
      <c r="G1445" t="inlineStr">
        <is>
          <t>Coastline Projects Pty Ltd</t>
        </is>
      </c>
      <c r="H1445" t="inlineStr">
        <is>
          <t>S0496</t>
        </is>
      </c>
      <c r="I1445" t="inlineStr">
        <is>
          <t>Waste removal and tip fees</t>
        </is>
      </c>
      <c r="J1445" t="n">
        <v>1</v>
      </c>
      <c r="K1445" s="9" t="n">
        <v>120</v>
      </c>
      <c r="L1445" t="inlineStr">
        <is>
          <t>PAID</t>
        </is>
      </c>
      <c r="M1445">
        <f>IF(L1445="VOIDED",0,1)</f>
        <v>1</v>
      </c>
      <c r="N1445" t="n">
        <v>200</v>
      </c>
      <c r="O1445" t="inlineStr">
        <is>
          <t>BAS Excluded</t>
        </is>
      </c>
      <c r="P1445" t="inlineStr">
        <is>
          <t>R11</t>
        </is>
      </c>
      <c r="Q1445" t="inlineStr">
        <is>
          <t>MAT-RF</t>
        </is>
      </c>
      <c r="R1445">
        <f>IF(OR(Q1445="CONTEXT",Q1445="REVIEW"),"",INDEX('Category Rules'!$D$5:$D$17,MATCH(P1445,'Category Rules'!$A$5:$A$17,0)))</f>
        <v>4030</v>
      </c>
      <c r="S1445" t="str">
        <f>IF(Q1445="CONTEXT","Roofing",IF(Q1445="REVIEW","",INDEX('Category Rules'!$E$5:$E$17,MATCH(P1445,'Category Rules'!$A$5:$A$17,0))))</f>
        <v>Roofing</v>
      </c>
      <c r="T1445" t="str">
        <f>IF(Q1445="DEP","BAS Excluded","GST on Income")</f>
        <v>GST on Income</v>
      </c>
      <c r="U1445">
        <f>IF(O1445=T1445,1,0)</f>
        <v>0</v>
      </c>
      <c r="V1445" s="9">
        <f>IF(OR(M1445=0,U1445=1),0,IF(T1445="GST on Income",ROUND(K1445*0.1,2),ROUND(-K1445*0.1,2)))</f>
        <v>12</v>
      </c>
    </row>
    <row r="1446">
      <c r="A1446" t="inlineStr">
        <is>
          <t>INV-5439-1</t>
        </is>
      </c>
      <c r="B1446" t="inlineStr">
        <is>
          <t>INV-5439</t>
        </is>
      </c>
      <c r="C1446" s="11" t="n">
        <v>46054</v>
      </c>
      <c r="D1446" t="inlineStr">
        <is>
          <t>2026-02</t>
        </is>
      </c>
      <c r="E1446" t="inlineStr">
        <is>
          <t>C0041</t>
        </is>
      </c>
      <c r="F1446" t="inlineStr">
        <is>
          <t>C0041</t>
        </is>
      </c>
      <c r="G1446" t="inlineStr">
        <is>
          <t>Summit Builders Pty Ltd</t>
        </is>
      </c>
      <c r="H1446" t="inlineStr">
        <is>
          <t>S0294</t>
        </is>
      </c>
      <c r="I1446" t="inlineStr">
        <is>
          <t>Scaffold erect - 4 tower(s)</t>
        </is>
      </c>
      <c r="J1446" t="n">
        <v>4</v>
      </c>
      <c r="K1446" s="9" t="n">
        <v>1680</v>
      </c>
      <c r="L1446" t="inlineStr">
        <is>
          <t>PAID</t>
        </is>
      </c>
      <c r="M1446">
        <f>IF(L1446="VOIDED",0,1)</f>
        <v>1</v>
      </c>
      <c r="N1446" t="n">
        <v>200</v>
      </c>
      <c r="O1446" t="inlineStr">
        <is>
          <t>GST on Income</t>
        </is>
      </c>
      <c r="P1446" t="inlineStr">
        <is>
          <t>R08</t>
        </is>
      </c>
      <c r="Q1446" t="inlineStr">
        <is>
          <t>LAB-ST</t>
        </is>
      </c>
      <c r="R1446">
        <f>IF(OR(Q1446="CONTEXT",Q1446="REVIEW"),"",INDEX('Category Rules'!$D$5:$D$17,MATCH(P1446,'Category Rules'!$A$5:$A$17,0)))</f>
        <v>4020</v>
      </c>
      <c r="S1446" t="str">
        <f>IF(Q1446="CONTEXT","Scaffolding",IF(Q1446="REVIEW","",INDEX('Category Rules'!$E$5:$E$17,MATCH(P1446,'Category Rules'!$A$5:$A$17,0))))</f>
        <v>Scaffolding</v>
      </c>
      <c r="T1446" t="str">
        <f>IF(Q1446="DEP","BAS Excluded","GST on Income")</f>
        <v>GST on Income</v>
      </c>
      <c r="U1446">
        <f>IF(O1446=T1446,1,0)</f>
        <v>1</v>
      </c>
      <c r="V1446" s="9">
        <f>IF(OR(M1446=0,U1446=1),0,IF(T1446="GST on Income",ROUND(K1446*0.1,2),ROUND(-K1446*0.1,2)))</f>
        <v>0</v>
      </c>
    </row>
    <row r="1447">
      <c r="A1447" t="inlineStr">
        <is>
          <t>INV-5810-1</t>
        </is>
      </c>
      <c r="B1447" t="inlineStr">
        <is>
          <t>INV-5810</t>
        </is>
      </c>
      <c r="C1447" s="11" t="n">
        <v>46054</v>
      </c>
      <c r="D1447" t="inlineStr">
        <is>
          <t>2026-02</t>
        </is>
      </c>
      <c r="E1447" t="inlineStr">
        <is>
          <t>C0040</t>
        </is>
      </c>
      <c r="F1447" t="inlineStr">
        <is>
          <t>C0040</t>
        </is>
      </c>
      <c r="G1447" t="inlineStr">
        <is>
          <t>Coastline Projects Pty Ltd</t>
        </is>
      </c>
      <c r="H1447" t="inlineStr">
        <is>
          <t>S0496</t>
        </is>
      </c>
      <c r="I1447" t="inlineStr">
        <is>
          <t>Tarp kit hire 4 wks (10/01/26-31/01/26) - 1 kits</t>
        </is>
      </c>
      <c r="J1447" t="n">
        <v>4</v>
      </c>
      <c r="K1447" s="9" t="n">
        <v>140</v>
      </c>
      <c r="L1447" t="inlineStr">
        <is>
          <t>PAID</t>
        </is>
      </c>
      <c r="M1447">
        <f>IF(L1447="VOIDED",0,1)</f>
        <v>1</v>
      </c>
      <c r="N1447" t="n">
        <v>200</v>
      </c>
      <c r="O1447" t="inlineStr">
        <is>
          <t>GST on Income</t>
        </is>
      </c>
      <c r="P1447" t="inlineStr">
        <is>
          <t>R06</t>
        </is>
      </c>
      <c r="Q1447" t="inlineStr">
        <is>
          <t>HIRE-TK</t>
        </is>
      </c>
      <c r="R1447">
        <f>IF(OR(Q1447="CONTEXT",Q1447="REVIEW"),"",INDEX('Category Rules'!$D$5:$D$17,MATCH(P1447,'Category Rules'!$A$5:$A$17,0)))</f>
        <v>4010</v>
      </c>
      <c r="S1447" t="str">
        <f>IF(Q1447="CONTEXT","Make-safe",IF(Q1447="REVIEW","",INDEX('Category Rules'!$E$5:$E$17,MATCH(P1447,'Category Rules'!$A$5:$A$17,0))))</f>
        <v>Make-safe</v>
      </c>
      <c r="T1447" t="str">
        <f>IF(Q1447="DEP","BAS Excluded","GST on Income")</f>
        <v>GST on Income</v>
      </c>
      <c r="U1447">
        <f>IF(O1447=T1447,1,0)</f>
        <v>1</v>
      </c>
      <c r="V1447" s="9">
        <f>IF(OR(M1447=0,U1447=1),0,IF(T1447="GST on Income",ROUND(K1447*0.1,2),ROUND(-K1447*0.1,2)))</f>
        <v>0</v>
      </c>
    </row>
    <row r="1448">
      <c r="A1448" t="inlineStr">
        <is>
          <t>INV-4202-1</t>
        </is>
      </c>
      <c r="B1448" t="inlineStr">
        <is>
          <t>INV-4202</t>
        </is>
      </c>
      <c r="C1448" s="11" t="n">
        <v>46055</v>
      </c>
      <c r="D1448" t="inlineStr">
        <is>
          <t>2026-02</t>
        </is>
      </c>
      <c r="E1448" t="inlineStr">
        <is>
          <t>C0140</t>
        </is>
      </c>
      <c r="F1448" t="inlineStr">
        <is>
          <t>C0106</t>
        </is>
      </c>
      <c r="G1448" t="inlineStr">
        <is>
          <t>Ella Wilson</t>
        </is>
      </c>
      <c r="H1448" t="inlineStr">
        <is>
          <t>S0019</t>
        </is>
      </c>
      <c r="I1448" t="inlineStr">
        <is>
          <t>Temporary fence hire 4 wks (05/01/26-01/02/26) - 154 panels</t>
        </is>
      </c>
      <c r="J1448" t="n">
        <v>616</v>
      </c>
      <c r="K1448" s="9" t="n">
        <v>2772</v>
      </c>
      <c r="L1448" t="inlineStr">
        <is>
          <t>PAID</t>
        </is>
      </c>
      <c r="M1448">
        <f>IF(L1448="VOIDED",0,1)</f>
        <v>1</v>
      </c>
      <c r="N1448" t="n">
        <v>260</v>
      </c>
      <c r="O1448" t="inlineStr">
        <is>
          <t>GST on Income</t>
        </is>
      </c>
      <c r="P1448" t="inlineStr">
        <is>
          <t>R03</t>
        </is>
      </c>
      <c r="Q1448" t="inlineStr">
        <is>
          <t>HIRE-FP</t>
        </is>
      </c>
      <c r="R1448">
        <f>IF(OR(Q1448="CONTEXT",Q1448="REVIEW"),"",INDEX('Category Rules'!$D$5:$D$17,MATCH(P1448,'Category Rules'!$A$5:$A$17,0)))</f>
        <v>4010</v>
      </c>
      <c r="S1448" t="str">
        <f>IF(Q1448="CONTEXT","Fencing",IF(Q1448="REVIEW","",INDEX('Category Rules'!$E$5:$E$17,MATCH(P1448,'Category Rules'!$A$5:$A$17,0))))</f>
        <v>Fencing</v>
      </c>
      <c r="T1448" t="str">
        <f>IF(Q1448="DEP","BAS Excluded","GST on Income")</f>
        <v>GST on Income</v>
      </c>
      <c r="U1448">
        <f>IF(O1448=T1448,1,0)</f>
        <v>1</v>
      </c>
      <c r="V1448" s="9">
        <f>IF(OR(M1448=0,U1448=1),0,IF(T1448="GST on Income",ROUND(K1448*0.1,2),ROUND(-K1448*0.1,2)))</f>
        <v>0</v>
      </c>
    </row>
    <row r="1449">
      <c r="A1449" t="inlineStr">
        <is>
          <t>INV-4310-1</t>
        </is>
      </c>
      <c r="B1449" t="inlineStr">
        <is>
          <t>INV-4310</t>
        </is>
      </c>
      <c r="C1449" s="11" t="n">
        <v>46055</v>
      </c>
      <c r="D1449" t="inlineStr">
        <is>
          <t>2026-02</t>
        </is>
      </c>
      <c r="E1449" t="inlineStr">
        <is>
          <t>C0083</t>
        </is>
      </c>
      <c r="F1449" t="inlineStr">
        <is>
          <t>C0083</t>
        </is>
      </c>
      <c r="G1449" t="inlineStr">
        <is>
          <t>Noah Williams</t>
        </is>
      </c>
      <c r="H1449" t="inlineStr">
        <is>
          <t>S0042</t>
        </is>
      </c>
      <c r="I1449" t="inlineStr">
        <is>
          <t>Delivery and installation - temporary fencing</t>
        </is>
      </c>
      <c r="J1449" t="n">
        <v>1</v>
      </c>
      <c r="K1449" s="9" t="n">
        <v>165</v>
      </c>
      <c r="L1449" t="inlineStr">
        <is>
          <t>PAID</t>
        </is>
      </c>
      <c r="M1449">
        <f>IF(L1449="VOIDED",0,1)</f>
        <v>1</v>
      </c>
      <c r="N1449" t="n">
        <v>200</v>
      </c>
      <c r="O1449" t="inlineStr">
        <is>
          <t>GST on Income</t>
        </is>
      </c>
      <c r="P1449" t="inlineStr">
        <is>
          <t>R07</t>
        </is>
      </c>
      <c r="Q1449" t="inlineStr">
        <is>
          <t>DEL-FP</t>
        </is>
      </c>
      <c r="R1449">
        <f>IF(OR(Q1449="CONTEXT",Q1449="REVIEW"),"",INDEX('Category Rules'!$D$5:$D$17,MATCH(P1449,'Category Rules'!$A$5:$A$17,0)))</f>
        <v>4020</v>
      </c>
      <c r="S1449" t="str">
        <f>IF(Q1449="CONTEXT","Fencing",IF(Q1449="REVIEW","",INDEX('Category Rules'!$E$5:$E$17,MATCH(P1449,'Category Rules'!$A$5:$A$17,0))))</f>
        <v>Fencing</v>
      </c>
      <c r="T1449" t="str">
        <f>IF(Q1449="DEP","BAS Excluded","GST on Income")</f>
        <v>GST on Income</v>
      </c>
      <c r="U1449">
        <f>IF(O1449=T1449,1,0)</f>
        <v>1</v>
      </c>
      <c r="V1449" s="9">
        <f>IF(OR(M1449=0,U1449=1),0,IF(T1449="GST on Income",ROUND(K1449*0.1,2),ROUND(-K1449*0.1,2)))</f>
        <v>0</v>
      </c>
    </row>
    <row r="1450">
      <c r="A1450" t="inlineStr">
        <is>
          <t>INV-4310-2</t>
        </is>
      </c>
      <c r="B1450" t="inlineStr">
        <is>
          <t>INV-4310</t>
        </is>
      </c>
      <c r="C1450" s="11" t="n">
        <v>46055</v>
      </c>
      <c r="D1450" t="inlineStr">
        <is>
          <t>2026-02</t>
        </is>
      </c>
      <c r="E1450" t="inlineStr">
        <is>
          <t>C0083</t>
        </is>
      </c>
      <c r="F1450" t="inlineStr">
        <is>
          <t>C0083</t>
        </is>
      </c>
      <c r="G1450" t="inlineStr">
        <is>
          <t>Noah Williams</t>
        </is>
      </c>
      <c r="H1450" t="inlineStr">
        <is>
          <t>S0042</t>
        </is>
      </c>
      <c r="I1450" t="inlineStr">
        <is>
          <t>Installation labour - 81 panels @ 2.20</t>
        </is>
      </c>
      <c r="J1450" t="n">
        <v>81</v>
      </c>
      <c r="K1450" s="9" t="n">
        <v>178.2</v>
      </c>
      <c r="L1450" t="inlineStr">
        <is>
          <t>PAID</t>
        </is>
      </c>
      <c r="M1450">
        <f>IF(L1450="VOIDED",0,1)</f>
        <v>1</v>
      </c>
      <c r="N1450" t="n">
        <v>200</v>
      </c>
      <c r="O1450" t="inlineStr">
        <is>
          <t>GST on Income</t>
        </is>
      </c>
      <c r="P1450" t="inlineStr">
        <is>
          <t>R07</t>
        </is>
      </c>
      <c r="Q1450" t="inlineStr">
        <is>
          <t>DEL-FP</t>
        </is>
      </c>
      <c r="R1450">
        <f>IF(OR(Q1450="CONTEXT",Q1450="REVIEW"),"",INDEX('Category Rules'!$D$5:$D$17,MATCH(P1450,'Category Rules'!$A$5:$A$17,0)))</f>
        <v>4020</v>
      </c>
      <c r="S1450" t="str">
        <f>IF(Q1450="CONTEXT","Fencing",IF(Q1450="REVIEW","",INDEX('Category Rules'!$E$5:$E$17,MATCH(P1450,'Category Rules'!$A$5:$A$17,0))))</f>
        <v>Fencing</v>
      </c>
      <c r="T1450" t="str">
        <f>IF(Q1450="DEP","BAS Excluded","GST on Income")</f>
        <v>GST on Income</v>
      </c>
      <c r="U1450">
        <f>IF(O1450=T1450,1,0)</f>
        <v>1</v>
      </c>
      <c r="V1450" s="9">
        <f>IF(OR(M1450=0,U1450=1),0,IF(T1450="GST on Income",ROUND(K1450*0.1,2),ROUND(-K1450*0.1,2)))</f>
        <v>0</v>
      </c>
    </row>
    <row r="1451">
      <c r="A1451" t="inlineStr">
        <is>
          <t>INV-4310-3</t>
        </is>
      </c>
      <c r="B1451" t="inlineStr">
        <is>
          <t>INV-4310</t>
        </is>
      </c>
      <c r="C1451" s="11" t="n">
        <v>46055</v>
      </c>
      <c r="D1451" t="inlineStr">
        <is>
          <t>2026-02</t>
        </is>
      </c>
      <c r="E1451" t="inlineStr">
        <is>
          <t>C0083</t>
        </is>
      </c>
      <c r="F1451" t="inlineStr">
        <is>
          <t>C0083</t>
        </is>
      </c>
      <c r="G1451" t="inlineStr">
        <is>
          <t>Noah Williams</t>
        </is>
      </c>
      <c r="H1451" t="inlineStr">
        <is>
          <t>S0042</t>
        </is>
      </c>
      <c r="I1451" t="inlineStr">
        <is>
          <t>Security deposit - fence panels (refundable)</t>
        </is>
      </c>
      <c r="J1451" t="n">
        <v>1</v>
      </c>
      <c r="K1451" s="9" t="n">
        <v>650</v>
      </c>
      <c r="L1451" t="inlineStr">
        <is>
          <t>PAID</t>
        </is>
      </c>
      <c r="M1451">
        <f>IF(L1451="VOIDED",0,1)</f>
        <v>1</v>
      </c>
      <c r="N1451" t="n">
        <v>200</v>
      </c>
      <c r="O1451" t="inlineStr">
        <is>
          <t>GST on Income</t>
        </is>
      </c>
      <c r="P1451" t="inlineStr">
        <is>
          <t>R01</t>
        </is>
      </c>
      <c r="Q1451" t="inlineStr">
        <is>
          <t>DEP</t>
        </is>
      </c>
      <c r="R1451">
        <f>IF(OR(Q1451="CONTEXT",Q1451="REVIEW"),"",INDEX('Category Rules'!$D$5:$D$17,MATCH(P1451,'Category Rules'!$A$5:$A$17,0)))</f>
        <v>835</v>
      </c>
      <c r="S1451" t="str">
        <f>IF(Q1451="CONTEXT","Fencing",IF(Q1451="REVIEW","",INDEX('Category Rules'!$E$5:$E$17,MATCH(P1451,'Category Rules'!$A$5:$A$17,0))))</f>
        <v>Fencing</v>
      </c>
      <c r="T1451" t="str">
        <f>IF(Q1451="DEP","BAS Excluded","GST on Income")</f>
        <v>BAS Excluded</v>
      </c>
      <c r="U1451">
        <f>IF(O1451=T1451,1,0)</f>
        <v>0</v>
      </c>
      <c r="V1451" s="9">
        <f>IF(OR(M1451=0,U1451=1),0,IF(T1451="GST on Income",ROUND(K1451*0.1,2),ROUND(-K1451*0.1,2)))</f>
        <v>-65</v>
      </c>
    </row>
    <row r="1452">
      <c r="A1452" t="inlineStr">
        <is>
          <t>INV-4908-1</t>
        </is>
      </c>
      <c r="B1452" t="inlineStr">
        <is>
          <t>INV-4908</t>
        </is>
      </c>
      <c r="C1452" s="11" t="n">
        <v>46055</v>
      </c>
      <c r="D1452" t="inlineStr">
        <is>
          <t>2026-02</t>
        </is>
      </c>
      <c r="E1452" t="inlineStr">
        <is>
          <t>C0011</t>
        </is>
      </c>
      <c r="F1452" t="inlineStr">
        <is>
          <t>C0011</t>
        </is>
      </c>
      <c r="G1452" t="inlineStr">
        <is>
          <t>Wattle Homes Pty Ltd</t>
        </is>
      </c>
      <c r="H1452" t="inlineStr">
        <is>
          <t>S0169</t>
        </is>
      </c>
      <c r="I1452" t="inlineStr">
        <is>
          <t>Delivery and installation - temporary fencing</t>
        </is>
      </c>
      <c r="J1452" t="n">
        <v>1</v>
      </c>
      <c r="K1452" s="9" t="n">
        <v>165</v>
      </c>
      <c r="L1452" t="inlineStr">
        <is>
          <t>PAID</t>
        </is>
      </c>
      <c r="M1452">
        <f>IF(L1452="VOIDED",0,1)</f>
        <v>1</v>
      </c>
      <c r="N1452" t="n">
        <v>200</v>
      </c>
      <c r="O1452" t="inlineStr">
        <is>
          <t>GST on Income</t>
        </is>
      </c>
      <c r="P1452" t="inlineStr">
        <is>
          <t>R07</t>
        </is>
      </c>
      <c r="Q1452" t="inlineStr">
        <is>
          <t>DEL-FP</t>
        </is>
      </c>
      <c r="R1452">
        <f>IF(OR(Q1452="CONTEXT",Q1452="REVIEW"),"",INDEX('Category Rules'!$D$5:$D$17,MATCH(P1452,'Category Rules'!$A$5:$A$17,0)))</f>
        <v>4020</v>
      </c>
      <c r="S1452" t="str">
        <f>IF(Q1452="CONTEXT","Fencing",IF(Q1452="REVIEW","",INDEX('Category Rules'!$E$5:$E$17,MATCH(P1452,'Category Rules'!$A$5:$A$17,0))))</f>
        <v>Fencing</v>
      </c>
      <c r="T1452" t="str">
        <f>IF(Q1452="DEP","BAS Excluded","GST on Income")</f>
        <v>GST on Income</v>
      </c>
      <c r="U1452">
        <f>IF(O1452=T1452,1,0)</f>
        <v>1</v>
      </c>
      <c r="V1452" s="9">
        <f>IF(OR(M1452=0,U1452=1),0,IF(T1452="GST on Income",ROUND(K1452*0.1,2),ROUND(-K1452*0.1,2)))</f>
        <v>0</v>
      </c>
    </row>
    <row r="1453">
      <c r="A1453" t="inlineStr">
        <is>
          <t>INV-4908-2</t>
        </is>
      </c>
      <c r="B1453" t="inlineStr">
        <is>
          <t>INV-4908</t>
        </is>
      </c>
      <c r="C1453" s="11" t="n">
        <v>46055</v>
      </c>
      <c r="D1453" t="inlineStr">
        <is>
          <t>2026-02</t>
        </is>
      </c>
      <c r="E1453" t="inlineStr">
        <is>
          <t>C0011</t>
        </is>
      </c>
      <c r="F1453" t="inlineStr">
        <is>
          <t>C0011</t>
        </is>
      </c>
      <c r="G1453" t="inlineStr">
        <is>
          <t>Wattle Homes Pty Ltd</t>
        </is>
      </c>
      <c r="H1453" t="inlineStr">
        <is>
          <t>S0169</t>
        </is>
      </c>
      <c r="I1453" t="inlineStr">
        <is>
          <t>Installation labour - 29 panels @ 2.20</t>
        </is>
      </c>
      <c r="J1453" t="n">
        <v>29</v>
      </c>
      <c r="K1453" s="9" t="n">
        <v>63.8</v>
      </c>
      <c r="L1453" t="inlineStr">
        <is>
          <t>PAID</t>
        </is>
      </c>
      <c r="M1453">
        <f>IF(L1453="VOIDED",0,1)</f>
        <v>1</v>
      </c>
      <c r="N1453" t="n">
        <v>200</v>
      </c>
      <c r="O1453" t="inlineStr">
        <is>
          <t>GST on Income</t>
        </is>
      </c>
      <c r="P1453" t="inlineStr">
        <is>
          <t>R07</t>
        </is>
      </c>
      <c r="Q1453" t="inlineStr">
        <is>
          <t>DEL-FP</t>
        </is>
      </c>
      <c r="R1453">
        <f>IF(OR(Q1453="CONTEXT",Q1453="REVIEW"),"",INDEX('Category Rules'!$D$5:$D$17,MATCH(P1453,'Category Rules'!$A$5:$A$17,0)))</f>
        <v>4020</v>
      </c>
      <c r="S1453" t="str">
        <f>IF(Q1453="CONTEXT","Fencing",IF(Q1453="REVIEW","",INDEX('Category Rules'!$E$5:$E$17,MATCH(P1453,'Category Rules'!$A$5:$A$17,0))))</f>
        <v>Fencing</v>
      </c>
      <c r="T1453" t="str">
        <f>IF(Q1453="DEP","BAS Excluded","GST on Income")</f>
        <v>GST on Income</v>
      </c>
      <c r="U1453">
        <f>IF(O1453=T1453,1,0)</f>
        <v>1</v>
      </c>
      <c r="V1453" s="9">
        <f>IF(OR(M1453=0,U1453=1),0,IF(T1453="GST on Income",ROUND(K1453*0.1,2),ROUND(-K1453*0.1,2)))</f>
        <v>0</v>
      </c>
    </row>
    <row r="1454">
      <c r="A1454" t="inlineStr">
        <is>
          <t>INV-5002-1</t>
        </is>
      </c>
      <c r="B1454" t="inlineStr">
        <is>
          <t>INV-5002</t>
        </is>
      </c>
      <c r="C1454" s="11" t="n">
        <v>46055</v>
      </c>
      <c r="D1454" t="inlineStr">
        <is>
          <t>2026-02</t>
        </is>
      </c>
      <c r="E1454" t="inlineStr">
        <is>
          <t>C0022</t>
        </is>
      </c>
      <c r="F1454" t="inlineStr">
        <is>
          <t>C0022</t>
        </is>
      </c>
      <c r="G1454" t="inlineStr">
        <is>
          <t>Highpoint Projects</t>
        </is>
      </c>
      <c r="H1454" t="inlineStr">
        <is>
          <t>S0195</t>
        </is>
      </c>
      <c r="I1454" t="inlineStr">
        <is>
          <t>Temporary fence hire 1 wks (31/01/26-01/02/26) - 26 panels</t>
        </is>
      </c>
      <c r="J1454" t="n">
        <v>26</v>
      </c>
      <c r="K1454" s="9" t="n">
        <v>117</v>
      </c>
      <c r="L1454" t="inlineStr">
        <is>
          <t>PAID</t>
        </is>
      </c>
      <c r="M1454">
        <f>IF(L1454="VOIDED",0,1)</f>
        <v>1</v>
      </c>
      <c r="N1454" t="n">
        <v>200</v>
      </c>
      <c r="O1454" t="inlineStr">
        <is>
          <t>GST on Income</t>
        </is>
      </c>
      <c r="P1454" t="inlineStr">
        <is>
          <t>R03</t>
        </is>
      </c>
      <c r="Q1454" t="inlineStr">
        <is>
          <t>HIRE-FP</t>
        </is>
      </c>
      <c r="R1454">
        <f>IF(OR(Q1454="CONTEXT",Q1454="REVIEW"),"",INDEX('Category Rules'!$D$5:$D$17,MATCH(P1454,'Category Rules'!$A$5:$A$17,0)))</f>
        <v>4010</v>
      </c>
      <c r="S1454" t="str">
        <f>IF(Q1454="CONTEXT","Fencing",IF(Q1454="REVIEW","",INDEX('Category Rules'!$E$5:$E$17,MATCH(P1454,'Category Rules'!$A$5:$A$17,0))))</f>
        <v>Fencing</v>
      </c>
      <c r="T1454" t="str">
        <f>IF(Q1454="DEP","BAS Excluded","GST on Income")</f>
        <v>GST on Income</v>
      </c>
      <c r="U1454">
        <f>IF(O1454=T1454,1,0)</f>
        <v>1</v>
      </c>
      <c r="V1454" s="9">
        <f>IF(OR(M1454=0,U1454=1),0,IF(T1454="GST on Income",ROUND(K1454*0.1,2),ROUND(-K1454*0.1,2)))</f>
        <v>0</v>
      </c>
    </row>
    <row r="1455">
      <c r="A1455" t="inlineStr">
        <is>
          <t>INV-5004-1</t>
        </is>
      </c>
      <c r="B1455" t="inlineStr">
        <is>
          <t>INV-5004</t>
        </is>
      </c>
      <c r="C1455" s="11" t="n">
        <v>46055</v>
      </c>
      <c r="D1455" t="inlineStr">
        <is>
          <t>2026-02</t>
        </is>
      </c>
      <c r="E1455" t="inlineStr">
        <is>
          <t>C0022</t>
        </is>
      </c>
      <c r="F1455" t="inlineStr">
        <is>
          <t>C0022</t>
        </is>
      </c>
      <c r="G1455" t="inlineStr">
        <is>
          <t>Highpoint Projects</t>
        </is>
      </c>
      <c r="H1455" t="inlineStr">
        <is>
          <t>S0195</t>
        </is>
      </c>
      <c r="I1455" t="inlineStr">
        <is>
          <t>Collection and dismantle - temporary fencing</t>
        </is>
      </c>
      <c r="J1455" t="n">
        <v>1</v>
      </c>
      <c r="K1455" s="9" t="n">
        <v>165</v>
      </c>
      <c r="L1455" t="inlineStr">
        <is>
          <t>PAID</t>
        </is>
      </c>
      <c r="M1455">
        <f>IF(L1455="VOIDED",0,1)</f>
        <v>1</v>
      </c>
      <c r="N1455" t="n">
        <v>200</v>
      </c>
      <c r="O1455" t="inlineStr">
        <is>
          <t>GST on Income</t>
        </is>
      </c>
      <c r="P1455" t="inlineStr">
        <is>
          <t>R07</t>
        </is>
      </c>
      <c r="Q1455" t="inlineStr">
        <is>
          <t>DEL-FP</t>
        </is>
      </c>
      <c r="R1455">
        <f>IF(OR(Q1455="CONTEXT",Q1455="REVIEW"),"",INDEX('Category Rules'!$D$5:$D$17,MATCH(P1455,'Category Rules'!$A$5:$A$17,0)))</f>
        <v>4020</v>
      </c>
      <c r="S1455" t="str">
        <f>IF(Q1455="CONTEXT","Fencing",IF(Q1455="REVIEW","",INDEX('Category Rules'!$E$5:$E$17,MATCH(P1455,'Category Rules'!$A$5:$A$17,0))))</f>
        <v>Fencing</v>
      </c>
      <c r="T1455" t="str">
        <f>IF(Q1455="DEP","BAS Excluded","GST on Income")</f>
        <v>GST on Income</v>
      </c>
      <c r="U1455">
        <f>IF(O1455=T1455,1,0)</f>
        <v>1</v>
      </c>
      <c r="V1455" s="9">
        <f>IF(OR(M1455=0,U1455=1),0,IF(T1455="GST on Income",ROUND(K1455*0.1,2),ROUND(-K1455*0.1,2)))</f>
        <v>0</v>
      </c>
    </row>
    <row r="1456">
      <c r="A1456" t="inlineStr">
        <is>
          <t>INV-4625-1</t>
        </is>
      </c>
      <c r="B1456" t="inlineStr">
        <is>
          <t>INV-4625</t>
        </is>
      </c>
      <c r="C1456" s="11" t="n">
        <v>46056</v>
      </c>
      <c r="D1456" t="inlineStr">
        <is>
          <t>2026-02</t>
        </is>
      </c>
      <c r="E1456" t="inlineStr">
        <is>
          <t>C0022</t>
        </is>
      </c>
      <c r="F1456" t="inlineStr">
        <is>
          <t>C0022</t>
        </is>
      </c>
      <c r="G1456" t="inlineStr">
        <is>
          <t>Highpoint Projects</t>
        </is>
      </c>
      <c r="H1456" t="inlineStr">
        <is>
          <t>S0106</t>
        </is>
      </c>
      <c r="I1456" t="inlineStr">
        <is>
          <t>Delivery and installation - temporary fencing</t>
        </is>
      </c>
      <c r="J1456" t="n">
        <v>1</v>
      </c>
      <c r="K1456" s="9" t="n">
        <v>165</v>
      </c>
      <c r="L1456" t="inlineStr">
        <is>
          <t>PAID</t>
        </is>
      </c>
      <c r="M1456">
        <f>IF(L1456="VOIDED",0,1)</f>
        <v>1</v>
      </c>
      <c r="N1456" t="n">
        <v>200</v>
      </c>
      <c r="O1456" t="inlineStr">
        <is>
          <t>GST on Income</t>
        </is>
      </c>
      <c r="P1456" t="inlineStr">
        <is>
          <t>R07</t>
        </is>
      </c>
      <c r="Q1456" t="inlineStr">
        <is>
          <t>DEL-FP</t>
        </is>
      </c>
      <c r="R1456">
        <f>IF(OR(Q1456="CONTEXT",Q1456="REVIEW"),"",INDEX('Category Rules'!$D$5:$D$17,MATCH(P1456,'Category Rules'!$A$5:$A$17,0)))</f>
        <v>4020</v>
      </c>
      <c r="S1456" t="str">
        <f>IF(Q1456="CONTEXT","Fencing",IF(Q1456="REVIEW","",INDEX('Category Rules'!$E$5:$E$17,MATCH(P1456,'Category Rules'!$A$5:$A$17,0))))</f>
        <v>Fencing</v>
      </c>
      <c r="T1456" t="str">
        <f>IF(Q1456="DEP","BAS Excluded","GST on Income")</f>
        <v>GST on Income</v>
      </c>
      <c r="U1456">
        <f>IF(O1456=T1456,1,0)</f>
        <v>1</v>
      </c>
      <c r="V1456" s="9">
        <f>IF(OR(M1456=0,U1456=1),0,IF(T1456="GST on Income",ROUND(K1456*0.1,2),ROUND(-K1456*0.1,2)))</f>
        <v>0</v>
      </c>
    </row>
    <row r="1457">
      <c r="A1457" t="inlineStr">
        <is>
          <t>INV-4625-2</t>
        </is>
      </c>
      <c r="B1457" t="inlineStr">
        <is>
          <t>INV-4625</t>
        </is>
      </c>
      <c r="C1457" s="11" t="n">
        <v>46056</v>
      </c>
      <c r="D1457" t="inlineStr">
        <is>
          <t>2026-02</t>
        </is>
      </c>
      <c r="E1457" t="inlineStr">
        <is>
          <t>C0022</t>
        </is>
      </c>
      <c r="F1457" t="inlineStr">
        <is>
          <t>C0022</t>
        </is>
      </c>
      <c r="G1457" t="inlineStr">
        <is>
          <t>Highpoint Projects</t>
        </is>
      </c>
      <c r="H1457" t="inlineStr">
        <is>
          <t>S0106</t>
        </is>
      </c>
      <c r="I1457" t="inlineStr">
        <is>
          <t>Installation labour - 19 panels @ 2.20</t>
        </is>
      </c>
      <c r="J1457" t="n">
        <v>19</v>
      </c>
      <c r="K1457" s="9" t="n">
        <v>41.8</v>
      </c>
      <c r="L1457" t="inlineStr">
        <is>
          <t>PAID</t>
        </is>
      </c>
      <c r="M1457">
        <f>IF(L1457="VOIDED",0,1)</f>
        <v>1</v>
      </c>
      <c r="N1457" t="n">
        <v>200</v>
      </c>
      <c r="O1457" t="inlineStr">
        <is>
          <t>GST on Income</t>
        </is>
      </c>
      <c r="P1457" t="inlineStr">
        <is>
          <t>R07</t>
        </is>
      </c>
      <c r="Q1457" t="inlineStr">
        <is>
          <t>DEL-FP</t>
        </is>
      </c>
      <c r="R1457">
        <f>IF(OR(Q1457="CONTEXT",Q1457="REVIEW"),"",INDEX('Category Rules'!$D$5:$D$17,MATCH(P1457,'Category Rules'!$A$5:$A$17,0)))</f>
        <v>4020</v>
      </c>
      <c r="S1457" t="str">
        <f>IF(Q1457="CONTEXT","Fencing",IF(Q1457="REVIEW","",INDEX('Category Rules'!$E$5:$E$17,MATCH(P1457,'Category Rules'!$A$5:$A$17,0))))</f>
        <v>Fencing</v>
      </c>
      <c r="T1457" t="str">
        <f>IF(Q1457="DEP","BAS Excluded","GST on Income")</f>
        <v>GST on Income</v>
      </c>
      <c r="U1457">
        <f>IF(O1457=T1457,1,0)</f>
        <v>1</v>
      </c>
      <c r="V1457" s="9">
        <f>IF(OR(M1457=0,U1457=1),0,IF(T1457="GST on Income",ROUND(K1457*0.1,2),ROUND(-K1457*0.1,2)))</f>
        <v>0</v>
      </c>
    </row>
    <row r="1458">
      <c r="A1458" t="inlineStr">
        <is>
          <t>INV-4732-1</t>
        </is>
      </c>
      <c r="B1458" t="inlineStr">
        <is>
          <t>INV-4732</t>
        </is>
      </c>
      <c r="C1458" s="11" t="n">
        <v>46056</v>
      </c>
      <c r="D1458" t="inlineStr">
        <is>
          <t>2026-02</t>
        </is>
      </c>
      <c r="E1458" t="inlineStr">
        <is>
          <t>C0040</t>
        </is>
      </c>
      <c r="F1458" t="inlineStr">
        <is>
          <t>C0040</t>
        </is>
      </c>
      <c r="G1458" t="inlineStr">
        <is>
          <t>Coastline Projects Pty Ltd</t>
        </is>
      </c>
      <c r="H1458" t="inlineStr">
        <is>
          <t>S0132</t>
        </is>
      </c>
      <c r="I1458" t="inlineStr">
        <is>
          <t>Temporary fence hire 4 wks (08/01/26-02/02/26) - 146 panels</t>
        </is>
      </c>
      <c r="J1458" t="n">
        <v>584</v>
      </c>
      <c r="K1458" s="9" t="n">
        <v>2628</v>
      </c>
      <c r="L1458" t="inlineStr">
        <is>
          <t>PAID</t>
        </is>
      </c>
      <c r="M1458">
        <f>IF(L1458="VOIDED",0,1)</f>
        <v>1</v>
      </c>
      <c r="N1458" t="n">
        <v>200</v>
      </c>
      <c r="O1458" t="inlineStr">
        <is>
          <t>GST on Income</t>
        </is>
      </c>
      <c r="P1458" t="inlineStr">
        <is>
          <t>R03</t>
        </is>
      </c>
      <c r="Q1458" t="inlineStr">
        <is>
          <t>HIRE-FP</t>
        </is>
      </c>
      <c r="R1458">
        <f>IF(OR(Q1458="CONTEXT",Q1458="REVIEW"),"",INDEX('Category Rules'!$D$5:$D$17,MATCH(P1458,'Category Rules'!$A$5:$A$17,0)))</f>
        <v>4010</v>
      </c>
      <c r="S1458" t="str">
        <f>IF(Q1458="CONTEXT","Fencing",IF(Q1458="REVIEW","",INDEX('Category Rules'!$E$5:$E$17,MATCH(P1458,'Category Rules'!$A$5:$A$17,0))))</f>
        <v>Fencing</v>
      </c>
      <c r="T1458" t="str">
        <f>IF(Q1458="DEP","BAS Excluded","GST on Income")</f>
        <v>GST on Income</v>
      </c>
      <c r="U1458">
        <f>IF(O1458=T1458,1,0)</f>
        <v>1</v>
      </c>
      <c r="V1458" s="9">
        <f>IF(OR(M1458=0,U1458=1),0,IF(T1458="GST on Income",ROUND(K1458*0.1,2),ROUND(-K1458*0.1,2)))</f>
        <v>0</v>
      </c>
    </row>
    <row r="1459">
      <c r="A1459" t="inlineStr">
        <is>
          <t>INV-4734-1</t>
        </is>
      </c>
      <c r="B1459" t="inlineStr">
        <is>
          <t>INV-4734</t>
        </is>
      </c>
      <c r="C1459" s="11" t="n">
        <v>46056</v>
      </c>
      <c r="D1459" t="inlineStr">
        <is>
          <t>2026-02</t>
        </is>
      </c>
      <c r="E1459" t="inlineStr">
        <is>
          <t>C0040</t>
        </is>
      </c>
      <c r="F1459" t="inlineStr">
        <is>
          <t>C0040</t>
        </is>
      </c>
      <c r="G1459" t="inlineStr">
        <is>
          <t>Coastline Projects Pty Ltd</t>
        </is>
      </c>
      <c r="H1459" t="inlineStr">
        <is>
          <t>S0132</t>
        </is>
      </c>
      <c r="I1459" t="inlineStr">
        <is>
          <t>Collection and dismantle - temporary fencing</t>
        </is>
      </c>
      <c r="J1459" t="n">
        <v>1</v>
      </c>
      <c r="K1459" s="9" t="n">
        <v>165</v>
      </c>
      <c r="L1459" t="inlineStr">
        <is>
          <t>PAID</t>
        </is>
      </c>
      <c r="M1459">
        <f>IF(L1459="VOIDED",0,1)</f>
        <v>1</v>
      </c>
      <c r="N1459" t="n">
        <v>200</v>
      </c>
      <c r="O1459" t="inlineStr">
        <is>
          <t>GST on Income</t>
        </is>
      </c>
      <c r="P1459" t="inlineStr">
        <is>
          <t>R07</t>
        </is>
      </c>
      <c r="Q1459" t="inlineStr">
        <is>
          <t>DEL-FP</t>
        </is>
      </c>
      <c r="R1459">
        <f>IF(OR(Q1459="CONTEXT",Q1459="REVIEW"),"",INDEX('Category Rules'!$D$5:$D$17,MATCH(P1459,'Category Rules'!$A$5:$A$17,0)))</f>
        <v>4020</v>
      </c>
      <c r="S1459" t="str">
        <f>IF(Q1459="CONTEXT","Fencing",IF(Q1459="REVIEW","",INDEX('Category Rules'!$E$5:$E$17,MATCH(P1459,'Category Rules'!$A$5:$A$17,0))))</f>
        <v>Fencing</v>
      </c>
      <c r="T1459" t="str">
        <f>IF(Q1459="DEP","BAS Excluded","GST on Income")</f>
        <v>GST on Income</v>
      </c>
      <c r="U1459">
        <f>IF(O1459=T1459,1,0)</f>
        <v>1</v>
      </c>
      <c r="V1459" s="9">
        <f>IF(OR(M1459=0,U1459=1),0,IF(T1459="GST on Income",ROUND(K1459*0.1,2),ROUND(-K1459*0.1,2)))</f>
        <v>0</v>
      </c>
    </row>
    <row r="1460">
      <c r="A1460" t="inlineStr">
        <is>
          <t>INV-5382-1</t>
        </is>
      </c>
      <c r="B1460" t="inlineStr">
        <is>
          <t>INV-5382</t>
        </is>
      </c>
      <c r="C1460" s="11" t="n">
        <v>46056</v>
      </c>
      <c r="D1460" t="inlineStr">
        <is>
          <t>2026-02</t>
        </is>
      </c>
      <c r="E1460" t="inlineStr">
        <is>
          <t>C0049</t>
        </is>
      </c>
      <c r="F1460" t="inlineStr">
        <is>
          <t>C0049</t>
        </is>
      </c>
      <c r="G1460" t="inlineStr">
        <is>
          <t>Fairway Body Corporate Pty Ltd</t>
        </is>
      </c>
      <c r="H1460" t="inlineStr">
        <is>
          <t>S0279</t>
        </is>
      </c>
      <c r="I1460" t="inlineStr">
        <is>
          <t>Scaffold tower hire 4 wks (06/01/26-02/02/26) - 2 towers</t>
        </is>
      </c>
      <c r="J1460" t="n">
        <v>8</v>
      </c>
      <c r="K1460" s="9" t="n">
        <v>760</v>
      </c>
      <c r="L1460" t="inlineStr">
        <is>
          <t>PAID</t>
        </is>
      </c>
      <c r="M1460">
        <f>IF(L1460="VOIDED",0,1)</f>
        <v>1</v>
      </c>
      <c r="N1460" t="n">
        <v>200</v>
      </c>
      <c r="O1460" t="inlineStr">
        <is>
          <t>GST on Income</t>
        </is>
      </c>
      <c r="P1460" t="inlineStr">
        <is>
          <t>R05</t>
        </is>
      </c>
      <c r="Q1460" t="inlineStr">
        <is>
          <t>HIRE-ST</t>
        </is>
      </c>
      <c r="R1460">
        <f>IF(OR(Q1460="CONTEXT",Q1460="REVIEW"),"",INDEX('Category Rules'!$D$5:$D$17,MATCH(P1460,'Category Rules'!$A$5:$A$17,0)))</f>
        <v>4010</v>
      </c>
      <c r="S1460" t="str">
        <f>IF(Q1460="CONTEXT","Scaffolding",IF(Q1460="REVIEW","",INDEX('Category Rules'!$E$5:$E$17,MATCH(P1460,'Category Rules'!$A$5:$A$17,0))))</f>
        <v>Scaffolding</v>
      </c>
      <c r="T1460" t="str">
        <f>IF(Q1460="DEP","BAS Excluded","GST on Income")</f>
        <v>GST on Income</v>
      </c>
      <c r="U1460">
        <f>IF(O1460=T1460,1,0)</f>
        <v>1</v>
      </c>
      <c r="V1460" s="9">
        <f>IF(OR(M1460=0,U1460=1),0,IF(T1460="GST on Income",ROUND(K1460*0.1,2),ROUND(-K1460*0.1,2)))</f>
        <v>0</v>
      </c>
    </row>
    <row r="1461">
      <c r="A1461" t="inlineStr">
        <is>
          <t>INV-5618-1</t>
        </is>
      </c>
      <c r="B1461" t="inlineStr">
        <is>
          <t>INV-5618</t>
        </is>
      </c>
      <c r="C1461" s="11" t="n">
        <v>46056</v>
      </c>
      <c r="D1461" t="inlineStr">
        <is>
          <t>2026-02</t>
        </is>
      </c>
      <c r="E1461" t="inlineStr">
        <is>
          <t>C0089</t>
        </is>
      </c>
      <c r="F1461" t="inlineStr">
        <is>
          <t>C0089</t>
        </is>
      </c>
      <c r="G1461" t="inlineStr">
        <is>
          <t>Leo Hughes</t>
        </is>
      </c>
      <c r="H1461" t="inlineStr">
        <is>
          <t>S0390</t>
        </is>
      </c>
      <c r="I1461" t="inlineStr">
        <is>
          <t>Tarp kit hire 4 wks (12/01/26-02/02/26) - 2 kits</t>
        </is>
      </c>
      <c r="J1461" t="n">
        <v>8</v>
      </c>
      <c r="K1461" s="9" t="n">
        <v>280</v>
      </c>
      <c r="L1461" t="inlineStr">
        <is>
          <t>PAID</t>
        </is>
      </c>
      <c r="M1461">
        <f>IF(L1461="VOIDED",0,1)</f>
        <v>1</v>
      </c>
      <c r="N1461" t="n">
        <v>200</v>
      </c>
      <c r="O1461" t="inlineStr">
        <is>
          <t>GST on Income</t>
        </is>
      </c>
      <c r="P1461" t="inlineStr">
        <is>
          <t>R06</t>
        </is>
      </c>
      <c r="Q1461" t="inlineStr">
        <is>
          <t>HIRE-TK</t>
        </is>
      </c>
      <c r="R1461">
        <f>IF(OR(Q1461="CONTEXT",Q1461="REVIEW"),"",INDEX('Category Rules'!$D$5:$D$17,MATCH(P1461,'Category Rules'!$A$5:$A$17,0)))</f>
        <v>4010</v>
      </c>
      <c r="S1461" t="str">
        <f>IF(Q1461="CONTEXT","Make-safe",IF(Q1461="REVIEW","",INDEX('Category Rules'!$E$5:$E$17,MATCH(P1461,'Category Rules'!$A$5:$A$17,0))))</f>
        <v>Make-safe</v>
      </c>
      <c r="T1461" t="str">
        <f>IF(Q1461="DEP","BAS Excluded","GST on Income")</f>
        <v>GST on Income</v>
      </c>
      <c r="U1461">
        <f>IF(O1461=T1461,1,0)</f>
        <v>1</v>
      </c>
      <c r="V1461" s="9">
        <f>IF(OR(M1461=0,U1461=1),0,IF(T1461="GST on Income",ROUND(K1461*0.1,2),ROUND(-K1461*0.1,2)))</f>
        <v>0</v>
      </c>
    </row>
    <row r="1462">
      <c r="A1462" t="inlineStr">
        <is>
          <t>INV-5892-1</t>
        </is>
      </c>
      <c r="B1462" t="inlineStr">
        <is>
          <t>INV-5892</t>
        </is>
      </c>
      <c r="C1462" s="11" t="n">
        <v>46056</v>
      </c>
      <c r="D1462" t="inlineStr">
        <is>
          <t>2026-02</t>
        </is>
      </c>
      <c r="E1462" t="inlineStr">
        <is>
          <t>C0063</t>
        </is>
      </c>
      <c r="F1462" t="inlineStr">
        <is>
          <t>C0063</t>
        </is>
      </c>
      <c r="G1462" t="inlineStr">
        <is>
          <t>Highpoint Insurance Repairs Pty Ltd</t>
        </is>
      </c>
      <c r="H1462" t="inlineStr">
        <is>
          <t>S0546</t>
        </is>
      </c>
      <c r="I1462" t="inlineStr">
        <is>
          <t>Tarp kit hire 2 wks (26/01/26-02/02/26) - 3 kits</t>
        </is>
      </c>
      <c r="J1462" t="n">
        <v>6</v>
      </c>
      <c r="K1462" s="9" t="n">
        <v>210</v>
      </c>
      <c r="L1462" t="inlineStr">
        <is>
          <t>PAID</t>
        </is>
      </c>
      <c r="M1462">
        <f>IF(L1462="VOIDED",0,1)</f>
        <v>1</v>
      </c>
      <c r="N1462" t="n">
        <v>200</v>
      </c>
      <c r="O1462" t="inlineStr">
        <is>
          <t>GST on Income</t>
        </is>
      </c>
      <c r="P1462" t="inlineStr">
        <is>
          <t>R06</t>
        </is>
      </c>
      <c r="Q1462" t="inlineStr">
        <is>
          <t>HIRE-TK</t>
        </is>
      </c>
      <c r="R1462">
        <f>IF(OR(Q1462="CONTEXT",Q1462="REVIEW"),"",INDEX('Category Rules'!$D$5:$D$17,MATCH(P1462,'Category Rules'!$A$5:$A$17,0)))</f>
        <v>4010</v>
      </c>
      <c r="S1462" t="str">
        <f>IF(Q1462="CONTEXT","Make-safe",IF(Q1462="REVIEW","",INDEX('Category Rules'!$E$5:$E$17,MATCH(P1462,'Category Rules'!$A$5:$A$17,0))))</f>
        <v>Make-safe</v>
      </c>
      <c r="T1462" t="str">
        <f>IF(Q1462="DEP","BAS Excluded","GST on Income")</f>
        <v>GST on Income</v>
      </c>
      <c r="U1462">
        <f>IF(O1462=T1462,1,0)</f>
        <v>1</v>
      </c>
      <c r="V1462" s="9">
        <f>IF(OR(M1462=0,U1462=1),0,IF(T1462="GST on Income",ROUND(K1462*0.1,2),ROUND(-K1462*0.1,2)))</f>
        <v>0</v>
      </c>
    </row>
    <row r="1463">
      <c r="A1463" t="inlineStr">
        <is>
          <t>CN-5941-1</t>
        </is>
      </c>
      <c r="B1463" t="inlineStr">
        <is>
          <t>CN-5941</t>
        </is>
      </c>
      <c r="C1463" s="11" t="n">
        <v>46057</v>
      </c>
      <c r="D1463" t="inlineStr">
        <is>
          <t>2026-02</t>
        </is>
      </c>
      <c r="E1463" t="inlineStr">
        <is>
          <t>C0015</t>
        </is>
      </c>
      <c r="F1463" t="inlineStr">
        <is>
          <t>C0015</t>
        </is>
      </c>
      <c r="G1463" t="inlineStr">
        <is>
          <t>Bluegum Building Group</t>
        </is>
      </c>
      <c r="H1463" t="inlineStr">
        <is>
          <t>S0180</t>
        </is>
      </c>
      <c r="I1463" t="inlineStr">
        <is>
          <t>Refund of security deposit - fence panels</t>
        </is>
      </c>
      <c r="J1463" t="n">
        <v>1</v>
      </c>
      <c r="K1463" s="9" t="n">
        <v>-390</v>
      </c>
      <c r="L1463" t="inlineStr">
        <is>
          <t>PAID</t>
        </is>
      </c>
      <c r="M1463">
        <f>IF(L1463="VOIDED",0,1)</f>
        <v>1</v>
      </c>
      <c r="N1463" t="n">
        <v>200</v>
      </c>
      <c r="O1463" t="inlineStr">
        <is>
          <t>GST on Income</t>
        </is>
      </c>
      <c r="P1463" t="inlineStr">
        <is>
          <t>R01</t>
        </is>
      </c>
      <c r="Q1463" t="inlineStr">
        <is>
          <t>DEP</t>
        </is>
      </c>
      <c r="R1463">
        <f>IF(OR(Q1463="CONTEXT",Q1463="REVIEW"),"",INDEX('Category Rules'!$D$5:$D$17,MATCH(P1463,'Category Rules'!$A$5:$A$17,0)))</f>
        <v>835</v>
      </c>
      <c r="S1463" t="str">
        <f>IF(Q1463="CONTEXT","Fencing",IF(Q1463="REVIEW","",INDEX('Category Rules'!$E$5:$E$17,MATCH(P1463,'Category Rules'!$A$5:$A$17,0))))</f>
        <v>Fencing</v>
      </c>
      <c r="T1463" t="str">
        <f>IF(Q1463="DEP","BAS Excluded","GST on Income")</f>
        <v>BAS Excluded</v>
      </c>
      <c r="U1463">
        <f>IF(O1463=T1463,1,0)</f>
        <v>0</v>
      </c>
      <c r="V1463" s="9">
        <f>IF(OR(M1463=0,U1463=1),0,IF(T1463="GST on Income",ROUND(K1463*0.1,2),ROUND(-K1463*0.1,2)))</f>
        <v>39</v>
      </c>
    </row>
    <row r="1464">
      <c r="A1464" t="inlineStr">
        <is>
          <t>INV-4615-1</t>
        </is>
      </c>
      <c r="B1464" t="inlineStr">
        <is>
          <t>INV-4615</t>
        </is>
      </c>
      <c r="C1464" s="11" t="n">
        <v>46057</v>
      </c>
      <c r="D1464" t="inlineStr">
        <is>
          <t>2026-02</t>
        </is>
      </c>
      <c r="E1464" t="inlineStr">
        <is>
          <t>C0035</t>
        </is>
      </c>
      <c r="F1464" t="inlineStr">
        <is>
          <t>C0035</t>
        </is>
      </c>
      <c r="G1464" t="inlineStr">
        <is>
          <t>Bayside Homes Pty Ltd</t>
        </is>
      </c>
      <c r="H1464" t="inlineStr">
        <is>
          <t>S0103</t>
        </is>
      </c>
      <c r="I1464" t="inlineStr">
        <is>
          <t>Temporary fence hire 2 wks (23/01/26-03/02/26) - 21 panels</t>
        </is>
      </c>
      <c r="J1464" t="n">
        <v>42</v>
      </c>
      <c r="K1464" s="9" t="n">
        <v>189</v>
      </c>
      <c r="L1464" t="inlineStr">
        <is>
          <t>PAID</t>
        </is>
      </c>
      <c r="M1464">
        <f>IF(L1464="VOIDED",0,1)</f>
        <v>1</v>
      </c>
      <c r="N1464" t="n">
        <v>200</v>
      </c>
      <c r="O1464" t="inlineStr">
        <is>
          <t>BAS Excluded</t>
        </is>
      </c>
      <c r="P1464" t="inlineStr">
        <is>
          <t>R03</t>
        </is>
      </c>
      <c r="Q1464" t="inlineStr">
        <is>
          <t>HIRE-FP</t>
        </is>
      </c>
      <c r="R1464">
        <f>IF(OR(Q1464="CONTEXT",Q1464="REVIEW"),"",INDEX('Category Rules'!$D$5:$D$17,MATCH(P1464,'Category Rules'!$A$5:$A$17,0)))</f>
        <v>4010</v>
      </c>
      <c r="S1464" t="str">
        <f>IF(Q1464="CONTEXT","Fencing",IF(Q1464="REVIEW","",INDEX('Category Rules'!$E$5:$E$17,MATCH(P1464,'Category Rules'!$A$5:$A$17,0))))</f>
        <v>Fencing</v>
      </c>
      <c r="T1464" t="str">
        <f>IF(Q1464="DEP","BAS Excluded","GST on Income")</f>
        <v>GST on Income</v>
      </c>
      <c r="U1464">
        <f>IF(O1464=T1464,1,0)</f>
        <v>0</v>
      </c>
      <c r="V1464" s="9">
        <f>IF(OR(M1464=0,U1464=1),0,IF(T1464="GST on Income",ROUND(K1464*0.1,2),ROUND(-K1464*0.1,2)))</f>
        <v>18.9</v>
      </c>
    </row>
    <row r="1465">
      <c r="A1465" t="inlineStr">
        <is>
          <t>INV-4617-1</t>
        </is>
      </c>
      <c r="B1465" t="inlineStr">
        <is>
          <t>INV-4617</t>
        </is>
      </c>
      <c r="C1465" s="11" t="n">
        <v>46057</v>
      </c>
      <c r="D1465" t="inlineStr">
        <is>
          <t>2026-02</t>
        </is>
      </c>
      <c r="E1465" t="inlineStr">
        <is>
          <t>C0035</t>
        </is>
      </c>
      <c r="F1465" t="inlineStr">
        <is>
          <t>C0035</t>
        </is>
      </c>
      <c r="G1465" t="inlineStr">
        <is>
          <t>Bayside Homes Pty Ltd</t>
        </is>
      </c>
      <c r="H1465" t="inlineStr">
        <is>
          <t>S0103</t>
        </is>
      </c>
      <c r="I1465" t="inlineStr">
        <is>
          <t>Collection and dismantle - temporary fencing</t>
        </is>
      </c>
      <c r="J1465" t="n">
        <v>1</v>
      </c>
      <c r="K1465" s="9" t="n">
        <v>165</v>
      </c>
      <c r="L1465" t="inlineStr">
        <is>
          <t>PAID</t>
        </is>
      </c>
      <c r="M1465">
        <f>IF(L1465="VOIDED",0,1)</f>
        <v>1</v>
      </c>
      <c r="N1465" t="n">
        <v>200</v>
      </c>
      <c r="O1465" t="inlineStr">
        <is>
          <t>GST on Income</t>
        </is>
      </c>
      <c r="P1465" t="inlineStr">
        <is>
          <t>R07</t>
        </is>
      </c>
      <c r="Q1465" t="inlineStr">
        <is>
          <t>DEL-FP</t>
        </is>
      </c>
      <c r="R1465">
        <f>IF(OR(Q1465="CONTEXT",Q1465="REVIEW"),"",INDEX('Category Rules'!$D$5:$D$17,MATCH(P1465,'Category Rules'!$A$5:$A$17,0)))</f>
        <v>4020</v>
      </c>
      <c r="S1465" t="str">
        <f>IF(Q1465="CONTEXT","Fencing",IF(Q1465="REVIEW","",INDEX('Category Rules'!$E$5:$E$17,MATCH(P1465,'Category Rules'!$A$5:$A$17,0))))</f>
        <v>Fencing</v>
      </c>
      <c r="T1465" t="str">
        <f>IF(Q1465="DEP","BAS Excluded","GST on Income")</f>
        <v>GST on Income</v>
      </c>
      <c r="U1465">
        <f>IF(O1465=T1465,1,0)</f>
        <v>1</v>
      </c>
      <c r="V1465" s="9">
        <f>IF(OR(M1465=0,U1465=1),0,IF(T1465="GST on Income",ROUND(K1465*0.1,2),ROUND(-K1465*0.1,2)))</f>
        <v>0</v>
      </c>
    </row>
    <row r="1466">
      <c r="A1466" t="inlineStr">
        <is>
          <t>INV-4688-1</t>
        </is>
      </c>
      <c r="B1466" t="inlineStr">
        <is>
          <t>INV-4688</t>
        </is>
      </c>
      <c r="C1466" s="11" t="n">
        <v>46057</v>
      </c>
      <c r="D1466" t="inlineStr">
        <is>
          <t>2026-02</t>
        </is>
      </c>
      <c r="E1466" t="inlineStr">
        <is>
          <t>C0033</t>
        </is>
      </c>
      <c r="F1466" t="inlineStr">
        <is>
          <t>C0033</t>
        </is>
      </c>
      <c r="G1466" t="inlineStr">
        <is>
          <t>Granite Projects Pty Ltd</t>
        </is>
      </c>
      <c r="H1466" t="inlineStr">
        <is>
          <t>S0123</t>
        </is>
      </c>
      <c r="I1466" t="inlineStr">
        <is>
          <t>Temporary fence hire 4 wks (07/01/26-03/02/26) - 70 panels</t>
        </is>
      </c>
      <c r="J1466" t="n">
        <v>280</v>
      </c>
      <c r="K1466" s="9" t="n">
        <v>1260</v>
      </c>
      <c r="L1466" t="inlineStr">
        <is>
          <t>PAID</t>
        </is>
      </c>
      <c r="M1466">
        <f>IF(L1466="VOIDED",0,1)</f>
        <v>1</v>
      </c>
      <c r="N1466" t="n">
        <v>200</v>
      </c>
      <c r="O1466" t="inlineStr">
        <is>
          <t>GST on Income</t>
        </is>
      </c>
      <c r="P1466" t="inlineStr">
        <is>
          <t>R03</t>
        </is>
      </c>
      <c r="Q1466" t="inlineStr">
        <is>
          <t>HIRE-FP</t>
        </is>
      </c>
      <c r="R1466">
        <f>IF(OR(Q1466="CONTEXT",Q1466="REVIEW"),"",INDEX('Category Rules'!$D$5:$D$17,MATCH(P1466,'Category Rules'!$A$5:$A$17,0)))</f>
        <v>4010</v>
      </c>
      <c r="S1466" t="str">
        <f>IF(Q1466="CONTEXT","Fencing",IF(Q1466="REVIEW","",INDEX('Category Rules'!$E$5:$E$17,MATCH(P1466,'Category Rules'!$A$5:$A$17,0))))</f>
        <v>Fencing</v>
      </c>
      <c r="T1466" t="str">
        <f>IF(Q1466="DEP","BAS Excluded","GST on Income")</f>
        <v>GST on Income</v>
      </c>
      <c r="U1466">
        <f>IF(O1466=T1466,1,0)</f>
        <v>1</v>
      </c>
      <c r="V1466" s="9">
        <f>IF(OR(M1466=0,U1466=1),0,IF(T1466="GST on Income",ROUND(K1466*0.1,2),ROUND(-K1466*0.1,2)))</f>
        <v>0</v>
      </c>
    </row>
    <row r="1467">
      <c r="A1467" t="inlineStr">
        <is>
          <t>INV-5024-1</t>
        </is>
      </c>
      <c r="B1467" t="inlineStr">
        <is>
          <t>INV-5024</t>
        </is>
      </c>
      <c r="C1467" s="11" t="n">
        <v>46057</v>
      </c>
      <c r="D1467" t="inlineStr">
        <is>
          <t>2026-02</t>
        </is>
      </c>
      <c r="E1467" t="inlineStr">
        <is>
          <t>C0143</t>
        </is>
      </c>
      <c r="F1467" t="inlineStr">
        <is>
          <t>C0043</t>
        </is>
      </c>
      <c r="G1467" t="inlineStr">
        <is>
          <t>Banksia Projects Pty Ltd</t>
        </is>
      </c>
      <c r="H1467" t="inlineStr">
        <is>
          <t>S0200</t>
        </is>
      </c>
      <c r="I1467" t="inlineStr">
        <is>
          <t>Temporary fence hire 4 wks (07/01/26-03/02/26) - 116 panels</t>
        </is>
      </c>
      <c r="J1467" t="n">
        <v>464</v>
      </c>
      <c r="K1467" s="9" t="n">
        <v>2088</v>
      </c>
      <c r="L1467" t="inlineStr">
        <is>
          <t>PAID</t>
        </is>
      </c>
      <c r="M1467">
        <f>IF(L1467="VOIDED",0,1)</f>
        <v>1</v>
      </c>
      <c r="N1467" t="n">
        <v>200</v>
      </c>
      <c r="O1467" t="inlineStr">
        <is>
          <t>GST on Income</t>
        </is>
      </c>
      <c r="P1467" t="inlineStr">
        <is>
          <t>R03</t>
        </is>
      </c>
      <c r="Q1467" t="inlineStr">
        <is>
          <t>HIRE-FP</t>
        </is>
      </c>
      <c r="R1467">
        <f>IF(OR(Q1467="CONTEXT",Q1467="REVIEW"),"",INDEX('Category Rules'!$D$5:$D$17,MATCH(P1467,'Category Rules'!$A$5:$A$17,0)))</f>
        <v>4010</v>
      </c>
      <c r="S1467" t="str">
        <f>IF(Q1467="CONTEXT","Fencing",IF(Q1467="REVIEW","",INDEX('Category Rules'!$E$5:$E$17,MATCH(P1467,'Category Rules'!$A$5:$A$17,0))))</f>
        <v>Fencing</v>
      </c>
      <c r="T1467" t="str">
        <f>IF(Q1467="DEP","BAS Excluded","GST on Income")</f>
        <v>GST on Income</v>
      </c>
      <c r="U1467">
        <f>IF(O1467=T1467,1,0)</f>
        <v>1</v>
      </c>
      <c r="V1467" s="9">
        <f>IF(OR(M1467=0,U1467=1),0,IF(T1467="GST on Income",ROUND(K1467*0.1,2),ROUND(-K1467*0.1,2)))</f>
        <v>0</v>
      </c>
    </row>
    <row r="1468">
      <c r="A1468" t="inlineStr">
        <is>
          <t>INV-5368-1</t>
        </is>
      </c>
      <c r="B1468" t="inlineStr">
        <is>
          <t>INV-5368</t>
        </is>
      </c>
      <c r="C1468" s="11" t="n">
        <v>46057</v>
      </c>
      <c r="D1468" t="inlineStr">
        <is>
          <t>2026-02</t>
        </is>
      </c>
      <c r="E1468" t="inlineStr">
        <is>
          <t>C0026</t>
        </is>
      </c>
      <c r="F1468" t="inlineStr">
        <is>
          <t>C0026</t>
        </is>
      </c>
      <c r="G1468" t="inlineStr">
        <is>
          <t>Juniper Constructions</t>
        </is>
      </c>
      <c r="H1468" t="inlineStr">
        <is>
          <t>S0275</t>
        </is>
      </c>
      <c r="I1468" t="inlineStr">
        <is>
          <t>Scaffold tower hire 4 wks (07/01/26-03/02/26) - 4 towers</t>
        </is>
      </c>
      <c r="J1468" t="n">
        <v>16</v>
      </c>
      <c r="K1468" s="9" t="n">
        <v>1520</v>
      </c>
      <c r="L1468" t="inlineStr">
        <is>
          <t>PAID</t>
        </is>
      </c>
      <c r="M1468">
        <f>IF(L1468="VOIDED",0,1)</f>
        <v>1</v>
      </c>
      <c r="N1468" t="n">
        <v>200</v>
      </c>
      <c r="O1468" t="inlineStr">
        <is>
          <t>GST on Income</t>
        </is>
      </c>
      <c r="P1468" t="inlineStr">
        <is>
          <t>R05</t>
        </is>
      </c>
      <c r="Q1468" t="inlineStr">
        <is>
          <t>HIRE-ST</t>
        </is>
      </c>
      <c r="R1468">
        <f>IF(OR(Q1468="CONTEXT",Q1468="REVIEW"),"",INDEX('Category Rules'!$D$5:$D$17,MATCH(P1468,'Category Rules'!$A$5:$A$17,0)))</f>
        <v>4010</v>
      </c>
      <c r="S1468" t="str">
        <f>IF(Q1468="CONTEXT","Scaffolding",IF(Q1468="REVIEW","",INDEX('Category Rules'!$E$5:$E$17,MATCH(P1468,'Category Rules'!$A$5:$A$17,0))))</f>
        <v>Scaffolding</v>
      </c>
      <c r="T1468" t="str">
        <f>IF(Q1468="DEP","BAS Excluded","GST on Income")</f>
        <v>GST on Income</v>
      </c>
      <c r="U1468">
        <f>IF(O1468=T1468,1,0)</f>
        <v>1</v>
      </c>
      <c r="V1468" s="9">
        <f>IF(OR(M1468=0,U1468=1),0,IF(T1468="GST on Income",ROUND(K1468*0.1,2),ROUND(-K1468*0.1,2)))</f>
        <v>0</v>
      </c>
    </row>
    <row r="1469">
      <c r="A1469" t="inlineStr">
        <is>
          <t>INV-5634-1</t>
        </is>
      </c>
      <c r="B1469" t="inlineStr">
        <is>
          <t>INV-5634</t>
        </is>
      </c>
      <c r="C1469" s="11" t="n">
        <v>46057</v>
      </c>
      <c r="D1469" t="inlineStr">
        <is>
          <t>2026-02</t>
        </is>
      </c>
      <c r="E1469" t="inlineStr">
        <is>
          <t>C0062</t>
        </is>
      </c>
      <c r="F1469" t="inlineStr">
        <is>
          <t>C0062</t>
        </is>
      </c>
      <c r="G1469" t="inlineStr">
        <is>
          <t>Wattle Insurance Repairs Pty Ltd</t>
        </is>
      </c>
      <c r="H1469" t="inlineStr">
        <is>
          <t>S0398</t>
        </is>
      </c>
      <c r="I1469" t="inlineStr">
        <is>
          <t>Emergency make safe call-out - after hours</t>
        </is>
      </c>
      <c r="J1469" t="n">
        <v>1</v>
      </c>
      <c r="K1469" s="9" t="n">
        <v>560</v>
      </c>
      <c r="L1469" t="inlineStr">
        <is>
          <t>PAID</t>
        </is>
      </c>
      <c r="M1469">
        <f>IF(L1469="VOIDED",0,1)</f>
        <v>1</v>
      </c>
      <c r="N1469" t="n">
        <v>200</v>
      </c>
      <c r="O1469" t="inlineStr">
        <is>
          <t>GST Free Income</t>
        </is>
      </c>
      <c r="P1469" t="inlineStr">
        <is>
          <t>R09</t>
        </is>
      </c>
      <c r="Q1469" t="inlineStr">
        <is>
          <t>MS</t>
        </is>
      </c>
      <c r="R1469">
        <f>IF(OR(Q1469="CONTEXT",Q1469="REVIEW"),"",INDEX('Category Rules'!$D$5:$D$17,MATCH(P1469,'Category Rules'!$A$5:$A$17,0)))</f>
        <v>4020</v>
      </c>
      <c r="S1469" t="str">
        <f>IF(Q1469="CONTEXT","Make-safe",IF(Q1469="REVIEW","",INDEX('Category Rules'!$E$5:$E$17,MATCH(P1469,'Category Rules'!$A$5:$A$17,0))))</f>
        <v>Make-safe</v>
      </c>
      <c r="T1469" t="str">
        <f>IF(Q1469="DEP","BAS Excluded","GST on Income")</f>
        <v>GST on Income</v>
      </c>
      <c r="U1469">
        <f>IF(O1469=T1469,1,0)</f>
        <v>0</v>
      </c>
      <c r="V1469" s="9">
        <f>IF(OR(M1469=0,U1469=1),0,IF(T1469="GST on Income",ROUND(K1469*0.1,2),ROUND(-K1469*0.1,2)))</f>
        <v>56</v>
      </c>
    </row>
    <row r="1470">
      <c r="A1470" t="inlineStr">
        <is>
          <t>INV-5634-2</t>
        </is>
      </c>
      <c r="B1470" t="inlineStr">
        <is>
          <t>INV-5634</t>
        </is>
      </c>
      <c r="C1470" s="11" t="n">
        <v>46057</v>
      </c>
      <c r="D1470" t="inlineStr">
        <is>
          <t>2026-02</t>
        </is>
      </c>
      <c r="E1470" t="inlineStr">
        <is>
          <t>C0062</t>
        </is>
      </c>
      <c r="F1470" t="inlineStr">
        <is>
          <t>C0062</t>
        </is>
      </c>
      <c r="G1470" t="inlineStr">
        <is>
          <t>Wattle Insurance Repairs Pty Ltd</t>
        </is>
      </c>
      <c r="H1470" t="inlineStr">
        <is>
          <t>S0398</t>
        </is>
      </c>
      <c r="I1470" t="inlineStr">
        <is>
          <t>Tarp supply and install - 2 tarp(s)</t>
        </is>
      </c>
      <c r="J1470" t="n">
        <v>2</v>
      </c>
      <c r="K1470" s="9" t="n">
        <v>480</v>
      </c>
      <c r="L1470" t="inlineStr">
        <is>
          <t>PAID</t>
        </is>
      </c>
      <c r="M1470">
        <f>IF(L1470="VOIDED",0,1)</f>
        <v>1</v>
      </c>
      <c r="N1470" t="n">
        <v>200</v>
      </c>
      <c r="O1470" t="inlineStr">
        <is>
          <t>GST on Income</t>
        </is>
      </c>
      <c r="P1470" t="inlineStr">
        <is>
          <t>R09</t>
        </is>
      </c>
      <c r="Q1470" t="inlineStr">
        <is>
          <t>MS</t>
        </is>
      </c>
      <c r="R1470">
        <f>IF(OR(Q1470="CONTEXT",Q1470="REVIEW"),"",INDEX('Category Rules'!$D$5:$D$17,MATCH(P1470,'Category Rules'!$A$5:$A$17,0)))</f>
        <v>4020</v>
      </c>
      <c r="S1470" t="str">
        <f>IF(Q1470="CONTEXT","Make-safe",IF(Q1470="REVIEW","",INDEX('Category Rules'!$E$5:$E$17,MATCH(P1470,'Category Rules'!$A$5:$A$17,0))))</f>
        <v>Make-safe</v>
      </c>
      <c r="T1470" t="str">
        <f>IF(Q1470="DEP","BAS Excluded","GST on Income")</f>
        <v>GST on Income</v>
      </c>
      <c r="U1470">
        <f>IF(O1470=T1470,1,0)</f>
        <v>1</v>
      </c>
      <c r="V1470" s="9">
        <f>IF(OR(M1470=0,U1470=1),0,IF(T1470="GST on Income",ROUND(K1470*0.1,2),ROUND(-K1470*0.1,2)))</f>
        <v>0</v>
      </c>
    </row>
    <row r="1471">
      <c r="A1471" t="inlineStr">
        <is>
          <t>INV-5735-1</t>
        </is>
      </c>
      <c r="B1471" t="inlineStr">
        <is>
          <t>INV-5735</t>
        </is>
      </c>
      <c r="C1471" s="11" t="n">
        <v>46057</v>
      </c>
      <c r="D1471" t="inlineStr">
        <is>
          <t>2026-02</t>
        </is>
      </c>
      <c r="E1471" t="inlineStr">
        <is>
          <t>C0066</t>
        </is>
      </c>
      <c r="F1471" t="inlineStr">
        <is>
          <t>C0066</t>
        </is>
      </c>
      <c r="G1471" t="inlineStr">
        <is>
          <t>Northgate Insurance Repairs</t>
        </is>
      </c>
      <c r="H1471" t="inlineStr">
        <is>
          <t>S0453</t>
        </is>
      </c>
      <c r="I1471" t="inlineStr">
        <is>
          <t>Tarp kit hire 2 wks (27/01/26-03/02/26) - 1 kits</t>
        </is>
      </c>
      <c r="J1471" t="n">
        <v>2</v>
      </c>
      <c r="K1471" s="9" t="n">
        <v>70</v>
      </c>
      <c r="L1471" t="inlineStr">
        <is>
          <t>PAID</t>
        </is>
      </c>
      <c r="M1471">
        <f>IF(L1471="VOIDED",0,1)</f>
        <v>1</v>
      </c>
      <c r="N1471" t="n">
        <v>200</v>
      </c>
      <c r="O1471" t="inlineStr">
        <is>
          <t>GST on Income</t>
        </is>
      </c>
      <c r="P1471" t="inlineStr">
        <is>
          <t>R06</t>
        </is>
      </c>
      <c r="Q1471" t="inlineStr">
        <is>
          <t>HIRE-TK</t>
        </is>
      </c>
      <c r="R1471">
        <f>IF(OR(Q1471="CONTEXT",Q1471="REVIEW"),"",INDEX('Category Rules'!$D$5:$D$17,MATCH(P1471,'Category Rules'!$A$5:$A$17,0)))</f>
        <v>4010</v>
      </c>
      <c r="S1471" t="str">
        <f>IF(Q1471="CONTEXT","Make-safe",IF(Q1471="REVIEW","",INDEX('Category Rules'!$E$5:$E$17,MATCH(P1471,'Category Rules'!$A$5:$A$17,0))))</f>
        <v>Make-safe</v>
      </c>
      <c r="T1471" t="str">
        <f>IF(Q1471="DEP","BAS Excluded","GST on Income")</f>
        <v>GST on Income</v>
      </c>
      <c r="U1471">
        <f>IF(O1471=T1471,1,0)</f>
        <v>1</v>
      </c>
      <c r="V1471" s="9">
        <f>IF(OR(M1471=0,U1471=1),0,IF(T1471="GST on Income",ROUND(K1471*0.1,2),ROUND(-K1471*0.1,2)))</f>
        <v>0</v>
      </c>
    </row>
    <row r="1472">
      <c r="A1472" t="inlineStr">
        <is>
          <t>INV-4631-1</t>
        </is>
      </c>
      <c r="B1472" t="inlineStr">
        <is>
          <t>INV-4631</t>
        </is>
      </c>
      <c r="C1472" s="11" t="n">
        <v>46058</v>
      </c>
      <c r="D1472" t="inlineStr">
        <is>
          <t>2026-02</t>
        </is>
      </c>
      <c r="E1472" t="inlineStr">
        <is>
          <t>C0041</t>
        </is>
      </c>
      <c r="F1472" t="inlineStr">
        <is>
          <t>C0041</t>
        </is>
      </c>
      <c r="G1472" t="inlineStr">
        <is>
          <t>Summit Builders Pty Ltd</t>
        </is>
      </c>
      <c r="H1472" t="inlineStr">
        <is>
          <t>S0108</t>
        </is>
      </c>
      <c r="I1472" t="inlineStr">
        <is>
          <t>Temporary fence hire 3 wks (18/01/26-04/02/26) - 92 panels</t>
        </is>
      </c>
      <c r="J1472" t="n">
        <v>276</v>
      </c>
      <c r="K1472" s="9" t="n">
        <v>1242</v>
      </c>
      <c r="L1472" t="inlineStr">
        <is>
          <t>PAID</t>
        </is>
      </c>
      <c r="M1472">
        <f>IF(L1472="VOIDED",0,1)</f>
        <v>1</v>
      </c>
      <c r="N1472" t="n">
        <v>200</v>
      </c>
      <c r="O1472" t="inlineStr">
        <is>
          <t>GST on Income</t>
        </is>
      </c>
      <c r="P1472" t="inlineStr">
        <is>
          <t>R03</t>
        </is>
      </c>
      <c r="Q1472" t="inlineStr">
        <is>
          <t>HIRE-FP</t>
        </is>
      </c>
      <c r="R1472">
        <f>IF(OR(Q1472="CONTEXT",Q1472="REVIEW"),"",INDEX('Category Rules'!$D$5:$D$17,MATCH(P1472,'Category Rules'!$A$5:$A$17,0)))</f>
        <v>4010</v>
      </c>
      <c r="S1472" t="str">
        <f>IF(Q1472="CONTEXT","Fencing",IF(Q1472="REVIEW","",INDEX('Category Rules'!$E$5:$E$17,MATCH(P1472,'Category Rules'!$A$5:$A$17,0))))</f>
        <v>Fencing</v>
      </c>
      <c r="T1472" t="str">
        <f>IF(Q1472="DEP","BAS Excluded","GST on Income")</f>
        <v>GST on Income</v>
      </c>
      <c r="U1472">
        <f>IF(O1472=T1472,1,0)</f>
        <v>1</v>
      </c>
      <c r="V1472" s="9">
        <f>IF(OR(M1472=0,U1472=1),0,IF(T1472="GST on Income",ROUND(K1472*0.1,2),ROUND(-K1472*0.1,2)))</f>
        <v>0</v>
      </c>
    </row>
    <row r="1473">
      <c r="A1473" t="inlineStr">
        <is>
          <t>INV-4633-1</t>
        </is>
      </c>
      <c r="B1473" t="inlineStr">
        <is>
          <t>INV-4633</t>
        </is>
      </c>
      <c r="C1473" s="11" t="n">
        <v>46058</v>
      </c>
      <c r="D1473" t="inlineStr">
        <is>
          <t>2026-02</t>
        </is>
      </c>
      <c r="E1473" t="inlineStr">
        <is>
          <t>C0041</t>
        </is>
      </c>
      <c r="F1473" t="inlineStr">
        <is>
          <t>C0041</t>
        </is>
      </c>
      <c r="G1473" t="inlineStr">
        <is>
          <t>Summit Builders Pty Ltd</t>
        </is>
      </c>
      <c r="H1473" t="inlineStr">
        <is>
          <t>S0108</t>
        </is>
      </c>
      <c r="I1473" t="inlineStr">
        <is>
          <t>Pedestrian barrier hire 3 wks (18/01/26-04/02/26) - 17 barriers</t>
        </is>
      </c>
      <c r="J1473" t="n">
        <v>51</v>
      </c>
      <c r="K1473" s="9" t="n">
        <v>163.2</v>
      </c>
      <c r="L1473" t="inlineStr">
        <is>
          <t>PAID</t>
        </is>
      </c>
      <c r="M1473">
        <f>IF(L1473="VOIDED",0,1)</f>
        <v>1</v>
      </c>
      <c r="N1473" t="n">
        <v>200</v>
      </c>
      <c r="O1473" t="inlineStr">
        <is>
          <t>GST on Income</t>
        </is>
      </c>
      <c r="P1473" t="inlineStr">
        <is>
          <t>R04</t>
        </is>
      </c>
      <c r="Q1473" t="inlineStr">
        <is>
          <t>HIRE-BR</t>
        </is>
      </c>
      <c r="R1473">
        <f>IF(OR(Q1473="CONTEXT",Q1473="REVIEW"),"",INDEX('Category Rules'!$D$5:$D$17,MATCH(P1473,'Category Rules'!$A$5:$A$17,0)))</f>
        <v>4010</v>
      </c>
      <c r="S1473" t="str">
        <f>IF(Q1473="CONTEXT","Fencing",IF(Q1473="REVIEW","",INDEX('Category Rules'!$E$5:$E$17,MATCH(P1473,'Category Rules'!$A$5:$A$17,0))))</f>
        <v>Fencing</v>
      </c>
      <c r="T1473" t="str">
        <f>IF(Q1473="DEP","BAS Excluded","GST on Income")</f>
        <v>GST on Income</v>
      </c>
      <c r="U1473">
        <f>IF(O1473=T1473,1,0)</f>
        <v>1</v>
      </c>
      <c r="V1473" s="9">
        <f>IF(OR(M1473=0,U1473=1),0,IF(T1473="GST on Income",ROUND(K1473*0.1,2),ROUND(-K1473*0.1,2)))</f>
        <v>0</v>
      </c>
    </row>
    <row r="1474">
      <c r="A1474" t="inlineStr">
        <is>
          <t>INV-4635-1</t>
        </is>
      </c>
      <c r="B1474" t="inlineStr">
        <is>
          <t>INV-4635</t>
        </is>
      </c>
      <c r="C1474" s="11" t="n">
        <v>46058</v>
      </c>
      <c r="D1474" t="inlineStr">
        <is>
          <t>2026-02</t>
        </is>
      </c>
      <c r="E1474" t="inlineStr">
        <is>
          <t>C0041</t>
        </is>
      </c>
      <c r="F1474" t="inlineStr">
        <is>
          <t>C0041</t>
        </is>
      </c>
      <c r="G1474" t="inlineStr">
        <is>
          <t>Summit Builders Pty Ltd</t>
        </is>
      </c>
      <c r="H1474" t="inlineStr">
        <is>
          <t>S0108</t>
        </is>
      </c>
      <c r="I1474" t="inlineStr">
        <is>
          <t>Collection and dismantle - temporary fencing</t>
        </is>
      </c>
      <c r="J1474" t="n">
        <v>1</v>
      </c>
      <c r="K1474" s="9" t="n">
        <v>165</v>
      </c>
      <c r="L1474" t="inlineStr">
        <is>
          <t>PAID</t>
        </is>
      </c>
      <c r="M1474">
        <f>IF(L1474="VOIDED",0,1)</f>
        <v>1</v>
      </c>
      <c r="N1474" t="n">
        <v>200</v>
      </c>
      <c r="O1474" t="inlineStr">
        <is>
          <t>GST on Income</t>
        </is>
      </c>
      <c r="P1474" t="inlineStr">
        <is>
          <t>R07</t>
        </is>
      </c>
      <c r="Q1474" t="inlineStr">
        <is>
          <t>DEL-FP</t>
        </is>
      </c>
      <c r="R1474">
        <f>IF(OR(Q1474="CONTEXT",Q1474="REVIEW"),"",INDEX('Category Rules'!$D$5:$D$17,MATCH(P1474,'Category Rules'!$A$5:$A$17,0)))</f>
        <v>4020</v>
      </c>
      <c r="S1474" t="str">
        <f>IF(Q1474="CONTEXT","Fencing",IF(Q1474="REVIEW","",INDEX('Category Rules'!$E$5:$E$17,MATCH(P1474,'Category Rules'!$A$5:$A$17,0))))</f>
        <v>Fencing</v>
      </c>
      <c r="T1474" t="str">
        <f>IF(Q1474="DEP","BAS Excluded","GST on Income")</f>
        <v>GST on Income</v>
      </c>
      <c r="U1474">
        <f>IF(O1474=T1474,1,0)</f>
        <v>1</v>
      </c>
      <c r="V1474" s="9">
        <f>IF(OR(M1474=0,U1474=1),0,IF(T1474="GST on Income",ROUND(K1474*0.1,2),ROUND(-K1474*0.1,2)))</f>
        <v>0</v>
      </c>
    </row>
    <row r="1475">
      <c r="A1475" t="inlineStr">
        <is>
          <t>INV-4635-2</t>
        </is>
      </c>
      <c r="B1475" t="inlineStr">
        <is>
          <t>INV-4635</t>
        </is>
      </c>
      <c r="C1475" s="11" t="n">
        <v>46058</v>
      </c>
      <c r="D1475" t="inlineStr">
        <is>
          <t>2026-02</t>
        </is>
      </c>
      <c r="E1475" t="inlineStr">
        <is>
          <t>C0041</t>
        </is>
      </c>
      <c r="F1475" t="inlineStr">
        <is>
          <t>C0041</t>
        </is>
      </c>
      <c r="G1475" t="inlineStr">
        <is>
          <t>Summit Builders Pty Ltd</t>
        </is>
      </c>
      <c r="H1475" t="inlineStr">
        <is>
          <t>S0108</t>
        </is>
      </c>
      <c r="I1475" t="inlineStr">
        <is>
          <t>Lost/damaged panels charged - 4 @ 145.00</t>
        </is>
      </c>
      <c r="J1475" t="n">
        <v>4</v>
      </c>
      <c r="K1475" s="9" t="n">
        <v>580</v>
      </c>
      <c r="L1475" t="inlineStr">
        <is>
          <t>PAID</t>
        </is>
      </c>
      <c r="M1475">
        <f>IF(L1475="VOIDED",0,1)</f>
        <v>1</v>
      </c>
      <c r="N1475" t="n">
        <v>200</v>
      </c>
      <c r="O1475" t="inlineStr">
        <is>
          <t>GST on Income</t>
        </is>
      </c>
      <c r="P1475" t="inlineStr">
        <is>
          <t>R02</t>
        </is>
      </c>
      <c r="Q1475" t="inlineStr">
        <is>
          <t>LOSS</t>
        </is>
      </c>
      <c r="R1475">
        <f>IF(OR(Q1475="CONTEXT",Q1475="REVIEW"),"",INDEX('Category Rules'!$D$5:$D$17,MATCH(P1475,'Category Rules'!$A$5:$A$17,0)))</f>
        <v>4040</v>
      </c>
      <c r="S1475" t="str">
        <f>IF(Q1475="CONTEXT","Fencing",IF(Q1475="REVIEW","",INDEX('Category Rules'!$E$5:$E$17,MATCH(P1475,'Category Rules'!$A$5:$A$17,0))))</f>
        <v>Fencing</v>
      </c>
      <c r="T1475" t="str">
        <f>IF(Q1475="DEP","BAS Excluded","GST on Income")</f>
        <v>GST on Income</v>
      </c>
      <c r="U1475">
        <f>IF(O1475=T1475,1,0)</f>
        <v>1</v>
      </c>
      <c r="V1475" s="9">
        <f>IF(OR(M1475=0,U1475=1),0,IF(T1475="GST on Income",ROUND(K1475*0.1,2),ROUND(-K1475*0.1,2)))</f>
        <v>0</v>
      </c>
    </row>
    <row r="1476">
      <c r="A1476" t="inlineStr">
        <is>
          <t>INV-5461-1</t>
        </is>
      </c>
      <c r="B1476" t="inlineStr">
        <is>
          <t>INV-5461</t>
        </is>
      </c>
      <c r="C1476" s="11" t="n">
        <v>46058</v>
      </c>
      <c r="D1476" t="inlineStr">
        <is>
          <t>2026-02</t>
        </is>
      </c>
      <c r="E1476" t="inlineStr">
        <is>
          <t>C0083</t>
        </is>
      </c>
      <c r="F1476" t="inlineStr">
        <is>
          <t>C0083</t>
        </is>
      </c>
      <c r="G1476" t="inlineStr">
        <is>
          <t>Noah Williams</t>
        </is>
      </c>
      <c r="H1476" t="inlineStr">
        <is>
          <t>S0302</t>
        </is>
      </c>
      <c r="I1476" t="inlineStr">
        <is>
          <t>Make safe call-out</t>
        </is>
      </c>
      <c r="J1476" t="n">
        <v>1</v>
      </c>
      <c r="K1476" s="9" t="n">
        <v>385</v>
      </c>
      <c r="L1476" t="inlineStr">
        <is>
          <t>PAID</t>
        </is>
      </c>
      <c r="M1476">
        <f>IF(L1476="VOIDED",0,1)</f>
        <v>1</v>
      </c>
      <c r="N1476" t="n">
        <v>200</v>
      </c>
      <c r="O1476" t="inlineStr">
        <is>
          <t>GST on Income</t>
        </is>
      </c>
      <c r="P1476" t="inlineStr">
        <is>
          <t>R09</t>
        </is>
      </c>
      <c r="Q1476" t="inlineStr">
        <is>
          <t>MS</t>
        </is>
      </c>
      <c r="R1476">
        <f>IF(OR(Q1476="CONTEXT",Q1476="REVIEW"),"",INDEX('Category Rules'!$D$5:$D$17,MATCH(P1476,'Category Rules'!$A$5:$A$17,0)))</f>
        <v>4020</v>
      </c>
      <c r="S1476" t="str">
        <f>IF(Q1476="CONTEXT","Make-safe",IF(Q1476="REVIEW","",INDEX('Category Rules'!$E$5:$E$17,MATCH(P1476,'Category Rules'!$A$5:$A$17,0))))</f>
        <v>Make-safe</v>
      </c>
      <c r="T1476" t="str">
        <f>IF(Q1476="DEP","BAS Excluded","GST on Income")</f>
        <v>GST on Income</v>
      </c>
      <c r="U1476">
        <f>IF(O1476=T1476,1,0)</f>
        <v>1</v>
      </c>
      <c r="V1476" s="9">
        <f>IF(OR(M1476=0,U1476=1),0,IF(T1476="GST on Income",ROUND(K1476*0.1,2),ROUND(-K1476*0.1,2)))</f>
        <v>0</v>
      </c>
    </row>
    <row r="1477">
      <c r="A1477" t="inlineStr">
        <is>
          <t>INV-5461-2</t>
        </is>
      </c>
      <c r="B1477" t="inlineStr">
        <is>
          <t>INV-5461</t>
        </is>
      </c>
      <c r="C1477" s="11" t="n">
        <v>46058</v>
      </c>
      <c r="D1477" t="inlineStr">
        <is>
          <t>2026-02</t>
        </is>
      </c>
      <c r="E1477" t="inlineStr">
        <is>
          <t>C0083</t>
        </is>
      </c>
      <c r="F1477" t="inlineStr">
        <is>
          <t>C0083</t>
        </is>
      </c>
      <c r="G1477" t="inlineStr">
        <is>
          <t>Noah Williams</t>
        </is>
      </c>
      <c r="H1477" t="inlineStr">
        <is>
          <t>S0302</t>
        </is>
      </c>
      <c r="I1477" t="inlineStr">
        <is>
          <t>Tarp supply and install - 2 tarp(s)</t>
        </is>
      </c>
      <c r="J1477" t="n">
        <v>2</v>
      </c>
      <c r="K1477" s="9" t="n">
        <v>480</v>
      </c>
      <c r="L1477" t="inlineStr">
        <is>
          <t>PAID</t>
        </is>
      </c>
      <c r="M1477">
        <f>IF(L1477="VOIDED",0,1)</f>
        <v>1</v>
      </c>
      <c r="N1477" t="n">
        <v>200</v>
      </c>
      <c r="O1477" t="inlineStr">
        <is>
          <t>GST on Income</t>
        </is>
      </c>
      <c r="P1477" t="inlineStr">
        <is>
          <t>R09</t>
        </is>
      </c>
      <c r="Q1477" t="inlineStr">
        <is>
          <t>MS</t>
        </is>
      </c>
      <c r="R1477">
        <f>IF(OR(Q1477="CONTEXT",Q1477="REVIEW"),"",INDEX('Category Rules'!$D$5:$D$17,MATCH(P1477,'Category Rules'!$A$5:$A$17,0)))</f>
        <v>4020</v>
      </c>
      <c r="S1477" t="str">
        <f>IF(Q1477="CONTEXT","Make-safe",IF(Q1477="REVIEW","",INDEX('Category Rules'!$E$5:$E$17,MATCH(P1477,'Category Rules'!$A$5:$A$17,0))))</f>
        <v>Make-safe</v>
      </c>
      <c r="T1477" t="str">
        <f>IF(Q1477="DEP","BAS Excluded","GST on Income")</f>
        <v>GST on Income</v>
      </c>
      <c r="U1477">
        <f>IF(O1477=T1477,1,0)</f>
        <v>1</v>
      </c>
      <c r="V1477" s="9">
        <f>IF(OR(M1477=0,U1477=1),0,IF(T1477="GST on Income",ROUND(K1477*0.1,2),ROUND(-K1477*0.1,2)))</f>
        <v>0</v>
      </c>
    </row>
    <row r="1478">
      <c r="A1478" t="inlineStr">
        <is>
          <t>INV-4311-1</t>
        </is>
      </c>
      <c r="B1478" t="inlineStr">
        <is>
          <t>INV-4311</t>
        </is>
      </c>
      <c r="C1478" s="11" t="n">
        <v>46059</v>
      </c>
      <c r="D1478" t="inlineStr">
        <is>
          <t>2026-02</t>
        </is>
      </c>
      <c r="E1478" t="inlineStr">
        <is>
          <t>C0115</t>
        </is>
      </c>
      <c r="F1478" t="inlineStr">
        <is>
          <t>C0115</t>
        </is>
      </c>
      <c r="G1478" t="inlineStr">
        <is>
          <t>Arjun Smith</t>
        </is>
      </c>
      <c r="H1478" t="inlineStr">
        <is>
          <t>S0043</t>
        </is>
      </c>
      <c r="I1478" t="inlineStr">
        <is>
          <t>Delivery and installation - temporary fencing</t>
        </is>
      </c>
      <c r="J1478" t="n">
        <v>1</v>
      </c>
      <c r="K1478" s="9" t="n">
        <v>165</v>
      </c>
      <c r="L1478" t="inlineStr">
        <is>
          <t>PAID</t>
        </is>
      </c>
      <c r="M1478">
        <f>IF(L1478="VOIDED",0,1)</f>
        <v>1</v>
      </c>
      <c r="N1478" t="n">
        <v>200</v>
      </c>
      <c r="O1478" t="inlineStr">
        <is>
          <t>GST on Income</t>
        </is>
      </c>
      <c r="P1478" t="inlineStr">
        <is>
          <t>R07</t>
        </is>
      </c>
      <c r="Q1478" t="inlineStr">
        <is>
          <t>DEL-FP</t>
        </is>
      </c>
      <c r="R1478">
        <f>IF(OR(Q1478="CONTEXT",Q1478="REVIEW"),"",INDEX('Category Rules'!$D$5:$D$17,MATCH(P1478,'Category Rules'!$A$5:$A$17,0)))</f>
        <v>4020</v>
      </c>
      <c r="S1478" t="str">
        <f>IF(Q1478="CONTEXT","Fencing",IF(Q1478="REVIEW","",INDEX('Category Rules'!$E$5:$E$17,MATCH(P1478,'Category Rules'!$A$5:$A$17,0))))</f>
        <v>Fencing</v>
      </c>
      <c r="T1478" t="str">
        <f>IF(Q1478="DEP","BAS Excluded","GST on Income")</f>
        <v>GST on Income</v>
      </c>
      <c r="U1478">
        <f>IF(O1478=T1478,1,0)</f>
        <v>1</v>
      </c>
      <c r="V1478" s="9">
        <f>IF(OR(M1478=0,U1478=1),0,IF(T1478="GST on Income",ROUND(K1478*0.1,2),ROUND(-K1478*0.1,2)))</f>
        <v>0</v>
      </c>
    </row>
    <row r="1479">
      <c r="A1479" t="inlineStr">
        <is>
          <t>INV-4311-2</t>
        </is>
      </c>
      <c r="B1479" t="inlineStr">
        <is>
          <t>INV-4311</t>
        </is>
      </c>
      <c r="C1479" s="11" t="n">
        <v>46059</v>
      </c>
      <c r="D1479" t="inlineStr">
        <is>
          <t>2026-02</t>
        </is>
      </c>
      <c r="E1479" t="inlineStr">
        <is>
          <t>C0115</t>
        </is>
      </c>
      <c r="F1479" t="inlineStr">
        <is>
          <t>C0115</t>
        </is>
      </c>
      <c r="G1479" t="inlineStr">
        <is>
          <t>Arjun Smith</t>
        </is>
      </c>
      <c r="H1479" t="inlineStr">
        <is>
          <t>S0043</t>
        </is>
      </c>
      <c r="I1479" t="inlineStr">
        <is>
          <t>Installation labour - 78 panels @ 2.20</t>
        </is>
      </c>
      <c r="J1479" t="n">
        <v>78</v>
      </c>
      <c r="K1479" s="9" t="n">
        <v>171.6</v>
      </c>
      <c r="L1479" t="inlineStr">
        <is>
          <t>PAID</t>
        </is>
      </c>
      <c r="M1479">
        <f>IF(L1479="VOIDED",0,1)</f>
        <v>1</v>
      </c>
      <c r="N1479" t="n">
        <v>200</v>
      </c>
      <c r="O1479" t="inlineStr">
        <is>
          <t>GST Free Income</t>
        </is>
      </c>
      <c r="P1479" t="inlineStr">
        <is>
          <t>R07</t>
        </is>
      </c>
      <c r="Q1479" t="inlineStr">
        <is>
          <t>DEL-FP</t>
        </is>
      </c>
      <c r="R1479">
        <f>IF(OR(Q1479="CONTEXT",Q1479="REVIEW"),"",INDEX('Category Rules'!$D$5:$D$17,MATCH(P1479,'Category Rules'!$A$5:$A$17,0)))</f>
        <v>4020</v>
      </c>
      <c r="S1479" t="str">
        <f>IF(Q1479="CONTEXT","Fencing",IF(Q1479="REVIEW","",INDEX('Category Rules'!$E$5:$E$17,MATCH(P1479,'Category Rules'!$A$5:$A$17,0))))</f>
        <v>Fencing</v>
      </c>
      <c r="T1479" t="str">
        <f>IF(Q1479="DEP","BAS Excluded","GST on Income")</f>
        <v>GST on Income</v>
      </c>
      <c r="U1479">
        <f>IF(O1479=T1479,1,0)</f>
        <v>0</v>
      </c>
      <c r="V1479" s="9">
        <f>IF(OR(M1479=0,U1479=1),0,IF(T1479="GST on Income",ROUND(K1479*0.1,2),ROUND(-K1479*0.1,2)))</f>
        <v>17.16</v>
      </c>
    </row>
    <row r="1480">
      <c r="A1480" t="inlineStr">
        <is>
          <t>INV-4311-3</t>
        </is>
      </c>
      <c r="B1480" t="inlineStr">
        <is>
          <t>INV-4311</t>
        </is>
      </c>
      <c r="C1480" s="11" t="n">
        <v>46059</v>
      </c>
      <c r="D1480" t="inlineStr">
        <is>
          <t>2026-02</t>
        </is>
      </c>
      <c r="E1480" t="inlineStr">
        <is>
          <t>C0115</t>
        </is>
      </c>
      <c r="F1480" t="inlineStr">
        <is>
          <t>C0115</t>
        </is>
      </c>
      <c r="G1480" t="inlineStr">
        <is>
          <t>Arjun Smith</t>
        </is>
      </c>
      <c r="H1480" t="inlineStr">
        <is>
          <t>S0043</t>
        </is>
      </c>
      <c r="I1480" t="inlineStr">
        <is>
          <t>Security deposit - fence panels (refundable)</t>
        </is>
      </c>
      <c r="J1480" t="n">
        <v>1</v>
      </c>
      <c r="K1480" s="9" t="n">
        <v>620</v>
      </c>
      <c r="L1480" t="inlineStr">
        <is>
          <t>PAID</t>
        </is>
      </c>
      <c r="M1480">
        <f>IF(L1480="VOIDED",0,1)</f>
        <v>1</v>
      </c>
      <c r="N1480" t="n">
        <v>200</v>
      </c>
      <c r="O1480" t="inlineStr">
        <is>
          <t>BAS Excluded</t>
        </is>
      </c>
      <c r="P1480" t="inlineStr">
        <is>
          <t>R01</t>
        </is>
      </c>
      <c r="Q1480" t="inlineStr">
        <is>
          <t>DEP</t>
        </is>
      </c>
      <c r="R1480">
        <f>IF(OR(Q1480="CONTEXT",Q1480="REVIEW"),"",INDEX('Category Rules'!$D$5:$D$17,MATCH(P1480,'Category Rules'!$A$5:$A$17,0)))</f>
        <v>835</v>
      </c>
      <c r="S1480" t="str">
        <f>IF(Q1480="CONTEXT","Fencing",IF(Q1480="REVIEW","",INDEX('Category Rules'!$E$5:$E$17,MATCH(P1480,'Category Rules'!$A$5:$A$17,0))))</f>
        <v>Fencing</v>
      </c>
      <c r="T1480" t="str">
        <f>IF(Q1480="DEP","BAS Excluded","GST on Income")</f>
        <v>BAS Excluded</v>
      </c>
      <c r="U1480">
        <f>IF(O1480=T1480,1,0)</f>
        <v>1</v>
      </c>
      <c r="V1480" s="9">
        <f>IF(OR(M1480=0,U1480=1),0,IF(T1480="GST on Income",ROUND(K1480*0.1,2),ROUND(-K1480*0.1,2)))</f>
        <v>0</v>
      </c>
    </row>
    <row r="1481">
      <c r="A1481" t="inlineStr">
        <is>
          <t>INV-4332-1</t>
        </is>
      </c>
      <c r="B1481" t="inlineStr">
        <is>
          <t>INV-4332</t>
        </is>
      </c>
      <c r="C1481" s="11" t="n">
        <v>46059</v>
      </c>
      <c r="D1481" t="inlineStr">
        <is>
          <t>2026-02</t>
        </is>
      </c>
      <c r="E1481" t="inlineStr">
        <is>
          <t>C0042</t>
        </is>
      </c>
      <c r="F1481" t="inlineStr">
        <is>
          <t>C0042</t>
        </is>
      </c>
      <c r="G1481" t="inlineStr">
        <is>
          <t>Lakeside Constructions Pty Ltd</t>
        </is>
      </c>
      <c r="H1481" t="inlineStr">
        <is>
          <t>S0049</t>
        </is>
      </c>
      <c r="I1481" t="inlineStr">
        <is>
          <t>Temporary fence hire 4 wks (09/01/26-05/02/26) - 12 panels</t>
        </is>
      </c>
      <c r="J1481" t="n">
        <v>48</v>
      </c>
      <c r="K1481" s="9" t="n">
        <v>216</v>
      </c>
      <c r="L1481" t="inlineStr">
        <is>
          <t>PAID</t>
        </is>
      </c>
      <c r="M1481">
        <f>IF(L1481="VOIDED",0,1)</f>
        <v>1</v>
      </c>
      <c r="N1481" t="n">
        <v>200</v>
      </c>
      <c r="O1481" t="inlineStr">
        <is>
          <t>GST on Income</t>
        </is>
      </c>
      <c r="P1481" t="inlineStr">
        <is>
          <t>R03</t>
        </is>
      </c>
      <c r="Q1481" t="inlineStr">
        <is>
          <t>HIRE-FP</t>
        </is>
      </c>
      <c r="R1481">
        <f>IF(OR(Q1481="CONTEXT",Q1481="REVIEW"),"",INDEX('Category Rules'!$D$5:$D$17,MATCH(P1481,'Category Rules'!$A$5:$A$17,0)))</f>
        <v>4010</v>
      </c>
      <c r="S1481" t="str">
        <f>IF(Q1481="CONTEXT","Fencing",IF(Q1481="REVIEW","",INDEX('Category Rules'!$E$5:$E$17,MATCH(P1481,'Category Rules'!$A$5:$A$17,0))))</f>
        <v>Fencing</v>
      </c>
      <c r="T1481" t="str">
        <f>IF(Q1481="DEP","BAS Excluded","GST on Income")</f>
        <v>GST on Income</v>
      </c>
      <c r="U1481">
        <f>IF(O1481=T1481,1,0)</f>
        <v>1</v>
      </c>
      <c r="V1481" s="9">
        <f>IF(OR(M1481=0,U1481=1),0,IF(T1481="GST on Income",ROUND(K1481*0.1,2),ROUND(-K1481*0.1,2)))</f>
        <v>0</v>
      </c>
    </row>
    <row r="1482">
      <c r="A1482" t="inlineStr">
        <is>
          <t>INV-4646-1</t>
        </is>
      </c>
      <c r="B1482" t="inlineStr">
        <is>
          <t>INV-4646</t>
        </is>
      </c>
      <c r="C1482" s="11" t="n">
        <v>46059</v>
      </c>
      <c r="D1482" t="inlineStr">
        <is>
          <t>2026-02</t>
        </is>
      </c>
      <c r="E1482" t="inlineStr">
        <is>
          <t>C0151</t>
        </is>
      </c>
      <c r="F1482" t="inlineStr">
        <is>
          <t>C0040</t>
        </is>
      </c>
      <c r="G1482" t="inlineStr">
        <is>
          <t>Coastline Projects Pty Ltd</t>
        </is>
      </c>
      <c r="H1482" t="inlineStr">
        <is>
          <t>S0111</t>
        </is>
      </c>
      <c r="I1482" t="inlineStr">
        <is>
          <t>Temporary fence hire 4 wks (09/01/26-05/02/26) - 35 panels</t>
        </is>
      </c>
      <c r="J1482" t="n">
        <v>140</v>
      </c>
      <c r="K1482" s="9" t="n">
        <v>630</v>
      </c>
      <c r="L1482" t="inlineStr">
        <is>
          <t>PAID</t>
        </is>
      </c>
      <c r="M1482">
        <f>IF(L1482="VOIDED",0,1)</f>
        <v>1</v>
      </c>
      <c r="N1482" t="n">
        <v>200</v>
      </c>
      <c r="O1482" t="inlineStr">
        <is>
          <t>GST on Income</t>
        </is>
      </c>
      <c r="P1482" t="inlineStr">
        <is>
          <t>R03</t>
        </is>
      </c>
      <c r="Q1482" t="inlineStr">
        <is>
          <t>HIRE-FP</t>
        </is>
      </c>
      <c r="R1482">
        <f>IF(OR(Q1482="CONTEXT",Q1482="REVIEW"),"",INDEX('Category Rules'!$D$5:$D$17,MATCH(P1482,'Category Rules'!$A$5:$A$17,0)))</f>
        <v>4010</v>
      </c>
      <c r="S1482" t="str">
        <f>IF(Q1482="CONTEXT","Fencing",IF(Q1482="REVIEW","",INDEX('Category Rules'!$E$5:$E$17,MATCH(P1482,'Category Rules'!$A$5:$A$17,0))))</f>
        <v>Fencing</v>
      </c>
      <c r="T1482" t="str">
        <f>IF(Q1482="DEP","BAS Excluded","GST on Income")</f>
        <v>GST on Income</v>
      </c>
      <c r="U1482">
        <f>IF(O1482=T1482,1,0)</f>
        <v>1</v>
      </c>
      <c r="V1482" s="9">
        <f>IF(OR(M1482=0,U1482=1),0,IF(T1482="GST on Income",ROUND(K1482*0.1,2),ROUND(-K1482*0.1,2)))</f>
        <v>0</v>
      </c>
    </row>
    <row r="1483">
      <c r="A1483" t="inlineStr">
        <is>
          <t>INV-5205-1</t>
        </is>
      </c>
      <c r="B1483" t="inlineStr">
        <is>
          <t>INV-5205</t>
        </is>
      </c>
      <c r="C1483" s="11" t="n">
        <v>46059</v>
      </c>
      <c r="D1483" t="inlineStr">
        <is>
          <t>2026-02</t>
        </is>
      </c>
      <c r="E1483" t="inlineStr">
        <is>
          <t>C0037</t>
        </is>
      </c>
      <c r="F1483" t="inlineStr">
        <is>
          <t>C0037</t>
        </is>
      </c>
      <c r="G1483" t="inlineStr">
        <is>
          <t>Highpoint Constructions</t>
        </is>
      </c>
      <c r="H1483" t="inlineStr">
        <is>
          <t>S0237</t>
        </is>
      </c>
      <c r="I1483" t="inlineStr">
        <is>
          <t>Scaffold tower hire 4 wks (09/01/26-05/02/26) - 1 towers</t>
        </is>
      </c>
      <c r="J1483" t="n">
        <v>4</v>
      </c>
      <c r="K1483" s="9" t="n">
        <v>380</v>
      </c>
      <c r="L1483" t="inlineStr">
        <is>
          <t>PAID</t>
        </is>
      </c>
      <c r="M1483">
        <f>IF(L1483="VOIDED",0,1)</f>
        <v>1</v>
      </c>
      <c r="N1483" t="n">
        <v>200</v>
      </c>
      <c r="O1483" t="inlineStr">
        <is>
          <t>GST on Income</t>
        </is>
      </c>
      <c r="P1483" t="inlineStr">
        <is>
          <t>R05</t>
        </is>
      </c>
      <c r="Q1483" t="inlineStr">
        <is>
          <t>HIRE-ST</t>
        </is>
      </c>
      <c r="R1483">
        <f>IF(OR(Q1483="CONTEXT",Q1483="REVIEW"),"",INDEX('Category Rules'!$D$5:$D$17,MATCH(P1483,'Category Rules'!$A$5:$A$17,0)))</f>
        <v>4010</v>
      </c>
      <c r="S1483" t="str">
        <f>IF(Q1483="CONTEXT","Scaffolding",IF(Q1483="REVIEW","",INDEX('Category Rules'!$E$5:$E$17,MATCH(P1483,'Category Rules'!$A$5:$A$17,0))))</f>
        <v>Scaffolding</v>
      </c>
      <c r="T1483" t="str">
        <f>IF(Q1483="DEP","BAS Excluded","GST on Income")</f>
        <v>GST on Income</v>
      </c>
      <c r="U1483">
        <f>IF(O1483=T1483,1,0)</f>
        <v>1</v>
      </c>
      <c r="V1483" s="9">
        <f>IF(OR(M1483=0,U1483=1),0,IF(T1483="GST on Income",ROUND(K1483*0.1,2),ROUND(-K1483*0.1,2)))</f>
        <v>0</v>
      </c>
    </row>
    <row r="1484">
      <c r="A1484" t="inlineStr">
        <is>
          <t>INV-5295-1</t>
        </is>
      </c>
      <c r="B1484" t="inlineStr">
        <is>
          <t>INV-5295</t>
        </is>
      </c>
      <c r="C1484" s="11" t="n">
        <v>46059</v>
      </c>
      <c r="D1484" t="inlineStr">
        <is>
          <t>2026-02</t>
        </is>
      </c>
      <c r="E1484" t="inlineStr">
        <is>
          <t>C0095</t>
        </is>
      </c>
      <c r="F1484" t="inlineStr">
        <is>
          <t>C0095</t>
        </is>
      </c>
      <c r="G1484" t="inlineStr">
        <is>
          <t>Noah Singh</t>
        </is>
      </c>
      <c r="H1484" t="inlineStr">
        <is>
          <t>S0258</t>
        </is>
      </c>
      <c r="I1484" t="inlineStr">
        <is>
          <t>Scaffold erect - 2 tower(s)</t>
        </is>
      </c>
      <c r="J1484" t="n">
        <v>2</v>
      </c>
      <c r="K1484" s="9" t="n">
        <v>840</v>
      </c>
      <c r="L1484" t="inlineStr">
        <is>
          <t>PAID</t>
        </is>
      </c>
      <c r="M1484">
        <f>IF(L1484="VOIDED",0,1)</f>
        <v>1</v>
      </c>
      <c r="N1484" t="n">
        <v>200</v>
      </c>
      <c r="O1484" t="inlineStr">
        <is>
          <t>GST on Income</t>
        </is>
      </c>
      <c r="P1484" t="inlineStr">
        <is>
          <t>R08</t>
        </is>
      </c>
      <c r="Q1484" t="inlineStr">
        <is>
          <t>LAB-ST</t>
        </is>
      </c>
      <c r="R1484">
        <f>IF(OR(Q1484="CONTEXT",Q1484="REVIEW"),"",INDEX('Category Rules'!$D$5:$D$17,MATCH(P1484,'Category Rules'!$A$5:$A$17,0)))</f>
        <v>4020</v>
      </c>
      <c r="S1484" t="str">
        <f>IF(Q1484="CONTEXT","Scaffolding",IF(Q1484="REVIEW","",INDEX('Category Rules'!$E$5:$E$17,MATCH(P1484,'Category Rules'!$A$5:$A$17,0))))</f>
        <v>Scaffolding</v>
      </c>
      <c r="T1484" t="str">
        <f>IF(Q1484="DEP","BAS Excluded","GST on Income")</f>
        <v>GST on Income</v>
      </c>
      <c r="U1484">
        <f>IF(O1484=T1484,1,0)</f>
        <v>1</v>
      </c>
      <c r="V1484" s="9">
        <f>IF(OR(M1484=0,U1484=1),0,IF(T1484="GST on Income",ROUND(K1484*0.1,2),ROUND(-K1484*0.1,2)))</f>
        <v>0</v>
      </c>
    </row>
    <row r="1485">
      <c r="A1485" t="inlineStr">
        <is>
          <t>INV-5935-1</t>
        </is>
      </c>
      <c r="B1485" t="inlineStr">
        <is>
          <t>INV-5935</t>
        </is>
      </c>
      <c r="C1485" s="11" t="n">
        <v>46059</v>
      </c>
      <c r="D1485" t="inlineStr">
        <is>
          <t>2026-02</t>
        </is>
      </c>
      <c r="E1485" t="inlineStr">
        <is>
          <t>C0036</t>
        </is>
      </c>
      <c r="F1485" t="inlineStr">
        <is>
          <t>C0036</t>
        </is>
      </c>
      <c r="G1485" t="inlineStr">
        <is>
          <t>Summit Homes Pty Ltd</t>
        </is>
      </c>
      <c r="H1485" t="inlineStr"/>
      <c r="I1485" t="inlineStr">
        <is>
          <t>Works completed as discussed</t>
        </is>
      </c>
      <c r="J1485" t="n">
        <v>1</v>
      </c>
      <c r="K1485" s="9" t="n">
        <v>3636.87</v>
      </c>
      <c r="L1485" t="inlineStr">
        <is>
          <t>PAID</t>
        </is>
      </c>
      <c r="M1485">
        <f>IF(L1485="VOIDED",0,1)</f>
        <v>1</v>
      </c>
      <c r="N1485" t="n">
        <v>200</v>
      </c>
      <c r="O1485" t="inlineStr">
        <is>
          <t>GST on Income</t>
        </is>
      </c>
      <c r="P1485" t="inlineStr">
        <is>
          <t>--</t>
        </is>
      </c>
      <c r="Q1485" t="inlineStr">
        <is>
          <t>REVIEW</t>
        </is>
      </c>
      <c r="R1485">
        <f>IF(OR(Q1485="CONTEXT",Q1485="REVIEW"),"",INDEX('Category Rules'!$D$5:$D$17,MATCH(P1485,'Category Rules'!$A$5:$A$17,0)))</f>
      </c>
      <c r="S1485">
        <f>IF(Q1485="CONTEXT","",IF(Q1485="REVIEW","",INDEX('Category Rules'!$E$5:$E$17,MATCH(P1485,'Category Rules'!$A$5:$A$17,0))))</f>
      </c>
      <c r="T1485" t="str">
        <f>IF(Q1485="DEP","BAS Excluded","GST on Income")</f>
        <v>GST on Income</v>
      </c>
      <c r="U1485">
        <f>IF(O1485=T1485,1,0)</f>
        <v>1</v>
      </c>
      <c r="V1485" s="9">
        <f>IF(OR(M1485=0,U1485=1),0,IF(T1485="GST on Income",ROUND(K1485*0.1,2),ROUND(-K1485*0.1,2)))</f>
        <v>0</v>
      </c>
    </row>
    <row r="1486">
      <c r="A1486" t="inlineStr">
        <is>
          <t>INV-4536-1</t>
        </is>
      </c>
      <c r="B1486" t="inlineStr">
        <is>
          <t>INV-4536</t>
        </is>
      </c>
      <c r="C1486" s="11" t="n">
        <v>46060</v>
      </c>
      <c r="D1486" t="inlineStr">
        <is>
          <t>2026-02</t>
        </is>
      </c>
      <c r="E1486" t="inlineStr">
        <is>
          <t>C0014</t>
        </is>
      </c>
      <c r="F1486" t="inlineStr">
        <is>
          <t>C0014</t>
        </is>
      </c>
      <c r="G1486" t="inlineStr">
        <is>
          <t>Riverbend Homes Pty Ltd</t>
        </is>
      </c>
      <c r="H1486" t="inlineStr">
        <is>
          <t>S0087</t>
        </is>
      </c>
      <c r="I1486" t="inlineStr">
        <is>
          <t>Delivery and installation - temporary fencing</t>
        </is>
      </c>
      <c r="J1486" t="n">
        <v>1</v>
      </c>
      <c r="K1486" s="9" t="n">
        <v>165</v>
      </c>
      <c r="L1486" t="inlineStr">
        <is>
          <t>PAID</t>
        </is>
      </c>
      <c r="M1486">
        <f>IF(L1486="VOIDED",0,1)</f>
        <v>1</v>
      </c>
      <c r="N1486" t="n">
        <v>200</v>
      </c>
      <c r="O1486" t="inlineStr">
        <is>
          <t>GST on Income</t>
        </is>
      </c>
      <c r="P1486" t="inlineStr">
        <is>
          <t>R07</t>
        </is>
      </c>
      <c r="Q1486" t="inlineStr">
        <is>
          <t>DEL-FP</t>
        </is>
      </c>
      <c r="R1486">
        <f>IF(OR(Q1486="CONTEXT",Q1486="REVIEW"),"",INDEX('Category Rules'!$D$5:$D$17,MATCH(P1486,'Category Rules'!$A$5:$A$17,0)))</f>
        <v>4020</v>
      </c>
      <c r="S1486" t="str">
        <f>IF(Q1486="CONTEXT","Fencing",IF(Q1486="REVIEW","",INDEX('Category Rules'!$E$5:$E$17,MATCH(P1486,'Category Rules'!$A$5:$A$17,0))))</f>
        <v>Fencing</v>
      </c>
      <c r="T1486" t="str">
        <f>IF(Q1486="DEP","BAS Excluded","GST on Income")</f>
        <v>GST on Income</v>
      </c>
      <c r="U1486">
        <f>IF(O1486=T1486,1,0)</f>
        <v>1</v>
      </c>
      <c r="V1486" s="9">
        <f>IF(OR(M1486=0,U1486=1),0,IF(T1486="GST on Income",ROUND(K1486*0.1,2),ROUND(-K1486*0.1,2)))</f>
        <v>0</v>
      </c>
    </row>
    <row r="1487">
      <c r="A1487" t="inlineStr">
        <is>
          <t>INV-4536-2</t>
        </is>
      </c>
      <c r="B1487" t="inlineStr">
        <is>
          <t>INV-4536</t>
        </is>
      </c>
      <c r="C1487" s="11" t="n">
        <v>46060</v>
      </c>
      <c r="D1487" t="inlineStr">
        <is>
          <t>2026-02</t>
        </is>
      </c>
      <c r="E1487" t="inlineStr">
        <is>
          <t>C0014</t>
        </is>
      </c>
      <c r="F1487" t="inlineStr">
        <is>
          <t>C0014</t>
        </is>
      </c>
      <c r="G1487" t="inlineStr">
        <is>
          <t>Riverbend Homes Pty Ltd</t>
        </is>
      </c>
      <c r="H1487" t="inlineStr">
        <is>
          <t>S0087</t>
        </is>
      </c>
      <c r="I1487" t="inlineStr">
        <is>
          <t>Installation labour - 101 panels @ 2.20</t>
        </is>
      </c>
      <c r="J1487" t="n">
        <v>101</v>
      </c>
      <c r="K1487" s="9" t="n">
        <v>222.2</v>
      </c>
      <c r="L1487" t="inlineStr">
        <is>
          <t>PAID</t>
        </is>
      </c>
      <c r="M1487">
        <f>IF(L1487="VOIDED",0,1)</f>
        <v>1</v>
      </c>
      <c r="N1487" t="n">
        <v>200</v>
      </c>
      <c r="O1487" t="inlineStr">
        <is>
          <t>GST on Income</t>
        </is>
      </c>
      <c r="P1487" t="inlineStr">
        <is>
          <t>R07</t>
        </is>
      </c>
      <c r="Q1487" t="inlineStr">
        <is>
          <t>DEL-FP</t>
        </is>
      </c>
      <c r="R1487">
        <f>IF(OR(Q1487="CONTEXT",Q1487="REVIEW"),"",INDEX('Category Rules'!$D$5:$D$17,MATCH(P1487,'Category Rules'!$A$5:$A$17,0)))</f>
        <v>4020</v>
      </c>
      <c r="S1487" t="str">
        <f>IF(Q1487="CONTEXT","Fencing",IF(Q1487="REVIEW","",INDEX('Category Rules'!$E$5:$E$17,MATCH(P1487,'Category Rules'!$A$5:$A$17,0))))</f>
        <v>Fencing</v>
      </c>
      <c r="T1487" t="str">
        <f>IF(Q1487="DEP","BAS Excluded","GST on Income")</f>
        <v>GST on Income</v>
      </c>
      <c r="U1487">
        <f>IF(O1487=T1487,1,0)</f>
        <v>1</v>
      </c>
      <c r="V1487" s="9">
        <f>IF(OR(M1487=0,U1487=1),0,IF(T1487="GST on Income",ROUND(K1487*0.1,2),ROUND(-K1487*0.1,2)))</f>
        <v>0</v>
      </c>
    </row>
    <row r="1488">
      <c r="A1488" t="inlineStr">
        <is>
          <t>INV-4775-1</t>
        </is>
      </c>
      <c r="B1488" t="inlineStr">
        <is>
          <t>INV-4775</t>
        </is>
      </c>
      <c r="C1488" s="11" t="n">
        <v>46060</v>
      </c>
      <c r="D1488" t="inlineStr">
        <is>
          <t>2026-02</t>
        </is>
      </c>
      <c r="E1488" t="inlineStr">
        <is>
          <t>C0083</t>
        </is>
      </c>
      <c r="F1488" t="inlineStr">
        <is>
          <t>C0083</t>
        </is>
      </c>
      <c r="G1488" t="inlineStr">
        <is>
          <t>Noah Williams</t>
        </is>
      </c>
      <c r="H1488" t="inlineStr">
        <is>
          <t>S0143</t>
        </is>
      </c>
      <c r="I1488" t="inlineStr">
        <is>
          <t>Delivery and installation - temporary fencing</t>
        </is>
      </c>
      <c r="J1488" t="n">
        <v>1</v>
      </c>
      <c r="K1488" s="9" t="n">
        <v>165</v>
      </c>
      <c r="L1488" t="inlineStr">
        <is>
          <t>PAID</t>
        </is>
      </c>
      <c r="M1488">
        <f>IF(L1488="VOIDED",0,1)</f>
        <v>1</v>
      </c>
      <c r="N1488" t="n">
        <v>200</v>
      </c>
      <c r="O1488" t="inlineStr">
        <is>
          <t>GST on Income</t>
        </is>
      </c>
      <c r="P1488" t="inlineStr">
        <is>
          <t>R07</t>
        </is>
      </c>
      <c r="Q1488" t="inlineStr">
        <is>
          <t>DEL-FP</t>
        </is>
      </c>
      <c r="R1488">
        <f>IF(OR(Q1488="CONTEXT",Q1488="REVIEW"),"",INDEX('Category Rules'!$D$5:$D$17,MATCH(P1488,'Category Rules'!$A$5:$A$17,0)))</f>
        <v>4020</v>
      </c>
      <c r="S1488" t="str">
        <f>IF(Q1488="CONTEXT","Fencing",IF(Q1488="REVIEW","",INDEX('Category Rules'!$E$5:$E$17,MATCH(P1488,'Category Rules'!$A$5:$A$17,0))))</f>
        <v>Fencing</v>
      </c>
      <c r="T1488" t="str">
        <f>IF(Q1488="DEP","BAS Excluded","GST on Income")</f>
        <v>GST on Income</v>
      </c>
      <c r="U1488">
        <f>IF(O1488=T1488,1,0)</f>
        <v>1</v>
      </c>
      <c r="V1488" s="9">
        <f>IF(OR(M1488=0,U1488=1),0,IF(T1488="GST on Income",ROUND(K1488*0.1,2),ROUND(-K1488*0.1,2)))</f>
        <v>0</v>
      </c>
    </row>
    <row r="1489">
      <c r="A1489" t="inlineStr">
        <is>
          <t>INV-4775-2</t>
        </is>
      </c>
      <c r="B1489" t="inlineStr">
        <is>
          <t>INV-4775</t>
        </is>
      </c>
      <c r="C1489" s="11" t="n">
        <v>46060</v>
      </c>
      <c r="D1489" t="inlineStr">
        <is>
          <t>2026-02</t>
        </is>
      </c>
      <c r="E1489" t="inlineStr">
        <is>
          <t>C0083</t>
        </is>
      </c>
      <c r="F1489" t="inlineStr">
        <is>
          <t>C0083</t>
        </is>
      </c>
      <c r="G1489" t="inlineStr">
        <is>
          <t>Noah Williams</t>
        </is>
      </c>
      <c r="H1489" t="inlineStr">
        <is>
          <t>S0143</t>
        </is>
      </c>
      <c r="I1489" t="inlineStr">
        <is>
          <t>Installation labour - 140 panels @ 2.20</t>
        </is>
      </c>
      <c r="J1489" t="n">
        <v>140</v>
      </c>
      <c r="K1489" s="9" t="n">
        <v>308</v>
      </c>
      <c r="L1489" t="inlineStr">
        <is>
          <t>PAID</t>
        </is>
      </c>
      <c r="M1489">
        <f>IF(L1489="VOIDED",0,1)</f>
        <v>1</v>
      </c>
      <c r="N1489" t="n">
        <v>260</v>
      </c>
      <c r="O1489" t="inlineStr">
        <is>
          <t>GST on Income</t>
        </is>
      </c>
      <c r="P1489" t="inlineStr">
        <is>
          <t>R07</t>
        </is>
      </c>
      <c r="Q1489" t="inlineStr">
        <is>
          <t>DEL-FP</t>
        </is>
      </c>
      <c r="R1489">
        <f>IF(OR(Q1489="CONTEXT",Q1489="REVIEW"),"",INDEX('Category Rules'!$D$5:$D$17,MATCH(P1489,'Category Rules'!$A$5:$A$17,0)))</f>
        <v>4020</v>
      </c>
      <c r="S1489" t="str">
        <f>IF(Q1489="CONTEXT","Fencing",IF(Q1489="REVIEW","",INDEX('Category Rules'!$E$5:$E$17,MATCH(P1489,'Category Rules'!$A$5:$A$17,0))))</f>
        <v>Fencing</v>
      </c>
      <c r="T1489" t="str">
        <f>IF(Q1489="DEP","BAS Excluded","GST on Income")</f>
        <v>GST on Income</v>
      </c>
      <c r="U1489">
        <f>IF(O1489=T1489,1,0)</f>
        <v>1</v>
      </c>
      <c r="V1489" s="9">
        <f>IF(OR(M1489=0,U1489=1),0,IF(T1489="GST on Income",ROUND(K1489*0.1,2),ROUND(-K1489*0.1,2)))</f>
        <v>0</v>
      </c>
    </row>
    <row r="1490">
      <c r="A1490" t="inlineStr">
        <is>
          <t>INV-4775-3</t>
        </is>
      </c>
      <c r="B1490" t="inlineStr">
        <is>
          <t>INV-4775</t>
        </is>
      </c>
      <c r="C1490" s="11" t="n">
        <v>46060</v>
      </c>
      <c r="D1490" t="inlineStr">
        <is>
          <t>2026-02</t>
        </is>
      </c>
      <c r="E1490" t="inlineStr">
        <is>
          <t>C0083</t>
        </is>
      </c>
      <c r="F1490" t="inlineStr">
        <is>
          <t>C0083</t>
        </is>
      </c>
      <c r="G1490" t="inlineStr">
        <is>
          <t>Noah Williams</t>
        </is>
      </c>
      <c r="H1490" t="inlineStr">
        <is>
          <t>S0143</t>
        </is>
      </c>
      <c r="I1490" t="inlineStr">
        <is>
          <t>Security deposit - fence panels (refundable)</t>
        </is>
      </c>
      <c r="J1490" t="n">
        <v>1</v>
      </c>
      <c r="K1490" s="9" t="n">
        <v>1120</v>
      </c>
      <c r="L1490" t="inlineStr">
        <is>
          <t>PAID</t>
        </is>
      </c>
      <c r="M1490">
        <f>IF(L1490="VOIDED",0,1)</f>
        <v>1</v>
      </c>
      <c r="N1490" t="n">
        <v>200</v>
      </c>
      <c r="O1490" t="inlineStr">
        <is>
          <t>BAS Excluded</t>
        </is>
      </c>
      <c r="P1490" t="inlineStr">
        <is>
          <t>R01</t>
        </is>
      </c>
      <c r="Q1490" t="inlineStr">
        <is>
          <t>DEP</t>
        </is>
      </c>
      <c r="R1490">
        <f>IF(OR(Q1490="CONTEXT",Q1490="REVIEW"),"",INDEX('Category Rules'!$D$5:$D$17,MATCH(P1490,'Category Rules'!$A$5:$A$17,0)))</f>
        <v>835</v>
      </c>
      <c r="S1490" t="str">
        <f>IF(Q1490="CONTEXT","Fencing",IF(Q1490="REVIEW","",INDEX('Category Rules'!$E$5:$E$17,MATCH(P1490,'Category Rules'!$A$5:$A$17,0))))</f>
        <v>Fencing</v>
      </c>
      <c r="T1490" t="str">
        <f>IF(Q1490="DEP","BAS Excluded","GST on Income")</f>
        <v>BAS Excluded</v>
      </c>
      <c r="U1490">
        <f>IF(O1490=T1490,1,0)</f>
        <v>1</v>
      </c>
      <c r="V1490" s="9">
        <f>IF(OR(M1490=0,U1490=1),0,IF(T1490="GST on Income",ROUND(K1490*0.1,2),ROUND(-K1490*0.1,2)))</f>
        <v>0</v>
      </c>
    </row>
    <row r="1491">
      <c r="A1491" t="inlineStr">
        <is>
          <t>INV-4828-1</t>
        </is>
      </c>
      <c r="B1491" t="inlineStr">
        <is>
          <t>INV-4828</t>
        </is>
      </c>
      <c r="C1491" s="11" t="n">
        <v>46060</v>
      </c>
      <c r="D1491" t="inlineStr">
        <is>
          <t>2026-02</t>
        </is>
      </c>
      <c r="E1491" t="inlineStr">
        <is>
          <t>C0072</t>
        </is>
      </c>
      <c r="F1491" t="inlineStr">
        <is>
          <t>C0072</t>
        </is>
      </c>
      <c r="G1491" t="inlineStr">
        <is>
          <t>Kingston City Council</t>
        </is>
      </c>
      <c r="H1491" t="inlineStr">
        <is>
          <t>S0157</t>
        </is>
      </c>
      <c r="I1491" t="inlineStr">
        <is>
          <t>Temporary fence hire 4 wks (10/01/26-06/02/26) - 145 panels</t>
        </is>
      </c>
      <c r="J1491" t="n">
        <v>580</v>
      </c>
      <c r="K1491" s="9" t="n">
        <v>2610</v>
      </c>
      <c r="L1491" t="inlineStr">
        <is>
          <t>PAID</t>
        </is>
      </c>
      <c r="M1491">
        <f>IF(L1491="VOIDED",0,1)</f>
        <v>1</v>
      </c>
      <c r="N1491" t="n">
        <v>200</v>
      </c>
      <c r="O1491" t="inlineStr">
        <is>
          <t>GST on Income</t>
        </is>
      </c>
      <c r="P1491" t="inlineStr">
        <is>
          <t>R03</t>
        </is>
      </c>
      <c r="Q1491" t="inlineStr">
        <is>
          <t>HIRE-FP</t>
        </is>
      </c>
      <c r="R1491">
        <f>IF(OR(Q1491="CONTEXT",Q1491="REVIEW"),"",INDEX('Category Rules'!$D$5:$D$17,MATCH(P1491,'Category Rules'!$A$5:$A$17,0)))</f>
        <v>4010</v>
      </c>
      <c r="S1491" t="str">
        <f>IF(Q1491="CONTEXT","Fencing",IF(Q1491="REVIEW","",INDEX('Category Rules'!$E$5:$E$17,MATCH(P1491,'Category Rules'!$A$5:$A$17,0))))</f>
        <v>Fencing</v>
      </c>
      <c r="T1491" t="str">
        <f>IF(Q1491="DEP","BAS Excluded","GST on Income")</f>
        <v>GST on Income</v>
      </c>
      <c r="U1491">
        <f>IF(O1491=T1491,1,0)</f>
        <v>1</v>
      </c>
      <c r="V1491" s="9">
        <f>IF(OR(M1491=0,U1491=1),0,IF(T1491="GST on Income",ROUND(K1491*0.1,2),ROUND(-K1491*0.1,2)))</f>
        <v>0</v>
      </c>
    </row>
    <row r="1492">
      <c r="A1492" t="inlineStr">
        <is>
          <t>INV-4993-1</t>
        </is>
      </c>
      <c r="B1492" t="inlineStr">
        <is>
          <t>INV-4993</t>
        </is>
      </c>
      <c r="C1492" s="11" t="n">
        <v>46060</v>
      </c>
      <c r="D1492" t="inlineStr">
        <is>
          <t>2026-02</t>
        </is>
      </c>
      <c r="E1492" t="inlineStr">
        <is>
          <t>C0074</t>
        </is>
      </c>
      <c r="F1492" t="inlineStr">
        <is>
          <t>C0074</t>
        </is>
      </c>
      <c r="G1492" t="inlineStr">
        <is>
          <t>Ironbark Events Pty Ltd</t>
        </is>
      </c>
      <c r="H1492" t="inlineStr">
        <is>
          <t>S0193</t>
        </is>
      </c>
      <c r="I1492" t="inlineStr">
        <is>
          <t>Temporary fence hire 3 wks (23/01/26-06/02/26) - 73 panels</t>
        </is>
      </c>
      <c r="J1492" t="n">
        <v>219</v>
      </c>
      <c r="K1492" s="9" t="n">
        <v>985.5</v>
      </c>
      <c r="L1492" t="inlineStr">
        <is>
          <t>PAID</t>
        </is>
      </c>
      <c r="M1492">
        <f>IF(L1492="VOIDED",0,1)</f>
        <v>1</v>
      </c>
      <c r="N1492" t="n">
        <v>200</v>
      </c>
      <c r="O1492" t="inlineStr">
        <is>
          <t>GST on Income</t>
        </is>
      </c>
      <c r="P1492" t="inlineStr">
        <is>
          <t>R03</t>
        </is>
      </c>
      <c r="Q1492" t="inlineStr">
        <is>
          <t>HIRE-FP</t>
        </is>
      </c>
      <c r="R1492">
        <f>IF(OR(Q1492="CONTEXT",Q1492="REVIEW"),"",INDEX('Category Rules'!$D$5:$D$17,MATCH(P1492,'Category Rules'!$A$5:$A$17,0)))</f>
        <v>4010</v>
      </c>
      <c r="S1492" t="str">
        <f>IF(Q1492="CONTEXT","Fencing",IF(Q1492="REVIEW","",INDEX('Category Rules'!$E$5:$E$17,MATCH(P1492,'Category Rules'!$A$5:$A$17,0))))</f>
        <v>Fencing</v>
      </c>
      <c r="T1492" t="str">
        <f>IF(Q1492="DEP","BAS Excluded","GST on Income")</f>
        <v>GST on Income</v>
      </c>
      <c r="U1492">
        <f>IF(O1492=T1492,1,0)</f>
        <v>1</v>
      </c>
      <c r="V1492" s="9">
        <f>IF(OR(M1492=0,U1492=1),0,IF(T1492="GST on Income",ROUND(K1492*0.1,2),ROUND(-K1492*0.1,2)))</f>
        <v>0</v>
      </c>
    </row>
    <row r="1493">
      <c r="A1493" t="inlineStr">
        <is>
          <t>INV-4995-1</t>
        </is>
      </c>
      <c r="B1493" t="inlineStr">
        <is>
          <t>INV-4995</t>
        </is>
      </c>
      <c r="C1493" s="11" t="n">
        <v>46060</v>
      </c>
      <c r="D1493" t="inlineStr">
        <is>
          <t>2026-02</t>
        </is>
      </c>
      <c r="E1493" t="inlineStr">
        <is>
          <t>C0074</t>
        </is>
      </c>
      <c r="F1493" t="inlineStr">
        <is>
          <t>C0074</t>
        </is>
      </c>
      <c r="G1493" t="inlineStr">
        <is>
          <t>Ironbark Events Pty Ltd</t>
        </is>
      </c>
      <c r="H1493" t="inlineStr">
        <is>
          <t>S0193</t>
        </is>
      </c>
      <c r="I1493" t="inlineStr">
        <is>
          <t>Collection and dismantle - temporary fencing</t>
        </is>
      </c>
      <c r="J1493" t="n">
        <v>1</v>
      </c>
      <c r="K1493" s="9" t="n">
        <v>165</v>
      </c>
      <c r="L1493" t="inlineStr">
        <is>
          <t>PAID</t>
        </is>
      </c>
      <c r="M1493">
        <f>IF(L1493="VOIDED",0,1)</f>
        <v>1</v>
      </c>
      <c r="N1493" t="n">
        <v>200</v>
      </c>
      <c r="O1493" t="inlineStr">
        <is>
          <t>GST on Income</t>
        </is>
      </c>
      <c r="P1493" t="inlineStr">
        <is>
          <t>R07</t>
        </is>
      </c>
      <c r="Q1493" t="inlineStr">
        <is>
          <t>DEL-FP</t>
        </is>
      </c>
      <c r="R1493">
        <f>IF(OR(Q1493="CONTEXT",Q1493="REVIEW"),"",INDEX('Category Rules'!$D$5:$D$17,MATCH(P1493,'Category Rules'!$A$5:$A$17,0)))</f>
        <v>4020</v>
      </c>
      <c r="S1493" t="str">
        <f>IF(Q1493="CONTEXT","Fencing",IF(Q1493="REVIEW","",INDEX('Category Rules'!$E$5:$E$17,MATCH(P1493,'Category Rules'!$A$5:$A$17,0))))</f>
        <v>Fencing</v>
      </c>
      <c r="T1493" t="str">
        <f>IF(Q1493="DEP","BAS Excluded","GST on Income")</f>
        <v>GST on Income</v>
      </c>
      <c r="U1493">
        <f>IF(O1493=T1493,1,0)</f>
        <v>1</v>
      </c>
      <c r="V1493" s="9">
        <f>IF(OR(M1493=0,U1493=1),0,IF(T1493="GST on Income",ROUND(K1493*0.1,2),ROUND(-K1493*0.1,2)))</f>
        <v>0</v>
      </c>
    </row>
    <row r="1494">
      <c r="A1494" t="inlineStr">
        <is>
          <t>INV-5313-1</t>
        </is>
      </c>
      <c r="B1494" t="inlineStr">
        <is>
          <t>INV-5313</t>
        </is>
      </c>
      <c r="C1494" s="11" t="n">
        <v>46060</v>
      </c>
      <c r="D1494" t="inlineStr">
        <is>
          <t>2026-02</t>
        </is>
      </c>
      <c r="E1494" t="inlineStr">
        <is>
          <t>C0133</t>
        </is>
      </c>
      <c r="F1494" t="inlineStr">
        <is>
          <t>C0014</t>
        </is>
      </c>
      <c r="G1494" t="inlineStr">
        <is>
          <t>Riverbend Homes Pty Ltd</t>
        </is>
      </c>
      <c r="H1494" t="inlineStr">
        <is>
          <t>S0263</t>
        </is>
      </c>
      <c r="I1494" t="inlineStr">
        <is>
          <t>Scaffold tower hire 4 wks (10/01/26-06/02/26) - 3 towers</t>
        </is>
      </c>
      <c r="J1494" t="n">
        <v>12</v>
      </c>
      <c r="K1494" s="9" t="n">
        <v>1140</v>
      </c>
      <c r="L1494" t="inlineStr">
        <is>
          <t>PAID</t>
        </is>
      </c>
      <c r="M1494">
        <f>IF(L1494="VOIDED",0,1)</f>
        <v>1</v>
      </c>
      <c r="N1494" t="n">
        <v>260</v>
      </c>
      <c r="O1494" t="inlineStr">
        <is>
          <t>GST on Income</t>
        </is>
      </c>
      <c r="P1494" t="inlineStr">
        <is>
          <t>R05</t>
        </is>
      </c>
      <c r="Q1494" t="inlineStr">
        <is>
          <t>HIRE-ST</t>
        </is>
      </c>
      <c r="R1494">
        <f>IF(OR(Q1494="CONTEXT",Q1494="REVIEW"),"",INDEX('Category Rules'!$D$5:$D$17,MATCH(P1494,'Category Rules'!$A$5:$A$17,0)))</f>
        <v>4010</v>
      </c>
      <c r="S1494" t="str">
        <f>IF(Q1494="CONTEXT","Scaffolding",IF(Q1494="REVIEW","",INDEX('Category Rules'!$E$5:$E$17,MATCH(P1494,'Category Rules'!$A$5:$A$17,0))))</f>
        <v>Scaffolding</v>
      </c>
      <c r="T1494" t="str">
        <f>IF(Q1494="DEP","BAS Excluded","GST on Income")</f>
        <v>GST on Income</v>
      </c>
      <c r="U1494">
        <f>IF(O1494=T1494,1,0)</f>
        <v>1</v>
      </c>
      <c r="V1494" s="9">
        <f>IF(OR(M1494=0,U1494=1),0,IF(T1494="GST on Income",ROUND(K1494*0.1,2),ROUND(-K1494*0.1,2)))</f>
        <v>0</v>
      </c>
    </row>
    <row r="1495">
      <c r="A1495" t="inlineStr">
        <is>
          <t>INV-5696-1</t>
        </is>
      </c>
      <c r="B1495" t="inlineStr">
        <is>
          <t>INV-5696</t>
        </is>
      </c>
      <c r="C1495" s="11" t="n">
        <v>46060</v>
      </c>
      <c r="D1495" t="inlineStr">
        <is>
          <t>2026-02</t>
        </is>
      </c>
      <c r="E1495" t="inlineStr">
        <is>
          <t>C0060</t>
        </is>
      </c>
      <c r="F1495" t="inlineStr">
        <is>
          <t>C0060</t>
        </is>
      </c>
      <c r="G1495" t="inlineStr">
        <is>
          <t>Redline Claims Services</t>
        </is>
      </c>
      <c r="H1495" t="inlineStr">
        <is>
          <t>S0433</t>
        </is>
      </c>
      <c r="I1495" t="inlineStr">
        <is>
          <t>Roof repair labour - 4 hrs</t>
        </is>
      </c>
      <c r="J1495" t="n">
        <v>4</v>
      </c>
      <c r="K1495" s="9" t="n">
        <v>392</v>
      </c>
      <c r="L1495" t="inlineStr">
        <is>
          <t>PAID</t>
        </is>
      </c>
      <c r="M1495">
        <f>IF(L1495="VOIDED",0,1)</f>
        <v>1</v>
      </c>
      <c r="N1495" t="n">
        <v>200</v>
      </c>
      <c r="O1495" t="inlineStr">
        <is>
          <t>GST Free Income</t>
        </is>
      </c>
      <c r="P1495" t="inlineStr">
        <is>
          <t>R10</t>
        </is>
      </c>
      <c r="Q1495" t="inlineStr">
        <is>
          <t>LAB-RF</t>
        </is>
      </c>
      <c r="R1495">
        <f>IF(OR(Q1495="CONTEXT",Q1495="REVIEW"),"",INDEX('Category Rules'!$D$5:$D$17,MATCH(P1495,'Category Rules'!$A$5:$A$17,0)))</f>
        <v>4020</v>
      </c>
      <c r="S1495" t="str">
        <f>IF(Q1495="CONTEXT","Roofing",IF(Q1495="REVIEW","",INDEX('Category Rules'!$E$5:$E$17,MATCH(P1495,'Category Rules'!$A$5:$A$17,0))))</f>
        <v>Roofing</v>
      </c>
      <c r="T1495" t="str">
        <f>IF(Q1495="DEP","BAS Excluded","GST on Income")</f>
        <v>GST on Income</v>
      </c>
      <c r="U1495">
        <f>IF(O1495=T1495,1,0)</f>
        <v>0</v>
      </c>
      <c r="V1495" s="9">
        <f>IF(OR(M1495=0,U1495=1),0,IF(T1495="GST on Income",ROUND(K1495*0.1,2),ROUND(-K1495*0.1,2)))</f>
        <v>39.2</v>
      </c>
    </row>
    <row r="1496">
      <c r="A1496" t="inlineStr">
        <is>
          <t>INV-5696-2</t>
        </is>
      </c>
      <c r="B1496" t="inlineStr">
        <is>
          <t>INV-5696</t>
        </is>
      </c>
      <c r="C1496" s="11" t="n">
        <v>46060</v>
      </c>
      <c r="D1496" t="inlineStr">
        <is>
          <t>2026-02</t>
        </is>
      </c>
      <c r="E1496" t="inlineStr">
        <is>
          <t>C0060</t>
        </is>
      </c>
      <c r="F1496" t="inlineStr">
        <is>
          <t>C0060</t>
        </is>
      </c>
      <c r="G1496" t="inlineStr">
        <is>
          <t>Redline Claims Services</t>
        </is>
      </c>
      <c r="H1496" t="inlineStr">
        <is>
          <t>S0433</t>
        </is>
      </c>
      <c r="I1496" t="inlineStr">
        <is>
          <t>Materials - ridge capping</t>
        </is>
      </c>
      <c r="J1496" t="n">
        <v>1</v>
      </c>
      <c r="K1496" s="9" t="n">
        <v>812.53</v>
      </c>
      <c r="L1496" t="inlineStr">
        <is>
          <t>PAID</t>
        </is>
      </c>
      <c r="M1496">
        <f>IF(L1496="VOIDED",0,1)</f>
        <v>1</v>
      </c>
      <c r="N1496" t="n">
        <v>200</v>
      </c>
      <c r="O1496" t="inlineStr">
        <is>
          <t>GST Free Income</t>
        </is>
      </c>
      <c r="P1496" t="inlineStr">
        <is>
          <t>R11</t>
        </is>
      </c>
      <c r="Q1496" t="inlineStr">
        <is>
          <t>MAT-RF</t>
        </is>
      </c>
      <c r="R1496">
        <f>IF(OR(Q1496="CONTEXT",Q1496="REVIEW"),"",INDEX('Category Rules'!$D$5:$D$17,MATCH(P1496,'Category Rules'!$A$5:$A$17,0)))</f>
        <v>4030</v>
      </c>
      <c r="S1496" t="str">
        <f>IF(Q1496="CONTEXT","Roofing",IF(Q1496="REVIEW","",INDEX('Category Rules'!$E$5:$E$17,MATCH(P1496,'Category Rules'!$A$5:$A$17,0))))</f>
        <v>Roofing</v>
      </c>
      <c r="T1496" t="str">
        <f>IF(Q1496="DEP","BAS Excluded","GST on Income")</f>
        <v>GST on Income</v>
      </c>
      <c r="U1496">
        <f>IF(O1496=T1496,1,0)</f>
        <v>0</v>
      </c>
      <c r="V1496" s="9">
        <f>IF(OR(M1496=0,U1496=1),0,IF(T1496="GST on Income",ROUND(K1496*0.1,2),ROUND(-K1496*0.1,2)))</f>
        <v>81.25</v>
      </c>
    </row>
    <row r="1497">
      <c r="A1497" t="inlineStr">
        <is>
          <t>INV-5696-3</t>
        </is>
      </c>
      <c r="B1497" t="inlineStr">
        <is>
          <t>INV-5696</t>
        </is>
      </c>
      <c r="C1497" s="11" t="n">
        <v>46060</v>
      </c>
      <c r="D1497" t="inlineStr">
        <is>
          <t>2026-02</t>
        </is>
      </c>
      <c r="E1497" t="inlineStr">
        <is>
          <t>C0060</t>
        </is>
      </c>
      <c r="F1497" t="inlineStr">
        <is>
          <t>C0060</t>
        </is>
      </c>
      <c r="G1497" t="inlineStr">
        <is>
          <t>Redline Claims Services</t>
        </is>
      </c>
      <c r="H1497" t="inlineStr">
        <is>
          <t>S0433</t>
        </is>
      </c>
      <c r="I1497" t="inlineStr">
        <is>
          <t>Waste removal and tip fees</t>
        </is>
      </c>
      <c r="J1497" t="n">
        <v>1</v>
      </c>
      <c r="K1497" s="9" t="n">
        <v>120</v>
      </c>
      <c r="L1497" t="inlineStr">
        <is>
          <t>PAID</t>
        </is>
      </c>
      <c r="M1497">
        <f>IF(L1497="VOIDED",0,1)</f>
        <v>1</v>
      </c>
      <c r="N1497" t="n">
        <v>200</v>
      </c>
      <c r="O1497" t="inlineStr">
        <is>
          <t>GST on Income</t>
        </is>
      </c>
      <c r="P1497" t="inlineStr">
        <is>
          <t>R11</t>
        </is>
      </c>
      <c r="Q1497" t="inlineStr">
        <is>
          <t>MAT-RF</t>
        </is>
      </c>
      <c r="R1497">
        <f>IF(OR(Q1497="CONTEXT",Q1497="REVIEW"),"",INDEX('Category Rules'!$D$5:$D$17,MATCH(P1497,'Category Rules'!$A$5:$A$17,0)))</f>
        <v>4030</v>
      </c>
      <c r="S1497" t="str">
        <f>IF(Q1497="CONTEXT","Roofing",IF(Q1497="REVIEW","",INDEX('Category Rules'!$E$5:$E$17,MATCH(P1497,'Category Rules'!$A$5:$A$17,0))))</f>
        <v>Roofing</v>
      </c>
      <c r="T1497" t="str">
        <f>IF(Q1497="DEP","BAS Excluded","GST on Income")</f>
        <v>GST on Income</v>
      </c>
      <c r="U1497">
        <f>IF(O1497=T1497,1,0)</f>
        <v>1</v>
      </c>
      <c r="V1497" s="9">
        <f>IF(OR(M1497=0,U1497=1),0,IF(T1497="GST on Income",ROUND(K1497*0.1,2),ROUND(-K1497*0.1,2)))</f>
        <v>0</v>
      </c>
    </row>
    <row r="1498">
      <c r="A1498" t="inlineStr">
        <is>
          <t>INV-5864-1</t>
        </is>
      </c>
      <c r="B1498" t="inlineStr">
        <is>
          <t>INV-5864</t>
        </is>
      </c>
      <c r="C1498" s="11" t="n">
        <v>46060</v>
      </c>
      <c r="D1498" t="inlineStr">
        <is>
          <t>2026-02</t>
        </is>
      </c>
      <c r="E1498" t="inlineStr">
        <is>
          <t>C0120</t>
        </is>
      </c>
      <c r="F1498" t="inlineStr">
        <is>
          <t>C0120</t>
        </is>
      </c>
      <c r="G1498" t="inlineStr">
        <is>
          <t>Northgate Building Group</t>
        </is>
      </c>
      <c r="H1498" t="inlineStr">
        <is>
          <t>S0528</t>
        </is>
      </c>
      <c r="I1498" t="inlineStr">
        <is>
          <t>Roof repair labour - 8 hrs</t>
        </is>
      </c>
      <c r="J1498" t="n">
        <v>8</v>
      </c>
      <c r="K1498" s="9" t="n">
        <v>784</v>
      </c>
      <c r="L1498" t="inlineStr">
        <is>
          <t>PAID</t>
        </is>
      </c>
      <c r="M1498">
        <f>IF(L1498="VOIDED",0,1)</f>
        <v>1</v>
      </c>
      <c r="N1498" t="n">
        <v>200</v>
      </c>
      <c r="O1498" t="inlineStr">
        <is>
          <t>GST on Income</t>
        </is>
      </c>
      <c r="P1498" t="inlineStr">
        <is>
          <t>R10</t>
        </is>
      </c>
      <c r="Q1498" t="inlineStr">
        <is>
          <t>LAB-RF</t>
        </is>
      </c>
      <c r="R1498">
        <f>IF(OR(Q1498="CONTEXT",Q1498="REVIEW"),"",INDEX('Category Rules'!$D$5:$D$17,MATCH(P1498,'Category Rules'!$A$5:$A$17,0)))</f>
        <v>4020</v>
      </c>
      <c r="S1498" t="str">
        <f>IF(Q1498="CONTEXT","Roofing",IF(Q1498="REVIEW","",INDEX('Category Rules'!$E$5:$E$17,MATCH(P1498,'Category Rules'!$A$5:$A$17,0))))</f>
        <v>Roofing</v>
      </c>
      <c r="T1498" t="str">
        <f>IF(Q1498="DEP","BAS Excluded","GST on Income")</f>
        <v>GST on Income</v>
      </c>
      <c r="U1498">
        <f>IF(O1498=T1498,1,0)</f>
        <v>1</v>
      </c>
      <c r="V1498" s="9">
        <f>IF(OR(M1498=0,U1498=1),0,IF(T1498="GST on Income",ROUND(K1498*0.1,2),ROUND(-K1498*0.1,2)))</f>
        <v>0</v>
      </c>
    </row>
    <row r="1499">
      <c r="A1499" t="inlineStr">
        <is>
          <t>INV-5864-2</t>
        </is>
      </c>
      <c r="B1499" t="inlineStr">
        <is>
          <t>INV-5864</t>
        </is>
      </c>
      <c r="C1499" s="11" t="n">
        <v>46060</v>
      </c>
      <c r="D1499" t="inlineStr">
        <is>
          <t>2026-02</t>
        </is>
      </c>
      <c r="E1499" t="inlineStr">
        <is>
          <t>C0120</t>
        </is>
      </c>
      <c r="F1499" t="inlineStr">
        <is>
          <t>C0120</t>
        </is>
      </c>
      <c r="G1499" t="inlineStr">
        <is>
          <t>Northgate Building Group</t>
        </is>
      </c>
      <c r="H1499" t="inlineStr">
        <is>
          <t>S0528</t>
        </is>
      </c>
      <c r="I1499" t="inlineStr">
        <is>
          <t>Materials - ridge capping</t>
        </is>
      </c>
      <c r="J1499" t="n">
        <v>1</v>
      </c>
      <c r="K1499" s="9" t="n">
        <v>759.61</v>
      </c>
      <c r="L1499" t="inlineStr">
        <is>
          <t>PAID</t>
        </is>
      </c>
      <c r="M1499">
        <f>IF(L1499="VOIDED",0,1)</f>
        <v>1</v>
      </c>
      <c r="N1499" t="n">
        <v>200</v>
      </c>
      <c r="O1499" t="inlineStr">
        <is>
          <t>GST Free Income</t>
        </is>
      </c>
      <c r="P1499" t="inlineStr">
        <is>
          <t>R11</t>
        </is>
      </c>
      <c r="Q1499" t="inlineStr">
        <is>
          <t>MAT-RF</t>
        </is>
      </c>
      <c r="R1499">
        <f>IF(OR(Q1499="CONTEXT",Q1499="REVIEW"),"",INDEX('Category Rules'!$D$5:$D$17,MATCH(P1499,'Category Rules'!$A$5:$A$17,0)))</f>
        <v>4030</v>
      </c>
      <c r="S1499" t="str">
        <f>IF(Q1499="CONTEXT","Roofing",IF(Q1499="REVIEW","",INDEX('Category Rules'!$E$5:$E$17,MATCH(P1499,'Category Rules'!$A$5:$A$17,0))))</f>
        <v>Roofing</v>
      </c>
      <c r="T1499" t="str">
        <f>IF(Q1499="DEP","BAS Excluded","GST on Income")</f>
        <v>GST on Income</v>
      </c>
      <c r="U1499">
        <f>IF(O1499=T1499,1,0)</f>
        <v>0</v>
      </c>
      <c r="V1499" s="9">
        <f>IF(OR(M1499=0,U1499=1),0,IF(T1499="GST on Income",ROUND(K1499*0.1,2),ROUND(-K1499*0.1,2)))</f>
        <v>75.96</v>
      </c>
    </row>
    <row r="1500">
      <c r="A1500" t="inlineStr">
        <is>
          <t>INV-5909-1</t>
        </is>
      </c>
      <c r="B1500" t="inlineStr">
        <is>
          <t>INV-5909</t>
        </is>
      </c>
      <c r="C1500" s="11" t="n">
        <v>46060</v>
      </c>
      <c r="D1500" t="inlineStr">
        <is>
          <t>2026-02</t>
        </is>
      </c>
      <c r="E1500" t="inlineStr">
        <is>
          <t>C0107</t>
        </is>
      </c>
      <c r="F1500" t="inlineStr">
        <is>
          <t>C0107</t>
        </is>
      </c>
      <c r="G1500" t="inlineStr">
        <is>
          <t>Sofia Hughes</t>
        </is>
      </c>
      <c r="H1500" t="inlineStr"/>
      <c r="I1500" t="inlineStr">
        <is>
          <t>Job 1675 - progress claim</t>
        </is>
      </c>
      <c r="J1500" t="n">
        <v>1</v>
      </c>
      <c r="K1500" s="9" t="n">
        <v>3052.12</v>
      </c>
      <c r="L1500" t="inlineStr">
        <is>
          <t>PAID</t>
        </is>
      </c>
      <c r="M1500">
        <f>IF(L1500="VOIDED",0,1)</f>
        <v>1</v>
      </c>
      <c r="N1500" t="n">
        <v>200</v>
      </c>
      <c r="O1500" t="inlineStr">
        <is>
          <t>GST on Income</t>
        </is>
      </c>
      <c r="P1500" t="inlineStr">
        <is>
          <t>--</t>
        </is>
      </c>
      <c r="Q1500" t="inlineStr">
        <is>
          <t>REVIEW</t>
        </is>
      </c>
      <c r="R1500">
        <f>IF(OR(Q1500="CONTEXT",Q1500="REVIEW"),"",INDEX('Category Rules'!$D$5:$D$17,MATCH(P1500,'Category Rules'!$A$5:$A$17,0)))</f>
      </c>
      <c r="S1500">
        <f>IF(Q1500="CONTEXT","",IF(Q1500="REVIEW","",INDEX('Category Rules'!$E$5:$E$17,MATCH(P1500,'Category Rules'!$A$5:$A$17,0))))</f>
      </c>
      <c r="T1500" t="str">
        <f>IF(Q1500="DEP","BAS Excluded","GST on Income")</f>
        <v>GST on Income</v>
      </c>
      <c r="U1500">
        <f>IF(O1500=T1500,1,0)</f>
        <v>1</v>
      </c>
      <c r="V1500" s="9">
        <f>IF(OR(M1500=0,U1500=1),0,IF(T1500="GST on Income",ROUND(K1500*0.1,2),ROUND(-K1500*0.1,2)))</f>
        <v>0</v>
      </c>
    </row>
    <row r="1501">
      <c r="A1501" t="inlineStr">
        <is>
          <t>INV-4572-1</t>
        </is>
      </c>
      <c r="B1501" t="inlineStr">
        <is>
          <t>INV-4572</t>
        </is>
      </c>
      <c r="C1501" s="11" t="n">
        <v>46061</v>
      </c>
      <c r="D1501" t="inlineStr">
        <is>
          <t>2026-02</t>
        </is>
      </c>
      <c r="E1501" t="inlineStr">
        <is>
          <t>C0143</t>
        </is>
      </c>
      <c r="F1501" t="inlineStr">
        <is>
          <t>C0043</t>
        </is>
      </c>
      <c r="G1501" t="inlineStr">
        <is>
          <t>Banksia Projects Pty Ltd</t>
        </is>
      </c>
      <c r="H1501" t="inlineStr">
        <is>
          <t>S0095</t>
        </is>
      </c>
      <c r="I1501" t="inlineStr">
        <is>
          <t>Temporary fence hire 4 wks (11/01/26-07/02/26) - 129 panels</t>
        </is>
      </c>
      <c r="J1501" t="n">
        <v>516</v>
      </c>
      <c r="K1501" s="9" t="n">
        <v>2322</v>
      </c>
      <c r="L1501" t="inlineStr">
        <is>
          <t>PAID</t>
        </is>
      </c>
      <c r="M1501">
        <f>IF(L1501="VOIDED",0,1)</f>
        <v>1</v>
      </c>
      <c r="N1501" t="n">
        <v>200</v>
      </c>
      <c r="O1501" t="inlineStr">
        <is>
          <t>GST on Income</t>
        </is>
      </c>
      <c r="P1501" t="inlineStr">
        <is>
          <t>R03</t>
        </is>
      </c>
      <c r="Q1501" t="inlineStr">
        <is>
          <t>HIRE-FP</t>
        </is>
      </c>
      <c r="R1501">
        <f>IF(OR(Q1501="CONTEXT",Q1501="REVIEW"),"",INDEX('Category Rules'!$D$5:$D$17,MATCH(P1501,'Category Rules'!$A$5:$A$17,0)))</f>
        <v>4010</v>
      </c>
      <c r="S1501" t="str">
        <f>IF(Q1501="CONTEXT","Fencing",IF(Q1501="REVIEW","",INDEX('Category Rules'!$E$5:$E$17,MATCH(P1501,'Category Rules'!$A$5:$A$17,0))))</f>
        <v>Fencing</v>
      </c>
      <c r="T1501" t="str">
        <f>IF(Q1501="DEP","BAS Excluded","GST on Income")</f>
        <v>GST on Income</v>
      </c>
      <c r="U1501">
        <f>IF(O1501=T1501,1,0)</f>
        <v>1</v>
      </c>
      <c r="V1501" s="9">
        <f>IF(OR(M1501=0,U1501=1),0,IF(T1501="GST on Income",ROUND(K1501*0.1,2),ROUND(-K1501*0.1,2)))</f>
        <v>0</v>
      </c>
    </row>
    <row r="1502">
      <c r="A1502" t="inlineStr">
        <is>
          <t>INV-4712-1</t>
        </is>
      </c>
      <c r="B1502" t="inlineStr">
        <is>
          <t>INV-4712</t>
        </is>
      </c>
      <c r="C1502" s="11" t="n">
        <v>46061</v>
      </c>
      <c r="D1502" t="inlineStr">
        <is>
          <t>2026-02</t>
        </is>
      </c>
      <c r="E1502" t="inlineStr">
        <is>
          <t>C0030</t>
        </is>
      </c>
      <c r="F1502" t="inlineStr">
        <is>
          <t>C0030</t>
        </is>
      </c>
      <c r="G1502" t="inlineStr">
        <is>
          <t>Bluegum Developments</t>
        </is>
      </c>
      <c r="H1502" t="inlineStr">
        <is>
          <t>S0126</t>
        </is>
      </c>
      <c r="I1502" t="inlineStr">
        <is>
          <t>Temporary fence hire 4 wks (12/01/26-07/02/26) - 82 panels</t>
        </is>
      </c>
      <c r="J1502" t="n">
        <v>328</v>
      </c>
      <c r="K1502" s="9" t="n">
        <v>1476</v>
      </c>
      <c r="L1502" t="inlineStr">
        <is>
          <t>PAID</t>
        </is>
      </c>
      <c r="M1502">
        <f>IF(L1502="VOIDED",0,1)</f>
        <v>1</v>
      </c>
      <c r="N1502" t="n">
        <v>200</v>
      </c>
      <c r="O1502" t="inlineStr">
        <is>
          <t>GST on Income</t>
        </is>
      </c>
      <c r="P1502" t="inlineStr">
        <is>
          <t>R03</t>
        </is>
      </c>
      <c r="Q1502" t="inlineStr">
        <is>
          <t>HIRE-FP</t>
        </is>
      </c>
      <c r="R1502">
        <f>IF(OR(Q1502="CONTEXT",Q1502="REVIEW"),"",INDEX('Category Rules'!$D$5:$D$17,MATCH(P1502,'Category Rules'!$A$5:$A$17,0)))</f>
        <v>4010</v>
      </c>
      <c r="S1502" t="str">
        <f>IF(Q1502="CONTEXT","Fencing",IF(Q1502="REVIEW","",INDEX('Category Rules'!$E$5:$E$17,MATCH(P1502,'Category Rules'!$A$5:$A$17,0))))</f>
        <v>Fencing</v>
      </c>
      <c r="T1502" t="str">
        <f>IF(Q1502="DEP","BAS Excluded","GST on Income")</f>
        <v>GST on Income</v>
      </c>
      <c r="U1502">
        <f>IF(O1502=T1502,1,0)</f>
        <v>1</v>
      </c>
      <c r="V1502" s="9">
        <f>IF(OR(M1502=0,U1502=1),0,IF(T1502="GST on Income",ROUND(K1502*0.1,2),ROUND(-K1502*0.1,2)))</f>
        <v>0</v>
      </c>
    </row>
    <row r="1503">
      <c r="A1503" t="inlineStr">
        <is>
          <t>INV-4714-1</t>
        </is>
      </c>
      <c r="B1503" t="inlineStr">
        <is>
          <t>INV-4714</t>
        </is>
      </c>
      <c r="C1503" s="11" t="n">
        <v>46061</v>
      </c>
      <c r="D1503" t="inlineStr">
        <is>
          <t>2026-02</t>
        </is>
      </c>
      <c r="E1503" t="inlineStr">
        <is>
          <t>C0030</t>
        </is>
      </c>
      <c r="F1503" t="inlineStr">
        <is>
          <t>C0030</t>
        </is>
      </c>
      <c r="G1503" t="inlineStr">
        <is>
          <t>Bluegum Developments</t>
        </is>
      </c>
      <c r="H1503" t="inlineStr">
        <is>
          <t>S0126</t>
        </is>
      </c>
      <c r="I1503" t="inlineStr">
        <is>
          <t>Collection and dismantle - temporary fencing</t>
        </is>
      </c>
      <c r="J1503" t="n">
        <v>1</v>
      </c>
      <c r="K1503" s="9" t="n">
        <v>165</v>
      </c>
      <c r="L1503" t="inlineStr">
        <is>
          <t>PAID</t>
        </is>
      </c>
      <c r="M1503">
        <f>IF(L1503="VOIDED",0,1)</f>
        <v>1</v>
      </c>
      <c r="N1503" t="n">
        <v>200</v>
      </c>
      <c r="O1503" t="inlineStr">
        <is>
          <t>GST on Income</t>
        </is>
      </c>
      <c r="P1503" t="inlineStr">
        <is>
          <t>R07</t>
        </is>
      </c>
      <c r="Q1503" t="inlineStr">
        <is>
          <t>DEL-FP</t>
        </is>
      </c>
      <c r="R1503">
        <f>IF(OR(Q1503="CONTEXT",Q1503="REVIEW"),"",INDEX('Category Rules'!$D$5:$D$17,MATCH(P1503,'Category Rules'!$A$5:$A$17,0)))</f>
        <v>4020</v>
      </c>
      <c r="S1503" t="str">
        <f>IF(Q1503="CONTEXT","Fencing",IF(Q1503="REVIEW","",INDEX('Category Rules'!$E$5:$E$17,MATCH(P1503,'Category Rules'!$A$5:$A$17,0))))</f>
        <v>Fencing</v>
      </c>
      <c r="T1503" t="str">
        <f>IF(Q1503="DEP","BAS Excluded","GST on Income")</f>
        <v>GST on Income</v>
      </c>
      <c r="U1503">
        <f>IF(O1503=T1503,1,0)</f>
        <v>1</v>
      </c>
      <c r="V1503" s="9">
        <f>IF(OR(M1503=0,U1503=1),0,IF(T1503="GST on Income",ROUND(K1503*0.1,2),ROUND(-K1503*0.1,2)))</f>
        <v>0</v>
      </c>
    </row>
    <row r="1504">
      <c r="A1504" t="inlineStr">
        <is>
          <t>INV-4200-1</t>
        </is>
      </c>
      <c r="B1504" t="inlineStr">
        <is>
          <t>INV-4200</t>
        </is>
      </c>
      <c r="C1504" s="11" t="n">
        <v>46062</v>
      </c>
      <c r="D1504" t="inlineStr">
        <is>
          <t>2026-02</t>
        </is>
      </c>
      <c r="E1504" t="inlineStr">
        <is>
          <t>C0034</t>
        </is>
      </c>
      <c r="F1504" t="inlineStr">
        <is>
          <t>C0034</t>
        </is>
      </c>
      <c r="G1504" t="inlineStr">
        <is>
          <t>Norfolk Constructions Pty Ltd</t>
        </is>
      </c>
      <c r="H1504" t="inlineStr">
        <is>
          <t>S0018</t>
        </is>
      </c>
      <c r="I1504" t="inlineStr">
        <is>
          <t>Temporary fence hire 3 wks (24/01/26-08/02/26) - 44 panels</t>
        </is>
      </c>
      <c r="J1504" t="n">
        <v>132</v>
      </c>
      <c r="K1504" s="9" t="n">
        <v>594</v>
      </c>
      <c r="L1504" t="inlineStr">
        <is>
          <t>PAID</t>
        </is>
      </c>
      <c r="M1504">
        <f>IF(L1504="VOIDED",0,1)</f>
        <v>1</v>
      </c>
      <c r="N1504" t="n">
        <v>200</v>
      </c>
      <c r="O1504" t="inlineStr">
        <is>
          <t>GST on Income</t>
        </is>
      </c>
      <c r="P1504" t="inlineStr">
        <is>
          <t>R03</t>
        </is>
      </c>
      <c r="Q1504" t="inlineStr">
        <is>
          <t>HIRE-FP</t>
        </is>
      </c>
      <c r="R1504">
        <f>IF(OR(Q1504="CONTEXT",Q1504="REVIEW"),"",INDEX('Category Rules'!$D$5:$D$17,MATCH(P1504,'Category Rules'!$A$5:$A$17,0)))</f>
        <v>4010</v>
      </c>
      <c r="S1504" t="str">
        <f>IF(Q1504="CONTEXT","Fencing",IF(Q1504="REVIEW","",INDEX('Category Rules'!$E$5:$E$17,MATCH(P1504,'Category Rules'!$A$5:$A$17,0))))</f>
        <v>Fencing</v>
      </c>
      <c r="T1504" t="str">
        <f>IF(Q1504="DEP","BAS Excluded","GST on Income")</f>
        <v>GST on Income</v>
      </c>
      <c r="U1504">
        <f>IF(O1504=T1504,1,0)</f>
        <v>1</v>
      </c>
      <c r="V1504" s="9">
        <f>IF(OR(M1504=0,U1504=1),0,IF(T1504="GST on Income",ROUND(K1504*0.1,2),ROUND(-K1504*0.1,2)))</f>
        <v>0</v>
      </c>
    </row>
    <row r="1505">
      <c r="A1505" t="inlineStr">
        <is>
          <t>INV-4201-1</t>
        </is>
      </c>
      <c r="B1505" t="inlineStr">
        <is>
          <t>INV-4201</t>
        </is>
      </c>
      <c r="C1505" s="11" t="n">
        <v>46062</v>
      </c>
      <c r="D1505" t="inlineStr">
        <is>
          <t>2026-02</t>
        </is>
      </c>
      <c r="E1505" t="inlineStr">
        <is>
          <t>C0034</t>
        </is>
      </c>
      <c r="F1505" t="inlineStr">
        <is>
          <t>C0034</t>
        </is>
      </c>
      <c r="G1505" t="inlineStr">
        <is>
          <t>Norfolk Constructions Pty Ltd</t>
        </is>
      </c>
      <c r="H1505" t="inlineStr">
        <is>
          <t>S0018</t>
        </is>
      </c>
      <c r="I1505" t="inlineStr">
        <is>
          <t>Collection and dismantle - temporary fencing</t>
        </is>
      </c>
      <c r="J1505" t="n">
        <v>1</v>
      </c>
      <c r="K1505" s="9" t="n">
        <v>165</v>
      </c>
      <c r="L1505" t="inlineStr">
        <is>
          <t>PAID</t>
        </is>
      </c>
      <c r="M1505">
        <f>IF(L1505="VOIDED",0,1)</f>
        <v>1</v>
      </c>
      <c r="N1505" t="n">
        <v>200</v>
      </c>
      <c r="O1505" t="inlineStr">
        <is>
          <t>GST on Income</t>
        </is>
      </c>
      <c r="P1505" t="inlineStr">
        <is>
          <t>R07</t>
        </is>
      </c>
      <c r="Q1505" t="inlineStr">
        <is>
          <t>DEL-FP</t>
        </is>
      </c>
      <c r="R1505">
        <f>IF(OR(Q1505="CONTEXT",Q1505="REVIEW"),"",INDEX('Category Rules'!$D$5:$D$17,MATCH(P1505,'Category Rules'!$A$5:$A$17,0)))</f>
        <v>4020</v>
      </c>
      <c r="S1505" t="str">
        <f>IF(Q1505="CONTEXT","Fencing",IF(Q1505="REVIEW","",INDEX('Category Rules'!$E$5:$E$17,MATCH(P1505,'Category Rules'!$A$5:$A$17,0))))</f>
        <v>Fencing</v>
      </c>
      <c r="T1505" t="str">
        <f>IF(Q1505="DEP","BAS Excluded","GST on Income")</f>
        <v>GST on Income</v>
      </c>
      <c r="U1505">
        <f>IF(O1505=T1505,1,0)</f>
        <v>1</v>
      </c>
      <c r="V1505" s="9">
        <f>IF(OR(M1505=0,U1505=1),0,IF(T1505="GST on Income",ROUND(K1505*0.1,2),ROUND(-K1505*0.1,2)))</f>
        <v>0</v>
      </c>
    </row>
    <row r="1506">
      <c r="A1506" t="inlineStr">
        <is>
          <t>INV-4808-1</t>
        </is>
      </c>
      <c r="B1506" t="inlineStr">
        <is>
          <t>INV-4808</t>
        </is>
      </c>
      <c r="C1506" s="11" t="n">
        <v>46062</v>
      </c>
      <c r="D1506" t="inlineStr">
        <is>
          <t>2026-02</t>
        </is>
      </c>
      <c r="E1506" t="inlineStr">
        <is>
          <t>C0143</t>
        </is>
      </c>
      <c r="F1506" t="inlineStr">
        <is>
          <t>C0043</t>
        </is>
      </c>
      <c r="G1506" t="inlineStr">
        <is>
          <t>Banksia Projects Pty Ltd</t>
        </is>
      </c>
      <c r="H1506" t="inlineStr">
        <is>
          <t>S0151</t>
        </is>
      </c>
      <c r="I1506" t="inlineStr">
        <is>
          <t>Delivery and installation - temporary fencing</t>
        </is>
      </c>
      <c r="J1506" t="n">
        <v>1</v>
      </c>
      <c r="K1506" s="9" t="n">
        <v>165</v>
      </c>
      <c r="L1506" t="inlineStr">
        <is>
          <t>PAID</t>
        </is>
      </c>
      <c r="M1506">
        <f>IF(L1506="VOIDED",0,1)</f>
        <v>1</v>
      </c>
      <c r="N1506" t="n">
        <v>200</v>
      </c>
      <c r="O1506" t="inlineStr">
        <is>
          <t>GST on Income</t>
        </is>
      </c>
      <c r="P1506" t="inlineStr">
        <is>
          <t>R07</t>
        </is>
      </c>
      <c r="Q1506" t="inlineStr">
        <is>
          <t>DEL-FP</t>
        </is>
      </c>
      <c r="R1506">
        <f>IF(OR(Q1506="CONTEXT",Q1506="REVIEW"),"",INDEX('Category Rules'!$D$5:$D$17,MATCH(P1506,'Category Rules'!$A$5:$A$17,0)))</f>
        <v>4020</v>
      </c>
      <c r="S1506" t="str">
        <f>IF(Q1506="CONTEXT","Fencing",IF(Q1506="REVIEW","",INDEX('Category Rules'!$E$5:$E$17,MATCH(P1506,'Category Rules'!$A$5:$A$17,0))))</f>
        <v>Fencing</v>
      </c>
      <c r="T1506" t="str">
        <f>IF(Q1506="DEP","BAS Excluded","GST on Income")</f>
        <v>GST on Income</v>
      </c>
      <c r="U1506">
        <f>IF(O1506=T1506,1,0)</f>
        <v>1</v>
      </c>
      <c r="V1506" s="9">
        <f>IF(OR(M1506=0,U1506=1),0,IF(T1506="GST on Income",ROUND(K1506*0.1,2),ROUND(-K1506*0.1,2)))</f>
        <v>0</v>
      </c>
    </row>
    <row r="1507">
      <c r="A1507" t="inlineStr">
        <is>
          <t>INV-4808-2</t>
        </is>
      </c>
      <c r="B1507" t="inlineStr">
        <is>
          <t>INV-4808</t>
        </is>
      </c>
      <c r="C1507" s="11" t="n">
        <v>46062</v>
      </c>
      <c r="D1507" t="inlineStr">
        <is>
          <t>2026-02</t>
        </is>
      </c>
      <c r="E1507" t="inlineStr">
        <is>
          <t>C0143</t>
        </is>
      </c>
      <c r="F1507" t="inlineStr">
        <is>
          <t>C0043</t>
        </is>
      </c>
      <c r="G1507" t="inlineStr">
        <is>
          <t>Banksia Projects Pty Ltd</t>
        </is>
      </c>
      <c r="H1507" t="inlineStr">
        <is>
          <t>S0151</t>
        </is>
      </c>
      <c r="I1507" t="inlineStr">
        <is>
          <t>Installation labour - 87 panels @ 2.20</t>
        </is>
      </c>
      <c r="J1507" t="n">
        <v>87</v>
      </c>
      <c r="K1507" s="9" t="n">
        <v>191.4</v>
      </c>
      <c r="L1507" t="inlineStr">
        <is>
          <t>PAID</t>
        </is>
      </c>
      <c r="M1507">
        <f>IF(L1507="VOIDED",0,1)</f>
        <v>1</v>
      </c>
      <c r="N1507" t="n">
        <v>200</v>
      </c>
      <c r="O1507" t="inlineStr">
        <is>
          <t>GST on Income</t>
        </is>
      </c>
      <c r="P1507" t="inlineStr">
        <is>
          <t>R07</t>
        </is>
      </c>
      <c r="Q1507" t="inlineStr">
        <is>
          <t>DEL-FP</t>
        </is>
      </c>
      <c r="R1507">
        <f>IF(OR(Q1507="CONTEXT",Q1507="REVIEW"),"",INDEX('Category Rules'!$D$5:$D$17,MATCH(P1507,'Category Rules'!$A$5:$A$17,0)))</f>
        <v>4020</v>
      </c>
      <c r="S1507" t="str">
        <f>IF(Q1507="CONTEXT","Fencing",IF(Q1507="REVIEW","",INDEX('Category Rules'!$E$5:$E$17,MATCH(P1507,'Category Rules'!$A$5:$A$17,0))))</f>
        <v>Fencing</v>
      </c>
      <c r="T1507" t="str">
        <f>IF(Q1507="DEP","BAS Excluded","GST on Income")</f>
        <v>GST on Income</v>
      </c>
      <c r="U1507">
        <f>IF(O1507=T1507,1,0)</f>
        <v>1</v>
      </c>
      <c r="V1507" s="9">
        <f>IF(OR(M1507=0,U1507=1),0,IF(T1507="GST on Income",ROUND(K1507*0.1,2),ROUND(-K1507*0.1,2)))</f>
        <v>0</v>
      </c>
    </row>
    <row r="1508">
      <c r="A1508" t="inlineStr">
        <is>
          <t>INV-5065-1</t>
        </is>
      </c>
      <c r="B1508" t="inlineStr">
        <is>
          <t>INV-5065</t>
        </is>
      </c>
      <c r="C1508" s="11" t="n">
        <v>46062</v>
      </c>
      <c r="D1508" t="inlineStr">
        <is>
          <t>2026-02</t>
        </is>
      </c>
      <c r="E1508" t="inlineStr">
        <is>
          <t>C0076</t>
        </is>
      </c>
      <c r="F1508" t="inlineStr">
        <is>
          <t>C0076</t>
        </is>
      </c>
      <c r="G1508" t="inlineStr">
        <is>
          <t>Westside Productions</t>
        </is>
      </c>
      <c r="H1508" t="inlineStr">
        <is>
          <t>S0206</t>
        </is>
      </c>
      <c r="I1508" t="inlineStr">
        <is>
          <t>Delivery and installation - temporary fencing</t>
        </is>
      </c>
      <c r="J1508" t="n">
        <v>1</v>
      </c>
      <c r="K1508" s="9" t="n">
        <v>165</v>
      </c>
      <c r="L1508" t="inlineStr">
        <is>
          <t>PAID</t>
        </is>
      </c>
      <c r="M1508">
        <f>IF(L1508="VOIDED",0,1)</f>
        <v>1</v>
      </c>
      <c r="N1508" t="n">
        <v>200</v>
      </c>
      <c r="O1508" t="inlineStr">
        <is>
          <t>GST on Income</t>
        </is>
      </c>
      <c r="P1508" t="inlineStr">
        <is>
          <t>R07</t>
        </is>
      </c>
      <c r="Q1508" t="inlineStr">
        <is>
          <t>DEL-FP</t>
        </is>
      </c>
      <c r="R1508">
        <f>IF(OR(Q1508="CONTEXT",Q1508="REVIEW"),"",INDEX('Category Rules'!$D$5:$D$17,MATCH(P1508,'Category Rules'!$A$5:$A$17,0)))</f>
        <v>4020</v>
      </c>
      <c r="S1508" t="str">
        <f>IF(Q1508="CONTEXT","Fencing",IF(Q1508="REVIEW","",INDEX('Category Rules'!$E$5:$E$17,MATCH(P1508,'Category Rules'!$A$5:$A$17,0))))</f>
        <v>Fencing</v>
      </c>
      <c r="T1508" t="str">
        <f>IF(Q1508="DEP","BAS Excluded","GST on Income")</f>
        <v>GST on Income</v>
      </c>
      <c r="U1508">
        <f>IF(O1508=T1508,1,0)</f>
        <v>1</v>
      </c>
      <c r="V1508" s="9">
        <f>IF(OR(M1508=0,U1508=1),0,IF(T1508="GST on Income",ROUND(K1508*0.1,2),ROUND(-K1508*0.1,2)))</f>
        <v>0</v>
      </c>
    </row>
    <row r="1509">
      <c r="A1509" t="inlineStr">
        <is>
          <t>INV-5065-2</t>
        </is>
      </c>
      <c r="B1509" t="inlineStr">
        <is>
          <t>INV-5065</t>
        </is>
      </c>
      <c r="C1509" s="11" t="n">
        <v>46062</v>
      </c>
      <c r="D1509" t="inlineStr">
        <is>
          <t>2026-02</t>
        </is>
      </c>
      <c r="E1509" t="inlineStr">
        <is>
          <t>C0076</t>
        </is>
      </c>
      <c r="F1509" t="inlineStr">
        <is>
          <t>C0076</t>
        </is>
      </c>
      <c r="G1509" t="inlineStr">
        <is>
          <t>Westside Productions</t>
        </is>
      </c>
      <c r="H1509" t="inlineStr">
        <is>
          <t>S0206</t>
        </is>
      </c>
      <c r="I1509" t="inlineStr">
        <is>
          <t>Installation labour - 89 panels @ 2.20</t>
        </is>
      </c>
      <c r="J1509" t="n">
        <v>89</v>
      </c>
      <c r="K1509" s="9" t="n">
        <v>195.8</v>
      </c>
      <c r="L1509" t="inlineStr">
        <is>
          <t>PAID</t>
        </is>
      </c>
      <c r="M1509">
        <f>IF(L1509="VOIDED",0,1)</f>
        <v>1</v>
      </c>
      <c r="N1509" t="n">
        <v>200</v>
      </c>
      <c r="O1509" t="inlineStr">
        <is>
          <t>GST on Income</t>
        </is>
      </c>
      <c r="P1509" t="inlineStr">
        <is>
          <t>R07</t>
        </is>
      </c>
      <c r="Q1509" t="inlineStr">
        <is>
          <t>DEL-FP</t>
        </is>
      </c>
      <c r="R1509">
        <f>IF(OR(Q1509="CONTEXT",Q1509="REVIEW"),"",INDEX('Category Rules'!$D$5:$D$17,MATCH(P1509,'Category Rules'!$A$5:$A$17,0)))</f>
        <v>4020</v>
      </c>
      <c r="S1509" t="str">
        <f>IF(Q1509="CONTEXT","Fencing",IF(Q1509="REVIEW","",INDEX('Category Rules'!$E$5:$E$17,MATCH(P1509,'Category Rules'!$A$5:$A$17,0))))</f>
        <v>Fencing</v>
      </c>
      <c r="T1509" t="str">
        <f>IF(Q1509="DEP","BAS Excluded","GST on Income")</f>
        <v>GST on Income</v>
      </c>
      <c r="U1509">
        <f>IF(O1509=T1509,1,0)</f>
        <v>1</v>
      </c>
      <c r="V1509" s="9">
        <f>IF(OR(M1509=0,U1509=1),0,IF(T1509="GST on Income",ROUND(K1509*0.1,2),ROUND(-K1509*0.1,2)))</f>
        <v>0</v>
      </c>
    </row>
    <row r="1510">
      <c r="A1510" t="inlineStr">
        <is>
          <t>INV-5376-1</t>
        </is>
      </c>
      <c r="B1510" t="inlineStr">
        <is>
          <t>INV-5376</t>
        </is>
      </c>
      <c r="C1510" s="11" t="n">
        <v>46062</v>
      </c>
      <c r="D1510" t="inlineStr">
        <is>
          <t>2026-02</t>
        </is>
      </c>
      <c r="E1510" t="inlineStr">
        <is>
          <t>C0047</t>
        </is>
      </c>
      <c r="F1510" t="inlineStr">
        <is>
          <t>C0047</t>
        </is>
      </c>
      <c r="G1510" t="inlineStr">
        <is>
          <t>Fairway Owners Corporation Services</t>
        </is>
      </c>
      <c r="H1510" t="inlineStr">
        <is>
          <t>S0278</t>
        </is>
      </c>
      <c r="I1510" t="inlineStr">
        <is>
          <t>Scaffold tower hire 4 wks (12/01/26-08/02/26) - 2 towers</t>
        </is>
      </c>
      <c r="J1510" t="n">
        <v>8</v>
      </c>
      <c r="K1510" s="9" t="n">
        <v>760</v>
      </c>
      <c r="L1510" t="inlineStr">
        <is>
          <t>PAID</t>
        </is>
      </c>
      <c r="M1510">
        <f>IF(L1510="VOIDED",0,1)</f>
        <v>1</v>
      </c>
      <c r="N1510" t="n">
        <v>200</v>
      </c>
      <c r="O1510" t="inlineStr">
        <is>
          <t>GST on Income</t>
        </is>
      </c>
      <c r="P1510" t="inlineStr">
        <is>
          <t>R05</t>
        </is>
      </c>
      <c r="Q1510" t="inlineStr">
        <is>
          <t>HIRE-ST</t>
        </is>
      </c>
      <c r="R1510">
        <f>IF(OR(Q1510="CONTEXT",Q1510="REVIEW"),"",INDEX('Category Rules'!$D$5:$D$17,MATCH(P1510,'Category Rules'!$A$5:$A$17,0)))</f>
        <v>4010</v>
      </c>
      <c r="S1510" t="str">
        <f>IF(Q1510="CONTEXT","Scaffolding",IF(Q1510="REVIEW","",INDEX('Category Rules'!$E$5:$E$17,MATCH(P1510,'Category Rules'!$A$5:$A$17,0))))</f>
        <v>Scaffolding</v>
      </c>
      <c r="T1510" t="str">
        <f>IF(Q1510="DEP","BAS Excluded","GST on Income")</f>
        <v>GST on Income</v>
      </c>
      <c r="U1510">
        <f>IF(O1510=T1510,1,0)</f>
        <v>1</v>
      </c>
      <c r="V1510" s="9">
        <f>IF(OR(M1510=0,U1510=1),0,IF(T1510="GST on Income",ROUND(K1510*0.1,2),ROUND(-K1510*0.1,2)))</f>
        <v>0</v>
      </c>
    </row>
    <row r="1511">
      <c r="A1511" t="inlineStr">
        <is>
          <t>INV-5539-1</t>
        </is>
      </c>
      <c r="B1511" t="inlineStr">
        <is>
          <t>INV-5539</t>
        </is>
      </c>
      <c r="C1511" s="11" t="n">
        <v>46062</v>
      </c>
      <c r="D1511" t="inlineStr">
        <is>
          <t>2026-02</t>
        </is>
      </c>
      <c r="E1511" t="inlineStr">
        <is>
          <t>C0063</t>
        </is>
      </c>
      <c r="F1511" t="inlineStr">
        <is>
          <t>C0063</t>
        </is>
      </c>
      <c r="G1511" t="inlineStr">
        <is>
          <t>Highpoint Insurance Repairs Pty Ltd</t>
        </is>
      </c>
      <c r="H1511" t="inlineStr">
        <is>
          <t>S0343</t>
        </is>
      </c>
      <c r="I1511" t="inlineStr">
        <is>
          <t>Roof repair labour - 3 hrs</t>
        </is>
      </c>
      <c r="J1511" t="n">
        <v>3</v>
      </c>
      <c r="K1511" s="9" t="n">
        <v>294</v>
      </c>
      <c r="L1511" t="inlineStr">
        <is>
          <t>PAID</t>
        </is>
      </c>
      <c r="M1511">
        <f>IF(L1511="VOIDED",0,1)</f>
        <v>1</v>
      </c>
      <c r="N1511" t="n">
        <v>200</v>
      </c>
      <c r="O1511" t="inlineStr">
        <is>
          <t>GST on Income</t>
        </is>
      </c>
      <c r="P1511" t="inlineStr">
        <is>
          <t>R10</t>
        </is>
      </c>
      <c r="Q1511" t="inlineStr">
        <is>
          <t>LAB-RF</t>
        </is>
      </c>
      <c r="R1511">
        <f>IF(OR(Q1511="CONTEXT",Q1511="REVIEW"),"",INDEX('Category Rules'!$D$5:$D$17,MATCH(P1511,'Category Rules'!$A$5:$A$17,0)))</f>
        <v>4020</v>
      </c>
      <c r="S1511" t="str">
        <f>IF(Q1511="CONTEXT","Roofing",IF(Q1511="REVIEW","",INDEX('Category Rules'!$E$5:$E$17,MATCH(P1511,'Category Rules'!$A$5:$A$17,0))))</f>
        <v>Roofing</v>
      </c>
      <c r="T1511" t="str">
        <f>IF(Q1511="DEP","BAS Excluded","GST on Income")</f>
        <v>GST on Income</v>
      </c>
      <c r="U1511">
        <f>IF(O1511=T1511,1,0)</f>
        <v>1</v>
      </c>
      <c r="V1511" s="9">
        <f>IF(OR(M1511=0,U1511=1),0,IF(T1511="GST on Income",ROUND(K1511*0.1,2),ROUND(-K1511*0.1,2)))</f>
        <v>0</v>
      </c>
    </row>
    <row r="1512">
      <c r="A1512" t="inlineStr">
        <is>
          <t>INV-5539-2</t>
        </is>
      </c>
      <c r="B1512" t="inlineStr">
        <is>
          <t>INV-5539</t>
        </is>
      </c>
      <c r="C1512" s="11" t="n">
        <v>46062</v>
      </c>
      <c r="D1512" t="inlineStr">
        <is>
          <t>2026-02</t>
        </is>
      </c>
      <c r="E1512" t="inlineStr">
        <is>
          <t>C0063</t>
        </is>
      </c>
      <c r="F1512" t="inlineStr">
        <is>
          <t>C0063</t>
        </is>
      </c>
      <c r="G1512" t="inlineStr">
        <is>
          <t>Highpoint Insurance Repairs Pty Ltd</t>
        </is>
      </c>
      <c r="H1512" t="inlineStr">
        <is>
          <t>S0343</t>
        </is>
      </c>
      <c r="I1512" t="inlineStr">
        <is>
          <t>Materials - flashing</t>
        </is>
      </c>
      <c r="J1512" t="n">
        <v>1</v>
      </c>
      <c r="K1512" s="9" t="n">
        <v>194.39</v>
      </c>
      <c r="L1512" t="inlineStr">
        <is>
          <t>PAID</t>
        </is>
      </c>
      <c r="M1512">
        <f>IF(L1512="VOIDED",0,1)</f>
        <v>1</v>
      </c>
      <c r="N1512" t="n">
        <v>200</v>
      </c>
      <c r="O1512" t="inlineStr">
        <is>
          <t>GST on Income</t>
        </is>
      </c>
      <c r="P1512" t="inlineStr">
        <is>
          <t>R11</t>
        </is>
      </c>
      <c r="Q1512" t="inlineStr">
        <is>
          <t>MAT-RF</t>
        </is>
      </c>
      <c r="R1512">
        <f>IF(OR(Q1512="CONTEXT",Q1512="REVIEW"),"",INDEX('Category Rules'!$D$5:$D$17,MATCH(P1512,'Category Rules'!$A$5:$A$17,0)))</f>
        <v>4030</v>
      </c>
      <c r="S1512" t="str">
        <f>IF(Q1512="CONTEXT","Roofing",IF(Q1512="REVIEW","",INDEX('Category Rules'!$E$5:$E$17,MATCH(P1512,'Category Rules'!$A$5:$A$17,0))))</f>
        <v>Roofing</v>
      </c>
      <c r="T1512" t="str">
        <f>IF(Q1512="DEP","BAS Excluded","GST on Income")</f>
        <v>GST on Income</v>
      </c>
      <c r="U1512">
        <f>IF(O1512=T1512,1,0)</f>
        <v>1</v>
      </c>
      <c r="V1512" s="9">
        <f>IF(OR(M1512=0,U1512=1),0,IF(T1512="GST on Income",ROUND(K1512*0.1,2),ROUND(-K1512*0.1,2)))</f>
        <v>0</v>
      </c>
    </row>
    <row r="1513">
      <c r="A1513" t="inlineStr">
        <is>
          <t>INV-5539-3</t>
        </is>
      </c>
      <c r="B1513" t="inlineStr">
        <is>
          <t>INV-5539</t>
        </is>
      </c>
      <c r="C1513" s="11" t="n">
        <v>46062</v>
      </c>
      <c r="D1513" t="inlineStr">
        <is>
          <t>2026-02</t>
        </is>
      </c>
      <c r="E1513" t="inlineStr">
        <is>
          <t>C0063</t>
        </is>
      </c>
      <c r="F1513" t="inlineStr">
        <is>
          <t>C0063</t>
        </is>
      </c>
      <c r="G1513" t="inlineStr">
        <is>
          <t>Highpoint Insurance Repairs Pty Ltd</t>
        </is>
      </c>
      <c r="H1513" t="inlineStr">
        <is>
          <t>S0343</t>
        </is>
      </c>
      <c r="I1513" t="inlineStr">
        <is>
          <t>Materials - roof tiles (matched)</t>
        </is>
      </c>
      <c r="J1513" t="n">
        <v>1</v>
      </c>
      <c r="K1513" s="9" t="n">
        <v>963.99</v>
      </c>
      <c r="L1513" t="inlineStr">
        <is>
          <t>PAID</t>
        </is>
      </c>
      <c r="M1513">
        <f>IF(L1513="VOIDED",0,1)</f>
        <v>1</v>
      </c>
      <c r="N1513" t="n">
        <v>200</v>
      </c>
      <c r="O1513" t="inlineStr">
        <is>
          <t>GST on Income</t>
        </is>
      </c>
      <c r="P1513" t="inlineStr">
        <is>
          <t>R11</t>
        </is>
      </c>
      <c r="Q1513" t="inlineStr">
        <is>
          <t>MAT-RF</t>
        </is>
      </c>
      <c r="R1513">
        <f>IF(OR(Q1513="CONTEXT",Q1513="REVIEW"),"",INDEX('Category Rules'!$D$5:$D$17,MATCH(P1513,'Category Rules'!$A$5:$A$17,0)))</f>
        <v>4030</v>
      </c>
      <c r="S1513" t="str">
        <f>IF(Q1513="CONTEXT","Roofing",IF(Q1513="REVIEW","",INDEX('Category Rules'!$E$5:$E$17,MATCH(P1513,'Category Rules'!$A$5:$A$17,0))))</f>
        <v>Roofing</v>
      </c>
      <c r="T1513" t="str">
        <f>IF(Q1513="DEP","BAS Excluded","GST on Income")</f>
        <v>GST on Income</v>
      </c>
      <c r="U1513">
        <f>IF(O1513=T1513,1,0)</f>
        <v>1</v>
      </c>
      <c r="V1513" s="9">
        <f>IF(OR(M1513=0,U1513=1),0,IF(T1513="GST on Income",ROUND(K1513*0.1,2),ROUND(-K1513*0.1,2)))</f>
        <v>0</v>
      </c>
    </row>
    <row r="1514">
      <c r="A1514" t="inlineStr">
        <is>
          <t>INV-5539-4</t>
        </is>
      </c>
      <c r="B1514" t="inlineStr">
        <is>
          <t>INV-5539</t>
        </is>
      </c>
      <c r="C1514" s="11" t="n">
        <v>46062</v>
      </c>
      <c r="D1514" t="inlineStr">
        <is>
          <t>2026-02</t>
        </is>
      </c>
      <c r="E1514" t="inlineStr">
        <is>
          <t>C0063</t>
        </is>
      </c>
      <c r="F1514" t="inlineStr">
        <is>
          <t>C0063</t>
        </is>
      </c>
      <c r="G1514" t="inlineStr">
        <is>
          <t>Highpoint Insurance Repairs Pty Ltd</t>
        </is>
      </c>
      <c r="H1514" t="inlineStr">
        <is>
          <t>S0343</t>
        </is>
      </c>
      <c r="I1514" t="inlineStr">
        <is>
          <t>Materials - gutter and downpipe</t>
        </is>
      </c>
      <c r="J1514" t="n">
        <v>1</v>
      </c>
      <c r="K1514" s="9" t="n">
        <v>397.08</v>
      </c>
      <c r="L1514" t="inlineStr">
        <is>
          <t>PAID</t>
        </is>
      </c>
      <c r="M1514">
        <f>IF(L1514="VOIDED",0,1)</f>
        <v>1</v>
      </c>
      <c r="N1514" t="n">
        <v>200</v>
      </c>
      <c r="O1514" t="inlineStr">
        <is>
          <t>GST on Income</t>
        </is>
      </c>
      <c r="P1514" t="inlineStr">
        <is>
          <t>R11</t>
        </is>
      </c>
      <c r="Q1514" t="inlineStr">
        <is>
          <t>MAT-RF</t>
        </is>
      </c>
      <c r="R1514">
        <f>IF(OR(Q1514="CONTEXT",Q1514="REVIEW"),"",INDEX('Category Rules'!$D$5:$D$17,MATCH(P1514,'Category Rules'!$A$5:$A$17,0)))</f>
        <v>4030</v>
      </c>
      <c r="S1514" t="str">
        <f>IF(Q1514="CONTEXT","Roofing",IF(Q1514="REVIEW","",INDEX('Category Rules'!$E$5:$E$17,MATCH(P1514,'Category Rules'!$A$5:$A$17,0))))</f>
        <v>Roofing</v>
      </c>
      <c r="T1514" t="str">
        <f>IF(Q1514="DEP","BAS Excluded","GST on Income")</f>
        <v>GST on Income</v>
      </c>
      <c r="U1514">
        <f>IF(O1514=T1514,1,0)</f>
        <v>1</v>
      </c>
      <c r="V1514" s="9">
        <f>IF(OR(M1514=0,U1514=1),0,IF(T1514="GST on Income",ROUND(K1514*0.1,2),ROUND(-K1514*0.1,2)))</f>
        <v>0</v>
      </c>
    </row>
    <row r="1515">
      <c r="A1515" t="inlineStr">
        <is>
          <t>INV-5740-1</t>
        </is>
      </c>
      <c r="B1515" t="inlineStr">
        <is>
          <t>INV-5740</t>
        </is>
      </c>
      <c r="C1515" s="11" t="n">
        <v>46062</v>
      </c>
      <c r="D1515" t="inlineStr">
        <is>
          <t>2026-02</t>
        </is>
      </c>
      <c r="E1515" t="inlineStr">
        <is>
          <t>C0026</t>
        </is>
      </c>
      <c r="F1515" t="inlineStr">
        <is>
          <t>C0026</t>
        </is>
      </c>
      <c r="G1515" t="inlineStr">
        <is>
          <t>Juniper Constructions</t>
        </is>
      </c>
      <c r="H1515" t="inlineStr">
        <is>
          <t>S0455</t>
        </is>
      </c>
      <c r="I1515" t="inlineStr">
        <is>
          <t>Make safe call-out</t>
        </is>
      </c>
      <c r="J1515" t="n">
        <v>1</v>
      </c>
      <c r="K1515" s="9" t="n">
        <v>385</v>
      </c>
      <c r="L1515" t="inlineStr">
        <is>
          <t>PAID</t>
        </is>
      </c>
      <c r="M1515">
        <f>IF(L1515="VOIDED",0,1)</f>
        <v>1</v>
      </c>
      <c r="N1515" t="n">
        <v>200</v>
      </c>
      <c r="O1515" t="inlineStr">
        <is>
          <t>GST on Income</t>
        </is>
      </c>
      <c r="P1515" t="inlineStr">
        <is>
          <t>R09</t>
        </is>
      </c>
      <c r="Q1515" t="inlineStr">
        <is>
          <t>MS</t>
        </is>
      </c>
      <c r="R1515">
        <f>IF(OR(Q1515="CONTEXT",Q1515="REVIEW"),"",INDEX('Category Rules'!$D$5:$D$17,MATCH(P1515,'Category Rules'!$A$5:$A$17,0)))</f>
        <v>4020</v>
      </c>
      <c r="S1515" t="str">
        <f>IF(Q1515="CONTEXT","Make-safe",IF(Q1515="REVIEW","",INDEX('Category Rules'!$E$5:$E$17,MATCH(P1515,'Category Rules'!$A$5:$A$17,0))))</f>
        <v>Make-safe</v>
      </c>
      <c r="T1515" t="str">
        <f>IF(Q1515="DEP","BAS Excluded","GST on Income")</f>
        <v>GST on Income</v>
      </c>
      <c r="U1515">
        <f>IF(O1515=T1515,1,0)</f>
        <v>1</v>
      </c>
      <c r="V1515" s="9">
        <f>IF(OR(M1515=0,U1515=1),0,IF(T1515="GST on Income",ROUND(K1515*0.1,2),ROUND(-K1515*0.1,2)))</f>
        <v>0</v>
      </c>
    </row>
    <row r="1516">
      <c r="A1516" t="inlineStr">
        <is>
          <t>INV-4496-1</t>
        </is>
      </c>
      <c r="B1516" t="inlineStr">
        <is>
          <t>INV-4496</t>
        </is>
      </c>
      <c r="C1516" s="11" t="n">
        <v>46063</v>
      </c>
      <c r="D1516" t="inlineStr">
        <is>
          <t>2026-02</t>
        </is>
      </c>
      <c r="E1516" t="inlineStr">
        <is>
          <t>C0070</t>
        </is>
      </c>
      <c r="F1516" t="inlineStr">
        <is>
          <t>C0070</t>
        </is>
      </c>
      <c r="G1516" t="inlineStr">
        <is>
          <t>Banyule City Council</t>
        </is>
      </c>
      <c r="H1516" t="inlineStr">
        <is>
          <t>S0082</t>
        </is>
      </c>
      <c r="I1516" t="inlineStr">
        <is>
          <t>Temporary fence hire 4 wks (13/01/26-09/02/26) - 158 panels</t>
        </is>
      </c>
      <c r="J1516" t="n">
        <v>632</v>
      </c>
      <c r="K1516" s="9" t="n">
        <v>2844</v>
      </c>
      <c r="L1516" t="inlineStr">
        <is>
          <t>PAID</t>
        </is>
      </c>
      <c r="M1516">
        <f>IF(L1516="VOIDED",0,1)</f>
        <v>1</v>
      </c>
      <c r="N1516" t="n">
        <v>200</v>
      </c>
      <c r="O1516" t="inlineStr">
        <is>
          <t>GST on Income</t>
        </is>
      </c>
      <c r="P1516" t="inlineStr">
        <is>
          <t>R03</t>
        </is>
      </c>
      <c r="Q1516" t="inlineStr">
        <is>
          <t>HIRE-FP</t>
        </is>
      </c>
      <c r="R1516">
        <f>IF(OR(Q1516="CONTEXT",Q1516="REVIEW"),"",INDEX('Category Rules'!$D$5:$D$17,MATCH(P1516,'Category Rules'!$A$5:$A$17,0)))</f>
        <v>4010</v>
      </c>
      <c r="S1516" t="str">
        <f>IF(Q1516="CONTEXT","Fencing",IF(Q1516="REVIEW","",INDEX('Category Rules'!$E$5:$E$17,MATCH(P1516,'Category Rules'!$A$5:$A$17,0))))</f>
        <v>Fencing</v>
      </c>
      <c r="T1516" t="str">
        <f>IF(Q1516="DEP","BAS Excluded","GST on Income")</f>
        <v>GST on Income</v>
      </c>
      <c r="U1516">
        <f>IF(O1516=T1516,1,0)</f>
        <v>1</v>
      </c>
      <c r="V1516" s="9">
        <f>IF(OR(M1516=0,U1516=1),0,IF(T1516="GST on Income",ROUND(K1516*0.1,2),ROUND(-K1516*0.1,2)))</f>
        <v>0</v>
      </c>
    </row>
    <row r="1517">
      <c r="A1517" t="inlineStr">
        <is>
          <t>INV-4956-1</t>
        </is>
      </c>
      <c r="B1517" t="inlineStr">
        <is>
          <t>INV-4956</t>
        </is>
      </c>
      <c r="C1517" s="11" t="n">
        <v>46063</v>
      </c>
      <c r="D1517" t="inlineStr">
        <is>
          <t>2026-02</t>
        </is>
      </c>
      <c r="E1517" t="inlineStr">
        <is>
          <t>C0022</t>
        </is>
      </c>
      <c r="F1517" t="inlineStr">
        <is>
          <t>C0022</t>
        </is>
      </c>
      <c r="G1517" t="inlineStr">
        <is>
          <t>Highpoint Projects</t>
        </is>
      </c>
      <c r="H1517" t="inlineStr">
        <is>
          <t>S0182</t>
        </is>
      </c>
      <c r="I1517" t="inlineStr">
        <is>
          <t>Temporary fence hire 4 wks (13/01/26-09/02/26) - 111 panels</t>
        </is>
      </c>
      <c r="J1517" t="n">
        <v>444</v>
      </c>
      <c r="K1517" s="9" t="n">
        <v>1998</v>
      </c>
      <c r="L1517" t="inlineStr">
        <is>
          <t>PAID</t>
        </is>
      </c>
      <c r="M1517">
        <f>IF(L1517="VOIDED",0,1)</f>
        <v>1</v>
      </c>
      <c r="N1517" t="n">
        <v>200</v>
      </c>
      <c r="O1517" t="inlineStr">
        <is>
          <t>GST on Income</t>
        </is>
      </c>
      <c r="P1517" t="inlineStr">
        <is>
          <t>R03</t>
        </is>
      </c>
      <c r="Q1517" t="inlineStr">
        <is>
          <t>HIRE-FP</t>
        </is>
      </c>
      <c r="R1517">
        <f>IF(OR(Q1517="CONTEXT",Q1517="REVIEW"),"",INDEX('Category Rules'!$D$5:$D$17,MATCH(P1517,'Category Rules'!$A$5:$A$17,0)))</f>
        <v>4010</v>
      </c>
      <c r="S1517" t="str">
        <f>IF(Q1517="CONTEXT","Fencing",IF(Q1517="REVIEW","",INDEX('Category Rules'!$E$5:$E$17,MATCH(P1517,'Category Rules'!$A$5:$A$17,0))))</f>
        <v>Fencing</v>
      </c>
      <c r="T1517" t="str">
        <f>IF(Q1517="DEP","BAS Excluded","GST on Income")</f>
        <v>GST on Income</v>
      </c>
      <c r="U1517">
        <f>IF(O1517=T1517,1,0)</f>
        <v>1</v>
      </c>
      <c r="V1517" s="9">
        <f>IF(OR(M1517=0,U1517=1),0,IF(T1517="GST on Income",ROUND(K1517*0.1,2),ROUND(-K1517*0.1,2)))</f>
        <v>0</v>
      </c>
    </row>
    <row r="1518">
      <c r="A1518" t="inlineStr">
        <is>
          <t>INV-5012-1</t>
        </is>
      </c>
      <c r="B1518" t="inlineStr">
        <is>
          <t>INV-5012</t>
        </is>
      </c>
      <c r="C1518" s="11" t="n">
        <v>46063</v>
      </c>
      <c r="D1518" t="inlineStr">
        <is>
          <t>2026-02</t>
        </is>
      </c>
      <c r="E1518" t="inlineStr">
        <is>
          <t>C0024</t>
        </is>
      </c>
      <c r="F1518" t="inlineStr">
        <is>
          <t>C0024</t>
        </is>
      </c>
      <c r="G1518" t="inlineStr">
        <is>
          <t>Parkview Homes Pty Ltd</t>
        </is>
      </c>
      <c r="H1518" t="inlineStr">
        <is>
          <t>S0197</t>
        </is>
      </c>
      <c r="I1518" t="inlineStr">
        <is>
          <t>Temporary fence hire 4 wks (13/01/26-09/02/26) - 112 panels</t>
        </is>
      </c>
      <c r="J1518" t="n">
        <v>448</v>
      </c>
      <c r="K1518" s="9" t="n">
        <v>2016</v>
      </c>
      <c r="L1518" t="inlineStr">
        <is>
          <t>PAID</t>
        </is>
      </c>
      <c r="M1518">
        <f>IF(L1518="VOIDED",0,1)</f>
        <v>1</v>
      </c>
      <c r="N1518" t="n">
        <v>200</v>
      </c>
      <c r="O1518" t="inlineStr">
        <is>
          <t>GST on Income</t>
        </is>
      </c>
      <c r="P1518" t="inlineStr">
        <is>
          <t>R03</t>
        </is>
      </c>
      <c r="Q1518" t="inlineStr">
        <is>
          <t>HIRE-FP</t>
        </is>
      </c>
      <c r="R1518">
        <f>IF(OR(Q1518="CONTEXT",Q1518="REVIEW"),"",INDEX('Category Rules'!$D$5:$D$17,MATCH(P1518,'Category Rules'!$A$5:$A$17,0)))</f>
        <v>4010</v>
      </c>
      <c r="S1518" t="str">
        <f>IF(Q1518="CONTEXT","Fencing",IF(Q1518="REVIEW","",INDEX('Category Rules'!$E$5:$E$17,MATCH(P1518,'Category Rules'!$A$5:$A$17,0))))</f>
        <v>Fencing</v>
      </c>
      <c r="T1518" t="str">
        <f>IF(Q1518="DEP","BAS Excluded","GST on Income")</f>
        <v>GST on Income</v>
      </c>
      <c r="U1518">
        <f>IF(O1518=T1518,1,0)</f>
        <v>1</v>
      </c>
      <c r="V1518" s="9">
        <f>IF(OR(M1518=0,U1518=1),0,IF(T1518="GST on Income",ROUND(K1518*0.1,2),ROUND(-K1518*0.1,2)))</f>
        <v>0</v>
      </c>
    </row>
    <row r="1519">
      <c r="A1519" t="inlineStr">
        <is>
          <t>INV-5015-1</t>
        </is>
      </c>
      <c r="B1519" t="inlineStr">
        <is>
          <t>INV-5015</t>
        </is>
      </c>
      <c r="C1519" s="11" t="n">
        <v>46063</v>
      </c>
      <c r="D1519" t="inlineStr">
        <is>
          <t>2026-02</t>
        </is>
      </c>
      <c r="E1519" t="inlineStr">
        <is>
          <t>C0024</t>
        </is>
      </c>
      <c r="F1519" t="inlineStr">
        <is>
          <t>C0024</t>
        </is>
      </c>
      <c r="G1519" t="inlineStr">
        <is>
          <t>Parkview Homes Pty Ltd</t>
        </is>
      </c>
      <c r="H1519" t="inlineStr">
        <is>
          <t>S0197</t>
        </is>
      </c>
      <c r="I1519" t="inlineStr">
        <is>
          <t>Pedestrian barrier hire 4 wks (13/01/26-09/02/26) - 4 barriers</t>
        </is>
      </c>
      <c r="J1519" t="n">
        <v>16</v>
      </c>
      <c r="K1519" s="9" t="n">
        <v>51.2</v>
      </c>
      <c r="L1519" t="inlineStr">
        <is>
          <t>PAID</t>
        </is>
      </c>
      <c r="M1519">
        <f>IF(L1519="VOIDED",0,1)</f>
        <v>1</v>
      </c>
      <c r="N1519" t="n">
        <v>200</v>
      </c>
      <c r="O1519" t="inlineStr">
        <is>
          <t>GST on Income</t>
        </is>
      </c>
      <c r="P1519" t="inlineStr">
        <is>
          <t>R04</t>
        </is>
      </c>
      <c r="Q1519" t="inlineStr">
        <is>
          <t>HIRE-BR</t>
        </is>
      </c>
      <c r="R1519">
        <f>IF(OR(Q1519="CONTEXT",Q1519="REVIEW"),"",INDEX('Category Rules'!$D$5:$D$17,MATCH(P1519,'Category Rules'!$A$5:$A$17,0)))</f>
        <v>4010</v>
      </c>
      <c r="S1519" t="str">
        <f>IF(Q1519="CONTEXT","Fencing",IF(Q1519="REVIEW","",INDEX('Category Rules'!$E$5:$E$17,MATCH(P1519,'Category Rules'!$A$5:$A$17,0))))</f>
        <v>Fencing</v>
      </c>
      <c r="T1519" t="str">
        <f>IF(Q1519="DEP","BAS Excluded","GST on Income")</f>
        <v>GST on Income</v>
      </c>
      <c r="U1519">
        <f>IF(O1519=T1519,1,0)</f>
        <v>1</v>
      </c>
      <c r="V1519" s="9">
        <f>IF(OR(M1519=0,U1519=1),0,IF(T1519="GST on Income",ROUND(K1519*0.1,2),ROUND(-K1519*0.1,2)))</f>
        <v>0</v>
      </c>
    </row>
    <row r="1520">
      <c r="A1520" t="inlineStr">
        <is>
          <t>INV-5073-1</t>
        </is>
      </c>
      <c r="B1520" t="inlineStr">
        <is>
          <t>INV-5073</t>
        </is>
      </c>
      <c r="C1520" s="11" t="n">
        <v>46063</v>
      </c>
      <c r="D1520" t="inlineStr">
        <is>
          <t>2026-02</t>
        </is>
      </c>
      <c r="E1520" t="inlineStr">
        <is>
          <t>C0054</t>
        </is>
      </c>
      <c r="F1520" t="inlineStr">
        <is>
          <t>C0054</t>
        </is>
      </c>
      <c r="G1520" t="inlineStr">
        <is>
          <t>Westside Strata Management Pty Ltd</t>
        </is>
      </c>
      <c r="H1520" t="inlineStr">
        <is>
          <t>S0208</t>
        </is>
      </c>
      <c r="I1520" t="inlineStr">
        <is>
          <t>Delivery and installation - temporary fencing</t>
        </is>
      </c>
      <c r="J1520" t="n">
        <v>1</v>
      </c>
      <c r="K1520" s="9" t="n">
        <v>165</v>
      </c>
      <c r="L1520" t="inlineStr">
        <is>
          <t>PAID</t>
        </is>
      </c>
      <c r="M1520">
        <f>IF(L1520="VOIDED",0,1)</f>
        <v>1</v>
      </c>
      <c r="N1520" t="n">
        <v>200</v>
      </c>
      <c r="O1520" t="inlineStr">
        <is>
          <t>GST on Income</t>
        </is>
      </c>
      <c r="P1520" t="inlineStr">
        <is>
          <t>R07</t>
        </is>
      </c>
      <c r="Q1520" t="inlineStr">
        <is>
          <t>DEL-FP</t>
        </is>
      </c>
      <c r="R1520">
        <f>IF(OR(Q1520="CONTEXT",Q1520="REVIEW"),"",INDEX('Category Rules'!$D$5:$D$17,MATCH(P1520,'Category Rules'!$A$5:$A$17,0)))</f>
        <v>4020</v>
      </c>
      <c r="S1520" t="str">
        <f>IF(Q1520="CONTEXT","Fencing",IF(Q1520="REVIEW","",INDEX('Category Rules'!$E$5:$E$17,MATCH(P1520,'Category Rules'!$A$5:$A$17,0))))</f>
        <v>Fencing</v>
      </c>
      <c r="T1520" t="str">
        <f>IF(Q1520="DEP","BAS Excluded","GST on Income")</f>
        <v>GST on Income</v>
      </c>
      <c r="U1520">
        <f>IF(O1520=T1520,1,0)</f>
        <v>1</v>
      </c>
      <c r="V1520" s="9">
        <f>IF(OR(M1520=0,U1520=1),0,IF(T1520="GST on Income",ROUND(K1520*0.1,2),ROUND(-K1520*0.1,2)))</f>
        <v>0</v>
      </c>
    </row>
    <row r="1521">
      <c r="A1521" t="inlineStr">
        <is>
          <t>INV-5073-2</t>
        </is>
      </c>
      <c r="B1521" t="inlineStr">
        <is>
          <t>INV-5073</t>
        </is>
      </c>
      <c r="C1521" s="11" t="n">
        <v>46063</v>
      </c>
      <c r="D1521" t="inlineStr">
        <is>
          <t>2026-02</t>
        </is>
      </c>
      <c r="E1521" t="inlineStr">
        <is>
          <t>C0054</t>
        </is>
      </c>
      <c r="F1521" t="inlineStr">
        <is>
          <t>C0054</t>
        </is>
      </c>
      <c r="G1521" t="inlineStr">
        <is>
          <t>Westside Strata Management Pty Ltd</t>
        </is>
      </c>
      <c r="H1521" t="inlineStr">
        <is>
          <t>S0208</t>
        </is>
      </c>
      <c r="I1521" t="inlineStr">
        <is>
          <t>Installation labour - 72 panels @ 2.20</t>
        </is>
      </c>
      <c r="J1521" t="n">
        <v>72</v>
      </c>
      <c r="K1521" s="9" t="n">
        <v>158.4</v>
      </c>
      <c r="L1521" t="inlineStr">
        <is>
          <t>PAID</t>
        </is>
      </c>
      <c r="M1521">
        <f>IF(L1521="VOIDED",0,1)</f>
        <v>1</v>
      </c>
      <c r="N1521" t="n">
        <v>200</v>
      </c>
      <c r="O1521" t="inlineStr">
        <is>
          <t>GST on Income</t>
        </is>
      </c>
      <c r="P1521" t="inlineStr">
        <is>
          <t>R07</t>
        </is>
      </c>
      <c r="Q1521" t="inlineStr">
        <is>
          <t>DEL-FP</t>
        </is>
      </c>
      <c r="R1521">
        <f>IF(OR(Q1521="CONTEXT",Q1521="REVIEW"),"",INDEX('Category Rules'!$D$5:$D$17,MATCH(P1521,'Category Rules'!$A$5:$A$17,0)))</f>
        <v>4020</v>
      </c>
      <c r="S1521" t="str">
        <f>IF(Q1521="CONTEXT","Fencing",IF(Q1521="REVIEW","",INDEX('Category Rules'!$E$5:$E$17,MATCH(P1521,'Category Rules'!$A$5:$A$17,0))))</f>
        <v>Fencing</v>
      </c>
      <c r="T1521" t="str">
        <f>IF(Q1521="DEP","BAS Excluded","GST on Income")</f>
        <v>GST on Income</v>
      </c>
      <c r="U1521">
        <f>IF(O1521=T1521,1,0)</f>
        <v>1</v>
      </c>
      <c r="V1521" s="9">
        <f>IF(OR(M1521=0,U1521=1),0,IF(T1521="GST on Income",ROUND(K1521*0.1,2),ROUND(-K1521*0.1,2)))</f>
        <v>0</v>
      </c>
    </row>
    <row r="1522">
      <c r="A1522" t="inlineStr">
        <is>
          <t>INV-5129-1</t>
        </is>
      </c>
      <c r="B1522" t="inlineStr">
        <is>
          <t>INV-5129</t>
        </is>
      </c>
      <c r="C1522" s="11" t="n">
        <v>46063</v>
      </c>
      <c r="D1522" t="inlineStr">
        <is>
          <t>2026-02</t>
        </is>
      </c>
      <c r="E1522" t="inlineStr">
        <is>
          <t>C0098</t>
        </is>
      </c>
      <c r="F1522" t="inlineStr">
        <is>
          <t>C0098</t>
        </is>
      </c>
      <c r="G1522" t="inlineStr">
        <is>
          <t>Ethan Walker</t>
        </is>
      </c>
      <c r="H1522" t="inlineStr">
        <is>
          <t>S0220</t>
        </is>
      </c>
      <c r="I1522" t="inlineStr">
        <is>
          <t>Temporary fence hire 4 wks (13/01/26-09/02/26) - 114 panels</t>
        </is>
      </c>
      <c r="J1522" t="n">
        <v>456</v>
      </c>
      <c r="K1522" s="9" t="n">
        <v>2052</v>
      </c>
      <c r="L1522" t="inlineStr">
        <is>
          <t>PAID</t>
        </is>
      </c>
      <c r="M1522">
        <f>IF(L1522="VOIDED",0,1)</f>
        <v>1</v>
      </c>
      <c r="N1522" t="n">
        <v>200</v>
      </c>
      <c r="O1522" t="inlineStr">
        <is>
          <t>GST on Income</t>
        </is>
      </c>
      <c r="P1522" t="inlineStr">
        <is>
          <t>R03</t>
        </is>
      </c>
      <c r="Q1522" t="inlineStr">
        <is>
          <t>HIRE-FP</t>
        </is>
      </c>
      <c r="R1522">
        <f>IF(OR(Q1522="CONTEXT",Q1522="REVIEW"),"",INDEX('Category Rules'!$D$5:$D$17,MATCH(P1522,'Category Rules'!$A$5:$A$17,0)))</f>
        <v>4010</v>
      </c>
      <c r="S1522" t="str">
        <f>IF(Q1522="CONTEXT","Fencing",IF(Q1522="REVIEW","",INDEX('Category Rules'!$E$5:$E$17,MATCH(P1522,'Category Rules'!$A$5:$A$17,0))))</f>
        <v>Fencing</v>
      </c>
      <c r="T1522" t="str">
        <f>IF(Q1522="DEP","BAS Excluded","GST on Income")</f>
        <v>GST on Income</v>
      </c>
      <c r="U1522">
        <f>IF(O1522=T1522,1,0)</f>
        <v>1</v>
      </c>
      <c r="V1522" s="9">
        <f>IF(OR(M1522=0,U1522=1),0,IF(T1522="GST on Income",ROUND(K1522*0.1,2),ROUND(-K1522*0.1,2)))</f>
        <v>0</v>
      </c>
    </row>
    <row r="1523">
      <c r="A1523" t="inlineStr">
        <is>
          <t>INV-5806-1</t>
        </is>
      </c>
      <c r="B1523" t="inlineStr">
        <is>
          <t>INV-5806</t>
        </is>
      </c>
      <c r="C1523" s="11" t="n">
        <v>46063</v>
      </c>
      <c r="D1523" t="inlineStr">
        <is>
          <t>2026-02</t>
        </is>
      </c>
      <c r="E1523" t="inlineStr">
        <is>
          <t>C0147</t>
        </is>
      </c>
      <c r="F1523" t="inlineStr">
        <is>
          <t>C0067</t>
        </is>
      </c>
      <c r="G1523" t="inlineStr">
        <is>
          <t>Banksia Claims Services Pty Ltd</t>
        </is>
      </c>
      <c r="H1523" t="inlineStr">
        <is>
          <t>S0493</t>
        </is>
      </c>
      <c r="I1523" t="inlineStr">
        <is>
          <t>Tarp kit hire 3 wks (26/01/26-09/02/26) - 1 kits</t>
        </is>
      </c>
      <c r="J1523" t="n">
        <v>3</v>
      </c>
      <c r="K1523" s="9" t="n">
        <v>105</v>
      </c>
      <c r="L1523" t="inlineStr">
        <is>
          <t>PAID</t>
        </is>
      </c>
      <c r="M1523">
        <f>IF(L1523="VOIDED",0,1)</f>
        <v>1</v>
      </c>
      <c r="N1523" t="n">
        <v>200</v>
      </c>
      <c r="O1523" t="inlineStr">
        <is>
          <t>GST on Income</t>
        </is>
      </c>
      <c r="P1523" t="inlineStr">
        <is>
          <t>R06</t>
        </is>
      </c>
      <c r="Q1523" t="inlineStr">
        <is>
          <t>HIRE-TK</t>
        </is>
      </c>
      <c r="R1523">
        <f>IF(OR(Q1523="CONTEXT",Q1523="REVIEW"),"",INDEX('Category Rules'!$D$5:$D$17,MATCH(P1523,'Category Rules'!$A$5:$A$17,0)))</f>
        <v>4010</v>
      </c>
      <c r="S1523" t="str">
        <f>IF(Q1523="CONTEXT","Make-safe",IF(Q1523="REVIEW","",INDEX('Category Rules'!$E$5:$E$17,MATCH(P1523,'Category Rules'!$A$5:$A$17,0))))</f>
        <v>Make-safe</v>
      </c>
      <c r="T1523" t="str">
        <f>IF(Q1523="DEP","BAS Excluded","GST on Income")</f>
        <v>GST on Income</v>
      </c>
      <c r="U1523">
        <f>IF(O1523=T1523,1,0)</f>
        <v>1</v>
      </c>
      <c r="V1523" s="9">
        <f>IF(OR(M1523=0,U1523=1),0,IF(T1523="GST on Income",ROUND(K1523*0.1,2),ROUND(-K1523*0.1,2)))</f>
        <v>0</v>
      </c>
    </row>
    <row r="1524">
      <c r="A1524" t="inlineStr">
        <is>
          <t>INV-4105-1</t>
        </is>
      </c>
      <c r="B1524" t="inlineStr">
        <is>
          <t>INV-4105</t>
        </is>
      </c>
      <c r="C1524" s="11" t="n">
        <v>46064</v>
      </c>
      <c r="D1524" t="inlineStr">
        <is>
          <t>2026-02</t>
        </is>
      </c>
      <c r="E1524" t="inlineStr">
        <is>
          <t>C0120</t>
        </is>
      </c>
      <c r="F1524" t="inlineStr">
        <is>
          <t>C0120</t>
        </is>
      </c>
      <c r="G1524" t="inlineStr">
        <is>
          <t>Northgate Building Group</t>
        </is>
      </c>
      <c r="H1524" t="inlineStr">
        <is>
          <t>S0001</t>
        </is>
      </c>
      <c r="I1524" t="inlineStr">
        <is>
          <t>Temporary fence hire 4 wks (14/01/26-10/02/26) - 101 panels</t>
        </is>
      </c>
      <c r="J1524" t="n">
        <v>404</v>
      </c>
      <c r="K1524" s="9" t="n">
        <v>1818</v>
      </c>
      <c r="L1524" t="inlineStr">
        <is>
          <t>PAID</t>
        </is>
      </c>
      <c r="M1524">
        <f>IF(L1524="VOIDED",0,1)</f>
        <v>1</v>
      </c>
      <c r="N1524" t="n">
        <v>200</v>
      </c>
      <c r="O1524" t="inlineStr">
        <is>
          <t>GST on Income</t>
        </is>
      </c>
      <c r="P1524" t="inlineStr">
        <is>
          <t>R03</t>
        </is>
      </c>
      <c r="Q1524" t="inlineStr">
        <is>
          <t>HIRE-FP</t>
        </is>
      </c>
      <c r="R1524">
        <f>IF(OR(Q1524="CONTEXT",Q1524="REVIEW"),"",INDEX('Category Rules'!$D$5:$D$17,MATCH(P1524,'Category Rules'!$A$5:$A$17,0)))</f>
        <v>4010</v>
      </c>
      <c r="S1524" t="str">
        <f>IF(Q1524="CONTEXT","Fencing",IF(Q1524="REVIEW","",INDEX('Category Rules'!$E$5:$E$17,MATCH(P1524,'Category Rules'!$A$5:$A$17,0))))</f>
        <v>Fencing</v>
      </c>
      <c r="T1524" t="str">
        <f>IF(Q1524="DEP","BAS Excluded","GST on Income")</f>
        <v>GST on Income</v>
      </c>
      <c r="U1524">
        <f>IF(O1524=T1524,1,0)</f>
        <v>1</v>
      </c>
      <c r="V1524" s="9">
        <f>IF(OR(M1524=0,U1524=1),0,IF(T1524="GST on Income",ROUND(K1524*0.1,2),ROUND(-K1524*0.1,2)))</f>
        <v>0</v>
      </c>
    </row>
    <row r="1525">
      <c r="A1525" t="inlineStr">
        <is>
          <t>INV-4160-1</t>
        </is>
      </c>
      <c r="B1525" t="inlineStr">
        <is>
          <t>INV-4160</t>
        </is>
      </c>
      <c r="C1525" s="11" t="n">
        <v>46064</v>
      </c>
      <c r="D1525" t="inlineStr">
        <is>
          <t>2026-02</t>
        </is>
      </c>
      <c r="E1525" t="inlineStr">
        <is>
          <t>C0015</t>
        </is>
      </c>
      <c r="F1525" t="inlineStr">
        <is>
          <t>C0015</t>
        </is>
      </c>
      <c r="G1525" t="inlineStr">
        <is>
          <t>Bluegum Building Group</t>
        </is>
      </c>
      <c r="H1525" t="inlineStr">
        <is>
          <t>S0011</t>
        </is>
      </c>
      <c r="I1525" t="inlineStr">
        <is>
          <t>Temporary fence hire 4 wks (14/01/26-10/02/26) - 96 panels</t>
        </is>
      </c>
      <c r="J1525" t="n">
        <v>384</v>
      </c>
      <c r="K1525" s="9" t="n">
        <v>1728</v>
      </c>
      <c r="L1525" t="inlineStr">
        <is>
          <t>PAID</t>
        </is>
      </c>
      <c r="M1525">
        <f>IF(L1525="VOIDED",0,1)</f>
        <v>1</v>
      </c>
      <c r="N1525" t="n">
        <v>200</v>
      </c>
      <c r="O1525" t="inlineStr">
        <is>
          <t>GST on Income</t>
        </is>
      </c>
      <c r="P1525" t="inlineStr">
        <is>
          <t>R03</t>
        </is>
      </c>
      <c r="Q1525" t="inlineStr">
        <is>
          <t>HIRE-FP</t>
        </is>
      </c>
      <c r="R1525">
        <f>IF(OR(Q1525="CONTEXT",Q1525="REVIEW"),"",INDEX('Category Rules'!$D$5:$D$17,MATCH(P1525,'Category Rules'!$A$5:$A$17,0)))</f>
        <v>4010</v>
      </c>
      <c r="S1525" t="str">
        <f>IF(Q1525="CONTEXT","Fencing",IF(Q1525="REVIEW","",INDEX('Category Rules'!$E$5:$E$17,MATCH(P1525,'Category Rules'!$A$5:$A$17,0))))</f>
        <v>Fencing</v>
      </c>
      <c r="T1525" t="str">
        <f>IF(Q1525="DEP","BAS Excluded","GST on Income")</f>
        <v>GST on Income</v>
      </c>
      <c r="U1525">
        <f>IF(O1525=T1525,1,0)</f>
        <v>1</v>
      </c>
      <c r="V1525" s="9">
        <f>IF(OR(M1525=0,U1525=1),0,IF(T1525="GST on Income",ROUND(K1525*0.1,2),ROUND(-K1525*0.1,2)))</f>
        <v>0</v>
      </c>
    </row>
    <row r="1526">
      <c r="A1526" t="inlineStr">
        <is>
          <t>INV-4508-1</t>
        </is>
      </c>
      <c r="B1526" t="inlineStr">
        <is>
          <t>INV-4508</t>
        </is>
      </c>
      <c r="C1526" s="11" t="n">
        <v>46064</v>
      </c>
      <c r="D1526" t="inlineStr">
        <is>
          <t>2026-02</t>
        </is>
      </c>
      <c r="E1526" t="inlineStr">
        <is>
          <t>C0004</t>
        </is>
      </c>
      <c r="F1526" t="inlineStr">
        <is>
          <t>C0004</t>
        </is>
      </c>
      <c r="G1526" t="inlineStr">
        <is>
          <t>Lakeside Builders Pty Ltd</t>
        </is>
      </c>
      <c r="H1526" t="inlineStr">
        <is>
          <t>S0084</t>
        </is>
      </c>
      <c r="I1526" t="inlineStr">
        <is>
          <t>Delivery and installation - temporary fencing</t>
        </is>
      </c>
      <c r="J1526" t="n">
        <v>1</v>
      </c>
      <c r="K1526" s="9" t="n">
        <v>165</v>
      </c>
      <c r="L1526" t="inlineStr">
        <is>
          <t>PAID</t>
        </is>
      </c>
      <c r="M1526">
        <f>IF(L1526="VOIDED",0,1)</f>
        <v>1</v>
      </c>
      <c r="N1526" t="n">
        <v>200</v>
      </c>
      <c r="O1526" t="inlineStr">
        <is>
          <t>GST on Income</t>
        </is>
      </c>
      <c r="P1526" t="inlineStr">
        <is>
          <t>R07</t>
        </is>
      </c>
      <c r="Q1526" t="inlineStr">
        <is>
          <t>DEL-FP</t>
        </is>
      </c>
      <c r="R1526">
        <f>IF(OR(Q1526="CONTEXT",Q1526="REVIEW"),"",INDEX('Category Rules'!$D$5:$D$17,MATCH(P1526,'Category Rules'!$A$5:$A$17,0)))</f>
        <v>4020</v>
      </c>
      <c r="S1526" t="str">
        <f>IF(Q1526="CONTEXT","Fencing",IF(Q1526="REVIEW","",INDEX('Category Rules'!$E$5:$E$17,MATCH(P1526,'Category Rules'!$A$5:$A$17,0))))</f>
        <v>Fencing</v>
      </c>
      <c r="T1526" t="str">
        <f>IF(Q1526="DEP","BAS Excluded","GST on Income")</f>
        <v>GST on Income</v>
      </c>
      <c r="U1526">
        <f>IF(O1526=T1526,1,0)</f>
        <v>1</v>
      </c>
      <c r="V1526" s="9">
        <f>IF(OR(M1526=0,U1526=1),0,IF(T1526="GST on Income",ROUND(K1526*0.1,2),ROUND(-K1526*0.1,2)))</f>
        <v>0</v>
      </c>
    </row>
    <row r="1527">
      <c r="A1527" t="inlineStr">
        <is>
          <t>INV-4508-2</t>
        </is>
      </c>
      <c r="B1527" t="inlineStr">
        <is>
          <t>INV-4508</t>
        </is>
      </c>
      <c r="C1527" s="11" t="n">
        <v>46064</v>
      </c>
      <c r="D1527" t="inlineStr">
        <is>
          <t>2026-02</t>
        </is>
      </c>
      <c r="E1527" t="inlineStr">
        <is>
          <t>C0004</t>
        </is>
      </c>
      <c r="F1527" t="inlineStr">
        <is>
          <t>C0004</t>
        </is>
      </c>
      <c r="G1527" t="inlineStr">
        <is>
          <t>Lakeside Builders Pty Ltd</t>
        </is>
      </c>
      <c r="H1527" t="inlineStr">
        <is>
          <t>S0084</t>
        </is>
      </c>
      <c r="I1527" t="inlineStr">
        <is>
          <t>Installation labour - 18 panels @ 2.20</t>
        </is>
      </c>
      <c r="J1527" t="n">
        <v>18</v>
      </c>
      <c r="K1527" s="9" t="n">
        <v>39.6</v>
      </c>
      <c r="L1527" t="inlineStr">
        <is>
          <t>PAID</t>
        </is>
      </c>
      <c r="M1527">
        <f>IF(L1527="VOIDED",0,1)</f>
        <v>1</v>
      </c>
      <c r="N1527" t="n">
        <v>200</v>
      </c>
      <c r="O1527" t="inlineStr">
        <is>
          <t>GST on Income</t>
        </is>
      </c>
      <c r="P1527" t="inlineStr">
        <is>
          <t>R07</t>
        </is>
      </c>
      <c r="Q1527" t="inlineStr">
        <is>
          <t>DEL-FP</t>
        </is>
      </c>
      <c r="R1527">
        <f>IF(OR(Q1527="CONTEXT",Q1527="REVIEW"),"",INDEX('Category Rules'!$D$5:$D$17,MATCH(P1527,'Category Rules'!$A$5:$A$17,0)))</f>
        <v>4020</v>
      </c>
      <c r="S1527" t="str">
        <f>IF(Q1527="CONTEXT","Fencing",IF(Q1527="REVIEW","",INDEX('Category Rules'!$E$5:$E$17,MATCH(P1527,'Category Rules'!$A$5:$A$17,0))))</f>
        <v>Fencing</v>
      </c>
      <c r="T1527" t="str">
        <f>IF(Q1527="DEP","BAS Excluded","GST on Income")</f>
        <v>GST on Income</v>
      </c>
      <c r="U1527">
        <f>IF(O1527=T1527,1,0)</f>
        <v>1</v>
      </c>
      <c r="V1527" s="9">
        <f>IF(OR(M1527=0,U1527=1),0,IF(T1527="GST on Income",ROUND(K1527*0.1,2),ROUND(-K1527*0.1,2)))</f>
        <v>0</v>
      </c>
    </row>
    <row r="1528">
      <c r="A1528" t="inlineStr">
        <is>
          <t>INV-5636-1</t>
        </is>
      </c>
      <c r="B1528" t="inlineStr">
        <is>
          <t>INV-5636</t>
        </is>
      </c>
      <c r="C1528" s="11" t="n">
        <v>46064</v>
      </c>
      <c r="D1528" t="inlineStr">
        <is>
          <t>2026-02</t>
        </is>
      </c>
      <c r="E1528" t="inlineStr">
        <is>
          <t>C0059</t>
        </is>
      </c>
      <c r="F1528" t="inlineStr">
        <is>
          <t>C0059</t>
        </is>
      </c>
      <c r="G1528" t="inlineStr">
        <is>
          <t>Silverleaf Insurance Repairs Pty Ltd</t>
        </is>
      </c>
      <c r="H1528" t="inlineStr">
        <is>
          <t>S0399</t>
        </is>
      </c>
      <c r="I1528" t="inlineStr">
        <is>
          <t>Tarp kit hire 3 wks (27/01/26-10/02/26) - 3 kits</t>
        </is>
      </c>
      <c r="J1528" t="n">
        <v>9</v>
      </c>
      <c r="K1528" s="9" t="n">
        <v>315</v>
      </c>
      <c r="L1528" t="inlineStr">
        <is>
          <t>PAID</t>
        </is>
      </c>
      <c r="M1528">
        <f>IF(L1528="VOIDED",0,1)</f>
        <v>1</v>
      </c>
      <c r="N1528" t="n">
        <v>200</v>
      </c>
      <c r="O1528" t="inlineStr">
        <is>
          <t>GST on Income</t>
        </is>
      </c>
      <c r="P1528" t="inlineStr">
        <is>
          <t>R06</t>
        </is>
      </c>
      <c r="Q1528" t="inlineStr">
        <is>
          <t>HIRE-TK</t>
        </is>
      </c>
      <c r="R1528">
        <f>IF(OR(Q1528="CONTEXT",Q1528="REVIEW"),"",INDEX('Category Rules'!$D$5:$D$17,MATCH(P1528,'Category Rules'!$A$5:$A$17,0)))</f>
        <v>4010</v>
      </c>
      <c r="S1528" t="str">
        <f>IF(Q1528="CONTEXT","Make-safe",IF(Q1528="REVIEW","",INDEX('Category Rules'!$E$5:$E$17,MATCH(P1528,'Category Rules'!$A$5:$A$17,0))))</f>
        <v>Make-safe</v>
      </c>
      <c r="T1528" t="str">
        <f>IF(Q1528="DEP","BAS Excluded","GST on Income")</f>
        <v>GST on Income</v>
      </c>
      <c r="U1528">
        <f>IF(O1528=T1528,1,0)</f>
        <v>1</v>
      </c>
      <c r="V1528" s="9">
        <f>IF(OR(M1528=0,U1528=1),0,IF(T1528="GST on Income",ROUND(K1528*0.1,2),ROUND(-K1528*0.1,2)))</f>
        <v>0</v>
      </c>
    </row>
    <row r="1529">
      <c r="A1529" t="inlineStr">
        <is>
          <t>INV-5885-1</t>
        </is>
      </c>
      <c r="B1529" t="inlineStr">
        <is>
          <t>INV-5885</t>
        </is>
      </c>
      <c r="C1529" s="11" t="n">
        <v>46064</v>
      </c>
      <c r="D1529" t="inlineStr">
        <is>
          <t>2026-02</t>
        </is>
      </c>
      <c r="E1529" t="inlineStr">
        <is>
          <t>C0050</t>
        </is>
      </c>
      <c r="F1529" t="inlineStr">
        <is>
          <t>C0050</t>
        </is>
      </c>
      <c r="G1529" t="inlineStr">
        <is>
          <t>Southbank Body Corporate Pty Ltd</t>
        </is>
      </c>
      <c r="H1529" t="inlineStr">
        <is>
          <t>S0542</t>
        </is>
      </c>
      <c r="I1529" t="inlineStr">
        <is>
          <t>Roof repair labour - 8 hrs</t>
        </is>
      </c>
      <c r="J1529" t="n">
        <v>8</v>
      </c>
      <c r="K1529" s="9" t="n">
        <v>784</v>
      </c>
      <c r="L1529" t="inlineStr">
        <is>
          <t>PAID</t>
        </is>
      </c>
      <c r="M1529">
        <f>IF(L1529="VOIDED",0,1)</f>
        <v>1</v>
      </c>
      <c r="N1529" t="n">
        <v>200</v>
      </c>
      <c r="O1529" t="inlineStr">
        <is>
          <t>GST on Income</t>
        </is>
      </c>
      <c r="P1529" t="inlineStr">
        <is>
          <t>R10</t>
        </is>
      </c>
      <c r="Q1529" t="inlineStr">
        <is>
          <t>LAB-RF</t>
        </is>
      </c>
      <c r="R1529">
        <f>IF(OR(Q1529="CONTEXT",Q1529="REVIEW"),"",INDEX('Category Rules'!$D$5:$D$17,MATCH(P1529,'Category Rules'!$A$5:$A$17,0)))</f>
        <v>4020</v>
      </c>
      <c r="S1529" t="str">
        <f>IF(Q1529="CONTEXT","Roofing",IF(Q1529="REVIEW","",INDEX('Category Rules'!$E$5:$E$17,MATCH(P1529,'Category Rules'!$A$5:$A$17,0))))</f>
        <v>Roofing</v>
      </c>
      <c r="T1529" t="str">
        <f>IF(Q1529="DEP","BAS Excluded","GST on Income")</f>
        <v>GST on Income</v>
      </c>
      <c r="U1529">
        <f>IF(O1529=T1529,1,0)</f>
        <v>1</v>
      </c>
      <c r="V1529" s="9">
        <f>IF(OR(M1529=0,U1529=1),0,IF(T1529="GST on Income",ROUND(K1529*0.1,2),ROUND(-K1529*0.1,2)))</f>
        <v>0</v>
      </c>
    </row>
    <row r="1530">
      <c r="A1530" t="inlineStr">
        <is>
          <t>INV-5885-2</t>
        </is>
      </c>
      <c r="B1530" t="inlineStr">
        <is>
          <t>INV-5885</t>
        </is>
      </c>
      <c r="C1530" s="11" t="n">
        <v>46064</v>
      </c>
      <c r="D1530" t="inlineStr">
        <is>
          <t>2026-02</t>
        </is>
      </c>
      <c r="E1530" t="inlineStr">
        <is>
          <t>C0050</t>
        </is>
      </c>
      <c r="F1530" t="inlineStr">
        <is>
          <t>C0050</t>
        </is>
      </c>
      <c r="G1530" t="inlineStr">
        <is>
          <t>Southbank Body Corporate Pty Ltd</t>
        </is>
      </c>
      <c r="H1530" t="inlineStr">
        <is>
          <t>S0542</t>
        </is>
      </c>
      <c r="I1530" t="inlineStr">
        <is>
          <t>Materials - flashing</t>
        </is>
      </c>
      <c r="J1530" t="n">
        <v>1</v>
      </c>
      <c r="K1530" s="9" t="n">
        <v>1197.48</v>
      </c>
      <c r="L1530" t="inlineStr">
        <is>
          <t>PAID</t>
        </is>
      </c>
      <c r="M1530">
        <f>IF(L1530="VOIDED",0,1)</f>
        <v>1</v>
      </c>
      <c r="N1530" t="n">
        <v>200</v>
      </c>
      <c r="O1530" t="inlineStr">
        <is>
          <t>GST on Income</t>
        </is>
      </c>
      <c r="P1530" t="inlineStr">
        <is>
          <t>R11</t>
        </is>
      </c>
      <c r="Q1530" t="inlineStr">
        <is>
          <t>MAT-RF</t>
        </is>
      </c>
      <c r="R1530">
        <f>IF(OR(Q1530="CONTEXT",Q1530="REVIEW"),"",INDEX('Category Rules'!$D$5:$D$17,MATCH(P1530,'Category Rules'!$A$5:$A$17,0)))</f>
        <v>4030</v>
      </c>
      <c r="S1530" t="str">
        <f>IF(Q1530="CONTEXT","Roofing",IF(Q1530="REVIEW","",INDEX('Category Rules'!$E$5:$E$17,MATCH(P1530,'Category Rules'!$A$5:$A$17,0))))</f>
        <v>Roofing</v>
      </c>
      <c r="T1530" t="str">
        <f>IF(Q1530="DEP","BAS Excluded","GST on Income")</f>
        <v>GST on Income</v>
      </c>
      <c r="U1530">
        <f>IF(O1530=T1530,1,0)</f>
        <v>1</v>
      </c>
      <c r="V1530" s="9">
        <f>IF(OR(M1530=0,U1530=1),0,IF(T1530="GST on Income",ROUND(K1530*0.1,2),ROUND(-K1530*0.1,2)))</f>
        <v>0</v>
      </c>
    </row>
    <row r="1531">
      <c r="A1531" t="inlineStr">
        <is>
          <t>INV-4433-1</t>
        </is>
      </c>
      <c r="B1531" t="inlineStr">
        <is>
          <t>INV-4433</t>
        </is>
      </c>
      <c r="C1531" s="11" t="n">
        <v>46065</v>
      </c>
      <c r="D1531" t="inlineStr">
        <is>
          <t>2026-02</t>
        </is>
      </c>
      <c r="E1531" t="inlineStr">
        <is>
          <t>C0071</t>
        </is>
      </c>
      <c r="F1531" t="inlineStr">
        <is>
          <t>C0071</t>
        </is>
      </c>
      <c r="G1531" t="inlineStr">
        <is>
          <t>Maribyrnong City Council</t>
        </is>
      </c>
      <c r="H1531" t="inlineStr">
        <is>
          <t>S0066</t>
        </is>
      </c>
      <c r="I1531" t="inlineStr">
        <is>
          <t>Temporary fence hire 4 wks (15/01/26-11/02/26) - 78 panels</t>
        </is>
      </c>
      <c r="J1531" t="n">
        <v>312</v>
      </c>
      <c r="K1531" s="9" t="n">
        <v>1404</v>
      </c>
      <c r="L1531" t="inlineStr">
        <is>
          <t>PAID</t>
        </is>
      </c>
      <c r="M1531">
        <f>IF(L1531="VOIDED",0,1)</f>
        <v>1</v>
      </c>
      <c r="N1531" t="n">
        <v>200</v>
      </c>
      <c r="O1531" t="inlineStr">
        <is>
          <t>GST on Income</t>
        </is>
      </c>
      <c r="P1531" t="inlineStr">
        <is>
          <t>R03</t>
        </is>
      </c>
      <c r="Q1531" t="inlineStr">
        <is>
          <t>HIRE-FP</t>
        </is>
      </c>
      <c r="R1531">
        <f>IF(OR(Q1531="CONTEXT",Q1531="REVIEW"),"",INDEX('Category Rules'!$D$5:$D$17,MATCH(P1531,'Category Rules'!$A$5:$A$17,0)))</f>
        <v>4010</v>
      </c>
      <c r="S1531" t="str">
        <f>IF(Q1531="CONTEXT","Fencing",IF(Q1531="REVIEW","",INDEX('Category Rules'!$E$5:$E$17,MATCH(P1531,'Category Rules'!$A$5:$A$17,0))))</f>
        <v>Fencing</v>
      </c>
      <c r="T1531" t="str">
        <f>IF(Q1531="DEP","BAS Excluded","GST on Income")</f>
        <v>GST on Income</v>
      </c>
      <c r="U1531">
        <f>IF(O1531=T1531,1,0)</f>
        <v>1</v>
      </c>
      <c r="V1531" s="9">
        <f>IF(OR(M1531=0,U1531=1),0,IF(T1531="GST on Income",ROUND(K1531*0.1,2),ROUND(-K1531*0.1,2)))</f>
        <v>0</v>
      </c>
    </row>
    <row r="1532">
      <c r="A1532" t="inlineStr">
        <is>
          <t>INV-4728-1</t>
        </is>
      </c>
      <c r="B1532" t="inlineStr">
        <is>
          <t>INV-4728</t>
        </is>
      </c>
      <c r="C1532" s="11" t="n">
        <v>46065</v>
      </c>
      <c r="D1532" t="inlineStr">
        <is>
          <t>2026-02</t>
        </is>
      </c>
      <c r="E1532" t="inlineStr">
        <is>
          <t>C0148</t>
        </is>
      </c>
      <c r="F1532" t="inlineStr">
        <is>
          <t>C0042</t>
        </is>
      </c>
      <c r="G1532" t="inlineStr">
        <is>
          <t>Lakeside Constructions Pty Ltd</t>
        </is>
      </c>
      <c r="H1532" t="inlineStr">
        <is>
          <t>S0131</t>
        </is>
      </c>
      <c r="I1532" t="inlineStr">
        <is>
          <t>Delivery and installation - temporary fencing</t>
        </is>
      </c>
      <c r="J1532" t="n">
        <v>1</v>
      </c>
      <c r="K1532" s="9" t="n">
        <v>165</v>
      </c>
      <c r="L1532" t="inlineStr">
        <is>
          <t>PAID</t>
        </is>
      </c>
      <c r="M1532">
        <f>IF(L1532="VOIDED",0,1)</f>
        <v>1</v>
      </c>
      <c r="N1532" t="n">
        <v>200</v>
      </c>
      <c r="O1532" t="inlineStr">
        <is>
          <t>GST on Income</t>
        </is>
      </c>
      <c r="P1532" t="inlineStr">
        <is>
          <t>R07</t>
        </is>
      </c>
      <c r="Q1532" t="inlineStr">
        <is>
          <t>DEL-FP</t>
        </is>
      </c>
      <c r="R1532">
        <f>IF(OR(Q1532="CONTEXT",Q1532="REVIEW"),"",INDEX('Category Rules'!$D$5:$D$17,MATCH(P1532,'Category Rules'!$A$5:$A$17,0)))</f>
        <v>4020</v>
      </c>
      <c r="S1532" t="str">
        <f>IF(Q1532="CONTEXT","Fencing",IF(Q1532="REVIEW","",INDEX('Category Rules'!$E$5:$E$17,MATCH(P1532,'Category Rules'!$A$5:$A$17,0))))</f>
        <v>Fencing</v>
      </c>
      <c r="T1532" t="str">
        <f>IF(Q1532="DEP","BAS Excluded","GST on Income")</f>
        <v>GST on Income</v>
      </c>
      <c r="U1532">
        <f>IF(O1532=T1532,1,0)</f>
        <v>1</v>
      </c>
      <c r="V1532" s="9">
        <f>IF(OR(M1532=0,U1532=1),0,IF(T1532="GST on Income",ROUND(K1532*0.1,2),ROUND(-K1532*0.1,2)))</f>
        <v>0</v>
      </c>
    </row>
    <row r="1533">
      <c r="A1533" t="inlineStr">
        <is>
          <t>INV-4728-2</t>
        </is>
      </c>
      <c r="B1533" t="inlineStr">
        <is>
          <t>INV-4728</t>
        </is>
      </c>
      <c r="C1533" s="11" t="n">
        <v>46065</v>
      </c>
      <c r="D1533" t="inlineStr">
        <is>
          <t>2026-02</t>
        </is>
      </c>
      <c r="E1533" t="inlineStr">
        <is>
          <t>C0148</t>
        </is>
      </c>
      <c r="F1533" t="inlineStr">
        <is>
          <t>C0042</t>
        </is>
      </c>
      <c r="G1533" t="inlineStr">
        <is>
          <t>Lakeside Constructions Pty Ltd</t>
        </is>
      </c>
      <c r="H1533" t="inlineStr">
        <is>
          <t>S0131</t>
        </is>
      </c>
      <c r="I1533" t="inlineStr">
        <is>
          <t>Installation labour - 62 panels @ 2.20</t>
        </is>
      </c>
      <c r="J1533" t="n">
        <v>62</v>
      </c>
      <c r="K1533" s="9" t="n">
        <v>136.4</v>
      </c>
      <c r="L1533" t="inlineStr">
        <is>
          <t>PAID</t>
        </is>
      </c>
      <c r="M1533">
        <f>IF(L1533="VOIDED",0,1)</f>
        <v>1</v>
      </c>
      <c r="N1533" t="n">
        <v>200</v>
      </c>
      <c r="O1533" t="inlineStr">
        <is>
          <t>GST on Income</t>
        </is>
      </c>
      <c r="P1533" t="inlineStr">
        <is>
          <t>R07</t>
        </is>
      </c>
      <c r="Q1533" t="inlineStr">
        <is>
          <t>DEL-FP</t>
        </is>
      </c>
      <c r="R1533">
        <f>IF(OR(Q1533="CONTEXT",Q1533="REVIEW"),"",INDEX('Category Rules'!$D$5:$D$17,MATCH(P1533,'Category Rules'!$A$5:$A$17,0)))</f>
        <v>4020</v>
      </c>
      <c r="S1533" t="str">
        <f>IF(Q1533="CONTEXT","Fencing",IF(Q1533="REVIEW","",INDEX('Category Rules'!$E$5:$E$17,MATCH(P1533,'Category Rules'!$A$5:$A$17,0))))</f>
        <v>Fencing</v>
      </c>
      <c r="T1533" t="str">
        <f>IF(Q1533="DEP","BAS Excluded","GST on Income")</f>
        <v>GST on Income</v>
      </c>
      <c r="U1533">
        <f>IF(O1533=T1533,1,0)</f>
        <v>1</v>
      </c>
      <c r="V1533" s="9">
        <f>IF(OR(M1533=0,U1533=1),0,IF(T1533="GST on Income",ROUND(K1533*0.1,2),ROUND(-K1533*0.1,2)))</f>
        <v>0</v>
      </c>
    </row>
    <row r="1534">
      <c r="A1534" t="inlineStr">
        <is>
          <t>INV-5699-1</t>
        </is>
      </c>
      <c r="B1534" t="inlineStr">
        <is>
          <t>INV-5699</t>
        </is>
      </c>
      <c r="C1534" s="11" t="n">
        <v>46065</v>
      </c>
      <c r="D1534" t="inlineStr">
        <is>
          <t>2026-02</t>
        </is>
      </c>
      <c r="E1534" t="inlineStr">
        <is>
          <t>C0066</t>
        </is>
      </c>
      <c r="F1534" t="inlineStr">
        <is>
          <t>C0066</t>
        </is>
      </c>
      <c r="G1534" t="inlineStr">
        <is>
          <t>Northgate Insurance Repairs</t>
        </is>
      </c>
      <c r="H1534" t="inlineStr">
        <is>
          <t>S0435</t>
        </is>
      </c>
      <c r="I1534" t="inlineStr">
        <is>
          <t>Tarp kit hire 4 wks (15/01/26-11/02/26) - 2 kits</t>
        </is>
      </c>
      <c r="J1534" t="n">
        <v>8</v>
      </c>
      <c r="K1534" s="9" t="n">
        <v>280</v>
      </c>
      <c r="L1534" t="inlineStr">
        <is>
          <t>PAID</t>
        </is>
      </c>
      <c r="M1534">
        <f>IF(L1534="VOIDED",0,1)</f>
        <v>1</v>
      </c>
      <c r="N1534" t="n">
        <v>200</v>
      </c>
      <c r="O1534" t="inlineStr">
        <is>
          <t>GST on Income</t>
        </is>
      </c>
      <c r="P1534" t="inlineStr">
        <is>
          <t>R06</t>
        </is>
      </c>
      <c r="Q1534" t="inlineStr">
        <is>
          <t>HIRE-TK</t>
        </is>
      </c>
      <c r="R1534">
        <f>IF(OR(Q1534="CONTEXT",Q1534="REVIEW"),"",INDEX('Category Rules'!$D$5:$D$17,MATCH(P1534,'Category Rules'!$A$5:$A$17,0)))</f>
        <v>4010</v>
      </c>
      <c r="S1534" t="str">
        <f>IF(Q1534="CONTEXT","Make-safe",IF(Q1534="REVIEW","",INDEX('Category Rules'!$E$5:$E$17,MATCH(P1534,'Category Rules'!$A$5:$A$17,0))))</f>
        <v>Make-safe</v>
      </c>
      <c r="T1534" t="str">
        <f>IF(Q1534="DEP","BAS Excluded","GST on Income")</f>
        <v>GST on Income</v>
      </c>
      <c r="U1534">
        <f>IF(O1534=T1534,1,0)</f>
        <v>1</v>
      </c>
      <c r="V1534" s="9">
        <f>IF(OR(M1534=0,U1534=1),0,IF(T1534="GST on Income",ROUND(K1534*0.1,2),ROUND(-K1534*0.1,2)))</f>
        <v>0</v>
      </c>
    </row>
    <row r="1535">
      <c r="A1535" t="inlineStr">
        <is>
          <t>INV-5737-1</t>
        </is>
      </c>
      <c r="B1535" t="inlineStr">
        <is>
          <t>INV-5737</t>
        </is>
      </c>
      <c r="C1535" s="11" t="n">
        <v>46065</v>
      </c>
      <c r="D1535" t="inlineStr">
        <is>
          <t>2026-02</t>
        </is>
      </c>
      <c r="E1535" t="inlineStr">
        <is>
          <t>C0066</t>
        </is>
      </c>
      <c r="F1535" t="inlineStr">
        <is>
          <t>C0066</t>
        </is>
      </c>
      <c r="G1535" t="inlineStr">
        <is>
          <t>Northgate Insurance Repairs</t>
        </is>
      </c>
      <c r="H1535" t="inlineStr">
        <is>
          <t>S0453</t>
        </is>
      </c>
      <c r="I1535" t="inlineStr">
        <is>
          <t>Roof repair labour - 6 hrs</t>
        </is>
      </c>
      <c r="J1535" t="n">
        <v>6</v>
      </c>
      <c r="K1535" s="9" t="n">
        <v>588</v>
      </c>
      <c r="L1535" t="inlineStr">
        <is>
          <t>PAID</t>
        </is>
      </c>
      <c r="M1535">
        <f>IF(L1535="VOIDED",0,1)</f>
        <v>1</v>
      </c>
      <c r="N1535" t="n">
        <v>260</v>
      </c>
      <c r="O1535" t="inlineStr">
        <is>
          <t>GST on Income</t>
        </is>
      </c>
      <c r="P1535" t="inlineStr">
        <is>
          <t>R10</t>
        </is>
      </c>
      <c r="Q1535" t="inlineStr">
        <is>
          <t>LAB-RF</t>
        </is>
      </c>
      <c r="R1535">
        <f>IF(OR(Q1535="CONTEXT",Q1535="REVIEW"),"",INDEX('Category Rules'!$D$5:$D$17,MATCH(P1535,'Category Rules'!$A$5:$A$17,0)))</f>
        <v>4020</v>
      </c>
      <c r="S1535" t="str">
        <f>IF(Q1535="CONTEXT","Roofing",IF(Q1535="REVIEW","",INDEX('Category Rules'!$E$5:$E$17,MATCH(P1535,'Category Rules'!$A$5:$A$17,0))))</f>
        <v>Roofing</v>
      </c>
      <c r="T1535" t="str">
        <f>IF(Q1535="DEP","BAS Excluded","GST on Income")</f>
        <v>GST on Income</v>
      </c>
      <c r="U1535">
        <f>IF(O1535=T1535,1,0)</f>
        <v>1</v>
      </c>
      <c r="V1535" s="9">
        <f>IF(OR(M1535=0,U1535=1),0,IF(T1535="GST on Income",ROUND(K1535*0.1,2),ROUND(-K1535*0.1,2)))</f>
        <v>0</v>
      </c>
    </row>
    <row r="1536">
      <c r="A1536" t="inlineStr">
        <is>
          <t>INV-5737-2</t>
        </is>
      </c>
      <c r="B1536" t="inlineStr">
        <is>
          <t>INV-5737</t>
        </is>
      </c>
      <c r="C1536" s="11" t="n">
        <v>46065</v>
      </c>
      <c r="D1536" t="inlineStr">
        <is>
          <t>2026-02</t>
        </is>
      </c>
      <c r="E1536" t="inlineStr">
        <is>
          <t>C0066</t>
        </is>
      </c>
      <c r="F1536" t="inlineStr">
        <is>
          <t>C0066</t>
        </is>
      </c>
      <c r="G1536" t="inlineStr">
        <is>
          <t>Northgate Insurance Repairs</t>
        </is>
      </c>
      <c r="H1536" t="inlineStr">
        <is>
          <t>S0453</t>
        </is>
      </c>
      <c r="I1536" t="inlineStr">
        <is>
          <t>Materials - gutter and downpipe</t>
        </is>
      </c>
      <c r="J1536" t="n">
        <v>1</v>
      </c>
      <c r="K1536" s="9" t="n">
        <v>1359.84</v>
      </c>
      <c r="L1536" t="inlineStr">
        <is>
          <t>PAID</t>
        </is>
      </c>
      <c r="M1536">
        <f>IF(L1536="VOIDED",0,1)</f>
        <v>1</v>
      </c>
      <c r="N1536" t="n">
        <v>200</v>
      </c>
      <c r="O1536" t="inlineStr">
        <is>
          <t>GST on Income</t>
        </is>
      </c>
      <c r="P1536" t="inlineStr">
        <is>
          <t>R11</t>
        </is>
      </c>
      <c r="Q1536" t="inlineStr">
        <is>
          <t>MAT-RF</t>
        </is>
      </c>
      <c r="R1536">
        <f>IF(OR(Q1536="CONTEXT",Q1536="REVIEW"),"",INDEX('Category Rules'!$D$5:$D$17,MATCH(P1536,'Category Rules'!$A$5:$A$17,0)))</f>
        <v>4030</v>
      </c>
      <c r="S1536" t="str">
        <f>IF(Q1536="CONTEXT","Roofing",IF(Q1536="REVIEW","",INDEX('Category Rules'!$E$5:$E$17,MATCH(P1536,'Category Rules'!$A$5:$A$17,0))))</f>
        <v>Roofing</v>
      </c>
      <c r="T1536" t="str">
        <f>IF(Q1536="DEP","BAS Excluded","GST on Income")</f>
        <v>GST on Income</v>
      </c>
      <c r="U1536">
        <f>IF(O1536=T1536,1,0)</f>
        <v>1</v>
      </c>
      <c r="V1536" s="9">
        <f>IF(OR(M1536=0,U1536=1),0,IF(T1536="GST on Income",ROUND(K1536*0.1,2),ROUND(-K1536*0.1,2)))</f>
        <v>0</v>
      </c>
    </row>
    <row r="1537">
      <c r="A1537" t="inlineStr">
        <is>
          <t>INV-5737-3</t>
        </is>
      </c>
      <c r="B1537" t="inlineStr">
        <is>
          <t>INV-5737</t>
        </is>
      </c>
      <c r="C1537" s="11" t="n">
        <v>46065</v>
      </c>
      <c r="D1537" t="inlineStr">
        <is>
          <t>2026-02</t>
        </is>
      </c>
      <c r="E1537" t="inlineStr">
        <is>
          <t>C0066</t>
        </is>
      </c>
      <c r="F1537" t="inlineStr">
        <is>
          <t>C0066</t>
        </is>
      </c>
      <c r="G1537" t="inlineStr">
        <is>
          <t>Northgate Insurance Repairs</t>
        </is>
      </c>
      <c r="H1537" t="inlineStr">
        <is>
          <t>S0453</t>
        </is>
      </c>
      <c r="I1537" t="inlineStr">
        <is>
          <t>Materials - Colorbond sheet</t>
        </is>
      </c>
      <c r="J1537" t="n">
        <v>1</v>
      </c>
      <c r="K1537" s="9" t="n">
        <v>1357.64</v>
      </c>
      <c r="L1537" t="inlineStr">
        <is>
          <t>PAID</t>
        </is>
      </c>
      <c r="M1537">
        <f>IF(L1537="VOIDED",0,1)</f>
        <v>1</v>
      </c>
      <c r="N1537" t="n">
        <v>200</v>
      </c>
      <c r="O1537" t="inlineStr">
        <is>
          <t>GST on Income</t>
        </is>
      </c>
      <c r="P1537" t="inlineStr">
        <is>
          <t>R11</t>
        </is>
      </c>
      <c r="Q1537" t="inlineStr">
        <is>
          <t>MAT-RF</t>
        </is>
      </c>
      <c r="R1537">
        <f>IF(OR(Q1537="CONTEXT",Q1537="REVIEW"),"",INDEX('Category Rules'!$D$5:$D$17,MATCH(P1537,'Category Rules'!$A$5:$A$17,0)))</f>
        <v>4030</v>
      </c>
      <c r="S1537" t="str">
        <f>IF(Q1537="CONTEXT","Roofing",IF(Q1537="REVIEW","",INDEX('Category Rules'!$E$5:$E$17,MATCH(P1537,'Category Rules'!$A$5:$A$17,0))))</f>
        <v>Roofing</v>
      </c>
      <c r="T1537" t="str">
        <f>IF(Q1537="DEP","BAS Excluded","GST on Income")</f>
        <v>GST on Income</v>
      </c>
      <c r="U1537">
        <f>IF(O1537=T1537,1,0)</f>
        <v>1</v>
      </c>
      <c r="V1537" s="9">
        <f>IF(OR(M1537=0,U1537=1),0,IF(T1537="GST on Income",ROUND(K1537*0.1,2),ROUND(-K1537*0.1,2)))</f>
        <v>0</v>
      </c>
    </row>
    <row r="1538">
      <c r="A1538" t="inlineStr">
        <is>
          <t>INV-5737-4</t>
        </is>
      </c>
      <c r="B1538" t="inlineStr">
        <is>
          <t>INV-5737</t>
        </is>
      </c>
      <c r="C1538" s="11" t="n">
        <v>46065</v>
      </c>
      <c r="D1538" t="inlineStr">
        <is>
          <t>2026-02</t>
        </is>
      </c>
      <c r="E1538" t="inlineStr">
        <is>
          <t>C0066</t>
        </is>
      </c>
      <c r="F1538" t="inlineStr">
        <is>
          <t>C0066</t>
        </is>
      </c>
      <c r="G1538" t="inlineStr">
        <is>
          <t>Northgate Insurance Repairs</t>
        </is>
      </c>
      <c r="H1538" t="inlineStr">
        <is>
          <t>S0453</t>
        </is>
      </c>
      <c r="I1538" t="inlineStr">
        <is>
          <t>Materials - ridge capping</t>
        </is>
      </c>
      <c r="J1538" t="n">
        <v>1</v>
      </c>
      <c r="K1538" s="9" t="n">
        <v>160.12</v>
      </c>
      <c r="L1538" t="inlineStr">
        <is>
          <t>PAID</t>
        </is>
      </c>
      <c r="M1538">
        <f>IF(L1538="VOIDED",0,1)</f>
        <v>1</v>
      </c>
      <c r="N1538" t="n">
        <v>200</v>
      </c>
      <c r="O1538" t="inlineStr">
        <is>
          <t>GST on Income</t>
        </is>
      </c>
      <c r="P1538" t="inlineStr">
        <is>
          <t>R11</t>
        </is>
      </c>
      <c r="Q1538" t="inlineStr">
        <is>
          <t>MAT-RF</t>
        </is>
      </c>
      <c r="R1538">
        <f>IF(OR(Q1538="CONTEXT",Q1538="REVIEW"),"",INDEX('Category Rules'!$D$5:$D$17,MATCH(P1538,'Category Rules'!$A$5:$A$17,0)))</f>
        <v>4030</v>
      </c>
      <c r="S1538" t="str">
        <f>IF(Q1538="CONTEXT","Roofing",IF(Q1538="REVIEW","",INDEX('Category Rules'!$E$5:$E$17,MATCH(P1538,'Category Rules'!$A$5:$A$17,0))))</f>
        <v>Roofing</v>
      </c>
      <c r="T1538" t="str">
        <f>IF(Q1538="DEP","BAS Excluded","GST on Income")</f>
        <v>GST on Income</v>
      </c>
      <c r="U1538">
        <f>IF(O1538=T1538,1,0)</f>
        <v>1</v>
      </c>
      <c r="V1538" s="9">
        <f>IF(OR(M1538=0,U1538=1),0,IF(T1538="GST on Income",ROUND(K1538*0.1,2),ROUND(-K1538*0.1,2)))</f>
        <v>0</v>
      </c>
    </row>
    <row r="1539">
      <c r="A1539" t="inlineStr">
        <is>
          <t>INV-5844-1</t>
        </is>
      </c>
      <c r="B1539" t="inlineStr">
        <is>
          <t>INV-5844</t>
        </is>
      </c>
      <c r="C1539" s="11" t="n">
        <v>46065</v>
      </c>
      <c r="D1539" t="inlineStr">
        <is>
          <t>2026-02</t>
        </is>
      </c>
      <c r="E1539" t="inlineStr">
        <is>
          <t>C0125</t>
        </is>
      </c>
      <c r="F1539" t="inlineStr">
        <is>
          <t>C0064</t>
        </is>
      </c>
      <c r="G1539" t="inlineStr">
        <is>
          <t>Lakeside Claims Services Pty Ltd</t>
        </is>
      </c>
      <c r="H1539" t="inlineStr">
        <is>
          <t>S0516</t>
        </is>
      </c>
      <c r="I1539" t="inlineStr">
        <is>
          <t>Make safe call-out</t>
        </is>
      </c>
      <c r="J1539" t="n">
        <v>1</v>
      </c>
      <c r="K1539" s="9" t="n">
        <v>385</v>
      </c>
      <c r="L1539" t="inlineStr">
        <is>
          <t>PAID</t>
        </is>
      </c>
      <c r="M1539">
        <f>IF(L1539="VOIDED",0,1)</f>
        <v>1</v>
      </c>
      <c r="N1539" t="n">
        <v>200</v>
      </c>
      <c r="O1539" t="inlineStr">
        <is>
          <t>GST on Income</t>
        </is>
      </c>
      <c r="P1539" t="inlineStr">
        <is>
          <t>R09</t>
        </is>
      </c>
      <c r="Q1539" t="inlineStr">
        <is>
          <t>MS</t>
        </is>
      </c>
      <c r="R1539">
        <f>IF(OR(Q1539="CONTEXT",Q1539="REVIEW"),"",INDEX('Category Rules'!$D$5:$D$17,MATCH(P1539,'Category Rules'!$A$5:$A$17,0)))</f>
        <v>4020</v>
      </c>
      <c r="S1539" t="str">
        <f>IF(Q1539="CONTEXT","Make-safe",IF(Q1539="REVIEW","",INDEX('Category Rules'!$E$5:$E$17,MATCH(P1539,'Category Rules'!$A$5:$A$17,0))))</f>
        <v>Make-safe</v>
      </c>
      <c r="T1539" t="str">
        <f>IF(Q1539="DEP","BAS Excluded","GST on Income")</f>
        <v>GST on Income</v>
      </c>
      <c r="U1539">
        <f>IF(O1539=T1539,1,0)</f>
        <v>1</v>
      </c>
      <c r="V1539" s="9">
        <f>IF(OR(M1539=0,U1539=1),0,IF(T1539="GST on Income",ROUND(K1539*0.1,2),ROUND(-K1539*0.1,2)))</f>
        <v>0</v>
      </c>
    </row>
    <row r="1540">
      <c r="A1540" t="inlineStr">
        <is>
          <t>INV-4517-1</t>
        </is>
      </c>
      <c r="B1540" t="inlineStr">
        <is>
          <t>INV-4517</t>
        </is>
      </c>
      <c r="C1540" s="11" t="n">
        <v>46066</v>
      </c>
      <c r="D1540" t="inlineStr">
        <is>
          <t>2026-02</t>
        </is>
      </c>
      <c r="E1540" t="inlineStr">
        <is>
          <t>C0022</t>
        </is>
      </c>
      <c r="F1540" t="inlineStr">
        <is>
          <t>C0022</t>
        </is>
      </c>
      <c r="G1540" t="inlineStr">
        <is>
          <t>Highpoint Projects</t>
        </is>
      </c>
      <c r="H1540" t="inlineStr">
        <is>
          <t>S0085</t>
        </is>
      </c>
      <c r="I1540" t="inlineStr">
        <is>
          <t>Temporary fence hire 4 wks (16/01/26-12/02/26) - 89 panels</t>
        </is>
      </c>
      <c r="J1540" t="n">
        <v>356</v>
      </c>
      <c r="K1540" s="9" t="n">
        <v>1602</v>
      </c>
      <c r="L1540" t="inlineStr">
        <is>
          <t>PAID</t>
        </is>
      </c>
      <c r="M1540">
        <f>IF(L1540="VOIDED",0,1)</f>
        <v>1</v>
      </c>
      <c r="N1540" t="n">
        <v>200</v>
      </c>
      <c r="O1540" t="inlineStr">
        <is>
          <t>GST on Income</t>
        </is>
      </c>
      <c r="P1540" t="inlineStr">
        <is>
          <t>R03</t>
        </is>
      </c>
      <c r="Q1540" t="inlineStr">
        <is>
          <t>HIRE-FP</t>
        </is>
      </c>
      <c r="R1540">
        <f>IF(OR(Q1540="CONTEXT",Q1540="REVIEW"),"",INDEX('Category Rules'!$D$5:$D$17,MATCH(P1540,'Category Rules'!$A$5:$A$17,0)))</f>
        <v>4010</v>
      </c>
      <c r="S1540" t="str">
        <f>IF(Q1540="CONTEXT","Fencing",IF(Q1540="REVIEW","",INDEX('Category Rules'!$E$5:$E$17,MATCH(P1540,'Category Rules'!$A$5:$A$17,0))))</f>
        <v>Fencing</v>
      </c>
      <c r="T1540" t="str">
        <f>IF(Q1540="DEP","BAS Excluded","GST on Income")</f>
        <v>GST on Income</v>
      </c>
      <c r="U1540">
        <f>IF(O1540=T1540,1,0)</f>
        <v>1</v>
      </c>
      <c r="V1540" s="9">
        <f>IF(OR(M1540=0,U1540=1),0,IF(T1540="GST on Income",ROUND(K1540*0.1,2),ROUND(-K1540*0.1,2)))</f>
        <v>0</v>
      </c>
    </row>
    <row r="1541">
      <c r="A1541" t="inlineStr">
        <is>
          <t>INV-4526-1</t>
        </is>
      </c>
      <c r="B1541" t="inlineStr">
        <is>
          <t>INV-4526</t>
        </is>
      </c>
      <c r="C1541" s="11" t="n">
        <v>46066</v>
      </c>
      <c r="D1541" t="inlineStr">
        <is>
          <t>2026-02</t>
        </is>
      </c>
      <c r="E1541" t="inlineStr">
        <is>
          <t>C0022</t>
        </is>
      </c>
      <c r="F1541" t="inlineStr">
        <is>
          <t>C0022</t>
        </is>
      </c>
      <c r="G1541" t="inlineStr">
        <is>
          <t>Highpoint Projects</t>
        </is>
      </c>
      <c r="H1541" t="inlineStr">
        <is>
          <t>S0085</t>
        </is>
      </c>
      <c r="I1541" t="inlineStr">
        <is>
          <t>Pedestrian barrier hire 4 wks (16/01/26-12/02/26) - 9 barriers</t>
        </is>
      </c>
      <c r="J1541" t="n">
        <v>36</v>
      </c>
      <c r="K1541" s="9" t="n">
        <v>115.2</v>
      </c>
      <c r="L1541" t="inlineStr">
        <is>
          <t>PAID</t>
        </is>
      </c>
      <c r="M1541">
        <f>IF(L1541="VOIDED",0,1)</f>
        <v>1</v>
      </c>
      <c r="N1541" t="n">
        <v>200</v>
      </c>
      <c r="O1541" t="inlineStr">
        <is>
          <t>GST on Income</t>
        </is>
      </c>
      <c r="P1541" t="inlineStr">
        <is>
          <t>R04</t>
        </is>
      </c>
      <c r="Q1541" t="inlineStr">
        <is>
          <t>HIRE-BR</t>
        </is>
      </c>
      <c r="R1541">
        <f>IF(OR(Q1541="CONTEXT",Q1541="REVIEW"),"",INDEX('Category Rules'!$D$5:$D$17,MATCH(P1541,'Category Rules'!$A$5:$A$17,0)))</f>
        <v>4010</v>
      </c>
      <c r="S1541" t="str">
        <f>IF(Q1541="CONTEXT","Fencing",IF(Q1541="REVIEW","",INDEX('Category Rules'!$E$5:$E$17,MATCH(P1541,'Category Rules'!$A$5:$A$17,0))))</f>
        <v>Fencing</v>
      </c>
      <c r="T1541" t="str">
        <f>IF(Q1541="DEP","BAS Excluded","GST on Income")</f>
        <v>GST on Income</v>
      </c>
      <c r="U1541">
        <f>IF(O1541=T1541,1,0)</f>
        <v>1</v>
      </c>
      <c r="V1541" s="9">
        <f>IF(OR(M1541=0,U1541=1),0,IF(T1541="GST on Income",ROUND(K1541*0.1,2),ROUND(-K1541*0.1,2)))</f>
        <v>0</v>
      </c>
    </row>
    <row r="1542">
      <c r="A1542" t="inlineStr">
        <is>
          <t>INV-4745-1</t>
        </is>
      </c>
      <c r="B1542" t="inlineStr">
        <is>
          <t>INV-4745</t>
        </is>
      </c>
      <c r="C1542" s="11" t="n">
        <v>46066</v>
      </c>
      <c r="D1542" t="inlineStr">
        <is>
          <t>2026-02</t>
        </is>
      </c>
      <c r="E1542" t="inlineStr">
        <is>
          <t>C0122</t>
        </is>
      </c>
      <c r="F1542" t="inlineStr">
        <is>
          <t>C0122</t>
        </is>
      </c>
      <c r="G1542" t="inlineStr">
        <is>
          <t>Bluegum Construction Pty Ltd</t>
        </is>
      </c>
      <c r="H1542" t="inlineStr">
        <is>
          <t>S0135</t>
        </is>
      </c>
      <c r="I1542" t="inlineStr">
        <is>
          <t>Temporary fence hire 4 wks (16/01/26-12/02/26) - 65 panels</t>
        </is>
      </c>
      <c r="J1542" t="n">
        <v>260</v>
      </c>
      <c r="K1542" s="9" t="n">
        <v>1170</v>
      </c>
      <c r="L1542" t="inlineStr">
        <is>
          <t>PAID</t>
        </is>
      </c>
      <c r="M1542">
        <f>IF(L1542="VOIDED",0,1)</f>
        <v>1</v>
      </c>
      <c r="N1542" t="n">
        <v>200</v>
      </c>
      <c r="O1542" t="inlineStr">
        <is>
          <t>GST on Income</t>
        </is>
      </c>
      <c r="P1542" t="inlineStr">
        <is>
          <t>R03</t>
        </is>
      </c>
      <c r="Q1542" t="inlineStr">
        <is>
          <t>HIRE-FP</t>
        </is>
      </c>
      <c r="R1542">
        <f>IF(OR(Q1542="CONTEXT",Q1542="REVIEW"),"",INDEX('Category Rules'!$D$5:$D$17,MATCH(P1542,'Category Rules'!$A$5:$A$17,0)))</f>
        <v>4010</v>
      </c>
      <c r="S1542" t="str">
        <f>IF(Q1542="CONTEXT","Fencing",IF(Q1542="REVIEW","",INDEX('Category Rules'!$E$5:$E$17,MATCH(P1542,'Category Rules'!$A$5:$A$17,0))))</f>
        <v>Fencing</v>
      </c>
      <c r="T1542" t="str">
        <f>IF(Q1542="DEP","BAS Excluded","GST on Income")</f>
        <v>GST on Income</v>
      </c>
      <c r="U1542">
        <f>IF(O1542=T1542,1,0)</f>
        <v>1</v>
      </c>
      <c r="V1542" s="9">
        <f>IF(OR(M1542=0,U1542=1),0,IF(T1542="GST on Income",ROUND(K1542*0.1,2),ROUND(-K1542*0.1,2)))</f>
        <v>0</v>
      </c>
    </row>
    <row r="1543">
      <c r="A1543" t="inlineStr">
        <is>
          <t>INV-4750-1</t>
        </is>
      </c>
      <c r="B1543" t="inlineStr">
        <is>
          <t>INV-4750</t>
        </is>
      </c>
      <c r="C1543" s="11" t="n">
        <v>46066</v>
      </c>
      <c r="D1543" t="inlineStr">
        <is>
          <t>2026-02</t>
        </is>
      </c>
      <c r="E1543" t="inlineStr">
        <is>
          <t>C0122</t>
        </is>
      </c>
      <c r="F1543" t="inlineStr">
        <is>
          <t>C0122</t>
        </is>
      </c>
      <c r="G1543" t="inlineStr">
        <is>
          <t>Bluegum Construction Pty Ltd</t>
        </is>
      </c>
      <c r="H1543" t="inlineStr">
        <is>
          <t>S0135</t>
        </is>
      </c>
      <c r="I1543" t="inlineStr">
        <is>
          <t>Pedestrian barrier hire 4 wks (16/01/26-12/02/26) - 11 barriers</t>
        </is>
      </c>
      <c r="J1543" t="n">
        <v>44</v>
      </c>
      <c r="K1543" s="9" t="n">
        <v>140.8</v>
      </c>
      <c r="L1543" t="inlineStr">
        <is>
          <t>PAID</t>
        </is>
      </c>
      <c r="M1543">
        <f>IF(L1543="VOIDED",0,1)</f>
        <v>1</v>
      </c>
      <c r="N1543" t="n">
        <v>200</v>
      </c>
      <c r="O1543" t="inlineStr">
        <is>
          <t>GST on Income</t>
        </is>
      </c>
      <c r="P1543" t="inlineStr">
        <is>
          <t>R04</t>
        </is>
      </c>
      <c r="Q1543" t="inlineStr">
        <is>
          <t>HIRE-BR</t>
        </is>
      </c>
      <c r="R1543">
        <f>IF(OR(Q1543="CONTEXT",Q1543="REVIEW"),"",INDEX('Category Rules'!$D$5:$D$17,MATCH(P1543,'Category Rules'!$A$5:$A$17,0)))</f>
        <v>4010</v>
      </c>
      <c r="S1543" t="str">
        <f>IF(Q1543="CONTEXT","Fencing",IF(Q1543="REVIEW","",INDEX('Category Rules'!$E$5:$E$17,MATCH(P1543,'Category Rules'!$A$5:$A$17,0))))</f>
        <v>Fencing</v>
      </c>
      <c r="T1543" t="str">
        <f>IF(Q1543="DEP","BAS Excluded","GST on Income")</f>
        <v>GST on Income</v>
      </c>
      <c r="U1543">
        <f>IF(O1543=T1543,1,0)</f>
        <v>1</v>
      </c>
      <c r="V1543" s="9">
        <f>IF(OR(M1543=0,U1543=1),0,IF(T1543="GST on Income",ROUND(K1543*0.1,2),ROUND(-K1543*0.1,2)))</f>
        <v>0</v>
      </c>
    </row>
    <row r="1544">
      <c r="A1544" t="inlineStr">
        <is>
          <t>INV-4211-1</t>
        </is>
      </c>
      <c r="B1544" t="inlineStr">
        <is>
          <t>INV-4211</t>
        </is>
      </c>
      <c r="C1544" s="11" t="n">
        <v>46067</v>
      </c>
      <c r="D1544" t="inlineStr">
        <is>
          <t>2026-02</t>
        </is>
      </c>
      <c r="E1544" t="inlineStr">
        <is>
          <t>C0046</t>
        </is>
      </c>
      <c r="F1544" t="inlineStr">
        <is>
          <t>C0046</t>
        </is>
      </c>
      <c r="G1544" t="inlineStr">
        <is>
          <t>Bayside Owners Corporation Services Pty Ltd</t>
        </is>
      </c>
      <c r="H1544" t="inlineStr">
        <is>
          <t>S0021</t>
        </is>
      </c>
      <c r="I1544" t="inlineStr">
        <is>
          <t>Temporary fence hire 4 wks (17/01/26-13/02/26) - 101 panels</t>
        </is>
      </c>
      <c r="J1544" t="n">
        <v>404</v>
      </c>
      <c r="K1544" s="9" t="n">
        <v>1818</v>
      </c>
      <c r="L1544" t="inlineStr">
        <is>
          <t>PAID</t>
        </is>
      </c>
      <c r="M1544">
        <f>IF(L1544="VOIDED",0,1)</f>
        <v>1</v>
      </c>
      <c r="N1544" t="n">
        <v>200</v>
      </c>
      <c r="O1544" t="inlineStr">
        <is>
          <t>GST on Income</t>
        </is>
      </c>
      <c r="P1544" t="inlineStr">
        <is>
          <t>R03</t>
        </is>
      </c>
      <c r="Q1544" t="inlineStr">
        <is>
          <t>HIRE-FP</t>
        </is>
      </c>
      <c r="R1544">
        <f>IF(OR(Q1544="CONTEXT",Q1544="REVIEW"),"",INDEX('Category Rules'!$D$5:$D$17,MATCH(P1544,'Category Rules'!$A$5:$A$17,0)))</f>
        <v>4010</v>
      </c>
      <c r="S1544" t="str">
        <f>IF(Q1544="CONTEXT","Fencing",IF(Q1544="REVIEW","",INDEX('Category Rules'!$E$5:$E$17,MATCH(P1544,'Category Rules'!$A$5:$A$17,0))))</f>
        <v>Fencing</v>
      </c>
      <c r="T1544" t="str">
        <f>IF(Q1544="DEP","BAS Excluded","GST on Income")</f>
        <v>GST on Income</v>
      </c>
      <c r="U1544">
        <f>IF(O1544=T1544,1,0)</f>
        <v>1</v>
      </c>
      <c r="V1544" s="9">
        <f>IF(OR(M1544=0,U1544=1),0,IF(T1544="GST on Income",ROUND(K1544*0.1,2),ROUND(-K1544*0.1,2)))</f>
        <v>0</v>
      </c>
    </row>
    <row r="1545">
      <c r="A1545" t="inlineStr">
        <is>
          <t>INV-4214-1</t>
        </is>
      </c>
      <c r="B1545" t="inlineStr">
        <is>
          <t>INV-4214</t>
        </is>
      </c>
      <c r="C1545" s="11" t="n">
        <v>46067</v>
      </c>
      <c r="D1545" t="inlineStr">
        <is>
          <t>2026-02</t>
        </is>
      </c>
      <c r="E1545" t="inlineStr">
        <is>
          <t>C0046</t>
        </is>
      </c>
      <c r="F1545" t="inlineStr">
        <is>
          <t>C0046</t>
        </is>
      </c>
      <c r="G1545" t="inlineStr">
        <is>
          <t>Bayside Owners Corporation Services Pty Ltd</t>
        </is>
      </c>
      <c r="H1545" t="inlineStr">
        <is>
          <t>S0021</t>
        </is>
      </c>
      <c r="I1545" t="inlineStr">
        <is>
          <t>Pedestrian barrier hire 4 wks (17/01/26-13/02/26) - 20 barriers</t>
        </is>
      </c>
      <c r="J1545" t="n">
        <v>80</v>
      </c>
      <c r="K1545" s="9" t="n">
        <v>256</v>
      </c>
      <c r="L1545" t="inlineStr">
        <is>
          <t>PAID</t>
        </is>
      </c>
      <c r="M1545">
        <f>IF(L1545="VOIDED",0,1)</f>
        <v>1</v>
      </c>
      <c r="N1545" t="n">
        <v>200</v>
      </c>
      <c r="O1545" t="inlineStr">
        <is>
          <t>GST on Income</t>
        </is>
      </c>
      <c r="P1545" t="inlineStr">
        <is>
          <t>R04</t>
        </is>
      </c>
      <c r="Q1545" t="inlineStr">
        <is>
          <t>HIRE-BR</t>
        </is>
      </c>
      <c r="R1545">
        <f>IF(OR(Q1545="CONTEXT",Q1545="REVIEW"),"",INDEX('Category Rules'!$D$5:$D$17,MATCH(P1545,'Category Rules'!$A$5:$A$17,0)))</f>
        <v>4010</v>
      </c>
      <c r="S1545" t="str">
        <f>IF(Q1545="CONTEXT","Fencing",IF(Q1545="REVIEW","",INDEX('Category Rules'!$E$5:$E$17,MATCH(P1545,'Category Rules'!$A$5:$A$17,0))))</f>
        <v>Fencing</v>
      </c>
      <c r="T1545" t="str">
        <f>IF(Q1545="DEP","BAS Excluded","GST on Income")</f>
        <v>GST on Income</v>
      </c>
      <c r="U1545">
        <f>IF(O1545=T1545,1,0)</f>
        <v>1</v>
      </c>
      <c r="V1545" s="9">
        <f>IF(OR(M1545=0,U1545=1),0,IF(T1545="GST on Income",ROUND(K1545*0.1,2),ROUND(-K1545*0.1,2)))</f>
        <v>0</v>
      </c>
    </row>
    <row r="1546">
      <c r="A1546" t="inlineStr">
        <is>
          <t>INV-4449-1</t>
        </is>
      </c>
      <c r="B1546" t="inlineStr">
        <is>
          <t>INV-4449</t>
        </is>
      </c>
      <c r="C1546" s="11" t="n">
        <v>46067</v>
      </c>
      <c r="D1546" t="inlineStr">
        <is>
          <t>2026-02</t>
        </is>
      </c>
      <c r="E1546" t="inlineStr">
        <is>
          <t>C0010</t>
        </is>
      </c>
      <c r="F1546" t="inlineStr">
        <is>
          <t>C0010</t>
        </is>
      </c>
      <c r="G1546" t="inlineStr">
        <is>
          <t>Eastlink Developments</t>
        </is>
      </c>
      <c r="H1546" t="inlineStr">
        <is>
          <t>S0069</t>
        </is>
      </c>
      <c r="I1546" t="inlineStr">
        <is>
          <t>Delivery and installation - temporary fencing</t>
        </is>
      </c>
      <c r="J1546" t="n">
        <v>1</v>
      </c>
      <c r="K1546" s="9" t="n">
        <v>165</v>
      </c>
      <c r="L1546" t="inlineStr">
        <is>
          <t>PAID</t>
        </is>
      </c>
      <c r="M1546">
        <f>IF(L1546="VOIDED",0,1)</f>
        <v>1</v>
      </c>
      <c r="N1546" t="n">
        <v>200</v>
      </c>
      <c r="O1546" t="inlineStr">
        <is>
          <t>GST on Income</t>
        </is>
      </c>
      <c r="P1546" t="inlineStr">
        <is>
          <t>R07</t>
        </is>
      </c>
      <c r="Q1546" t="inlineStr">
        <is>
          <t>DEL-FP</t>
        </is>
      </c>
      <c r="R1546">
        <f>IF(OR(Q1546="CONTEXT",Q1546="REVIEW"),"",INDEX('Category Rules'!$D$5:$D$17,MATCH(P1546,'Category Rules'!$A$5:$A$17,0)))</f>
        <v>4020</v>
      </c>
      <c r="S1546" t="str">
        <f>IF(Q1546="CONTEXT","Fencing",IF(Q1546="REVIEW","",INDEX('Category Rules'!$E$5:$E$17,MATCH(P1546,'Category Rules'!$A$5:$A$17,0))))</f>
        <v>Fencing</v>
      </c>
      <c r="T1546" t="str">
        <f>IF(Q1546="DEP","BAS Excluded","GST on Income")</f>
        <v>GST on Income</v>
      </c>
      <c r="U1546">
        <f>IF(O1546=T1546,1,0)</f>
        <v>1</v>
      </c>
      <c r="V1546" s="9">
        <f>IF(OR(M1546=0,U1546=1),0,IF(T1546="GST on Income",ROUND(K1546*0.1,2),ROUND(-K1546*0.1,2)))</f>
        <v>0</v>
      </c>
    </row>
    <row r="1547">
      <c r="A1547" t="inlineStr">
        <is>
          <t>INV-4449-2</t>
        </is>
      </c>
      <c r="B1547" t="inlineStr">
        <is>
          <t>INV-4449</t>
        </is>
      </c>
      <c r="C1547" s="11" t="n">
        <v>46067</v>
      </c>
      <c r="D1547" t="inlineStr">
        <is>
          <t>2026-02</t>
        </is>
      </c>
      <c r="E1547" t="inlineStr">
        <is>
          <t>C0010</t>
        </is>
      </c>
      <c r="F1547" t="inlineStr">
        <is>
          <t>C0010</t>
        </is>
      </c>
      <c r="G1547" t="inlineStr">
        <is>
          <t>Eastlink Developments</t>
        </is>
      </c>
      <c r="H1547" t="inlineStr">
        <is>
          <t>S0069</t>
        </is>
      </c>
      <c r="I1547" t="inlineStr">
        <is>
          <t>Installation labour - 39 panels @ 2.20</t>
        </is>
      </c>
      <c r="J1547" t="n">
        <v>39</v>
      </c>
      <c r="K1547" s="9" t="n">
        <v>85.8</v>
      </c>
      <c r="L1547" t="inlineStr">
        <is>
          <t>PAID</t>
        </is>
      </c>
      <c r="M1547">
        <f>IF(L1547="VOIDED",0,1)</f>
        <v>1</v>
      </c>
      <c r="N1547" t="n">
        <v>200</v>
      </c>
      <c r="O1547" t="inlineStr">
        <is>
          <t>GST on Income</t>
        </is>
      </c>
      <c r="P1547" t="inlineStr">
        <is>
          <t>R07</t>
        </is>
      </c>
      <c r="Q1547" t="inlineStr">
        <is>
          <t>DEL-FP</t>
        </is>
      </c>
      <c r="R1547">
        <f>IF(OR(Q1547="CONTEXT",Q1547="REVIEW"),"",INDEX('Category Rules'!$D$5:$D$17,MATCH(P1547,'Category Rules'!$A$5:$A$17,0)))</f>
        <v>4020</v>
      </c>
      <c r="S1547" t="str">
        <f>IF(Q1547="CONTEXT","Fencing",IF(Q1547="REVIEW","",INDEX('Category Rules'!$E$5:$E$17,MATCH(P1547,'Category Rules'!$A$5:$A$17,0))))</f>
        <v>Fencing</v>
      </c>
      <c r="T1547" t="str">
        <f>IF(Q1547="DEP","BAS Excluded","GST on Income")</f>
        <v>GST on Income</v>
      </c>
      <c r="U1547">
        <f>IF(O1547=T1547,1,0)</f>
        <v>1</v>
      </c>
      <c r="V1547" s="9">
        <f>IF(OR(M1547=0,U1547=1),0,IF(T1547="GST on Income",ROUND(K1547*0.1,2),ROUND(-K1547*0.1,2)))</f>
        <v>0</v>
      </c>
    </row>
    <row r="1548">
      <c r="A1548" t="inlineStr">
        <is>
          <t>INV-5670-1</t>
        </is>
      </c>
      <c r="B1548" t="inlineStr">
        <is>
          <t>INV-5670</t>
        </is>
      </c>
      <c r="C1548" s="11" t="n">
        <v>46067</v>
      </c>
      <c r="D1548" t="inlineStr">
        <is>
          <t>2026-02</t>
        </is>
      </c>
      <c r="E1548" t="inlineStr">
        <is>
          <t>C0132</t>
        </is>
      </c>
      <c r="F1548" t="inlineStr">
        <is>
          <t>C0052</t>
        </is>
      </c>
      <c r="G1548" t="inlineStr">
        <is>
          <t>Bluegum Body Corporate Pty Ltd</t>
        </is>
      </c>
      <c r="H1548" t="inlineStr">
        <is>
          <t>S0419</t>
        </is>
      </c>
      <c r="I1548" t="inlineStr">
        <is>
          <t>Emergency make safe call-out - after hours</t>
        </is>
      </c>
      <c r="J1548" t="n">
        <v>1</v>
      </c>
      <c r="K1548" s="9" t="n">
        <v>560</v>
      </c>
      <c r="L1548" t="inlineStr">
        <is>
          <t>PAID</t>
        </is>
      </c>
      <c r="M1548">
        <f>IF(L1548="VOIDED",0,1)</f>
        <v>1</v>
      </c>
      <c r="N1548" t="n">
        <v>200</v>
      </c>
      <c r="O1548" t="inlineStr">
        <is>
          <t>GST on Income</t>
        </is>
      </c>
      <c r="P1548" t="inlineStr">
        <is>
          <t>R09</t>
        </is>
      </c>
      <c r="Q1548" t="inlineStr">
        <is>
          <t>MS</t>
        </is>
      </c>
      <c r="R1548">
        <f>IF(OR(Q1548="CONTEXT",Q1548="REVIEW"),"",INDEX('Category Rules'!$D$5:$D$17,MATCH(P1548,'Category Rules'!$A$5:$A$17,0)))</f>
        <v>4020</v>
      </c>
      <c r="S1548" t="str">
        <f>IF(Q1548="CONTEXT","Make-safe",IF(Q1548="REVIEW","",INDEX('Category Rules'!$E$5:$E$17,MATCH(P1548,'Category Rules'!$A$5:$A$17,0))))</f>
        <v>Make-safe</v>
      </c>
      <c r="T1548" t="str">
        <f>IF(Q1548="DEP","BAS Excluded","GST on Income")</f>
        <v>GST on Income</v>
      </c>
      <c r="U1548">
        <f>IF(O1548=T1548,1,0)</f>
        <v>1</v>
      </c>
      <c r="V1548" s="9">
        <f>IF(OR(M1548=0,U1548=1),0,IF(T1548="GST on Income",ROUND(K1548*0.1,2),ROUND(-K1548*0.1,2)))</f>
        <v>0</v>
      </c>
    </row>
    <row r="1549">
      <c r="A1549" t="inlineStr">
        <is>
          <t>INV-4624-1</t>
        </is>
      </c>
      <c r="B1549" t="inlineStr">
        <is>
          <t>INV-4624</t>
        </is>
      </c>
      <c r="C1549" s="11" t="n">
        <v>46068</v>
      </c>
      <c r="D1549" t="inlineStr">
        <is>
          <t>2026-02</t>
        </is>
      </c>
      <c r="E1549" t="inlineStr">
        <is>
          <t>C0022</t>
        </is>
      </c>
      <c r="F1549" t="inlineStr">
        <is>
          <t>C0022</t>
        </is>
      </c>
      <c r="G1549" t="inlineStr">
        <is>
          <t>Highpoint Projects</t>
        </is>
      </c>
      <c r="H1549" t="inlineStr">
        <is>
          <t>S0106</t>
        </is>
      </c>
      <c r="I1549" t="inlineStr">
        <is>
          <t>Temporary fence hire 2 wks (03/02/26-14/02/26) - 19 panels</t>
        </is>
      </c>
      <c r="J1549" t="n">
        <v>38</v>
      </c>
      <c r="K1549" s="9" t="n">
        <v>171</v>
      </c>
      <c r="L1549" t="inlineStr">
        <is>
          <t>PAID</t>
        </is>
      </c>
      <c r="M1549">
        <f>IF(L1549="VOIDED",0,1)</f>
        <v>1</v>
      </c>
      <c r="N1549" t="n">
        <v>200</v>
      </c>
      <c r="O1549" t="inlineStr">
        <is>
          <t>GST on Income</t>
        </is>
      </c>
      <c r="P1549" t="inlineStr">
        <is>
          <t>R03</t>
        </is>
      </c>
      <c r="Q1549" t="inlineStr">
        <is>
          <t>HIRE-FP</t>
        </is>
      </c>
      <c r="R1549">
        <f>IF(OR(Q1549="CONTEXT",Q1549="REVIEW"),"",INDEX('Category Rules'!$D$5:$D$17,MATCH(P1549,'Category Rules'!$A$5:$A$17,0)))</f>
        <v>4010</v>
      </c>
      <c r="S1549" t="str">
        <f>IF(Q1549="CONTEXT","Fencing",IF(Q1549="REVIEW","",INDEX('Category Rules'!$E$5:$E$17,MATCH(P1549,'Category Rules'!$A$5:$A$17,0))))</f>
        <v>Fencing</v>
      </c>
      <c r="T1549" t="str">
        <f>IF(Q1549="DEP","BAS Excluded","GST on Income")</f>
        <v>GST on Income</v>
      </c>
      <c r="U1549">
        <f>IF(O1549=T1549,1,0)</f>
        <v>1</v>
      </c>
      <c r="V1549" s="9">
        <f>IF(OR(M1549=0,U1549=1),0,IF(T1549="GST on Income",ROUND(K1549*0.1,2),ROUND(-K1549*0.1,2)))</f>
        <v>0</v>
      </c>
    </row>
    <row r="1550">
      <c r="A1550" t="inlineStr">
        <is>
          <t>INV-4626-1</t>
        </is>
      </c>
      <c r="B1550" t="inlineStr">
        <is>
          <t>INV-4626</t>
        </is>
      </c>
      <c r="C1550" s="11" t="n">
        <v>46068</v>
      </c>
      <c r="D1550" t="inlineStr">
        <is>
          <t>2026-02</t>
        </is>
      </c>
      <c r="E1550" t="inlineStr">
        <is>
          <t>C0022</t>
        </is>
      </c>
      <c r="F1550" t="inlineStr">
        <is>
          <t>C0022</t>
        </is>
      </c>
      <c r="G1550" t="inlineStr">
        <is>
          <t>Highpoint Projects</t>
        </is>
      </c>
      <c r="H1550" t="inlineStr">
        <is>
          <t>S0106</t>
        </is>
      </c>
      <c r="I1550" t="inlineStr">
        <is>
          <t>Collection and dismantle - temporary fencing</t>
        </is>
      </c>
      <c r="J1550" t="n">
        <v>1</v>
      </c>
      <c r="K1550" s="9" t="n">
        <v>165</v>
      </c>
      <c r="L1550" t="inlineStr">
        <is>
          <t>PAID</t>
        </is>
      </c>
      <c r="M1550">
        <f>IF(L1550="VOIDED",0,1)</f>
        <v>1</v>
      </c>
      <c r="N1550" t="n">
        <v>200</v>
      </c>
      <c r="O1550" t="inlineStr">
        <is>
          <t>GST on Income</t>
        </is>
      </c>
      <c r="P1550" t="inlineStr">
        <is>
          <t>R07</t>
        </is>
      </c>
      <c r="Q1550" t="inlineStr">
        <is>
          <t>DEL-FP</t>
        </is>
      </c>
      <c r="R1550">
        <f>IF(OR(Q1550="CONTEXT",Q1550="REVIEW"),"",INDEX('Category Rules'!$D$5:$D$17,MATCH(P1550,'Category Rules'!$A$5:$A$17,0)))</f>
        <v>4020</v>
      </c>
      <c r="S1550" t="str">
        <f>IF(Q1550="CONTEXT","Fencing",IF(Q1550="REVIEW","",INDEX('Category Rules'!$E$5:$E$17,MATCH(P1550,'Category Rules'!$A$5:$A$17,0))))</f>
        <v>Fencing</v>
      </c>
      <c r="T1550" t="str">
        <f>IF(Q1550="DEP","BAS Excluded","GST on Income")</f>
        <v>GST on Income</v>
      </c>
      <c r="U1550">
        <f>IF(O1550=T1550,1,0)</f>
        <v>1</v>
      </c>
      <c r="V1550" s="9">
        <f>IF(OR(M1550=0,U1550=1),0,IF(T1550="GST on Income",ROUND(K1550*0.1,2),ROUND(-K1550*0.1,2)))</f>
        <v>0</v>
      </c>
    </row>
    <row r="1551">
      <c r="A1551" t="inlineStr">
        <is>
          <t>INV-5007-1</t>
        </is>
      </c>
      <c r="B1551" t="inlineStr">
        <is>
          <t>INV-5007</t>
        </is>
      </c>
      <c r="C1551" s="11" t="n">
        <v>46068</v>
      </c>
      <c r="D1551" t="inlineStr">
        <is>
          <t>2026-02</t>
        </is>
      </c>
      <c r="E1551" t="inlineStr">
        <is>
          <t>C0072</t>
        </is>
      </c>
      <c r="F1551" t="inlineStr">
        <is>
          <t>C0072</t>
        </is>
      </c>
      <c r="G1551" t="inlineStr">
        <is>
          <t>Kingston City Council</t>
        </is>
      </c>
      <c r="H1551" t="inlineStr">
        <is>
          <t>S0196</t>
        </is>
      </c>
      <c r="I1551" t="inlineStr">
        <is>
          <t>Temporary fence hire 4 wks (18/01/26-14/02/26) - 122 panels</t>
        </is>
      </c>
      <c r="J1551" t="n">
        <v>488</v>
      </c>
      <c r="K1551" s="9" t="n">
        <v>2196</v>
      </c>
      <c r="L1551" t="inlineStr">
        <is>
          <t>PAID</t>
        </is>
      </c>
      <c r="M1551">
        <f>IF(L1551="VOIDED",0,1)</f>
        <v>1</v>
      </c>
      <c r="N1551" t="n">
        <v>200</v>
      </c>
      <c r="O1551" t="inlineStr">
        <is>
          <t>GST on Income</t>
        </is>
      </c>
      <c r="P1551" t="inlineStr">
        <is>
          <t>R03</t>
        </is>
      </c>
      <c r="Q1551" t="inlineStr">
        <is>
          <t>HIRE-FP</t>
        </is>
      </c>
      <c r="R1551">
        <f>IF(OR(Q1551="CONTEXT",Q1551="REVIEW"),"",INDEX('Category Rules'!$D$5:$D$17,MATCH(P1551,'Category Rules'!$A$5:$A$17,0)))</f>
        <v>4010</v>
      </c>
      <c r="S1551" t="str">
        <f>IF(Q1551="CONTEXT","Fencing",IF(Q1551="REVIEW","",INDEX('Category Rules'!$E$5:$E$17,MATCH(P1551,'Category Rules'!$A$5:$A$17,0))))</f>
        <v>Fencing</v>
      </c>
      <c r="T1551" t="str">
        <f>IF(Q1551="DEP","BAS Excluded","GST on Income")</f>
        <v>GST on Income</v>
      </c>
      <c r="U1551">
        <f>IF(O1551=T1551,1,0)</f>
        <v>1</v>
      </c>
      <c r="V1551" s="9">
        <f>IF(OR(M1551=0,U1551=1),0,IF(T1551="GST on Income",ROUND(K1551*0.1,2),ROUND(-K1551*0.1,2)))</f>
        <v>0</v>
      </c>
    </row>
    <row r="1552">
      <c r="A1552" t="inlineStr">
        <is>
          <t>INV-5744-1</t>
        </is>
      </c>
      <c r="B1552" t="inlineStr">
        <is>
          <t>INV-5744</t>
        </is>
      </c>
      <c r="C1552" s="11" t="n">
        <v>46068</v>
      </c>
      <c r="D1552" t="inlineStr">
        <is>
          <t>2026-02</t>
        </is>
      </c>
      <c r="E1552" t="inlineStr">
        <is>
          <t>C0059</t>
        </is>
      </c>
      <c r="F1552" t="inlineStr">
        <is>
          <t>C0059</t>
        </is>
      </c>
      <c r="G1552" t="inlineStr">
        <is>
          <t>Silverleaf Insurance Repairs Pty Ltd</t>
        </is>
      </c>
      <c r="H1552" t="inlineStr">
        <is>
          <t>S0457</t>
        </is>
      </c>
      <c r="I1552" t="inlineStr">
        <is>
          <t>Roof repair labour - 24 hrs</t>
        </is>
      </c>
      <c r="J1552" t="n">
        <v>24</v>
      </c>
      <c r="K1552" s="9" t="n">
        <v>2352</v>
      </c>
      <c r="L1552" t="inlineStr">
        <is>
          <t>PAID</t>
        </is>
      </c>
      <c r="M1552">
        <f>IF(L1552="VOIDED",0,1)</f>
        <v>1</v>
      </c>
      <c r="N1552" t="n">
        <v>200</v>
      </c>
      <c r="O1552" t="inlineStr">
        <is>
          <t>GST on Income</t>
        </is>
      </c>
      <c r="P1552" t="inlineStr">
        <is>
          <t>R10</t>
        </is>
      </c>
      <c r="Q1552" t="inlineStr">
        <is>
          <t>LAB-RF</t>
        </is>
      </c>
      <c r="R1552">
        <f>IF(OR(Q1552="CONTEXT",Q1552="REVIEW"),"",INDEX('Category Rules'!$D$5:$D$17,MATCH(P1552,'Category Rules'!$A$5:$A$17,0)))</f>
        <v>4020</v>
      </c>
      <c r="S1552" t="str">
        <f>IF(Q1552="CONTEXT","Roofing",IF(Q1552="REVIEW","",INDEX('Category Rules'!$E$5:$E$17,MATCH(P1552,'Category Rules'!$A$5:$A$17,0))))</f>
        <v>Roofing</v>
      </c>
      <c r="T1552" t="str">
        <f>IF(Q1552="DEP","BAS Excluded","GST on Income")</f>
        <v>GST on Income</v>
      </c>
      <c r="U1552">
        <f>IF(O1552=T1552,1,0)</f>
        <v>1</v>
      </c>
      <c r="V1552" s="9">
        <f>IF(OR(M1552=0,U1552=1),0,IF(T1552="GST on Income",ROUND(K1552*0.1,2),ROUND(-K1552*0.1,2)))</f>
        <v>0</v>
      </c>
    </row>
    <row r="1553">
      <c r="A1553" t="inlineStr">
        <is>
          <t>INV-5744-2</t>
        </is>
      </c>
      <c r="B1553" t="inlineStr">
        <is>
          <t>INV-5744</t>
        </is>
      </c>
      <c r="C1553" s="11" t="n">
        <v>46068</v>
      </c>
      <c r="D1553" t="inlineStr">
        <is>
          <t>2026-02</t>
        </is>
      </c>
      <c r="E1553" t="inlineStr">
        <is>
          <t>C0059</t>
        </is>
      </c>
      <c r="F1553" t="inlineStr">
        <is>
          <t>C0059</t>
        </is>
      </c>
      <c r="G1553" t="inlineStr">
        <is>
          <t>Silverleaf Insurance Repairs Pty Ltd</t>
        </is>
      </c>
      <c r="H1553" t="inlineStr">
        <is>
          <t>S0457</t>
        </is>
      </c>
      <c r="I1553" t="inlineStr">
        <is>
          <t>Materials - ridge capping</t>
        </is>
      </c>
      <c r="J1553" t="n">
        <v>1</v>
      </c>
      <c r="K1553" s="9" t="n">
        <v>969.6</v>
      </c>
      <c r="L1553" t="inlineStr">
        <is>
          <t>PAID</t>
        </is>
      </c>
      <c r="M1553">
        <f>IF(L1553="VOIDED",0,1)</f>
        <v>1</v>
      </c>
      <c r="N1553" t="n">
        <v>200</v>
      </c>
      <c r="O1553" t="inlineStr">
        <is>
          <t>GST on Income</t>
        </is>
      </c>
      <c r="P1553" t="inlineStr">
        <is>
          <t>R11</t>
        </is>
      </c>
      <c r="Q1553" t="inlineStr">
        <is>
          <t>MAT-RF</t>
        </is>
      </c>
      <c r="R1553">
        <f>IF(OR(Q1553="CONTEXT",Q1553="REVIEW"),"",INDEX('Category Rules'!$D$5:$D$17,MATCH(P1553,'Category Rules'!$A$5:$A$17,0)))</f>
        <v>4030</v>
      </c>
      <c r="S1553" t="str">
        <f>IF(Q1553="CONTEXT","Roofing",IF(Q1553="REVIEW","",INDEX('Category Rules'!$E$5:$E$17,MATCH(P1553,'Category Rules'!$A$5:$A$17,0))))</f>
        <v>Roofing</v>
      </c>
      <c r="T1553" t="str">
        <f>IF(Q1553="DEP","BAS Excluded","GST on Income")</f>
        <v>GST on Income</v>
      </c>
      <c r="U1553">
        <f>IF(O1553=T1553,1,0)</f>
        <v>1</v>
      </c>
      <c r="V1553" s="9">
        <f>IF(OR(M1553=0,U1553=1),0,IF(T1553="GST on Income",ROUND(K1553*0.1,2),ROUND(-K1553*0.1,2)))</f>
        <v>0</v>
      </c>
    </row>
    <row r="1554">
      <c r="A1554" t="inlineStr">
        <is>
          <t>INV-5744-3</t>
        </is>
      </c>
      <c r="B1554" t="inlineStr">
        <is>
          <t>INV-5744</t>
        </is>
      </c>
      <c r="C1554" s="11" t="n">
        <v>46068</v>
      </c>
      <c r="D1554" t="inlineStr">
        <is>
          <t>2026-02</t>
        </is>
      </c>
      <c r="E1554" t="inlineStr">
        <is>
          <t>C0059</t>
        </is>
      </c>
      <c r="F1554" t="inlineStr">
        <is>
          <t>C0059</t>
        </is>
      </c>
      <c r="G1554" t="inlineStr">
        <is>
          <t>Silverleaf Insurance Repairs Pty Ltd</t>
        </is>
      </c>
      <c r="H1554" t="inlineStr">
        <is>
          <t>S0457</t>
        </is>
      </c>
      <c r="I1554" t="inlineStr">
        <is>
          <t>Materials - Colorbond sheet</t>
        </is>
      </c>
      <c r="J1554" t="n">
        <v>1</v>
      </c>
      <c r="K1554" s="9" t="n">
        <v>538.02</v>
      </c>
      <c r="L1554" t="inlineStr">
        <is>
          <t>PAID</t>
        </is>
      </c>
      <c r="M1554">
        <f>IF(L1554="VOIDED",0,1)</f>
        <v>1</v>
      </c>
      <c r="N1554" t="n">
        <v>200</v>
      </c>
      <c r="O1554" t="inlineStr">
        <is>
          <t>GST on Income</t>
        </is>
      </c>
      <c r="P1554" t="inlineStr">
        <is>
          <t>R11</t>
        </is>
      </c>
      <c r="Q1554" t="inlineStr">
        <is>
          <t>MAT-RF</t>
        </is>
      </c>
      <c r="R1554">
        <f>IF(OR(Q1554="CONTEXT",Q1554="REVIEW"),"",INDEX('Category Rules'!$D$5:$D$17,MATCH(P1554,'Category Rules'!$A$5:$A$17,0)))</f>
        <v>4030</v>
      </c>
      <c r="S1554" t="str">
        <f>IF(Q1554="CONTEXT","Roofing",IF(Q1554="REVIEW","",INDEX('Category Rules'!$E$5:$E$17,MATCH(P1554,'Category Rules'!$A$5:$A$17,0))))</f>
        <v>Roofing</v>
      </c>
      <c r="T1554" t="str">
        <f>IF(Q1554="DEP","BAS Excluded","GST on Income")</f>
        <v>GST on Income</v>
      </c>
      <c r="U1554">
        <f>IF(O1554=T1554,1,0)</f>
        <v>1</v>
      </c>
      <c r="V1554" s="9">
        <f>IF(OR(M1554=0,U1554=1),0,IF(T1554="GST on Income",ROUND(K1554*0.1,2),ROUND(-K1554*0.1,2)))</f>
        <v>0</v>
      </c>
    </row>
    <row r="1555">
      <c r="A1555" t="inlineStr">
        <is>
          <t>INV-5744-4</t>
        </is>
      </c>
      <c r="B1555" t="inlineStr">
        <is>
          <t>INV-5744</t>
        </is>
      </c>
      <c r="C1555" s="11" t="n">
        <v>46068</v>
      </c>
      <c r="D1555" t="inlineStr">
        <is>
          <t>2026-02</t>
        </is>
      </c>
      <c r="E1555" t="inlineStr">
        <is>
          <t>C0059</t>
        </is>
      </c>
      <c r="F1555" t="inlineStr">
        <is>
          <t>C0059</t>
        </is>
      </c>
      <c r="G1555" t="inlineStr">
        <is>
          <t>Silverleaf Insurance Repairs Pty Ltd</t>
        </is>
      </c>
      <c r="H1555" t="inlineStr">
        <is>
          <t>S0457</t>
        </is>
      </c>
      <c r="I1555" t="inlineStr">
        <is>
          <t>Waste removal and tip fees</t>
        </is>
      </c>
      <c r="J1555" t="n">
        <v>1</v>
      </c>
      <c r="K1555" s="9" t="n">
        <v>120</v>
      </c>
      <c r="L1555" t="inlineStr">
        <is>
          <t>PAID</t>
        </is>
      </c>
      <c r="M1555">
        <f>IF(L1555="VOIDED",0,1)</f>
        <v>1</v>
      </c>
      <c r="N1555" t="n">
        <v>260</v>
      </c>
      <c r="O1555" t="inlineStr">
        <is>
          <t>GST on Income</t>
        </is>
      </c>
      <c r="P1555" t="inlineStr">
        <is>
          <t>R11</t>
        </is>
      </c>
      <c r="Q1555" t="inlineStr">
        <is>
          <t>MAT-RF</t>
        </is>
      </c>
      <c r="R1555">
        <f>IF(OR(Q1555="CONTEXT",Q1555="REVIEW"),"",INDEX('Category Rules'!$D$5:$D$17,MATCH(P1555,'Category Rules'!$A$5:$A$17,0)))</f>
        <v>4030</v>
      </c>
      <c r="S1555" t="str">
        <f>IF(Q1555="CONTEXT","Roofing",IF(Q1555="REVIEW","",INDEX('Category Rules'!$E$5:$E$17,MATCH(P1555,'Category Rules'!$A$5:$A$17,0))))</f>
        <v>Roofing</v>
      </c>
      <c r="T1555" t="str">
        <f>IF(Q1555="DEP","BAS Excluded","GST on Income")</f>
        <v>GST on Income</v>
      </c>
      <c r="U1555">
        <f>IF(O1555=T1555,1,0)</f>
        <v>1</v>
      </c>
      <c r="V1555" s="9">
        <f>IF(OR(M1555=0,U1555=1),0,IF(T1555="GST on Income",ROUND(K1555*0.1,2),ROUND(-K1555*0.1,2)))</f>
        <v>0</v>
      </c>
    </row>
    <row r="1556">
      <c r="A1556" t="inlineStr">
        <is>
          <t>INV-5862-1</t>
        </is>
      </c>
      <c r="B1556" t="inlineStr">
        <is>
          <t>INV-5862</t>
        </is>
      </c>
      <c r="C1556" s="11" t="n">
        <v>46069</v>
      </c>
      <c r="D1556" t="inlineStr">
        <is>
          <t>2026-02</t>
        </is>
      </c>
      <c r="E1556" t="inlineStr">
        <is>
          <t>C0120</t>
        </is>
      </c>
      <c r="F1556" t="inlineStr">
        <is>
          <t>C0120</t>
        </is>
      </c>
      <c r="G1556" t="inlineStr">
        <is>
          <t>Northgate Building Group</t>
        </is>
      </c>
      <c r="H1556" t="inlineStr">
        <is>
          <t>S0528</t>
        </is>
      </c>
      <c r="I1556" t="inlineStr">
        <is>
          <t>Tarp kit hire 4 wks (25/01/26-15/02/26) - 3 kits</t>
        </is>
      </c>
      <c r="J1556" t="n">
        <v>12</v>
      </c>
      <c r="K1556" s="9" t="n">
        <v>420</v>
      </c>
      <c r="L1556" t="inlineStr">
        <is>
          <t>PAID</t>
        </is>
      </c>
      <c r="M1556">
        <f>IF(L1556="VOIDED",0,1)</f>
        <v>1</v>
      </c>
      <c r="N1556" t="n">
        <v>200</v>
      </c>
      <c r="O1556" t="inlineStr">
        <is>
          <t>GST on Income</t>
        </is>
      </c>
      <c r="P1556" t="inlineStr">
        <is>
          <t>R06</t>
        </is>
      </c>
      <c r="Q1556" t="inlineStr">
        <is>
          <t>HIRE-TK</t>
        </is>
      </c>
      <c r="R1556">
        <f>IF(OR(Q1556="CONTEXT",Q1556="REVIEW"),"",INDEX('Category Rules'!$D$5:$D$17,MATCH(P1556,'Category Rules'!$A$5:$A$17,0)))</f>
        <v>4010</v>
      </c>
      <c r="S1556" t="str">
        <f>IF(Q1556="CONTEXT","Make-safe",IF(Q1556="REVIEW","",INDEX('Category Rules'!$E$5:$E$17,MATCH(P1556,'Category Rules'!$A$5:$A$17,0))))</f>
        <v>Make-safe</v>
      </c>
      <c r="T1556" t="str">
        <f>IF(Q1556="DEP","BAS Excluded","GST on Income")</f>
        <v>GST on Income</v>
      </c>
      <c r="U1556">
        <f>IF(O1556=T1556,1,0)</f>
        <v>1</v>
      </c>
      <c r="V1556" s="9">
        <f>IF(OR(M1556=0,U1556=1),0,IF(T1556="GST on Income",ROUND(K1556*0.1,2),ROUND(-K1556*0.1,2)))</f>
        <v>0</v>
      </c>
    </row>
    <row r="1557">
      <c r="A1557" t="inlineStr">
        <is>
          <t>INV-4402-1</t>
        </is>
      </c>
      <c r="B1557" t="inlineStr">
        <is>
          <t>INV-4402</t>
        </is>
      </c>
      <c r="C1557" s="11" t="n">
        <v>46070</v>
      </c>
      <c r="D1557" t="inlineStr">
        <is>
          <t>2026-02</t>
        </is>
      </c>
      <c r="E1557" t="inlineStr">
        <is>
          <t>C0119</t>
        </is>
      </c>
      <c r="F1557" t="inlineStr">
        <is>
          <t>C0119</t>
        </is>
      </c>
      <c r="G1557" t="inlineStr">
        <is>
          <t>Northgate Builders Pty Ltd</t>
        </is>
      </c>
      <c r="H1557" t="inlineStr">
        <is>
          <t>S0062</t>
        </is>
      </c>
      <c r="I1557" t="inlineStr">
        <is>
          <t>Temporary fence hire 4 wks (20/01/26-16/02/26) - 135 panels</t>
        </is>
      </c>
      <c r="J1557" t="n">
        <v>540</v>
      </c>
      <c r="K1557" s="9" t="n">
        <v>2430</v>
      </c>
      <c r="L1557" t="inlineStr">
        <is>
          <t>PAID</t>
        </is>
      </c>
      <c r="M1557">
        <f>IF(L1557="VOIDED",0,1)</f>
        <v>1</v>
      </c>
      <c r="N1557" t="n">
        <v>200</v>
      </c>
      <c r="O1557" t="inlineStr">
        <is>
          <t>GST on Income</t>
        </is>
      </c>
      <c r="P1557" t="inlineStr">
        <is>
          <t>R03</t>
        </is>
      </c>
      <c r="Q1557" t="inlineStr">
        <is>
          <t>HIRE-FP</t>
        </is>
      </c>
      <c r="R1557">
        <f>IF(OR(Q1557="CONTEXT",Q1557="REVIEW"),"",INDEX('Category Rules'!$D$5:$D$17,MATCH(P1557,'Category Rules'!$A$5:$A$17,0)))</f>
        <v>4010</v>
      </c>
      <c r="S1557" t="str">
        <f>IF(Q1557="CONTEXT","Fencing",IF(Q1557="REVIEW","",INDEX('Category Rules'!$E$5:$E$17,MATCH(P1557,'Category Rules'!$A$5:$A$17,0))))</f>
        <v>Fencing</v>
      </c>
      <c r="T1557" t="str">
        <f>IF(Q1557="DEP","BAS Excluded","GST on Income")</f>
        <v>GST on Income</v>
      </c>
      <c r="U1557">
        <f>IF(O1557=T1557,1,0)</f>
        <v>1</v>
      </c>
      <c r="V1557" s="9">
        <f>IF(OR(M1557=0,U1557=1),0,IF(T1557="GST on Income",ROUND(K1557*0.1,2),ROUND(-K1557*0.1,2)))</f>
        <v>0</v>
      </c>
    </row>
    <row r="1558">
      <c r="A1558" t="inlineStr">
        <is>
          <t>INV-4411-1</t>
        </is>
      </c>
      <c r="B1558" t="inlineStr">
        <is>
          <t>INV-4411</t>
        </is>
      </c>
      <c r="C1558" s="11" t="n">
        <v>46070</v>
      </c>
      <c r="D1558" t="inlineStr">
        <is>
          <t>2026-02</t>
        </is>
      </c>
      <c r="E1558" t="inlineStr">
        <is>
          <t>C0119</t>
        </is>
      </c>
      <c r="F1558" t="inlineStr">
        <is>
          <t>C0119</t>
        </is>
      </c>
      <c r="G1558" t="inlineStr">
        <is>
          <t>Northgate Builders Pty Ltd</t>
        </is>
      </c>
      <c r="H1558" t="inlineStr">
        <is>
          <t>S0062</t>
        </is>
      </c>
      <c r="I1558" t="inlineStr">
        <is>
          <t>Pedestrian barrier hire 4 wks (20/01/26-16/02/26) - 19 barriers</t>
        </is>
      </c>
      <c r="J1558" t="n">
        <v>76</v>
      </c>
      <c r="K1558" s="9" t="n">
        <v>243.2</v>
      </c>
      <c r="L1558" t="inlineStr">
        <is>
          <t>PAID</t>
        </is>
      </c>
      <c r="M1558">
        <f>IF(L1558="VOIDED",0,1)</f>
        <v>1</v>
      </c>
      <c r="N1558" t="n">
        <v>200</v>
      </c>
      <c r="O1558" t="inlineStr">
        <is>
          <t>GST on Income</t>
        </is>
      </c>
      <c r="P1558" t="inlineStr">
        <is>
          <t>R04</t>
        </is>
      </c>
      <c r="Q1558" t="inlineStr">
        <is>
          <t>HIRE-BR</t>
        </is>
      </c>
      <c r="R1558">
        <f>IF(OR(Q1558="CONTEXT",Q1558="REVIEW"),"",INDEX('Category Rules'!$D$5:$D$17,MATCH(P1558,'Category Rules'!$A$5:$A$17,0)))</f>
        <v>4010</v>
      </c>
      <c r="S1558" t="str">
        <f>IF(Q1558="CONTEXT","Fencing",IF(Q1558="REVIEW","",INDEX('Category Rules'!$E$5:$E$17,MATCH(P1558,'Category Rules'!$A$5:$A$17,0))))</f>
        <v>Fencing</v>
      </c>
      <c r="T1558" t="str">
        <f>IF(Q1558="DEP","BAS Excluded","GST on Income")</f>
        <v>GST on Income</v>
      </c>
      <c r="U1558">
        <f>IF(O1558=T1558,1,0)</f>
        <v>1</v>
      </c>
      <c r="V1558" s="9">
        <f>IF(OR(M1558=0,U1558=1),0,IF(T1558="GST on Income",ROUND(K1558*0.1,2),ROUND(-K1558*0.1,2)))</f>
        <v>0</v>
      </c>
    </row>
    <row r="1559">
      <c r="A1559" t="inlineStr">
        <is>
          <t>INV-5059-1</t>
        </is>
      </c>
      <c r="B1559" t="inlineStr">
        <is>
          <t>INV-5059</t>
        </is>
      </c>
      <c r="C1559" s="11" t="n">
        <v>46070</v>
      </c>
      <c r="D1559" t="inlineStr">
        <is>
          <t>2026-02</t>
        </is>
      </c>
      <c r="E1559" t="inlineStr">
        <is>
          <t>C0025</t>
        </is>
      </c>
      <c r="F1559" t="inlineStr">
        <is>
          <t>C0025</t>
        </is>
      </c>
      <c r="G1559" t="inlineStr">
        <is>
          <t>Silverleaf Building Group Pty Ltd</t>
        </is>
      </c>
      <c r="H1559" t="inlineStr">
        <is>
          <t>S0205</t>
        </is>
      </c>
      <c r="I1559" t="inlineStr">
        <is>
          <t>Temporary fence hire 4 wks (20/01/26-16/02/26) - 93 panels</t>
        </is>
      </c>
      <c r="J1559" t="n">
        <v>372</v>
      </c>
      <c r="K1559" s="9" t="n">
        <v>1674</v>
      </c>
      <c r="L1559" t="inlineStr">
        <is>
          <t>PAID</t>
        </is>
      </c>
      <c r="M1559">
        <f>IF(L1559="VOIDED",0,1)</f>
        <v>1</v>
      </c>
      <c r="N1559" t="n">
        <v>200</v>
      </c>
      <c r="O1559" t="inlineStr">
        <is>
          <t>GST on Income</t>
        </is>
      </c>
      <c r="P1559" t="inlineStr">
        <is>
          <t>R03</t>
        </is>
      </c>
      <c r="Q1559" t="inlineStr">
        <is>
          <t>HIRE-FP</t>
        </is>
      </c>
      <c r="R1559">
        <f>IF(OR(Q1559="CONTEXT",Q1559="REVIEW"),"",INDEX('Category Rules'!$D$5:$D$17,MATCH(P1559,'Category Rules'!$A$5:$A$17,0)))</f>
        <v>4010</v>
      </c>
      <c r="S1559" t="str">
        <f>IF(Q1559="CONTEXT","Fencing",IF(Q1559="REVIEW","",INDEX('Category Rules'!$E$5:$E$17,MATCH(P1559,'Category Rules'!$A$5:$A$17,0))))</f>
        <v>Fencing</v>
      </c>
      <c r="T1559" t="str">
        <f>IF(Q1559="DEP","BAS Excluded","GST on Income")</f>
        <v>GST on Income</v>
      </c>
      <c r="U1559">
        <f>IF(O1559=T1559,1,0)</f>
        <v>1</v>
      </c>
      <c r="V1559" s="9">
        <f>IF(OR(M1559=0,U1559=1),0,IF(T1559="GST on Income",ROUND(K1559*0.1,2),ROUND(-K1559*0.1,2)))</f>
        <v>0</v>
      </c>
    </row>
    <row r="1560">
      <c r="A1560" t="inlineStr">
        <is>
          <t>INV-5322-1</t>
        </is>
      </c>
      <c r="B1560" t="inlineStr">
        <is>
          <t>INV-5322</t>
        </is>
      </c>
      <c r="C1560" s="11" t="n">
        <v>46070</v>
      </c>
      <c r="D1560" t="inlineStr">
        <is>
          <t>2026-02</t>
        </is>
      </c>
      <c r="E1560" t="inlineStr">
        <is>
          <t>C0019</t>
        </is>
      </c>
      <c r="F1560" t="inlineStr">
        <is>
          <t>C0019</t>
        </is>
      </c>
      <c r="G1560" t="inlineStr">
        <is>
          <t>Metro Developments</t>
        </is>
      </c>
      <c r="H1560" t="inlineStr">
        <is>
          <t>S0265</t>
        </is>
      </c>
      <c r="I1560" t="inlineStr">
        <is>
          <t>Scaffold tower hire 4 wks (20/01/26-16/02/26) - 1 towers</t>
        </is>
      </c>
      <c r="J1560" t="n">
        <v>4</v>
      </c>
      <c r="K1560" s="9" t="n">
        <v>380</v>
      </c>
      <c r="L1560" t="inlineStr">
        <is>
          <t>PAID</t>
        </is>
      </c>
      <c r="M1560">
        <f>IF(L1560="VOIDED",0,1)</f>
        <v>1</v>
      </c>
      <c r="N1560" t="n">
        <v>200</v>
      </c>
      <c r="O1560" t="inlineStr">
        <is>
          <t>GST on Income</t>
        </is>
      </c>
      <c r="P1560" t="inlineStr">
        <is>
          <t>R05</t>
        </is>
      </c>
      <c r="Q1560" t="inlineStr">
        <is>
          <t>HIRE-ST</t>
        </is>
      </c>
      <c r="R1560">
        <f>IF(OR(Q1560="CONTEXT",Q1560="REVIEW"),"",INDEX('Category Rules'!$D$5:$D$17,MATCH(P1560,'Category Rules'!$A$5:$A$17,0)))</f>
        <v>4010</v>
      </c>
      <c r="S1560" t="str">
        <f>IF(Q1560="CONTEXT","Scaffolding",IF(Q1560="REVIEW","",INDEX('Category Rules'!$E$5:$E$17,MATCH(P1560,'Category Rules'!$A$5:$A$17,0))))</f>
        <v>Scaffolding</v>
      </c>
      <c r="T1560" t="str">
        <f>IF(Q1560="DEP","BAS Excluded","GST on Income")</f>
        <v>GST on Income</v>
      </c>
      <c r="U1560">
        <f>IF(O1560=T1560,1,0)</f>
        <v>1</v>
      </c>
      <c r="V1560" s="9">
        <f>IF(OR(M1560=0,U1560=1),0,IF(T1560="GST on Income",ROUND(K1560*0.1,2),ROUND(-K1560*0.1,2)))</f>
        <v>0</v>
      </c>
    </row>
    <row r="1561">
      <c r="A1561" t="inlineStr">
        <is>
          <t>INV-5729-1</t>
        </is>
      </c>
      <c r="B1561" t="inlineStr">
        <is>
          <t>INV-5729</t>
        </is>
      </c>
      <c r="C1561" s="11" t="n">
        <v>46070</v>
      </c>
      <c r="D1561" t="inlineStr">
        <is>
          <t>2026-02</t>
        </is>
      </c>
      <c r="E1561" t="inlineStr">
        <is>
          <t>C0029</t>
        </is>
      </c>
      <c r="F1561" t="inlineStr">
        <is>
          <t>C0029</t>
        </is>
      </c>
      <c r="G1561" t="inlineStr">
        <is>
          <t>Ironbark Constructions</t>
        </is>
      </c>
      <c r="H1561" t="inlineStr">
        <is>
          <t>S0449</t>
        </is>
      </c>
      <c r="I1561" t="inlineStr">
        <is>
          <t>Emergency make safe call-out - after hours</t>
        </is>
      </c>
      <c r="J1561" t="n">
        <v>1</v>
      </c>
      <c r="K1561" s="9" t="n">
        <v>560</v>
      </c>
      <c r="L1561" t="inlineStr">
        <is>
          <t>PAID</t>
        </is>
      </c>
      <c r="M1561">
        <f>IF(L1561="VOIDED",0,1)</f>
        <v>1</v>
      </c>
      <c r="N1561" t="n">
        <v>200</v>
      </c>
      <c r="O1561" t="inlineStr">
        <is>
          <t>GST on Income</t>
        </is>
      </c>
      <c r="P1561" t="inlineStr">
        <is>
          <t>R09</t>
        </is>
      </c>
      <c r="Q1561" t="inlineStr">
        <is>
          <t>MS</t>
        </is>
      </c>
      <c r="R1561">
        <f>IF(OR(Q1561="CONTEXT",Q1561="REVIEW"),"",INDEX('Category Rules'!$D$5:$D$17,MATCH(P1561,'Category Rules'!$A$5:$A$17,0)))</f>
        <v>4020</v>
      </c>
      <c r="S1561" t="str">
        <f>IF(Q1561="CONTEXT","Make-safe",IF(Q1561="REVIEW","",INDEX('Category Rules'!$E$5:$E$17,MATCH(P1561,'Category Rules'!$A$5:$A$17,0))))</f>
        <v>Make-safe</v>
      </c>
      <c r="T1561" t="str">
        <f>IF(Q1561="DEP","BAS Excluded","GST on Income")</f>
        <v>GST on Income</v>
      </c>
      <c r="U1561">
        <f>IF(O1561=T1561,1,0)</f>
        <v>1</v>
      </c>
      <c r="V1561" s="9">
        <f>IF(OR(M1561=0,U1561=1),0,IF(T1561="GST on Income",ROUND(K1561*0.1,2),ROUND(-K1561*0.1,2)))</f>
        <v>0</v>
      </c>
    </row>
    <row r="1562">
      <c r="A1562" t="inlineStr">
        <is>
          <t>INV-5729-2</t>
        </is>
      </c>
      <c r="B1562" t="inlineStr">
        <is>
          <t>INV-5729</t>
        </is>
      </c>
      <c r="C1562" s="11" t="n">
        <v>46070</v>
      </c>
      <c r="D1562" t="inlineStr">
        <is>
          <t>2026-02</t>
        </is>
      </c>
      <c r="E1562" t="inlineStr">
        <is>
          <t>C0029</t>
        </is>
      </c>
      <c r="F1562" t="inlineStr">
        <is>
          <t>C0029</t>
        </is>
      </c>
      <c r="G1562" t="inlineStr">
        <is>
          <t>Ironbark Constructions</t>
        </is>
      </c>
      <c r="H1562" t="inlineStr">
        <is>
          <t>S0449</t>
        </is>
      </c>
      <c r="I1562" t="inlineStr">
        <is>
          <t>Tarp supply and install - 1 tarp(s)</t>
        </is>
      </c>
      <c r="J1562" t="n">
        <v>1</v>
      </c>
      <c r="K1562" s="9" t="n">
        <v>240</v>
      </c>
      <c r="L1562" t="inlineStr">
        <is>
          <t>PAID</t>
        </is>
      </c>
      <c r="M1562">
        <f>IF(L1562="VOIDED",0,1)</f>
        <v>1</v>
      </c>
      <c r="N1562" t="n">
        <v>200</v>
      </c>
      <c r="O1562" t="inlineStr">
        <is>
          <t>GST on Income</t>
        </is>
      </c>
      <c r="P1562" t="inlineStr">
        <is>
          <t>R09</t>
        </is>
      </c>
      <c r="Q1562" t="inlineStr">
        <is>
          <t>MS</t>
        </is>
      </c>
      <c r="R1562">
        <f>IF(OR(Q1562="CONTEXT",Q1562="REVIEW"),"",INDEX('Category Rules'!$D$5:$D$17,MATCH(P1562,'Category Rules'!$A$5:$A$17,0)))</f>
        <v>4020</v>
      </c>
      <c r="S1562" t="str">
        <f>IF(Q1562="CONTEXT","Make-safe",IF(Q1562="REVIEW","",INDEX('Category Rules'!$E$5:$E$17,MATCH(P1562,'Category Rules'!$A$5:$A$17,0))))</f>
        <v>Make-safe</v>
      </c>
      <c r="T1562" t="str">
        <f>IF(Q1562="DEP","BAS Excluded","GST on Income")</f>
        <v>GST on Income</v>
      </c>
      <c r="U1562">
        <f>IF(O1562=T1562,1,0)</f>
        <v>1</v>
      </c>
      <c r="V1562" s="9">
        <f>IF(OR(M1562=0,U1562=1),0,IF(T1562="GST on Income",ROUND(K1562*0.1,2),ROUND(-K1562*0.1,2)))</f>
        <v>0</v>
      </c>
    </row>
    <row r="1563">
      <c r="A1563" t="inlineStr">
        <is>
          <t>INV-4145-1</t>
        </is>
      </c>
      <c r="B1563" t="inlineStr">
        <is>
          <t>INV-4145</t>
        </is>
      </c>
      <c r="C1563" s="11" t="n">
        <v>46071</v>
      </c>
      <c r="D1563" t="inlineStr">
        <is>
          <t>2026-02</t>
        </is>
      </c>
      <c r="E1563" t="inlineStr">
        <is>
          <t>C0133</t>
        </is>
      </c>
      <c r="F1563" t="inlineStr">
        <is>
          <t>C0014</t>
        </is>
      </c>
      <c r="G1563" t="inlineStr">
        <is>
          <t>Riverbend Homes Pty Ltd</t>
        </is>
      </c>
      <c r="H1563" t="inlineStr">
        <is>
          <t>S0008</t>
        </is>
      </c>
      <c r="I1563" t="inlineStr">
        <is>
          <t>Delivery and installation - temporary fencing</t>
        </is>
      </c>
      <c r="J1563" t="n">
        <v>1</v>
      </c>
      <c r="K1563" s="9" t="n">
        <v>165</v>
      </c>
      <c r="L1563" t="inlineStr">
        <is>
          <t>PAID</t>
        </is>
      </c>
      <c r="M1563">
        <f>IF(L1563="VOIDED",0,1)</f>
        <v>1</v>
      </c>
      <c r="N1563" t="n">
        <v>200</v>
      </c>
      <c r="O1563" t="inlineStr">
        <is>
          <t>GST on Income</t>
        </is>
      </c>
      <c r="P1563" t="inlineStr">
        <is>
          <t>R07</t>
        </is>
      </c>
      <c r="Q1563" t="inlineStr">
        <is>
          <t>DEL-FP</t>
        </is>
      </c>
      <c r="R1563">
        <f>IF(OR(Q1563="CONTEXT",Q1563="REVIEW"),"",INDEX('Category Rules'!$D$5:$D$17,MATCH(P1563,'Category Rules'!$A$5:$A$17,0)))</f>
        <v>4020</v>
      </c>
      <c r="S1563" t="str">
        <f>IF(Q1563="CONTEXT","Fencing",IF(Q1563="REVIEW","",INDEX('Category Rules'!$E$5:$E$17,MATCH(P1563,'Category Rules'!$A$5:$A$17,0))))</f>
        <v>Fencing</v>
      </c>
      <c r="T1563" t="str">
        <f>IF(Q1563="DEP","BAS Excluded","GST on Income")</f>
        <v>GST on Income</v>
      </c>
      <c r="U1563">
        <f>IF(O1563=T1563,1,0)</f>
        <v>1</v>
      </c>
      <c r="V1563" s="9">
        <f>IF(OR(M1563=0,U1563=1),0,IF(T1563="GST on Income",ROUND(K1563*0.1,2),ROUND(-K1563*0.1,2)))</f>
        <v>0</v>
      </c>
    </row>
    <row r="1564">
      <c r="A1564" t="inlineStr">
        <is>
          <t>INV-4145-2</t>
        </is>
      </c>
      <c r="B1564" t="inlineStr">
        <is>
          <t>INV-4145</t>
        </is>
      </c>
      <c r="C1564" s="11" t="n">
        <v>46071</v>
      </c>
      <c r="D1564" t="inlineStr">
        <is>
          <t>2026-02</t>
        </is>
      </c>
      <c r="E1564" t="inlineStr">
        <is>
          <t>C0133</t>
        </is>
      </c>
      <c r="F1564" t="inlineStr">
        <is>
          <t>C0014</t>
        </is>
      </c>
      <c r="G1564" t="inlineStr">
        <is>
          <t>Riverbend Homes Pty Ltd</t>
        </is>
      </c>
      <c r="H1564" t="inlineStr">
        <is>
          <t>S0008</t>
        </is>
      </c>
      <c r="I1564" t="inlineStr">
        <is>
          <t>Installation labour - 62 panels @ 2.20</t>
        </is>
      </c>
      <c r="J1564" t="n">
        <v>62</v>
      </c>
      <c r="K1564" s="9" t="n">
        <v>136.4</v>
      </c>
      <c r="L1564" t="inlineStr">
        <is>
          <t>PAID</t>
        </is>
      </c>
      <c r="M1564">
        <f>IF(L1564="VOIDED",0,1)</f>
        <v>1</v>
      </c>
      <c r="N1564" t="n">
        <v>200</v>
      </c>
      <c r="O1564" t="inlineStr">
        <is>
          <t>GST on Income</t>
        </is>
      </c>
      <c r="P1564" t="inlineStr">
        <is>
          <t>R07</t>
        </is>
      </c>
      <c r="Q1564" t="inlineStr">
        <is>
          <t>DEL-FP</t>
        </is>
      </c>
      <c r="R1564">
        <f>IF(OR(Q1564="CONTEXT",Q1564="REVIEW"),"",INDEX('Category Rules'!$D$5:$D$17,MATCH(P1564,'Category Rules'!$A$5:$A$17,0)))</f>
        <v>4020</v>
      </c>
      <c r="S1564" t="str">
        <f>IF(Q1564="CONTEXT","Fencing",IF(Q1564="REVIEW","",INDEX('Category Rules'!$E$5:$E$17,MATCH(P1564,'Category Rules'!$A$5:$A$17,0))))</f>
        <v>Fencing</v>
      </c>
      <c r="T1564" t="str">
        <f>IF(Q1564="DEP","BAS Excluded","GST on Income")</f>
        <v>GST on Income</v>
      </c>
      <c r="U1564">
        <f>IF(O1564=T1564,1,0)</f>
        <v>1</v>
      </c>
      <c r="V1564" s="9">
        <f>IF(OR(M1564=0,U1564=1),0,IF(T1564="GST on Income",ROUND(K1564*0.1,2),ROUND(-K1564*0.1,2)))</f>
        <v>0</v>
      </c>
    </row>
    <row r="1565">
      <c r="A1565" t="inlineStr">
        <is>
          <t>INV-4258-1</t>
        </is>
      </c>
      <c r="B1565" t="inlineStr">
        <is>
          <t>INV-4258</t>
        </is>
      </c>
      <c r="C1565" s="11" t="n">
        <v>46071</v>
      </c>
      <c r="D1565" t="inlineStr">
        <is>
          <t>2026-02</t>
        </is>
      </c>
      <c r="E1565" t="inlineStr">
        <is>
          <t>C0024</t>
        </is>
      </c>
      <c r="F1565" t="inlineStr">
        <is>
          <t>C0024</t>
        </is>
      </c>
      <c r="G1565" t="inlineStr">
        <is>
          <t>Parkview Homes Pty Ltd</t>
        </is>
      </c>
      <c r="H1565" t="inlineStr">
        <is>
          <t>S0034</t>
        </is>
      </c>
      <c r="I1565" t="inlineStr">
        <is>
          <t>Temporary fence hire 4 wks (21/01/26-17/02/26) - 28 panels</t>
        </is>
      </c>
      <c r="J1565" t="n">
        <v>112</v>
      </c>
      <c r="K1565" s="9" t="n">
        <v>504</v>
      </c>
      <c r="L1565" t="inlineStr">
        <is>
          <t>PAID</t>
        </is>
      </c>
      <c r="M1565">
        <f>IF(L1565="VOIDED",0,1)</f>
        <v>1</v>
      </c>
      <c r="N1565" t="n">
        <v>200</v>
      </c>
      <c r="O1565" t="inlineStr">
        <is>
          <t>GST on Income</t>
        </is>
      </c>
      <c r="P1565" t="inlineStr">
        <is>
          <t>R03</t>
        </is>
      </c>
      <c r="Q1565" t="inlineStr">
        <is>
          <t>HIRE-FP</t>
        </is>
      </c>
      <c r="R1565">
        <f>IF(OR(Q1565="CONTEXT",Q1565="REVIEW"),"",INDEX('Category Rules'!$D$5:$D$17,MATCH(P1565,'Category Rules'!$A$5:$A$17,0)))</f>
        <v>4010</v>
      </c>
      <c r="S1565" t="str">
        <f>IF(Q1565="CONTEXT","Fencing",IF(Q1565="REVIEW","",INDEX('Category Rules'!$E$5:$E$17,MATCH(P1565,'Category Rules'!$A$5:$A$17,0))))</f>
        <v>Fencing</v>
      </c>
      <c r="T1565" t="str">
        <f>IF(Q1565="DEP","BAS Excluded","GST on Income")</f>
        <v>GST on Income</v>
      </c>
      <c r="U1565">
        <f>IF(O1565=T1565,1,0)</f>
        <v>1</v>
      </c>
      <c r="V1565" s="9">
        <f>IF(OR(M1565=0,U1565=1),0,IF(T1565="GST on Income",ROUND(K1565*0.1,2),ROUND(-K1565*0.1,2)))</f>
        <v>0</v>
      </c>
    </row>
    <row r="1566">
      <c r="A1566" t="inlineStr">
        <is>
          <t>INV-4263-1</t>
        </is>
      </c>
      <c r="B1566" t="inlineStr">
        <is>
          <t>INV-4263</t>
        </is>
      </c>
      <c r="C1566" s="11" t="n">
        <v>46071</v>
      </c>
      <c r="D1566" t="inlineStr">
        <is>
          <t>2026-02</t>
        </is>
      </c>
      <c r="E1566" t="inlineStr">
        <is>
          <t>C0024</t>
        </is>
      </c>
      <c r="F1566" t="inlineStr">
        <is>
          <t>C0024</t>
        </is>
      </c>
      <c r="G1566" t="inlineStr">
        <is>
          <t>Parkview Homes Pty Ltd</t>
        </is>
      </c>
      <c r="H1566" t="inlineStr">
        <is>
          <t>S0034</t>
        </is>
      </c>
      <c r="I1566" t="inlineStr">
        <is>
          <t>Pedestrian barrier hire 4 wks (21/01/26-17/02/26) - 16 barriers</t>
        </is>
      </c>
      <c r="J1566" t="n">
        <v>64</v>
      </c>
      <c r="K1566" s="9" t="n">
        <v>204.8</v>
      </c>
      <c r="L1566" t="inlineStr">
        <is>
          <t>PAID</t>
        </is>
      </c>
      <c r="M1566">
        <f>IF(L1566="VOIDED",0,1)</f>
        <v>1</v>
      </c>
      <c r="N1566" t="n">
        <v>200</v>
      </c>
      <c r="O1566" t="inlineStr">
        <is>
          <t>GST on Income</t>
        </is>
      </c>
      <c r="P1566" t="inlineStr">
        <is>
          <t>R04</t>
        </is>
      </c>
      <c r="Q1566" t="inlineStr">
        <is>
          <t>HIRE-BR</t>
        </is>
      </c>
      <c r="R1566">
        <f>IF(OR(Q1566="CONTEXT",Q1566="REVIEW"),"",INDEX('Category Rules'!$D$5:$D$17,MATCH(P1566,'Category Rules'!$A$5:$A$17,0)))</f>
        <v>4010</v>
      </c>
      <c r="S1566" t="str">
        <f>IF(Q1566="CONTEXT","Fencing",IF(Q1566="REVIEW","",INDEX('Category Rules'!$E$5:$E$17,MATCH(P1566,'Category Rules'!$A$5:$A$17,0))))</f>
        <v>Fencing</v>
      </c>
      <c r="T1566" t="str">
        <f>IF(Q1566="DEP","BAS Excluded","GST on Income")</f>
        <v>GST on Income</v>
      </c>
      <c r="U1566">
        <f>IF(O1566=T1566,1,0)</f>
        <v>1</v>
      </c>
      <c r="V1566" s="9">
        <f>IF(OR(M1566=0,U1566=1),0,IF(T1566="GST on Income",ROUND(K1566*0.1,2),ROUND(-K1566*0.1,2)))</f>
        <v>0</v>
      </c>
    </row>
    <row r="1567">
      <c r="A1567" t="inlineStr">
        <is>
          <t>INV-4934-1</t>
        </is>
      </c>
      <c r="B1567" t="inlineStr">
        <is>
          <t>INV-4934</t>
        </is>
      </c>
      <c r="C1567" s="11" t="n">
        <v>46071</v>
      </c>
      <c r="D1567" t="inlineStr">
        <is>
          <t>2026-02</t>
        </is>
      </c>
      <c r="E1567" t="inlineStr">
        <is>
          <t>C0133</t>
        </is>
      </c>
      <c r="F1567" t="inlineStr">
        <is>
          <t>C0014</t>
        </is>
      </c>
      <c r="G1567" t="inlineStr">
        <is>
          <t>Riverbend Homes Pty Ltd</t>
        </is>
      </c>
      <c r="H1567" t="inlineStr">
        <is>
          <t>S0179</t>
        </is>
      </c>
      <c r="I1567" t="inlineStr">
        <is>
          <t>Temporary fence hire 4 wks (21/01/26-17/02/26) - 51 panels</t>
        </is>
      </c>
      <c r="J1567" t="n">
        <v>204</v>
      </c>
      <c r="K1567" s="9" t="n">
        <v>918</v>
      </c>
      <c r="L1567" t="inlineStr">
        <is>
          <t>PAID</t>
        </is>
      </c>
      <c r="M1567">
        <f>IF(L1567="VOIDED",0,1)</f>
        <v>1</v>
      </c>
      <c r="N1567" t="n">
        <v>200</v>
      </c>
      <c r="O1567" t="inlineStr">
        <is>
          <t>GST on Income</t>
        </is>
      </c>
      <c r="P1567" t="inlineStr">
        <is>
          <t>R03</t>
        </is>
      </c>
      <c r="Q1567" t="inlineStr">
        <is>
          <t>HIRE-FP</t>
        </is>
      </c>
      <c r="R1567">
        <f>IF(OR(Q1567="CONTEXT",Q1567="REVIEW"),"",INDEX('Category Rules'!$D$5:$D$17,MATCH(P1567,'Category Rules'!$A$5:$A$17,0)))</f>
        <v>4010</v>
      </c>
      <c r="S1567" t="str">
        <f>IF(Q1567="CONTEXT","Fencing",IF(Q1567="REVIEW","",INDEX('Category Rules'!$E$5:$E$17,MATCH(P1567,'Category Rules'!$A$5:$A$17,0))))</f>
        <v>Fencing</v>
      </c>
      <c r="T1567" t="str">
        <f>IF(Q1567="DEP","BAS Excluded","GST on Income")</f>
        <v>GST on Income</v>
      </c>
      <c r="U1567">
        <f>IF(O1567=T1567,1,0)</f>
        <v>1</v>
      </c>
      <c r="V1567" s="9">
        <f>IF(OR(M1567=0,U1567=1),0,IF(T1567="GST on Income",ROUND(K1567*0.1,2),ROUND(-K1567*0.1,2)))</f>
        <v>0</v>
      </c>
    </row>
    <row r="1568">
      <c r="A1568" t="inlineStr">
        <is>
          <t>INV-4940-1</t>
        </is>
      </c>
      <c r="B1568" t="inlineStr">
        <is>
          <t>INV-4940</t>
        </is>
      </c>
      <c r="C1568" s="11" t="n">
        <v>46071</v>
      </c>
      <c r="D1568" t="inlineStr">
        <is>
          <t>2026-02</t>
        </is>
      </c>
      <c r="E1568" t="inlineStr">
        <is>
          <t>C0133</t>
        </is>
      </c>
      <c r="F1568" t="inlineStr">
        <is>
          <t>C0014</t>
        </is>
      </c>
      <c r="G1568" t="inlineStr">
        <is>
          <t>Riverbend Homes Pty Ltd</t>
        </is>
      </c>
      <c r="H1568" t="inlineStr">
        <is>
          <t>S0179</t>
        </is>
      </c>
      <c r="I1568" t="inlineStr">
        <is>
          <t>Pedestrian barrier hire 4 wks (21/01/26-17/02/26) - 9 barriers</t>
        </is>
      </c>
      <c r="J1568" t="n">
        <v>36</v>
      </c>
      <c r="K1568" s="9" t="n">
        <v>115.2</v>
      </c>
      <c r="L1568" t="inlineStr">
        <is>
          <t>PAID</t>
        </is>
      </c>
      <c r="M1568">
        <f>IF(L1568="VOIDED",0,1)</f>
        <v>1</v>
      </c>
      <c r="N1568" t="n">
        <v>200</v>
      </c>
      <c r="O1568" t="inlineStr">
        <is>
          <t>GST on Income</t>
        </is>
      </c>
      <c r="P1568" t="inlineStr">
        <is>
          <t>R04</t>
        </is>
      </c>
      <c r="Q1568" t="inlineStr">
        <is>
          <t>HIRE-BR</t>
        </is>
      </c>
      <c r="R1568">
        <f>IF(OR(Q1568="CONTEXT",Q1568="REVIEW"),"",INDEX('Category Rules'!$D$5:$D$17,MATCH(P1568,'Category Rules'!$A$5:$A$17,0)))</f>
        <v>4010</v>
      </c>
      <c r="S1568" t="str">
        <f>IF(Q1568="CONTEXT","Fencing",IF(Q1568="REVIEW","",INDEX('Category Rules'!$E$5:$E$17,MATCH(P1568,'Category Rules'!$A$5:$A$17,0))))</f>
        <v>Fencing</v>
      </c>
      <c r="T1568" t="str">
        <f>IF(Q1568="DEP","BAS Excluded","GST on Income")</f>
        <v>GST on Income</v>
      </c>
      <c r="U1568">
        <f>IF(O1568=T1568,1,0)</f>
        <v>1</v>
      </c>
      <c r="V1568" s="9">
        <f>IF(OR(M1568=0,U1568=1),0,IF(T1568="GST on Income",ROUND(K1568*0.1,2),ROUND(-K1568*0.1,2)))</f>
        <v>0</v>
      </c>
    </row>
    <row r="1569">
      <c r="A1569" t="inlineStr">
        <is>
          <t>INV-5166-1</t>
        </is>
      </c>
      <c r="B1569" t="inlineStr">
        <is>
          <t>INV-5166</t>
        </is>
      </c>
      <c r="C1569" s="11" t="n">
        <v>46071</v>
      </c>
      <c r="D1569" t="inlineStr">
        <is>
          <t>2026-02</t>
        </is>
      </c>
      <c r="E1569" t="inlineStr">
        <is>
          <t>C0080</t>
        </is>
      </c>
      <c r="F1569" t="inlineStr">
        <is>
          <t>C0080</t>
        </is>
      </c>
      <c r="G1569" t="inlineStr">
        <is>
          <t>Ember Productions Pty Ltd</t>
        </is>
      </c>
      <c r="H1569" t="inlineStr">
        <is>
          <t>S0229</t>
        </is>
      </c>
      <c r="I1569" t="inlineStr">
        <is>
          <t>Delivery and installation - temporary fencing</t>
        </is>
      </c>
      <c r="J1569" t="n">
        <v>1</v>
      </c>
      <c r="K1569" s="9" t="n">
        <v>165</v>
      </c>
      <c r="L1569" t="inlineStr">
        <is>
          <t>PAID</t>
        </is>
      </c>
      <c r="M1569">
        <f>IF(L1569="VOIDED",0,1)</f>
        <v>1</v>
      </c>
      <c r="N1569" t="n">
        <v>200</v>
      </c>
      <c r="O1569" t="inlineStr">
        <is>
          <t>GST on Income</t>
        </is>
      </c>
      <c r="P1569" t="inlineStr">
        <is>
          <t>R07</t>
        </is>
      </c>
      <c r="Q1569" t="inlineStr">
        <is>
          <t>DEL-FP</t>
        </is>
      </c>
      <c r="R1569">
        <f>IF(OR(Q1569="CONTEXT",Q1569="REVIEW"),"",INDEX('Category Rules'!$D$5:$D$17,MATCH(P1569,'Category Rules'!$A$5:$A$17,0)))</f>
        <v>4020</v>
      </c>
      <c r="S1569" t="str">
        <f>IF(Q1569="CONTEXT","Fencing",IF(Q1569="REVIEW","",INDEX('Category Rules'!$E$5:$E$17,MATCH(P1569,'Category Rules'!$A$5:$A$17,0))))</f>
        <v>Fencing</v>
      </c>
      <c r="T1569" t="str">
        <f>IF(Q1569="DEP","BAS Excluded","GST on Income")</f>
        <v>GST on Income</v>
      </c>
      <c r="U1569">
        <f>IF(O1569=T1569,1,0)</f>
        <v>1</v>
      </c>
      <c r="V1569" s="9">
        <f>IF(OR(M1569=0,U1569=1),0,IF(T1569="GST on Income",ROUND(K1569*0.1,2),ROUND(-K1569*0.1,2)))</f>
        <v>0</v>
      </c>
    </row>
    <row r="1570">
      <c r="A1570" t="inlineStr">
        <is>
          <t>INV-5166-2</t>
        </is>
      </c>
      <c r="B1570" t="inlineStr">
        <is>
          <t>INV-5166</t>
        </is>
      </c>
      <c r="C1570" s="11" t="n">
        <v>46071</v>
      </c>
      <c r="D1570" t="inlineStr">
        <is>
          <t>2026-02</t>
        </is>
      </c>
      <c r="E1570" t="inlineStr">
        <is>
          <t>C0080</t>
        </is>
      </c>
      <c r="F1570" t="inlineStr">
        <is>
          <t>C0080</t>
        </is>
      </c>
      <c r="G1570" t="inlineStr">
        <is>
          <t>Ember Productions Pty Ltd</t>
        </is>
      </c>
      <c r="H1570" t="inlineStr">
        <is>
          <t>S0229</t>
        </is>
      </c>
      <c r="I1570" t="inlineStr">
        <is>
          <t>Installation labour - 40 panels @ 2.20</t>
        </is>
      </c>
      <c r="J1570" t="n">
        <v>40</v>
      </c>
      <c r="K1570" s="9" t="n">
        <v>88</v>
      </c>
      <c r="L1570" t="inlineStr">
        <is>
          <t>PAID</t>
        </is>
      </c>
      <c r="M1570">
        <f>IF(L1570="VOIDED",0,1)</f>
        <v>1</v>
      </c>
      <c r="N1570" t="n">
        <v>260</v>
      </c>
      <c r="O1570" t="inlineStr">
        <is>
          <t>GST on Income</t>
        </is>
      </c>
      <c r="P1570" t="inlineStr">
        <is>
          <t>R07</t>
        </is>
      </c>
      <c r="Q1570" t="inlineStr">
        <is>
          <t>DEL-FP</t>
        </is>
      </c>
      <c r="R1570">
        <f>IF(OR(Q1570="CONTEXT",Q1570="REVIEW"),"",INDEX('Category Rules'!$D$5:$D$17,MATCH(P1570,'Category Rules'!$A$5:$A$17,0)))</f>
        <v>4020</v>
      </c>
      <c r="S1570" t="str">
        <f>IF(Q1570="CONTEXT","Fencing",IF(Q1570="REVIEW","",INDEX('Category Rules'!$E$5:$E$17,MATCH(P1570,'Category Rules'!$A$5:$A$17,0))))</f>
        <v>Fencing</v>
      </c>
      <c r="T1570" t="str">
        <f>IF(Q1570="DEP","BAS Excluded","GST on Income")</f>
        <v>GST on Income</v>
      </c>
      <c r="U1570">
        <f>IF(O1570=T1570,1,0)</f>
        <v>1</v>
      </c>
      <c r="V1570" s="9">
        <f>IF(OR(M1570=0,U1570=1),0,IF(T1570="GST on Income",ROUND(K1570*0.1,2),ROUND(-K1570*0.1,2)))</f>
        <v>0</v>
      </c>
    </row>
    <row r="1571">
      <c r="A1571" t="inlineStr">
        <is>
          <t>INV-4132-1</t>
        </is>
      </c>
      <c r="B1571" t="inlineStr">
        <is>
          <t>INV-4132</t>
        </is>
      </c>
      <c r="C1571" s="11" t="n">
        <v>46072</v>
      </c>
      <c r="D1571" t="inlineStr">
        <is>
          <t>2026-02</t>
        </is>
      </c>
      <c r="E1571" t="inlineStr">
        <is>
          <t>C0030</t>
        </is>
      </c>
      <c r="F1571" t="inlineStr">
        <is>
          <t>C0030</t>
        </is>
      </c>
      <c r="G1571" t="inlineStr">
        <is>
          <t>Bluegum Developments</t>
        </is>
      </c>
      <c r="H1571" t="inlineStr">
        <is>
          <t>S0007</t>
        </is>
      </c>
      <c r="I1571" t="inlineStr">
        <is>
          <t>Temporary fence hire 4 wks (22/01/26-18/02/26) - 71 panels</t>
        </is>
      </c>
      <c r="J1571" t="n">
        <v>284</v>
      </c>
      <c r="K1571" s="9" t="n">
        <v>1278</v>
      </c>
      <c r="L1571" t="inlineStr">
        <is>
          <t>PAID</t>
        </is>
      </c>
      <c r="M1571">
        <f>IF(L1571="VOIDED",0,1)</f>
        <v>1</v>
      </c>
      <c r="N1571" t="n">
        <v>260</v>
      </c>
      <c r="O1571" t="inlineStr">
        <is>
          <t>GST on Income</t>
        </is>
      </c>
      <c r="P1571" t="inlineStr">
        <is>
          <t>R03</t>
        </is>
      </c>
      <c r="Q1571" t="inlineStr">
        <is>
          <t>HIRE-FP</t>
        </is>
      </c>
      <c r="R1571">
        <f>IF(OR(Q1571="CONTEXT",Q1571="REVIEW"),"",INDEX('Category Rules'!$D$5:$D$17,MATCH(P1571,'Category Rules'!$A$5:$A$17,0)))</f>
        <v>4010</v>
      </c>
      <c r="S1571" t="str">
        <f>IF(Q1571="CONTEXT","Fencing",IF(Q1571="REVIEW","",INDEX('Category Rules'!$E$5:$E$17,MATCH(P1571,'Category Rules'!$A$5:$A$17,0))))</f>
        <v>Fencing</v>
      </c>
      <c r="T1571" t="str">
        <f>IF(Q1571="DEP","BAS Excluded","GST on Income")</f>
        <v>GST on Income</v>
      </c>
      <c r="U1571">
        <f>IF(O1571=T1571,1,0)</f>
        <v>1</v>
      </c>
      <c r="V1571" s="9">
        <f>IF(OR(M1571=0,U1571=1),0,IF(T1571="GST on Income",ROUND(K1571*0.1,2),ROUND(-K1571*0.1,2)))</f>
        <v>0</v>
      </c>
    </row>
    <row r="1572">
      <c r="A1572" t="inlineStr">
        <is>
          <t>INV-4134-1</t>
        </is>
      </c>
      <c r="B1572" t="inlineStr">
        <is>
          <t>INV-4134</t>
        </is>
      </c>
      <c r="C1572" s="11" t="n">
        <v>46072</v>
      </c>
      <c r="D1572" t="inlineStr">
        <is>
          <t>2026-02</t>
        </is>
      </c>
      <c r="E1572" t="inlineStr">
        <is>
          <t>C0030</t>
        </is>
      </c>
      <c r="F1572" t="inlineStr">
        <is>
          <t>C0030</t>
        </is>
      </c>
      <c r="G1572" t="inlineStr">
        <is>
          <t>Bluegum Developments</t>
        </is>
      </c>
      <c r="H1572" t="inlineStr">
        <is>
          <t>S0007</t>
        </is>
      </c>
      <c r="I1572" t="inlineStr">
        <is>
          <t>Collection and dismantle - temporary fencing</t>
        </is>
      </c>
      <c r="J1572" t="n">
        <v>1</v>
      </c>
      <c r="K1572" s="9" t="n">
        <v>165</v>
      </c>
      <c r="L1572" t="inlineStr">
        <is>
          <t>PAID</t>
        </is>
      </c>
      <c r="M1572">
        <f>IF(L1572="VOIDED",0,1)</f>
        <v>1</v>
      </c>
      <c r="N1572" t="n">
        <v>200</v>
      </c>
      <c r="O1572" t="inlineStr">
        <is>
          <t>GST on Income</t>
        </is>
      </c>
      <c r="P1572" t="inlineStr">
        <is>
          <t>R07</t>
        </is>
      </c>
      <c r="Q1572" t="inlineStr">
        <is>
          <t>DEL-FP</t>
        </is>
      </c>
      <c r="R1572">
        <f>IF(OR(Q1572="CONTEXT",Q1572="REVIEW"),"",INDEX('Category Rules'!$D$5:$D$17,MATCH(P1572,'Category Rules'!$A$5:$A$17,0)))</f>
        <v>4020</v>
      </c>
      <c r="S1572" t="str">
        <f>IF(Q1572="CONTEXT","Fencing",IF(Q1572="REVIEW","",INDEX('Category Rules'!$E$5:$E$17,MATCH(P1572,'Category Rules'!$A$5:$A$17,0))))</f>
        <v>Fencing</v>
      </c>
      <c r="T1572" t="str">
        <f>IF(Q1572="DEP","BAS Excluded","GST on Income")</f>
        <v>GST on Income</v>
      </c>
      <c r="U1572">
        <f>IF(O1572=T1572,1,0)</f>
        <v>1</v>
      </c>
      <c r="V1572" s="9">
        <f>IF(OR(M1572=0,U1572=1),0,IF(T1572="GST on Income",ROUND(K1572*0.1,2),ROUND(-K1572*0.1,2)))</f>
        <v>0</v>
      </c>
    </row>
    <row r="1573">
      <c r="A1573" t="inlineStr">
        <is>
          <t>INV-4835-1</t>
        </is>
      </c>
      <c r="B1573" t="inlineStr">
        <is>
          <t>INV-4835</t>
        </is>
      </c>
      <c r="C1573" s="11" t="n">
        <v>46072</v>
      </c>
      <c r="D1573" t="inlineStr">
        <is>
          <t>2026-02</t>
        </is>
      </c>
      <c r="E1573" t="inlineStr">
        <is>
          <t>C0036</t>
        </is>
      </c>
      <c r="F1573" t="inlineStr">
        <is>
          <t>C0036</t>
        </is>
      </c>
      <c r="G1573" t="inlineStr">
        <is>
          <t>Summit Homes Pty Ltd</t>
        </is>
      </c>
      <c r="H1573" t="inlineStr">
        <is>
          <t>S0158</t>
        </is>
      </c>
      <c r="I1573" t="inlineStr">
        <is>
          <t>Temporary fence hire 4 wks (22/01/26-18/02/26) - 21 panels</t>
        </is>
      </c>
      <c r="J1573" t="n">
        <v>84</v>
      </c>
      <c r="K1573" s="9" t="n">
        <v>378</v>
      </c>
      <c r="L1573" t="inlineStr">
        <is>
          <t>PAID</t>
        </is>
      </c>
      <c r="M1573">
        <f>IF(L1573="VOIDED",0,1)</f>
        <v>1</v>
      </c>
      <c r="N1573" t="n">
        <v>200</v>
      </c>
      <c r="O1573" t="inlineStr">
        <is>
          <t>GST on Income</t>
        </is>
      </c>
      <c r="P1573" t="inlineStr">
        <is>
          <t>R03</t>
        </is>
      </c>
      <c r="Q1573" t="inlineStr">
        <is>
          <t>HIRE-FP</t>
        </is>
      </c>
      <c r="R1573">
        <f>IF(OR(Q1573="CONTEXT",Q1573="REVIEW"),"",INDEX('Category Rules'!$D$5:$D$17,MATCH(P1573,'Category Rules'!$A$5:$A$17,0)))</f>
        <v>4010</v>
      </c>
      <c r="S1573" t="str">
        <f>IF(Q1573="CONTEXT","Fencing",IF(Q1573="REVIEW","",INDEX('Category Rules'!$E$5:$E$17,MATCH(P1573,'Category Rules'!$A$5:$A$17,0))))</f>
        <v>Fencing</v>
      </c>
      <c r="T1573" t="str">
        <f>IF(Q1573="DEP","BAS Excluded","GST on Income")</f>
        <v>GST on Income</v>
      </c>
      <c r="U1573">
        <f>IF(O1573=T1573,1,0)</f>
        <v>1</v>
      </c>
      <c r="V1573" s="9">
        <f>IF(OR(M1573=0,U1573=1),0,IF(T1573="GST on Income",ROUND(K1573*0.1,2),ROUND(-K1573*0.1,2)))</f>
        <v>0</v>
      </c>
    </row>
    <row r="1574">
      <c r="A1574" t="inlineStr">
        <is>
          <t>INV-4840-1</t>
        </is>
      </c>
      <c r="B1574" t="inlineStr">
        <is>
          <t>INV-4840</t>
        </is>
      </c>
      <c r="C1574" s="11" t="n">
        <v>46072</v>
      </c>
      <c r="D1574" t="inlineStr">
        <is>
          <t>2026-02</t>
        </is>
      </c>
      <c r="E1574" t="inlineStr">
        <is>
          <t>C0136</t>
        </is>
      </c>
      <c r="F1574" t="inlineStr">
        <is>
          <t>C0036</t>
        </is>
      </c>
      <c r="G1574" t="inlineStr">
        <is>
          <t>Summit Homes Pty Ltd</t>
        </is>
      </c>
      <c r="H1574" t="inlineStr">
        <is>
          <t>S0158</t>
        </is>
      </c>
      <c r="I1574" t="inlineStr">
        <is>
          <t>Pedestrian barrier hire 4 wks (22/01/26-18/02/26) - 23 barriers</t>
        </is>
      </c>
      <c r="J1574" t="n">
        <v>92</v>
      </c>
      <c r="K1574" s="9" t="n">
        <v>294.4</v>
      </c>
      <c r="L1574" t="inlineStr">
        <is>
          <t>PAID</t>
        </is>
      </c>
      <c r="M1574">
        <f>IF(L1574="VOIDED",0,1)</f>
        <v>1</v>
      </c>
      <c r="N1574" t="n">
        <v>200</v>
      </c>
      <c r="O1574" t="inlineStr">
        <is>
          <t>GST on Income</t>
        </is>
      </c>
      <c r="P1574" t="inlineStr">
        <is>
          <t>R04</t>
        </is>
      </c>
      <c r="Q1574" t="inlineStr">
        <is>
          <t>HIRE-BR</t>
        </is>
      </c>
      <c r="R1574">
        <f>IF(OR(Q1574="CONTEXT",Q1574="REVIEW"),"",INDEX('Category Rules'!$D$5:$D$17,MATCH(P1574,'Category Rules'!$A$5:$A$17,0)))</f>
        <v>4010</v>
      </c>
      <c r="S1574" t="str">
        <f>IF(Q1574="CONTEXT","Fencing",IF(Q1574="REVIEW","",INDEX('Category Rules'!$E$5:$E$17,MATCH(P1574,'Category Rules'!$A$5:$A$17,0))))</f>
        <v>Fencing</v>
      </c>
      <c r="T1574" t="str">
        <f>IF(Q1574="DEP","BAS Excluded","GST on Income")</f>
        <v>GST on Income</v>
      </c>
      <c r="U1574">
        <f>IF(O1574=T1574,1,0)</f>
        <v>1</v>
      </c>
      <c r="V1574" s="9">
        <f>IF(OR(M1574=0,U1574=1),0,IF(T1574="GST on Income",ROUND(K1574*0.1,2),ROUND(-K1574*0.1,2)))</f>
        <v>0</v>
      </c>
    </row>
    <row r="1575">
      <c r="A1575" t="inlineStr">
        <is>
          <t>INV-5369-1</t>
        </is>
      </c>
      <c r="B1575" t="inlineStr">
        <is>
          <t>INV-5369</t>
        </is>
      </c>
      <c r="C1575" s="11" t="n">
        <v>46072</v>
      </c>
      <c r="D1575" t="inlineStr">
        <is>
          <t>2026-02</t>
        </is>
      </c>
      <c r="E1575" t="inlineStr">
        <is>
          <t>C0026</t>
        </is>
      </c>
      <c r="F1575" t="inlineStr">
        <is>
          <t>C0026</t>
        </is>
      </c>
      <c r="G1575" t="inlineStr">
        <is>
          <t>Juniper Constructions</t>
        </is>
      </c>
      <c r="H1575" t="inlineStr">
        <is>
          <t>S0275</t>
        </is>
      </c>
      <c r="I1575" t="inlineStr">
        <is>
          <t>Scaffold tower hire 3 wks (04/02/26-18/02/26) - 4 towers</t>
        </is>
      </c>
      <c r="J1575" t="n">
        <v>12</v>
      </c>
      <c r="K1575" s="9" t="n">
        <v>1140</v>
      </c>
      <c r="L1575" t="inlineStr">
        <is>
          <t>PAID</t>
        </is>
      </c>
      <c r="M1575">
        <f>IF(L1575="VOIDED",0,1)</f>
        <v>1</v>
      </c>
      <c r="N1575" t="n">
        <v>200</v>
      </c>
      <c r="O1575" t="inlineStr">
        <is>
          <t>GST on Income</t>
        </is>
      </c>
      <c r="P1575" t="inlineStr">
        <is>
          <t>R05</t>
        </is>
      </c>
      <c r="Q1575" t="inlineStr">
        <is>
          <t>HIRE-ST</t>
        </is>
      </c>
      <c r="R1575">
        <f>IF(OR(Q1575="CONTEXT",Q1575="REVIEW"),"",INDEX('Category Rules'!$D$5:$D$17,MATCH(P1575,'Category Rules'!$A$5:$A$17,0)))</f>
        <v>4010</v>
      </c>
      <c r="S1575" t="str">
        <f>IF(Q1575="CONTEXT","Scaffolding",IF(Q1575="REVIEW","",INDEX('Category Rules'!$E$5:$E$17,MATCH(P1575,'Category Rules'!$A$5:$A$17,0))))</f>
        <v>Scaffolding</v>
      </c>
      <c r="T1575" t="str">
        <f>IF(Q1575="DEP","BAS Excluded","GST on Income")</f>
        <v>GST on Income</v>
      </c>
      <c r="U1575">
        <f>IF(O1575=T1575,1,0)</f>
        <v>1</v>
      </c>
      <c r="V1575" s="9">
        <f>IF(OR(M1575=0,U1575=1),0,IF(T1575="GST on Income",ROUND(K1575*0.1,2),ROUND(-K1575*0.1,2)))</f>
        <v>0</v>
      </c>
    </row>
    <row r="1576">
      <c r="A1576" t="inlineStr">
        <is>
          <t>INV-5371-1</t>
        </is>
      </c>
      <c r="B1576" t="inlineStr">
        <is>
          <t>INV-5371</t>
        </is>
      </c>
      <c r="C1576" s="11" t="n">
        <v>46072</v>
      </c>
      <c r="D1576" t="inlineStr">
        <is>
          <t>2026-02</t>
        </is>
      </c>
      <c r="E1576" t="inlineStr">
        <is>
          <t>C0026</t>
        </is>
      </c>
      <c r="F1576" t="inlineStr">
        <is>
          <t>C0026</t>
        </is>
      </c>
      <c r="G1576" t="inlineStr">
        <is>
          <t>Juniper Constructions</t>
        </is>
      </c>
      <c r="H1576" t="inlineStr">
        <is>
          <t>S0275</t>
        </is>
      </c>
      <c r="I1576" t="inlineStr">
        <is>
          <t>Scaffold dismantle - 4 tower(s)</t>
        </is>
      </c>
      <c r="J1576" t="n">
        <v>4</v>
      </c>
      <c r="K1576" s="9" t="n">
        <v>1280</v>
      </c>
      <c r="L1576" t="inlineStr">
        <is>
          <t>PAID</t>
        </is>
      </c>
      <c r="M1576">
        <f>IF(L1576="VOIDED",0,1)</f>
        <v>1</v>
      </c>
      <c r="N1576" t="n">
        <v>200</v>
      </c>
      <c r="O1576" t="inlineStr">
        <is>
          <t>GST on Income</t>
        </is>
      </c>
      <c r="P1576" t="inlineStr">
        <is>
          <t>R08</t>
        </is>
      </c>
      <c r="Q1576" t="inlineStr">
        <is>
          <t>LAB-ST</t>
        </is>
      </c>
      <c r="R1576">
        <f>IF(OR(Q1576="CONTEXT",Q1576="REVIEW"),"",INDEX('Category Rules'!$D$5:$D$17,MATCH(P1576,'Category Rules'!$A$5:$A$17,0)))</f>
        <v>4020</v>
      </c>
      <c r="S1576" t="str">
        <f>IF(Q1576="CONTEXT","Scaffolding",IF(Q1576="REVIEW","",INDEX('Category Rules'!$E$5:$E$17,MATCH(P1576,'Category Rules'!$A$5:$A$17,0))))</f>
        <v>Scaffolding</v>
      </c>
      <c r="T1576" t="str">
        <f>IF(Q1576="DEP","BAS Excluded","GST on Income")</f>
        <v>GST on Income</v>
      </c>
      <c r="U1576">
        <f>IF(O1576=T1576,1,0)</f>
        <v>1</v>
      </c>
      <c r="V1576" s="9">
        <f>IF(OR(M1576=0,U1576=1),0,IF(T1576="GST on Income",ROUND(K1576*0.1,2),ROUND(-K1576*0.1,2)))</f>
        <v>0</v>
      </c>
    </row>
    <row r="1577">
      <c r="A1577" t="inlineStr">
        <is>
          <t>INV-5633-1</t>
        </is>
      </c>
      <c r="B1577" t="inlineStr">
        <is>
          <t>INV-5633</t>
        </is>
      </c>
      <c r="C1577" s="11" t="n">
        <v>46072</v>
      </c>
      <c r="D1577" t="inlineStr">
        <is>
          <t>2026-02</t>
        </is>
      </c>
      <c r="E1577" t="inlineStr">
        <is>
          <t>C0062</t>
        </is>
      </c>
      <c r="F1577" t="inlineStr">
        <is>
          <t>C0062</t>
        </is>
      </c>
      <c r="G1577" t="inlineStr">
        <is>
          <t>Wattle Insurance Repairs Pty Ltd</t>
        </is>
      </c>
      <c r="H1577" t="inlineStr">
        <is>
          <t>S0398</t>
        </is>
      </c>
      <c r="I1577" t="inlineStr">
        <is>
          <t>Tarp kit hire 3 wks (04/02/26-18/02/26) - 2 kits</t>
        </is>
      </c>
      <c r="J1577" t="n">
        <v>6</v>
      </c>
      <c r="K1577" s="9" t="n">
        <v>210</v>
      </c>
      <c r="L1577" t="inlineStr">
        <is>
          <t>PAID</t>
        </is>
      </c>
      <c r="M1577">
        <f>IF(L1577="VOIDED",0,1)</f>
        <v>1</v>
      </c>
      <c r="N1577" t="n">
        <v>200</v>
      </c>
      <c r="O1577" t="inlineStr">
        <is>
          <t>GST on Income</t>
        </is>
      </c>
      <c r="P1577" t="inlineStr">
        <is>
          <t>R06</t>
        </is>
      </c>
      <c r="Q1577" t="inlineStr">
        <is>
          <t>HIRE-TK</t>
        </is>
      </c>
      <c r="R1577">
        <f>IF(OR(Q1577="CONTEXT",Q1577="REVIEW"),"",INDEX('Category Rules'!$D$5:$D$17,MATCH(P1577,'Category Rules'!$A$5:$A$17,0)))</f>
        <v>4010</v>
      </c>
      <c r="S1577" t="str">
        <f>IF(Q1577="CONTEXT","Make-safe",IF(Q1577="REVIEW","",INDEX('Category Rules'!$E$5:$E$17,MATCH(P1577,'Category Rules'!$A$5:$A$17,0))))</f>
        <v>Make-safe</v>
      </c>
      <c r="T1577" t="str">
        <f>IF(Q1577="DEP","BAS Excluded","GST on Income")</f>
        <v>GST on Income</v>
      </c>
      <c r="U1577">
        <f>IF(O1577=T1577,1,0)</f>
        <v>1</v>
      </c>
      <c r="V1577" s="9">
        <f>IF(OR(M1577=0,U1577=1),0,IF(T1577="GST on Income",ROUND(K1577*0.1,2),ROUND(-K1577*0.1,2)))</f>
        <v>0</v>
      </c>
    </row>
    <row r="1578">
      <c r="A1578" t="inlineStr">
        <is>
          <t>INV-5865-1</t>
        </is>
      </c>
      <c r="B1578" t="inlineStr">
        <is>
          <t>INV-5865</t>
        </is>
      </c>
      <c r="C1578" s="11" t="n">
        <v>46072</v>
      </c>
      <c r="D1578" t="inlineStr">
        <is>
          <t>2026-02</t>
        </is>
      </c>
      <c r="E1578" t="inlineStr">
        <is>
          <t>C0140</t>
        </is>
      </c>
      <c r="F1578" t="inlineStr">
        <is>
          <t>C0106</t>
        </is>
      </c>
      <c r="G1578" t="inlineStr">
        <is>
          <t>Ella Wilson</t>
        </is>
      </c>
      <c r="H1578" t="inlineStr">
        <is>
          <t>S0529</t>
        </is>
      </c>
      <c r="I1578" t="inlineStr">
        <is>
          <t>Tarp kit hire 4 wks (22/01/26-18/02/26) - 3 kits</t>
        </is>
      </c>
      <c r="J1578" t="n">
        <v>12</v>
      </c>
      <c r="K1578" s="9" t="n">
        <v>420</v>
      </c>
      <c r="L1578" t="inlineStr">
        <is>
          <t>PAID</t>
        </is>
      </c>
      <c r="M1578">
        <f>IF(L1578="VOIDED",0,1)</f>
        <v>1</v>
      </c>
      <c r="N1578" t="n">
        <v>200</v>
      </c>
      <c r="O1578" t="inlineStr">
        <is>
          <t>GST on Income</t>
        </is>
      </c>
      <c r="P1578" t="inlineStr">
        <is>
          <t>R06</t>
        </is>
      </c>
      <c r="Q1578" t="inlineStr">
        <is>
          <t>HIRE-TK</t>
        </is>
      </c>
      <c r="R1578">
        <f>IF(OR(Q1578="CONTEXT",Q1578="REVIEW"),"",INDEX('Category Rules'!$D$5:$D$17,MATCH(P1578,'Category Rules'!$A$5:$A$17,0)))</f>
        <v>4010</v>
      </c>
      <c r="S1578" t="str">
        <f>IF(Q1578="CONTEXT","Make-safe",IF(Q1578="REVIEW","",INDEX('Category Rules'!$E$5:$E$17,MATCH(P1578,'Category Rules'!$A$5:$A$17,0))))</f>
        <v>Make-safe</v>
      </c>
      <c r="T1578" t="str">
        <f>IF(Q1578="DEP","BAS Excluded","GST on Income")</f>
        <v>GST on Income</v>
      </c>
      <c r="U1578">
        <f>IF(O1578=T1578,1,0)</f>
        <v>1</v>
      </c>
      <c r="V1578" s="9">
        <f>IF(OR(M1578=0,U1578=1),0,IF(T1578="GST on Income",ROUND(K1578*0.1,2),ROUND(-K1578*0.1,2)))</f>
        <v>0</v>
      </c>
    </row>
    <row r="1579">
      <c r="A1579" t="inlineStr">
        <is>
          <t>INV-4793-1</t>
        </is>
      </c>
      <c r="B1579" t="inlineStr">
        <is>
          <t>INV-4793</t>
        </is>
      </c>
      <c r="C1579" s="11" t="n">
        <v>46073</v>
      </c>
      <c r="D1579" t="inlineStr">
        <is>
          <t>2026-02</t>
        </is>
      </c>
      <c r="E1579" t="inlineStr">
        <is>
          <t>C0024</t>
        </is>
      </c>
      <c r="F1579" t="inlineStr">
        <is>
          <t>C0024</t>
        </is>
      </c>
      <c r="G1579" t="inlineStr">
        <is>
          <t>Parkview Homes Pty Ltd</t>
        </is>
      </c>
      <c r="H1579" t="inlineStr">
        <is>
          <t>S0148</t>
        </is>
      </c>
      <c r="I1579" t="inlineStr">
        <is>
          <t>Temporary fence hire 4 wks (23/01/26-19/02/26) - 155 panels</t>
        </is>
      </c>
      <c r="J1579" t="n">
        <v>620</v>
      </c>
      <c r="K1579" s="9" t="n">
        <v>2790</v>
      </c>
      <c r="L1579" t="inlineStr">
        <is>
          <t>PAID</t>
        </is>
      </c>
      <c r="M1579">
        <f>IF(L1579="VOIDED",0,1)</f>
        <v>1</v>
      </c>
      <c r="N1579" t="n">
        <v>200</v>
      </c>
      <c r="O1579" t="inlineStr">
        <is>
          <t>GST on Income</t>
        </is>
      </c>
      <c r="P1579" t="inlineStr">
        <is>
          <t>R03</t>
        </is>
      </c>
      <c r="Q1579" t="inlineStr">
        <is>
          <t>HIRE-FP</t>
        </is>
      </c>
      <c r="R1579">
        <f>IF(OR(Q1579="CONTEXT",Q1579="REVIEW"),"",INDEX('Category Rules'!$D$5:$D$17,MATCH(P1579,'Category Rules'!$A$5:$A$17,0)))</f>
        <v>4010</v>
      </c>
      <c r="S1579" t="str">
        <f>IF(Q1579="CONTEXT","Fencing",IF(Q1579="REVIEW","",INDEX('Category Rules'!$E$5:$E$17,MATCH(P1579,'Category Rules'!$A$5:$A$17,0))))</f>
        <v>Fencing</v>
      </c>
      <c r="T1579" t="str">
        <f>IF(Q1579="DEP","BAS Excluded","GST on Income")</f>
        <v>GST on Income</v>
      </c>
      <c r="U1579">
        <f>IF(O1579=T1579,1,0)</f>
        <v>1</v>
      </c>
      <c r="V1579" s="9">
        <f>IF(OR(M1579=0,U1579=1),0,IF(T1579="GST on Income",ROUND(K1579*0.1,2),ROUND(-K1579*0.1,2)))</f>
        <v>0</v>
      </c>
    </row>
    <row r="1580">
      <c r="A1580" t="inlineStr">
        <is>
          <t>INV-5700-1</t>
        </is>
      </c>
      <c r="B1580" t="inlineStr">
        <is>
          <t>INV-5700</t>
        </is>
      </c>
      <c r="C1580" s="11" t="n">
        <v>46073</v>
      </c>
      <c r="D1580" t="inlineStr">
        <is>
          <t>2026-02</t>
        </is>
      </c>
      <c r="E1580" t="inlineStr">
        <is>
          <t>C0066</t>
        </is>
      </c>
      <c r="F1580" t="inlineStr">
        <is>
          <t>C0066</t>
        </is>
      </c>
      <c r="G1580" t="inlineStr">
        <is>
          <t>Northgate Insurance Repairs</t>
        </is>
      </c>
      <c r="H1580" t="inlineStr">
        <is>
          <t>S0435</t>
        </is>
      </c>
      <c r="I1580" t="inlineStr">
        <is>
          <t>Tarp kit hire 2 wks (12/02/26-19/02/26) - 2 kits</t>
        </is>
      </c>
      <c r="J1580" t="n">
        <v>4</v>
      </c>
      <c r="K1580" s="9" t="n">
        <v>140</v>
      </c>
      <c r="L1580" t="inlineStr">
        <is>
          <t>PAID</t>
        </is>
      </c>
      <c r="M1580">
        <f>IF(L1580="VOIDED",0,1)</f>
        <v>1</v>
      </c>
      <c r="N1580" t="n">
        <v>200</v>
      </c>
      <c r="O1580" t="inlineStr">
        <is>
          <t>GST on Income</t>
        </is>
      </c>
      <c r="P1580" t="inlineStr">
        <is>
          <t>R06</t>
        </is>
      </c>
      <c r="Q1580" t="inlineStr">
        <is>
          <t>HIRE-TK</t>
        </is>
      </c>
      <c r="R1580">
        <f>IF(OR(Q1580="CONTEXT",Q1580="REVIEW"),"",INDEX('Category Rules'!$D$5:$D$17,MATCH(P1580,'Category Rules'!$A$5:$A$17,0)))</f>
        <v>4010</v>
      </c>
      <c r="S1580" t="str">
        <f>IF(Q1580="CONTEXT","Make-safe",IF(Q1580="REVIEW","",INDEX('Category Rules'!$E$5:$E$17,MATCH(P1580,'Category Rules'!$A$5:$A$17,0))))</f>
        <v>Make-safe</v>
      </c>
      <c r="T1580" t="str">
        <f>IF(Q1580="DEP","BAS Excluded","GST on Income")</f>
        <v>GST on Income</v>
      </c>
      <c r="U1580">
        <f>IF(O1580=T1580,1,0)</f>
        <v>1</v>
      </c>
      <c r="V1580" s="9">
        <f>IF(OR(M1580=0,U1580=1),0,IF(T1580="GST on Income",ROUND(K1580*0.1,2),ROUND(-K1580*0.1,2)))</f>
        <v>0</v>
      </c>
    </row>
    <row r="1581">
      <c r="A1581" t="inlineStr">
        <is>
          <t>INV-5118-1</t>
        </is>
      </c>
      <c r="B1581" t="inlineStr">
        <is>
          <t>INV-5118</t>
        </is>
      </c>
      <c r="C1581" s="11" t="n">
        <v>46074</v>
      </c>
      <c r="D1581" t="inlineStr">
        <is>
          <t>2026-02</t>
        </is>
      </c>
      <c r="E1581" t="inlineStr">
        <is>
          <t>C0011</t>
        </is>
      </c>
      <c r="F1581" t="inlineStr">
        <is>
          <t>C0011</t>
        </is>
      </c>
      <c r="G1581" t="inlineStr">
        <is>
          <t>Wattle Homes Pty Ltd</t>
        </is>
      </c>
      <c r="H1581" t="inlineStr">
        <is>
          <t>S0217</t>
        </is>
      </c>
      <c r="I1581" t="inlineStr">
        <is>
          <t>Temporary fence hire 4 wks (24/01/26-20/02/26) - 128 panels</t>
        </is>
      </c>
      <c r="J1581" t="n">
        <v>512</v>
      </c>
      <c r="K1581" s="9" t="n">
        <v>2304</v>
      </c>
      <c r="L1581" t="inlineStr">
        <is>
          <t>PAID</t>
        </is>
      </c>
      <c r="M1581">
        <f>IF(L1581="VOIDED",0,1)</f>
        <v>1</v>
      </c>
      <c r="N1581" t="n">
        <v>200</v>
      </c>
      <c r="O1581" t="inlineStr">
        <is>
          <t>GST on Income</t>
        </is>
      </c>
      <c r="P1581" t="inlineStr">
        <is>
          <t>R03</t>
        </is>
      </c>
      <c r="Q1581" t="inlineStr">
        <is>
          <t>HIRE-FP</t>
        </is>
      </c>
      <c r="R1581">
        <f>IF(OR(Q1581="CONTEXT",Q1581="REVIEW"),"",INDEX('Category Rules'!$D$5:$D$17,MATCH(P1581,'Category Rules'!$A$5:$A$17,0)))</f>
        <v>4010</v>
      </c>
      <c r="S1581" t="str">
        <f>IF(Q1581="CONTEXT","Fencing",IF(Q1581="REVIEW","",INDEX('Category Rules'!$E$5:$E$17,MATCH(P1581,'Category Rules'!$A$5:$A$17,0))))</f>
        <v>Fencing</v>
      </c>
      <c r="T1581" t="str">
        <f>IF(Q1581="DEP","BAS Excluded","GST on Income")</f>
        <v>GST on Income</v>
      </c>
      <c r="U1581">
        <f>IF(O1581=T1581,1,0)</f>
        <v>1</v>
      </c>
      <c r="V1581" s="9">
        <f>IF(OR(M1581=0,U1581=1),0,IF(T1581="GST on Income",ROUND(K1581*0.1,2),ROUND(-K1581*0.1,2)))</f>
        <v>0</v>
      </c>
    </row>
    <row r="1582">
      <c r="A1582" t="inlineStr">
        <is>
          <t>INV-5499-1</t>
        </is>
      </c>
      <c r="B1582" t="inlineStr">
        <is>
          <t>INV-5499</t>
        </is>
      </c>
      <c r="C1582" s="11" t="n">
        <v>46074</v>
      </c>
      <c r="D1582" t="inlineStr">
        <is>
          <t>2026-02</t>
        </is>
      </c>
      <c r="E1582" t="inlineStr">
        <is>
          <t>C0048</t>
        </is>
      </c>
      <c r="F1582" t="inlineStr">
        <is>
          <t>C0048</t>
        </is>
      </c>
      <c r="G1582" t="inlineStr">
        <is>
          <t>Banksia Strata Management</t>
        </is>
      </c>
      <c r="H1582" t="inlineStr">
        <is>
          <t>S0327</t>
        </is>
      </c>
      <c r="I1582" t="inlineStr">
        <is>
          <t>Emergency make safe call-out - after hours</t>
        </is>
      </c>
      <c r="J1582" t="n">
        <v>1</v>
      </c>
      <c r="K1582" s="9" t="n">
        <v>560</v>
      </c>
      <c r="L1582" t="inlineStr">
        <is>
          <t>PAID</t>
        </is>
      </c>
      <c r="M1582">
        <f>IF(L1582="VOIDED",0,1)</f>
        <v>1</v>
      </c>
      <c r="N1582" t="n">
        <v>200</v>
      </c>
      <c r="O1582" t="inlineStr">
        <is>
          <t>GST on Income</t>
        </is>
      </c>
      <c r="P1582" t="inlineStr">
        <is>
          <t>R09</t>
        </is>
      </c>
      <c r="Q1582" t="inlineStr">
        <is>
          <t>MS</t>
        </is>
      </c>
      <c r="R1582">
        <f>IF(OR(Q1582="CONTEXT",Q1582="REVIEW"),"",INDEX('Category Rules'!$D$5:$D$17,MATCH(P1582,'Category Rules'!$A$5:$A$17,0)))</f>
        <v>4020</v>
      </c>
      <c r="S1582" t="str">
        <f>IF(Q1582="CONTEXT","Make-safe",IF(Q1582="REVIEW","",INDEX('Category Rules'!$E$5:$E$17,MATCH(P1582,'Category Rules'!$A$5:$A$17,0))))</f>
        <v>Make-safe</v>
      </c>
      <c r="T1582" t="str">
        <f>IF(Q1582="DEP","BAS Excluded","GST on Income")</f>
        <v>GST on Income</v>
      </c>
      <c r="U1582">
        <f>IF(O1582=T1582,1,0)</f>
        <v>1</v>
      </c>
      <c r="V1582" s="9">
        <f>IF(OR(M1582=0,U1582=1),0,IF(T1582="GST on Income",ROUND(K1582*0.1,2),ROUND(-K1582*0.1,2)))</f>
        <v>0</v>
      </c>
    </row>
    <row r="1583">
      <c r="A1583" t="inlineStr">
        <is>
          <t>INV-5702-1</t>
        </is>
      </c>
      <c r="B1583" t="inlineStr">
        <is>
          <t>INV-5702</t>
        </is>
      </c>
      <c r="C1583" s="11" t="n">
        <v>46074</v>
      </c>
      <c r="D1583" t="inlineStr">
        <is>
          <t>2026-02</t>
        </is>
      </c>
      <c r="E1583" t="inlineStr">
        <is>
          <t>C0066</t>
        </is>
      </c>
      <c r="F1583" t="inlineStr">
        <is>
          <t>C0066</t>
        </is>
      </c>
      <c r="G1583" t="inlineStr">
        <is>
          <t>Northgate Insurance Repairs</t>
        </is>
      </c>
      <c r="H1583" t="inlineStr">
        <is>
          <t>S0435</t>
        </is>
      </c>
      <c r="I1583" t="inlineStr">
        <is>
          <t>Roof repair labour - 16 hrs</t>
        </is>
      </c>
      <c r="J1583" t="n">
        <v>16</v>
      </c>
      <c r="K1583" s="9" t="n">
        <v>1568</v>
      </c>
      <c r="L1583" t="inlineStr">
        <is>
          <t>PAID</t>
        </is>
      </c>
      <c r="M1583">
        <f>IF(L1583="VOIDED",0,1)</f>
        <v>1</v>
      </c>
      <c r="N1583" t="n">
        <v>200</v>
      </c>
      <c r="O1583" t="inlineStr">
        <is>
          <t>GST on Income</t>
        </is>
      </c>
      <c r="P1583" t="inlineStr">
        <is>
          <t>R10</t>
        </is>
      </c>
      <c r="Q1583" t="inlineStr">
        <is>
          <t>LAB-RF</t>
        </is>
      </c>
      <c r="R1583">
        <f>IF(OR(Q1583="CONTEXT",Q1583="REVIEW"),"",INDEX('Category Rules'!$D$5:$D$17,MATCH(P1583,'Category Rules'!$A$5:$A$17,0)))</f>
        <v>4020</v>
      </c>
      <c r="S1583" t="str">
        <f>IF(Q1583="CONTEXT","Roofing",IF(Q1583="REVIEW","",INDEX('Category Rules'!$E$5:$E$17,MATCH(P1583,'Category Rules'!$A$5:$A$17,0))))</f>
        <v>Roofing</v>
      </c>
      <c r="T1583" t="str">
        <f>IF(Q1583="DEP","BAS Excluded","GST on Income")</f>
        <v>GST on Income</v>
      </c>
      <c r="U1583">
        <f>IF(O1583=T1583,1,0)</f>
        <v>1</v>
      </c>
      <c r="V1583" s="9">
        <f>IF(OR(M1583=0,U1583=1),0,IF(T1583="GST on Income",ROUND(K1583*0.1,2),ROUND(-K1583*0.1,2)))</f>
        <v>0</v>
      </c>
    </row>
    <row r="1584">
      <c r="A1584" t="inlineStr">
        <is>
          <t>INV-5702-2</t>
        </is>
      </c>
      <c r="B1584" t="inlineStr">
        <is>
          <t>INV-5702</t>
        </is>
      </c>
      <c r="C1584" s="11" t="n">
        <v>46074</v>
      </c>
      <c r="D1584" t="inlineStr">
        <is>
          <t>2026-02</t>
        </is>
      </c>
      <c r="E1584" t="inlineStr">
        <is>
          <t>C0066</t>
        </is>
      </c>
      <c r="F1584" t="inlineStr">
        <is>
          <t>C0066</t>
        </is>
      </c>
      <c r="G1584" t="inlineStr">
        <is>
          <t>Northgate Insurance Repairs</t>
        </is>
      </c>
      <c r="H1584" t="inlineStr">
        <is>
          <t>S0435</t>
        </is>
      </c>
      <c r="I1584" t="inlineStr">
        <is>
          <t>Materials - gutter and downpipe</t>
        </is>
      </c>
      <c r="J1584" t="n">
        <v>1</v>
      </c>
      <c r="K1584" s="9" t="n">
        <v>1262.73</v>
      </c>
      <c r="L1584" t="inlineStr">
        <is>
          <t>PAID</t>
        </is>
      </c>
      <c r="M1584">
        <f>IF(L1584="VOIDED",0,1)</f>
        <v>1</v>
      </c>
      <c r="N1584" t="n">
        <v>200</v>
      </c>
      <c r="O1584" t="inlineStr">
        <is>
          <t>GST on Income</t>
        </is>
      </c>
      <c r="P1584" t="inlineStr">
        <is>
          <t>R11</t>
        </is>
      </c>
      <c r="Q1584" t="inlineStr">
        <is>
          <t>MAT-RF</t>
        </is>
      </c>
      <c r="R1584">
        <f>IF(OR(Q1584="CONTEXT",Q1584="REVIEW"),"",INDEX('Category Rules'!$D$5:$D$17,MATCH(P1584,'Category Rules'!$A$5:$A$17,0)))</f>
        <v>4030</v>
      </c>
      <c r="S1584" t="str">
        <f>IF(Q1584="CONTEXT","Roofing",IF(Q1584="REVIEW","",INDEX('Category Rules'!$E$5:$E$17,MATCH(P1584,'Category Rules'!$A$5:$A$17,0))))</f>
        <v>Roofing</v>
      </c>
      <c r="T1584" t="str">
        <f>IF(Q1584="DEP","BAS Excluded","GST on Income")</f>
        <v>GST on Income</v>
      </c>
      <c r="U1584">
        <f>IF(O1584=T1584,1,0)</f>
        <v>1</v>
      </c>
      <c r="V1584" s="9">
        <f>IF(OR(M1584=0,U1584=1),0,IF(T1584="GST on Income",ROUND(K1584*0.1,2),ROUND(-K1584*0.1,2)))</f>
        <v>0</v>
      </c>
    </row>
    <row r="1585">
      <c r="A1585" t="inlineStr">
        <is>
          <t>INV-5702-3</t>
        </is>
      </c>
      <c r="B1585" t="inlineStr">
        <is>
          <t>INV-5702</t>
        </is>
      </c>
      <c r="C1585" s="11" t="n">
        <v>46074</v>
      </c>
      <c r="D1585" t="inlineStr">
        <is>
          <t>2026-02</t>
        </is>
      </c>
      <c r="E1585" t="inlineStr">
        <is>
          <t>C0066</t>
        </is>
      </c>
      <c r="F1585" t="inlineStr">
        <is>
          <t>C0066</t>
        </is>
      </c>
      <c r="G1585" t="inlineStr">
        <is>
          <t>Northgate Insurance Repairs</t>
        </is>
      </c>
      <c r="H1585" t="inlineStr">
        <is>
          <t>S0435</t>
        </is>
      </c>
      <c r="I1585" t="inlineStr">
        <is>
          <t>Materials - flashing</t>
        </is>
      </c>
      <c r="J1585" t="n">
        <v>1</v>
      </c>
      <c r="K1585" s="9" t="n">
        <v>547.33</v>
      </c>
      <c r="L1585" t="inlineStr">
        <is>
          <t>PAID</t>
        </is>
      </c>
      <c r="M1585">
        <f>IF(L1585="VOIDED",0,1)</f>
        <v>1</v>
      </c>
      <c r="N1585" t="n">
        <v>200</v>
      </c>
      <c r="O1585" t="inlineStr">
        <is>
          <t>GST on Income</t>
        </is>
      </c>
      <c r="P1585" t="inlineStr">
        <is>
          <t>R11</t>
        </is>
      </c>
      <c r="Q1585" t="inlineStr">
        <is>
          <t>MAT-RF</t>
        </is>
      </c>
      <c r="R1585">
        <f>IF(OR(Q1585="CONTEXT",Q1585="REVIEW"),"",INDEX('Category Rules'!$D$5:$D$17,MATCH(P1585,'Category Rules'!$A$5:$A$17,0)))</f>
        <v>4030</v>
      </c>
      <c r="S1585" t="str">
        <f>IF(Q1585="CONTEXT","Roofing",IF(Q1585="REVIEW","",INDEX('Category Rules'!$E$5:$E$17,MATCH(P1585,'Category Rules'!$A$5:$A$17,0))))</f>
        <v>Roofing</v>
      </c>
      <c r="T1585" t="str">
        <f>IF(Q1585="DEP","BAS Excluded","GST on Income")</f>
        <v>GST on Income</v>
      </c>
      <c r="U1585">
        <f>IF(O1585=T1585,1,0)</f>
        <v>1</v>
      </c>
      <c r="V1585" s="9">
        <f>IF(OR(M1585=0,U1585=1),0,IF(T1585="GST on Income",ROUND(K1585*0.1,2),ROUND(-K1585*0.1,2)))</f>
        <v>0</v>
      </c>
    </row>
    <row r="1586">
      <c r="A1586" t="inlineStr">
        <is>
          <t>INV-5702-4</t>
        </is>
      </c>
      <c r="B1586" t="inlineStr">
        <is>
          <t>INV-5702</t>
        </is>
      </c>
      <c r="C1586" s="11" t="n">
        <v>46074</v>
      </c>
      <c r="D1586" t="inlineStr">
        <is>
          <t>2026-02</t>
        </is>
      </c>
      <c r="E1586" t="inlineStr">
        <is>
          <t>C0066</t>
        </is>
      </c>
      <c r="F1586" t="inlineStr">
        <is>
          <t>C0066</t>
        </is>
      </c>
      <c r="G1586" t="inlineStr">
        <is>
          <t>Northgate Insurance Repairs</t>
        </is>
      </c>
      <c r="H1586" t="inlineStr">
        <is>
          <t>S0435</t>
        </is>
      </c>
      <c r="I1586" t="inlineStr">
        <is>
          <t>Waste removal and tip fees</t>
        </is>
      </c>
      <c r="J1586" t="n">
        <v>1</v>
      </c>
      <c r="K1586" s="9" t="n">
        <v>120</v>
      </c>
      <c r="L1586" t="inlineStr">
        <is>
          <t>PAID</t>
        </is>
      </c>
      <c r="M1586">
        <f>IF(L1586="VOIDED",0,1)</f>
        <v>1</v>
      </c>
      <c r="N1586" t="n">
        <v>200</v>
      </c>
      <c r="O1586" t="inlineStr">
        <is>
          <t>GST on Income</t>
        </is>
      </c>
      <c r="P1586" t="inlineStr">
        <is>
          <t>R11</t>
        </is>
      </c>
      <c r="Q1586" t="inlineStr">
        <is>
          <t>MAT-RF</t>
        </is>
      </c>
      <c r="R1586">
        <f>IF(OR(Q1586="CONTEXT",Q1586="REVIEW"),"",INDEX('Category Rules'!$D$5:$D$17,MATCH(P1586,'Category Rules'!$A$5:$A$17,0)))</f>
        <v>4030</v>
      </c>
      <c r="S1586" t="str">
        <f>IF(Q1586="CONTEXT","Roofing",IF(Q1586="REVIEW","",INDEX('Category Rules'!$E$5:$E$17,MATCH(P1586,'Category Rules'!$A$5:$A$17,0))))</f>
        <v>Roofing</v>
      </c>
      <c r="T1586" t="str">
        <f>IF(Q1586="DEP","BAS Excluded","GST on Income")</f>
        <v>GST on Income</v>
      </c>
      <c r="U1586">
        <f>IF(O1586=T1586,1,0)</f>
        <v>1</v>
      </c>
      <c r="V1586" s="9">
        <f>IF(OR(M1586=0,U1586=1),0,IF(T1586="GST on Income",ROUND(K1586*0.1,2),ROUND(-K1586*0.1,2)))</f>
        <v>0</v>
      </c>
    </row>
    <row r="1587">
      <c r="A1587" t="inlineStr">
        <is>
          <t>CN-5953-1</t>
        </is>
      </c>
      <c r="B1587" t="inlineStr">
        <is>
          <t>CN-5953</t>
        </is>
      </c>
      <c r="C1587" s="11" t="n">
        <v>46075</v>
      </c>
      <c r="D1587" t="inlineStr">
        <is>
          <t>2026-02</t>
        </is>
      </c>
      <c r="E1587" t="inlineStr">
        <is>
          <t>C0133</t>
        </is>
      </c>
      <c r="F1587" t="inlineStr">
        <is>
          <t>C0014</t>
        </is>
      </c>
      <c r="G1587" t="inlineStr">
        <is>
          <t>Riverbend Homes Pty Ltd</t>
        </is>
      </c>
      <c r="H1587" t="inlineStr">
        <is>
          <t>S0058</t>
        </is>
      </c>
      <c r="I1587" t="inlineStr">
        <is>
          <t>Credit - temporary fence hire overcharge</t>
        </is>
      </c>
      <c r="J1587" t="n">
        <v>1</v>
      </c>
      <c r="K1587" s="9" t="n">
        <v>-853.47</v>
      </c>
      <c r="L1587" t="inlineStr">
        <is>
          <t>PAID</t>
        </is>
      </c>
      <c r="M1587">
        <f>IF(L1587="VOIDED",0,1)</f>
        <v>1</v>
      </c>
      <c r="N1587" t="n">
        <v>200</v>
      </c>
      <c r="O1587" t="inlineStr">
        <is>
          <t>GST on Income</t>
        </is>
      </c>
      <c r="P1587" t="inlineStr">
        <is>
          <t>R03</t>
        </is>
      </c>
      <c r="Q1587" t="inlineStr">
        <is>
          <t>HIRE-FP</t>
        </is>
      </c>
      <c r="R1587">
        <f>IF(OR(Q1587="CONTEXT",Q1587="REVIEW"),"",INDEX('Category Rules'!$D$5:$D$17,MATCH(P1587,'Category Rules'!$A$5:$A$17,0)))</f>
        <v>4010</v>
      </c>
      <c r="S1587" t="str">
        <f>IF(Q1587="CONTEXT","Fencing",IF(Q1587="REVIEW","",INDEX('Category Rules'!$E$5:$E$17,MATCH(P1587,'Category Rules'!$A$5:$A$17,0))))</f>
        <v>Fencing</v>
      </c>
      <c r="T1587" t="str">
        <f>IF(Q1587="DEP","BAS Excluded","GST on Income")</f>
        <v>GST on Income</v>
      </c>
      <c r="U1587">
        <f>IF(O1587=T1587,1,0)</f>
        <v>1</v>
      </c>
      <c r="V1587" s="9">
        <f>IF(OR(M1587=0,U1587=1),0,IF(T1587="GST on Income",ROUND(K1587*0.1,2),ROUND(-K1587*0.1,2)))</f>
        <v>0</v>
      </c>
    </row>
    <row r="1588">
      <c r="A1588" t="inlineStr">
        <is>
          <t>INV-5119-1</t>
        </is>
      </c>
      <c r="B1588" t="inlineStr">
        <is>
          <t>INV-5119</t>
        </is>
      </c>
      <c r="C1588" s="11" t="n">
        <v>46075</v>
      </c>
      <c r="D1588" t="inlineStr">
        <is>
          <t>2026-02</t>
        </is>
      </c>
      <c r="E1588" t="inlineStr">
        <is>
          <t>C0011</t>
        </is>
      </c>
      <c r="F1588" t="inlineStr">
        <is>
          <t>C0011</t>
        </is>
      </c>
      <c r="G1588" t="inlineStr">
        <is>
          <t>Wattle Homes Pty Ltd</t>
        </is>
      </c>
      <c r="H1588" t="inlineStr">
        <is>
          <t>S0217</t>
        </is>
      </c>
      <c r="I1588" t="inlineStr">
        <is>
          <t>Temporary fence hire 1 wks (21/02/26-21/02/26) - 128 panels</t>
        </is>
      </c>
      <c r="J1588" t="n">
        <v>128</v>
      </c>
      <c r="K1588" s="9" t="n">
        <v>576</v>
      </c>
      <c r="L1588" t="inlineStr">
        <is>
          <t>PAID</t>
        </is>
      </c>
      <c r="M1588">
        <f>IF(L1588="VOIDED",0,1)</f>
        <v>1</v>
      </c>
      <c r="N1588" t="n">
        <v>200</v>
      </c>
      <c r="O1588" t="inlineStr">
        <is>
          <t>GST on Income</t>
        </is>
      </c>
      <c r="P1588" t="inlineStr">
        <is>
          <t>R03</t>
        </is>
      </c>
      <c r="Q1588" t="inlineStr">
        <is>
          <t>HIRE-FP</t>
        </is>
      </c>
      <c r="R1588">
        <f>IF(OR(Q1588="CONTEXT",Q1588="REVIEW"),"",INDEX('Category Rules'!$D$5:$D$17,MATCH(P1588,'Category Rules'!$A$5:$A$17,0)))</f>
        <v>4010</v>
      </c>
      <c r="S1588" t="str">
        <f>IF(Q1588="CONTEXT","Fencing",IF(Q1588="REVIEW","",INDEX('Category Rules'!$E$5:$E$17,MATCH(P1588,'Category Rules'!$A$5:$A$17,0))))</f>
        <v>Fencing</v>
      </c>
      <c r="T1588" t="str">
        <f>IF(Q1588="DEP","BAS Excluded","GST on Income")</f>
        <v>GST on Income</v>
      </c>
      <c r="U1588">
        <f>IF(O1588=T1588,1,0)</f>
        <v>1</v>
      </c>
      <c r="V1588" s="9">
        <f>IF(OR(M1588=0,U1588=1),0,IF(T1588="GST on Income",ROUND(K1588*0.1,2),ROUND(-K1588*0.1,2)))</f>
        <v>0</v>
      </c>
    </row>
    <row r="1589">
      <c r="A1589" t="inlineStr">
        <is>
          <t>INV-5121-1</t>
        </is>
      </c>
      <c r="B1589" t="inlineStr">
        <is>
          <t>INV-5121</t>
        </is>
      </c>
      <c r="C1589" s="11" t="n">
        <v>46075</v>
      </c>
      <c r="D1589" t="inlineStr">
        <is>
          <t>2026-02</t>
        </is>
      </c>
      <c r="E1589" t="inlineStr">
        <is>
          <t>C0011</t>
        </is>
      </c>
      <c r="F1589" t="inlineStr">
        <is>
          <t>C0011</t>
        </is>
      </c>
      <c r="G1589" t="inlineStr">
        <is>
          <t>Wattle Homes Pty Ltd</t>
        </is>
      </c>
      <c r="H1589" t="inlineStr">
        <is>
          <t>S0217</t>
        </is>
      </c>
      <c r="I1589" t="inlineStr">
        <is>
          <t>Collection and dismantle - temporary fencing</t>
        </is>
      </c>
      <c r="J1589" t="n">
        <v>1</v>
      </c>
      <c r="K1589" s="9" t="n">
        <v>165</v>
      </c>
      <c r="L1589" t="inlineStr">
        <is>
          <t>PAID</t>
        </is>
      </c>
      <c r="M1589">
        <f>IF(L1589="VOIDED",0,1)</f>
        <v>1</v>
      </c>
      <c r="N1589" t="n">
        <v>200</v>
      </c>
      <c r="O1589" t="inlineStr">
        <is>
          <t>GST on Income</t>
        </is>
      </c>
      <c r="P1589" t="inlineStr">
        <is>
          <t>R07</t>
        </is>
      </c>
      <c r="Q1589" t="inlineStr">
        <is>
          <t>DEL-FP</t>
        </is>
      </c>
      <c r="R1589">
        <f>IF(OR(Q1589="CONTEXT",Q1589="REVIEW"),"",INDEX('Category Rules'!$D$5:$D$17,MATCH(P1589,'Category Rules'!$A$5:$A$17,0)))</f>
        <v>4020</v>
      </c>
      <c r="S1589" t="str">
        <f>IF(Q1589="CONTEXT","Fencing",IF(Q1589="REVIEW","",INDEX('Category Rules'!$E$5:$E$17,MATCH(P1589,'Category Rules'!$A$5:$A$17,0))))</f>
        <v>Fencing</v>
      </c>
      <c r="T1589" t="str">
        <f>IF(Q1589="DEP","BAS Excluded","GST on Income")</f>
        <v>GST on Income</v>
      </c>
      <c r="U1589">
        <f>IF(O1589=T1589,1,0)</f>
        <v>1</v>
      </c>
      <c r="V1589" s="9">
        <f>IF(OR(M1589=0,U1589=1),0,IF(T1589="GST on Income",ROUND(K1589*0.1,2),ROUND(-K1589*0.1,2)))</f>
        <v>0</v>
      </c>
    </row>
    <row r="1590">
      <c r="A1590" t="inlineStr">
        <is>
          <t>INV-5163-1</t>
        </is>
      </c>
      <c r="B1590" t="inlineStr">
        <is>
          <t>INV-5163</t>
        </is>
      </c>
      <c r="C1590" s="11" t="n">
        <v>46075</v>
      </c>
      <c r="D1590" t="inlineStr">
        <is>
          <t>2026-02</t>
        </is>
      </c>
      <c r="E1590" t="inlineStr">
        <is>
          <t>C0018</t>
        </is>
      </c>
      <c r="F1590" t="inlineStr">
        <is>
          <t>C0018</t>
        </is>
      </c>
      <c r="G1590" t="inlineStr">
        <is>
          <t>Wattle Constructions Pty Ltd</t>
        </is>
      </c>
      <c r="H1590" t="inlineStr">
        <is>
          <t>S0228</t>
        </is>
      </c>
      <c r="I1590" t="inlineStr">
        <is>
          <t>Delivery and installation - temporary fencing</t>
        </is>
      </c>
      <c r="J1590" t="n">
        <v>1</v>
      </c>
      <c r="K1590" s="9" t="n">
        <v>165</v>
      </c>
      <c r="L1590" t="inlineStr">
        <is>
          <t>PAID</t>
        </is>
      </c>
      <c r="M1590">
        <f>IF(L1590="VOIDED",0,1)</f>
        <v>1</v>
      </c>
      <c r="N1590" t="n">
        <v>200</v>
      </c>
      <c r="O1590" t="inlineStr">
        <is>
          <t>GST on Income</t>
        </is>
      </c>
      <c r="P1590" t="inlineStr">
        <is>
          <t>R07</t>
        </is>
      </c>
      <c r="Q1590" t="inlineStr">
        <is>
          <t>DEL-FP</t>
        </is>
      </c>
      <c r="R1590">
        <f>IF(OR(Q1590="CONTEXT",Q1590="REVIEW"),"",INDEX('Category Rules'!$D$5:$D$17,MATCH(P1590,'Category Rules'!$A$5:$A$17,0)))</f>
        <v>4020</v>
      </c>
      <c r="S1590" t="str">
        <f>IF(Q1590="CONTEXT","Fencing",IF(Q1590="REVIEW","",INDEX('Category Rules'!$E$5:$E$17,MATCH(P1590,'Category Rules'!$A$5:$A$17,0))))</f>
        <v>Fencing</v>
      </c>
      <c r="T1590" t="str">
        <f>IF(Q1590="DEP","BAS Excluded","GST on Income")</f>
        <v>GST on Income</v>
      </c>
      <c r="U1590">
        <f>IF(O1590=T1590,1,0)</f>
        <v>1</v>
      </c>
      <c r="V1590" s="9">
        <f>IF(OR(M1590=0,U1590=1),0,IF(T1590="GST on Income",ROUND(K1590*0.1,2),ROUND(-K1590*0.1,2)))</f>
        <v>0</v>
      </c>
    </row>
    <row r="1591">
      <c r="A1591" t="inlineStr">
        <is>
          <t>INV-5163-2</t>
        </is>
      </c>
      <c r="B1591" t="inlineStr">
        <is>
          <t>INV-5163</t>
        </is>
      </c>
      <c r="C1591" s="11" t="n">
        <v>46075</v>
      </c>
      <c r="D1591" t="inlineStr">
        <is>
          <t>2026-02</t>
        </is>
      </c>
      <c r="E1591" t="inlineStr">
        <is>
          <t>C0018</t>
        </is>
      </c>
      <c r="F1591" t="inlineStr">
        <is>
          <t>C0018</t>
        </is>
      </c>
      <c r="G1591" t="inlineStr">
        <is>
          <t>Wattle Constructions Pty Ltd</t>
        </is>
      </c>
      <c r="H1591" t="inlineStr">
        <is>
          <t>S0228</t>
        </is>
      </c>
      <c r="I1591" t="inlineStr">
        <is>
          <t>Installation labour - 154 panels @ 2.20</t>
        </is>
      </c>
      <c r="J1591" t="n">
        <v>154</v>
      </c>
      <c r="K1591" s="9" t="n">
        <v>338.8</v>
      </c>
      <c r="L1591" t="inlineStr">
        <is>
          <t>PAID</t>
        </is>
      </c>
      <c r="M1591">
        <f>IF(L1591="VOIDED",0,1)</f>
        <v>1</v>
      </c>
      <c r="N1591" t="n">
        <v>200</v>
      </c>
      <c r="O1591" t="inlineStr">
        <is>
          <t>GST on Income</t>
        </is>
      </c>
      <c r="P1591" t="inlineStr">
        <is>
          <t>R07</t>
        </is>
      </c>
      <c r="Q1591" t="inlineStr">
        <is>
          <t>DEL-FP</t>
        </is>
      </c>
      <c r="R1591">
        <f>IF(OR(Q1591="CONTEXT",Q1591="REVIEW"),"",INDEX('Category Rules'!$D$5:$D$17,MATCH(P1591,'Category Rules'!$A$5:$A$17,0)))</f>
        <v>4020</v>
      </c>
      <c r="S1591" t="str">
        <f>IF(Q1591="CONTEXT","Fencing",IF(Q1591="REVIEW","",INDEX('Category Rules'!$E$5:$E$17,MATCH(P1591,'Category Rules'!$A$5:$A$17,0))))</f>
        <v>Fencing</v>
      </c>
      <c r="T1591" t="str">
        <f>IF(Q1591="DEP","BAS Excluded","GST on Income")</f>
        <v>GST on Income</v>
      </c>
      <c r="U1591">
        <f>IF(O1591=T1591,1,0)</f>
        <v>1</v>
      </c>
      <c r="V1591" s="9">
        <f>IF(OR(M1591=0,U1591=1),0,IF(T1591="GST on Income",ROUND(K1591*0.1,2),ROUND(-K1591*0.1,2)))</f>
        <v>0</v>
      </c>
    </row>
    <row r="1592">
      <c r="A1592" t="inlineStr">
        <is>
          <t>INV-5176-1</t>
        </is>
      </c>
      <c r="B1592" t="inlineStr">
        <is>
          <t>INV-5176</t>
        </is>
      </c>
      <c r="C1592" s="11" t="n">
        <v>46075</v>
      </c>
      <c r="D1592" t="inlineStr">
        <is>
          <t>2026-02</t>
        </is>
      </c>
      <c r="E1592" t="inlineStr">
        <is>
          <t>C0042</t>
        </is>
      </c>
      <c r="F1592" t="inlineStr">
        <is>
          <t>C0042</t>
        </is>
      </c>
      <c r="G1592" t="inlineStr">
        <is>
          <t>Lakeside Constructions Pty Ltd</t>
        </is>
      </c>
      <c r="H1592" t="inlineStr">
        <is>
          <t>S0231</t>
        </is>
      </c>
      <c r="I1592" t="inlineStr">
        <is>
          <t>Temporary fence hire 4 wks (25/01/26-21/02/26) - 125 panels</t>
        </is>
      </c>
      <c r="J1592" t="n">
        <v>500</v>
      </c>
      <c r="K1592" s="9" t="n">
        <v>2250</v>
      </c>
      <c r="L1592" t="inlineStr">
        <is>
          <t>PAID</t>
        </is>
      </c>
      <c r="M1592">
        <f>IF(L1592="VOIDED",0,1)</f>
        <v>1</v>
      </c>
      <c r="N1592" t="n">
        <v>200</v>
      </c>
      <c r="O1592" t="inlineStr">
        <is>
          <t>GST on Income</t>
        </is>
      </c>
      <c r="P1592" t="inlineStr">
        <is>
          <t>R03</t>
        </is>
      </c>
      <c r="Q1592" t="inlineStr">
        <is>
          <t>HIRE-FP</t>
        </is>
      </c>
      <c r="R1592">
        <f>IF(OR(Q1592="CONTEXT",Q1592="REVIEW"),"",INDEX('Category Rules'!$D$5:$D$17,MATCH(P1592,'Category Rules'!$A$5:$A$17,0)))</f>
        <v>4010</v>
      </c>
      <c r="S1592" t="str">
        <f>IF(Q1592="CONTEXT","Fencing",IF(Q1592="REVIEW","",INDEX('Category Rules'!$E$5:$E$17,MATCH(P1592,'Category Rules'!$A$5:$A$17,0))))</f>
        <v>Fencing</v>
      </c>
      <c r="T1592" t="str">
        <f>IF(Q1592="DEP","BAS Excluded","GST on Income")</f>
        <v>GST on Income</v>
      </c>
      <c r="U1592">
        <f>IF(O1592=T1592,1,0)</f>
        <v>1</v>
      </c>
      <c r="V1592" s="9">
        <f>IF(OR(M1592=0,U1592=1),0,IF(T1592="GST on Income",ROUND(K1592*0.1,2),ROUND(-K1592*0.1,2)))</f>
        <v>0</v>
      </c>
    </row>
    <row r="1593">
      <c r="A1593" t="inlineStr">
        <is>
          <t>INV-5390-1</t>
        </is>
      </c>
      <c r="B1593" t="inlineStr">
        <is>
          <t>INV-5390</t>
        </is>
      </c>
      <c r="C1593" s="11" t="n">
        <v>46075</v>
      </c>
      <c r="D1593" t="inlineStr">
        <is>
          <t>2026-02</t>
        </is>
      </c>
      <c r="E1593" t="inlineStr">
        <is>
          <t>C0089</t>
        </is>
      </c>
      <c r="F1593" t="inlineStr">
        <is>
          <t>C0089</t>
        </is>
      </c>
      <c r="G1593" t="inlineStr">
        <is>
          <t>Leo Hughes</t>
        </is>
      </c>
      <c r="H1593" t="inlineStr">
        <is>
          <t>S0280</t>
        </is>
      </c>
      <c r="I1593" t="inlineStr">
        <is>
          <t>Scaffold erect - 2 tower(s)</t>
        </is>
      </c>
      <c r="J1593" t="n">
        <v>2</v>
      </c>
      <c r="K1593" s="9" t="n">
        <v>840</v>
      </c>
      <c r="L1593" t="inlineStr">
        <is>
          <t>PAID</t>
        </is>
      </c>
      <c r="M1593">
        <f>IF(L1593="VOIDED",0,1)</f>
        <v>1</v>
      </c>
      <c r="N1593" t="n">
        <v>260</v>
      </c>
      <c r="O1593" t="inlineStr">
        <is>
          <t>GST on Income</t>
        </is>
      </c>
      <c r="P1593" t="inlineStr">
        <is>
          <t>R08</t>
        </is>
      </c>
      <c r="Q1593" t="inlineStr">
        <is>
          <t>LAB-ST</t>
        </is>
      </c>
      <c r="R1593">
        <f>IF(OR(Q1593="CONTEXT",Q1593="REVIEW"),"",INDEX('Category Rules'!$D$5:$D$17,MATCH(P1593,'Category Rules'!$A$5:$A$17,0)))</f>
        <v>4020</v>
      </c>
      <c r="S1593" t="str">
        <f>IF(Q1593="CONTEXT","Scaffolding",IF(Q1593="REVIEW","",INDEX('Category Rules'!$E$5:$E$17,MATCH(P1593,'Category Rules'!$A$5:$A$17,0))))</f>
        <v>Scaffolding</v>
      </c>
      <c r="T1593" t="str">
        <f>IF(Q1593="DEP","BAS Excluded","GST on Income")</f>
        <v>GST on Income</v>
      </c>
      <c r="U1593">
        <f>IF(O1593=T1593,1,0)</f>
        <v>1</v>
      </c>
      <c r="V1593" s="9">
        <f>IF(OR(M1593=0,U1593=1),0,IF(T1593="GST on Income",ROUND(K1593*0.1,2),ROUND(-K1593*0.1,2)))</f>
        <v>0</v>
      </c>
    </row>
    <row r="1594">
      <c r="A1594" t="inlineStr">
        <is>
          <t>INV-4587-1</t>
        </is>
      </c>
      <c r="B1594" t="inlineStr">
        <is>
          <t>INV-4587</t>
        </is>
      </c>
      <c r="C1594" s="11" t="n">
        <v>46076</v>
      </c>
      <c r="D1594" t="inlineStr">
        <is>
          <t>2026-02</t>
        </is>
      </c>
      <c r="E1594" t="inlineStr">
        <is>
          <t>C0022</t>
        </is>
      </c>
      <c r="F1594" t="inlineStr">
        <is>
          <t>C0022</t>
        </is>
      </c>
      <c r="G1594" t="inlineStr">
        <is>
          <t>Highpoint Projects</t>
        </is>
      </c>
      <c r="H1594" t="inlineStr">
        <is>
          <t>S0099</t>
        </is>
      </c>
      <c r="I1594" t="inlineStr">
        <is>
          <t>Temporary fence hire 4 wks (26/01/26-22/02/26) - 70 panels</t>
        </is>
      </c>
      <c r="J1594" t="n">
        <v>280</v>
      </c>
      <c r="K1594" s="9" t="n">
        <v>1260</v>
      </c>
      <c r="L1594" t="inlineStr">
        <is>
          <t>PAID</t>
        </is>
      </c>
      <c r="M1594">
        <f>IF(L1594="VOIDED",0,1)</f>
        <v>1</v>
      </c>
      <c r="N1594" t="n">
        <v>200</v>
      </c>
      <c r="O1594" t="inlineStr">
        <is>
          <t>GST on Income</t>
        </is>
      </c>
      <c r="P1594" t="inlineStr">
        <is>
          <t>R03</t>
        </is>
      </c>
      <c r="Q1594" t="inlineStr">
        <is>
          <t>HIRE-FP</t>
        </is>
      </c>
      <c r="R1594">
        <f>IF(OR(Q1594="CONTEXT",Q1594="REVIEW"),"",INDEX('Category Rules'!$D$5:$D$17,MATCH(P1594,'Category Rules'!$A$5:$A$17,0)))</f>
        <v>4010</v>
      </c>
      <c r="S1594" t="str">
        <f>IF(Q1594="CONTEXT","Fencing",IF(Q1594="REVIEW","",INDEX('Category Rules'!$E$5:$E$17,MATCH(P1594,'Category Rules'!$A$5:$A$17,0))))</f>
        <v>Fencing</v>
      </c>
      <c r="T1594" t="str">
        <f>IF(Q1594="DEP","BAS Excluded","GST on Income")</f>
        <v>GST on Income</v>
      </c>
      <c r="U1594">
        <f>IF(O1594=T1594,1,0)</f>
        <v>1</v>
      </c>
      <c r="V1594" s="9">
        <f>IF(OR(M1594=0,U1594=1),0,IF(T1594="GST on Income",ROUND(K1594*0.1,2),ROUND(-K1594*0.1,2)))</f>
        <v>0</v>
      </c>
    </row>
    <row r="1595">
      <c r="A1595" t="inlineStr">
        <is>
          <t>INV-4592-1</t>
        </is>
      </c>
      <c r="B1595" t="inlineStr">
        <is>
          <t>INV-4592</t>
        </is>
      </c>
      <c r="C1595" s="11" t="n">
        <v>46076</v>
      </c>
      <c r="D1595" t="inlineStr">
        <is>
          <t>2026-02</t>
        </is>
      </c>
      <c r="E1595" t="inlineStr">
        <is>
          <t>C0022</t>
        </is>
      </c>
      <c r="F1595" t="inlineStr">
        <is>
          <t>C0022</t>
        </is>
      </c>
      <c r="G1595" t="inlineStr">
        <is>
          <t>Highpoint Projects</t>
        </is>
      </c>
      <c r="H1595" t="inlineStr">
        <is>
          <t>S0099</t>
        </is>
      </c>
      <c r="I1595" t="inlineStr">
        <is>
          <t>Pedestrian barrier hire 4 wks (26/01/26-22/02/26) - 10 barriers</t>
        </is>
      </c>
      <c r="J1595" t="n">
        <v>40</v>
      </c>
      <c r="K1595" s="9" t="n">
        <v>128</v>
      </c>
      <c r="L1595" t="inlineStr">
        <is>
          <t>PAID</t>
        </is>
      </c>
      <c r="M1595">
        <f>IF(L1595="VOIDED",0,1)</f>
        <v>1</v>
      </c>
      <c r="N1595" t="n">
        <v>200</v>
      </c>
      <c r="O1595" t="inlineStr">
        <is>
          <t>GST on Income</t>
        </is>
      </c>
      <c r="P1595" t="inlineStr">
        <is>
          <t>R04</t>
        </is>
      </c>
      <c r="Q1595" t="inlineStr">
        <is>
          <t>HIRE-BR</t>
        </is>
      </c>
      <c r="R1595">
        <f>IF(OR(Q1595="CONTEXT",Q1595="REVIEW"),"",INDEX('Category Rules'!$D$5:$D$17,MATCH(P1595,'Category Rules'!$A$5:$A$17,0)))</f>
        <v>4010</v>
      </c>
      <c r="S1595" t="str">
        <f>IF(Q1595="CONTEXT","Fencing",IF(Q1595="REVIEW","",INDEX('Category Rules'!$E$5:$E$17,MATCH(P1595,'Category Rules'!$A$5:$A$17,0))))</f>
        <v>Fencing</v>
      </c>
      <c r="T1595" t="str">
        <f>IF(Q1595="DEP","BAS Excluded","GST on Income")</f>
        <v>GST on Income</v>
      </c>
      <c r="U1595">
        <f>IF(O1595=T1595,1,0)</f>
        <v>1</v>
      </c>
      <c r="V1595" s="9">
        <f>IF(OR(M1595=0,U1595=1),0,IF(T1595="GST on Income",ROUND(K1595*0.1,2),ROUND(-K1595*0.1,2)))</f>
        <v>0</v>
      </c>
    </row>
    <row r="1596">
      <c r="A1596" t="inlineStr">
        <is>
          <t>INV-4979-1</t>
        </is>
      </c>
      <c r="B1596" t="inlineStr">
        <is>
          <t>INV-4979</t>
        </is>
      </c>
      <c r="C1596" s="11" t="n">
        <v>46077</v>
      </c>
      <c r="D1596" t="inlineStr">
        <is>
          <t>2026-02</t>
        </is>
      </c>
      <c r="E1596" t="inlineStr">
        <is>
          <t>C0010</t>
        </is>
      </c>
      <c r="F1596" t="inlineStr">
        <is>
          <t>C0010</t>
        </is>
      </c>
      <c r="G1596" t="inlineStr">
        <is>
          <t>Eastlink Developments</t>
        </is>
      </c>
      <c r="H1596" t="inlineStr">
        <is>
          <t>S0187</t>
        </is>
      </c>
      <c r="I1596" t="inlineStr">
        <is>
          <t>Temporary fence hire 4 wks (27/01/26-23/02/26) - 120 panels</t>
        </is>
      </c>
      <c r="J1596" t="n">
        <v>480</v>
      </c>
      <c r="K1596" s="9" t="n">
        <v>2160</v>
      </c>
      <c r="L1596" t="inlineStr">
        <is>
          <t>PAID</t>
        </is>
      </c>
      <c r="M1596">
        <f>IF(L1596="VOIDED",0,1)</f>
        <v>1</v>
      </c>
      <c r="N1596" t="n">
        <v>200</v>
      </c>
      <c r="O1596" t="inlineStr">
        <is>
          <t>GST on Income</t>
        </is>
      </c>
      <c r="P1596" t="inlineStr">
        <is>
          <t>R03</t>
        </is>
      </c>
      <c r="Q1596" t="inlineStr">
        <is>
          <t>HIRE-FP</t>
        </is>
      </c>
      <c r="R1596">
        <f>IF(OR(Q1596="CONTEXT",Q1596="REVIEW"),"",INDEX('Category Rules'!$D$5:$D$17,MATCH(P1596,'Category Rules'!$A$5:$A$17,0)))</f>
        <v>4010</v>
      </c>
      <c r="S1596" t="str">
        <f>IF(Q1596="CONTEXT","Fencing",IF(Q1596="REVIEW","",INDEX('Category Rules'!$E$5:$E$17,MATCH(P1596,'Category Rules'!$A$5:$A$17,0))))</f>
        <v>Fencing</v>
      </c>
      <c r="T1596" t="str">
        <f>IF(Q1596="DEP","BAS Excluded","GST on Income")</f>
        <v>GST on Income</v>
      </c>
      <c r="U1596">
        <f>IF(O1596=T1596,1,0)</f>
        <v>1</v>
      </c>
      <c r="V1596" s="9">
        <f>IF(OR(M1596=0,U1596=1),0,IF(T1596="GST on Income",ROUND(K1596*0.1,2),ROUND(-K1596*0.1,2)))</f>
        <v>0</v>
      </c>
    </row>
    <row r="1597">
      <c r="A1597" t="inlineStr">
        <is>
          <t>INV-5035-1</t>
        </is>
      </c>
      <c r="B1597" t="inlineStr">
        <is>
          <t>INV-5035</t>
        </is>
      </c>
      <c r="C1597" s="11" t="n">
        <v>46077</v>
      </c>
      <c r="D1597" t="inlineStr">
        <is>
          <t>2026-02</t>
        </is>
      </c>
      <c r="E1597" t="inlineStr">
        <is>
          <t>C0071</t>
        </is>
      </c>
      <c r="F1597" t="inlineStr">
        <is>
          <t>C0071</t>
        </is>
      </c>
      <c r="G1597" t="inlineStr">
        <is>
          <t>Maribyrnong City Council</t>
        </is>
      </c>
      <c r="H1597" t="inlineStr">
        <is>
          <t>S0202</t>
        </is>
      </c>
      <c r="I1597" t="inlineStr">
        <is>
          <t>Temporary fence hire 4 wks (27/01/26-23/02/26) - 42 panels</t>
        </is>
      </c>
      <c r="J1597" t="n">
        <v>168</v>
      </c>
      <c r="K1597" s="9" t="n">
        <v>756</v>
      </c>
      <c r="L1597" t="inlineStr">
        <is>
          <t>PAID</t>
        </is>
      </c>
      <c r="M1597">
        <f>IF(L1597="VOIDED",0,1)</f>
        <v>1</v>
      </c>
      <c r="N1597" t="n">
        <v>200</v>
      </c>
      <c r="O1597" t="inlineStr">
        <is>
          <t>GST on Income</t>
        </is>
      </c>
      <c r="P1597" t="inlineStr">
        <is>
          <t>R03</t>
        </is>
      </c>
      <c r="Q1597" t="inlineStr">
        <is>
          <t>HIRE-FP</t>
        </is>
      </c>
      <c r="R1597">
        <f>IF(OR(Q1597="CONTEXT",Q1597="REVIEW"),"",INDEX('Category Rules'!$D$5:$D$17,MATCH(P1597,'Category Rules'!$A$5:$A$17,0)))</f>
        <v>4010</v>
      </c>
      <c r="S1597" t="str">
        <f>IF(Q1597="CONTEXT","Fencing",IF(Q1597="REVIEW","",INDEX('Category Rules'!$E$5:$E$17,MATCH(P1597,'Category Rules'!$A$5:$A$17,0))))</f>
        <v>Fencing</v>
      </c>
      <c r="T1597" t="str">
        <f>IF(Q1597="DEP","BAS Excluded","GST on Income")</f>
        <v>GST on Income</v>
      </c>
      <c r="U1597">
        <f>IF(O1597=T1597,1,0)</f>
        <v>1</v>
      </c>
      <c r="V1597" s="9">
        <f>IF(OR(M1597=0,U1597=1),0,IF(T1597="GST on Income",ROUND(K1597*0.1,2),ROUND(-K1597*0.1,2)))</f>
        <v>0</v>
      </c>
    </row>
    <row r="1598">
      <c r="A1598" t="inlineStr">
        <is>
          <t>INV-5039-1</t>
        </is>
      </c>
      <c r="B1598" t="inlineStr">
        <is>
          <t>INV-5039</t>
        </is>
      </c>
      <c r="C1598" s="11" t="n">
        <v>46077</v>
      </c>
      <c r="D1598" t="inlineStr">
        <is>
          <t>2026-02</t>
        </is>
      </c>
      <c r="E1598" t="inlineStr">
        <is>
          <t>C0071</t>
        </is>
      </c>
      <c r="F1598" t="inlineStr">
        <is>
          <t>C0071</t>
        </is>
      </c>
      <c r="G1598" t="inlineStr">
        <is>
          <t>Maribyrnong City Council</t>
        </is>
      </c>
      <c r="H1598" t="inlineStr">
        <is>
          <t>S0202</t>
        </is>
      </c>
      <c r="I1598" t="inlineStr">
        <is>
          <t>Pedestrian barrier hire 4 wks (27/01/26-23/02/26) - 18 barriers</t>
        </is>
      </c>
      <c r="J1598" t="n">
        <v>72</v>
      </c>
      <c r="K1598" s="9" t="n">
        <v>230.4</v>
      </c>
      <c r="L1598" t="inlineStr">
        <is>
          <t>PAID</t>
        </is>
      </c>
      <c r="M1598">
        <f>IF(L1598="VOIDED",0,1)</f>
        <v>1</v>
      </c>
      <c r="N1598" t="n">
        <v>200</v>
      </c>
      <c r="O1598" t="inlineStr">
        <is>
          <t>GST on Income</t>
        </is>
      </c>
      <c r="P1598" t="inlineStr">
        <is>
          <t>R04</t>
        </is>
      </c>
      <c r="Q1598" t="inlineStr">
        <is>
          <t>HIRE-BR</t>
        </is>
      </c>
      <c r="R1598">
        <f>IF(OR(Q1598="CONTEXT",Q1598="REVIEW"),"",INDEX('Category Rules'!$D$5:$D$17,MATCH(P1598,'Category Rules'!$A$5:$A$17,0)))</f>
        <v>4010</v>
      </c>
      <c r="S1598" t="str">
        <f>IF(Q1598="CONTEXT","Fencing",IF(Q1598="REVIEW","",INDEX('Category Rules'!$E$5:$E$17,MATCH(P1598,'Category Rules'!$A$5:$A$17,0))))</f>
        <v>Fencing</v>
      </c>
      <c r="T1598" t="str">
        <f>IF(Q1598="DEP","BAS Excluded","GST on Income")</f>
        <v>GST on Income</v>
      </c>
      <c r="U1598">
        <f>IF(O1598=T1598,1,0)</f>
        <v>1</v>
      </c>
      <c r="V1598" s="9">
        <f>IF(OR(M1598=0,U1598=1),0,IF(T1598="GST on Income",ROUND(K1598*0.1,2),ROUND(-K1598*0.1,2)))</f>
        <v>0</v>
      </c>
    </row>
    <row r="1599">
      <c r="A1599" t="inlineStr">
        <is>
          <t>INV-5237-1</t>
        </is>
      </c>
      <c r="B1599" t="inlineStr">
        <is>
          <t>INV-5237</t>
        </is>
      </c>
      <c r="C1599" s="11" t="n">
        <v>46077</v>
      </c>
      <c r="D1599" t="inlineStr">
        <is>
          <t>2026-02</t>
        </is>
      </c>
      <c r="E1599" t="inlineStr">
        <is>
          <t>C0105</t>
        </is>
      </c>
      <c r="F1599" t="inlineStr">
        <is>
          <t>C0105</t>
        </is>
      </c>
      <c r="G1599" t="inlineStr">
        <is>
          <t>Priya Walker</t>
        </is>
      </c>
      <c r="H1599" t="inlineStr">
        <is>
          <t>S0245</t>
        </is>
      </c>
      <c r="I1599" t="inlineStr">
        <is>
          <t>Scaffold tower hire 4 wks (27/01/26-23/02/26) - 4 towers</t>
        </is>
      </c>
      <c r="J1599" t="n">
        <v>16</v>
      </c>
      <c r="K1599" s="9" t="n">
        <v>1520</v>
      </c>
      <c r="L1599" t="inlineStr">
        <is>
          <t>VOIDED</t>
        </is>
      </c>
      <c r="M1599">
        <f>IF(L1599="VOIDED",0,1)</f>
        <v>0</v>
      </c>
      <c r="N1599" t="n">
        <v>200</v>
      </c>
      <c r="O1599" t="inlineStr">
        <is>
          <t>GST on Income</t>
        </is>
      </c>
      <c r="P1599" t="inlineStr">
        <is>
          <t>R05</t>
        </is>
      </c>
      <c r="Q1599" t="inlineStr">
        <is>
          <t>HIRE-ST</t>
        </is>
      </c>
      <c r="R1599">
        <f>IF(OR(Q1599="CONTEXT",Q1599="REVIEW"),"",INDEX('Category Rules'!$D$5:$D$17,MATCH(P1599,'Category Rules'!$A$5:$A$17,0)))</f>
        <v>4010</v>
      </c>
      <c r="S1599" t="str">
        <f>IF(Q1599="CONTEXT","Scaffolding",IF(Q1599="REVIEW","",INDEX('Category Rules'!$E$5:$E$17,MATCH(P1599,'Category Rules'!$A$5:$A$17,0))))</f>
        <v>Scaffolding</v>
      </c>
      <c r="T1599" t="str">
        <f>IF(Q1599="DEP","BAS Excluded","GST on Income")</f>
        <v>GST on Income</v>
      </c>
      <c r="U1599">
        <f>IF(O1599=T1599,1,0)</f>
        <v>1</v>
      </c>
      <c r="V1599" s="9">
        <f>IF(OR(M1599=0,U1599=1),0,IF(T1599="GST on Income",ROUND(K1599*0.1,2),ROUND(-K1599*0.1,2)))</f>
        <v>0</v>
      </c>
    </row>
    <row r="1600">
      <c r="A1600" t="inlineStr">
        <is>
          <t>INV-5580-1</t>
        </is>
      </c>
      <c r="B1600" t="inlineStr">
        <is>
          <t>INV-5580</t>
        </is>
      </c>
      <c r="C1600" s="11" t="n">
        <v>46077</v>
      </c>
      <c r="D1600" t="inlineStr">
        <is>
          <t>2026-02</t>
        </is>
      </c>
      <c r="E1600" t="inlineStr">
        <is>
          <t>C0117</t>
        </is>
      </c>
      <c r="F1600" t="inlineStr">
        <is>
          <t>C0117</t>
        </is>
      </c>
      <c r="G1600" t="inlineStr">
        <is>
          <t>Mei Nguyen</t>
        </is>
      </c>
      <c r="H1600" t="inlineStr">
        <is>
          <t>S0370</t>
        </is>
      </c>
      <c r="I1600" t="inlineStr">
        <is>
          <t>Make safe call-out</t>
        </is>
      </c>
      <c r="J1600" t="n">
        <v>1</v>
      </c>
      <c r="K1600" s="9" t="n">
        <v>385</v>
      </c>
      <c r="L1600" t="inlineStr">
        <is>
          <t>PAID</t>
        </is>
      </c>
      <c r="M1600">
        <f>IF(L1600="VOIDED",0,1)</f>
        <v>1</v>
      </c>
      <c r="N1600" t="n">
        <v>200</v>
      </c>
      <c r="O1600" t="inlineStr">
        <is>
          <t>GST on Income</t>
        </is>
      </c>
      <c r="P1600" t="inlineStr">
        <is>
          <t>R09</t>
        </is>
      </c>
      <c r="Q1600" t="inlineStr">
        <is>
          <t>MS</t>
        </is>
      </c>
      <c r="R1600">
        <f>IF(OR(Q1600="CONTEXT",Q1600="REVIEW"),"",INDEX('Category Rules'!$D$5:$D$17,MATCH(P1600,'Category Rules'!$A$5:$A$17,0)))</f>
        <v>4020</v>
      </c>
      <c r="S1600" t="str">
        <f>IF(Q1600="CONTEXT","Make-safe",IF(Q1600="REVIEW","",INDEX('Category Rules'!$E$5:$E$17,MATCH(P1600,'Category Rules'!$A$5:$A$17,0))))</f>
        <v>Make-safe</v>
      </c>
      <c r="T1600" t="str">
        <f>IF(Q1600="DEP","BAS Excluded","GST on Income")</f>
        <v>GST on Income</v>
      </c>
      <c r="U1600">
        <f>IF(O1600=T1600,1,0)</f>
        <v>1</v>
      </c>
      <c r="V1600" s="9">
        <f>IF(OR(M1600=0,U1600=1),0,IF(T1600="GST on Income",ROUND(K1600*0.1,2),ROUND(-K1600*0.1,2)))</f>
        <v>0</v>
      </c>
    </row>
    <row r="1601">
      <c r="A1601" t="inlineStr">
        <is>
          <t>INV-4297-1</t>
        </is>
      </c>
      <c r="B1601" t="inlineStr">
        <is>
          <t>INV-4297</t>
        </is>
      </c>
      <c r="C1601" s="11" t="n">
        <v>46078</v>
      </c>
      <c r="D1601" t="inlineStr">
        <is>
          <t>2026-02</t>
        </is>
      </c>
      <c r="E1601" t="inlineStr">
        <is>
          <t>C0020</t>
        </is>
      </c>
      <c r="F1601" t="inlineStr">
        <is>
          <t>C0020</t>
        </is>
      </c>
      <c r="G1601" t="inlineStr">
        <is>
          <t>Eastlink Constructions</t>
        </is>
      </c>
      <c r="H1601" t="inlineStr">
        <is>
          <t>S0041</t>
        </is>
      </c>
      <c r="I1601" t="inlineStr">
        <is>
          <t>Temporary fence hire 4 wks (28/01/26-24/02/26) - 141 panels</t>
        </is>
      </c>
      <c r="J1601" t="n">
        <v>564</v>
      </c>
      <c r="K1601" s="9" t="n">
        <v>2538</v>
      </c>
      <c r="L1601" t="inlineStr">
        <is>
          <t>PAID</t>
        </is>
      </c>
      <c r="M1601">
        <f>IF(L1601="VOIDED",0,1)</f>
        <v>1</v>
      </c>
      <c r="N1601" t="n">
        <v>200</v>
      </c>
      <c r="O1601" t="inlineStr">
        <is>
          <t>GST on Income</t>
        </is>
      </c>
      <c r="P1601" t="inlineStr">
        <is>
          <t>R03</t>
        </is>
      </c>
      <c r="Q1601" t="inlineStr">
        <is>
          <t>HIRE-FP</t>
        </is>
      </c>
      <c r="R1601">
        <f>IF(OR(Q1601="CONTEXT",Q1601="REVIEW"),"",INDEX('Category Rules'!$D$5:$D$17,MATCH(P1601,'Category Rules'!$A$5:$A$17,0)))</f>
        <v>4010</v>
      </c>
      <c r="S1601" t="str">
        <f>IF(Q1601="CONTEXT","Fencing",IF(Q1601="REVIEW","",INDEX('Category Rules'!$E$5:$E$17,MATCH(P1601,'Category Rules'!$A$5:$A$17,0))))</f>
        <v>Fencing</v>
      </c>
      <c r="T1601" t="str">
        <f>IF(Q1601="DEP","BAS Excluded","GST on Income")</f>
        <v>GST on Income</v>
      </c>
      <c r="U1601">
        <f>IF(O1601=T1601,1,0)</f>
        <v>1</v>
      </c>
      <c r="V1601" s="9">
        <f>IF(OR(M1601=0,U1601=1),0,IF(T1601="GST on Income",ROUND(K1601*0.1,2),ROUND(-K1601*0.1,2)))</f>
        <v>0</v>
      </c>
    </row>
    <row r="1602">
      <c r="A1602" t="inlineStr">
        <is>
          <t>INV-4301-1</t>
        </is>
      </c>
      <c r="B1602" t="inlineStr">
        <is>
          <t>INV-4301</t>
        </is>
      </c>
      <c r="C1602" s="11" t="n">
        <v>46078</v>
      </c>
      <c r="D1602" t="inlineStr">
        <is>
          <t>2026-02</t>
        </is>
      </c>
      <c r="E1602" t="inlineStr">
        <is>
          <t>C0020</t>
        </is>
      </c>
      <c r="F1602" t="inlineStr">
        <is>
          <t>C0020</t>
        </is>
      </c>
      <c r="G1602" t="inlineStr">
        <is>
          <t>Eastlink Constructions</t>
        </is>
      </c>
      <c r="H1602" t="inlineStr">
        <is>
          <t>S0041</t>
        </is>
      </c>
      <c r="I1602" t="inlineStr">
        <is>
          <t>Pedestrian barrier hire 4 wks (28/01/26-24/02/26) - 13 barriers</t>
        </is>
      </c>
      <c r="J1602" t="n">
        <v>52</v>
      </c>
      <c r="K1602" s="9" t="n">
        <v>166.4</v>
      </c>
      <c r="L1602" t="inlineStr">
        <is>
          <t>PAID</t>
        </is>
      </c>
      <c r="M1602">
        <f>IF(L1602="VOIDED",0,1)</f>
        <v>1</v>
      </c>
      <c r="N1602" t="n">
        <v>200</v>
      </c>
      <c r="O1602" t="inlineStr">
        <is>
          <t>GST on Income</t>
        </is>
      </c>
      <c r="P1602" t="inlineStr">
        <is>
          <t>R04</t>
        </is>
      </c>
      <c r="Q1602" t="inlineStr">
        <is>
          <t>HIRE-BR</t>
        </is>
      </c>
      <c r="R1602">
        <f>IF(OR(Q1602="CONTEXT",Q1602="REVIEW"),"",INDEX('Category Rules'!$D$5:$D$17,MATCH(P1602,'Category Rules'!$A$5:$A$17,0)))</f>
        <v>4010</v>
      </c>
      <c r="S1602" t="str">
        <f>IF(Q1602="CONTEXT","Fencing",IF(Q1602="REVIEW","",INDEX('Category Rules'!$E$5:$E$17,MATCH(P1602,'Category Rules'!$A$5:$A$17,0))))</f>
        <v>Fencing</v>
      </c>
      <c r="T1602" t="str">
        <f>IF(Q1602="DEP","BAS Excluded","GST on Income")</f>
        <v>GST on Income</v>
      </c>
      <c r="U1602">
        <f>IF(O1602=T1602,1,0)</f>
        <v>1</v>
      </c>
      <c r="V1602" s="9">
        <f>IF(OR(M1602=0,U1602=1),0,IF(T1602="GST on Income",ROUND(K1602*0.1,2),ROUND(-K1602*0.1,2)))</f>
        <v>0</v>
      </c>
    </row>
    <row r="1603">
      <c r="A1603" t="inlineStr">
        <is>
          <t>INV-4312-1</t>
        </is>
      </c>
      <c r="B1603" t="inlineStr">
        <is>
          <t>INV-4312</t>
        </is>
      </c>
      <c r="C1603" s="11" t="n">
        <v>46078</v>
      </c>
      <c r="D1603" t="inlineStr">
        <is>
          <t>2026-02</t>
        </is>
      </c>
      <c r="E1603" t="inlineStr">
        <is>
          <t>C0115</t>
        </is>
      </c>
      <c r="F1603" t="inlineStr">
        <is>
          <t>C0115</t>
        </is>
      </c>
      <c r="G1603" t="inlineStr">
        <is>
          <t>Arjun Smith</t>
        </is>
      </c>
      <c r="H1603" t="inlineStr">
        <is>
          <t>S0043</t>
        </is>
      </c>
      <c r="I1603" t="inlineStr">
        <is>
          <t>Collection and dismantle - temporary fencing</t>
        </is>
      </c>
      <c r="J1603" t="n">
        <v>1</v>
      </c>
      <c r="K1603" s="9" t="n">
        <v>165</v>
      </c>
      <c r="L1603" t="inlineStr">
        <is>
          <t>PAID</t>
        </is>
      </c>
      <c r="M1603">
        <f>IF(L1603="VOIDED",0,1)</f>
        <v>1</v>
      </c>
      <c r="N1603" t="n">
        <v>200</v>
      </c>
      <c r="O1603" t="inlineStr">
        <is>
          <t>GST on Income</t>
        </is>
      </c>
      <c r="P1603" t="inlineStr">
        <is>
          <t>R07</t>
        </is>
      </c>
      <c r="Q1603" t="inlineStr">
        <is>
          <t>DEL-FP</t>
        </is>
      </c>
      <c r="R1603">
        <f>IF(OR(Q1603="CONTEXT",Q1603="REVIEW"),"",INDEX('Category Rules'!$D$5:$D$17,MATCH(P1603,'Category Rules'!$A$5:$A$17,0)))</f>
        <v>4020</v>
      </c>
      <c r="S1603" t="str">
        <f>IF(Q1603="CONTEXT","Fencing",IF(Q1603="REVIEW","",INDEX('Category Rules'!$E$5:$E$17,MATCH(P1603,'Category Rules'!$A$5:$A$17,0))))</f>
        <v>Fencing</v>
      </c>
      <c r="T1603" t="str">
        <f>IF(Q1603="DEP","BAS Excluded","GST on Income")</f>
        <v>GST on Income</v>
      </c>
      <c r="U1603">
        <f>IF(O1603=T1603,1,0)</f>
        <v>1</v>
      </c>
      <c r="V1603" s="9">
        <f>IF(OR(M1603=0,U1603=1),0,IF(T1603="GST on Income",ROUND(K1603*0.1,2),ROUND(-K1603*0.1,2)))</f>
        <v>0</v>
      </c>
    </row>
    <row r="1604">
      <c r="A1604" t="inlineStr">
        <is>
          <t>INV-4598-1</t>
        </is>
      </c>
      <c r="B1604" t="inlineStr">
        <is>
          <t>INV-4598</t>
        </is>
      </c>
      <c r="C1604" s="11" t="n">
        <v>46078</v>
      </c>
      <c r="D1604" t="inlineStr">
        <is>
          <t>2026-02</t>
        </is>
      </c>
      <c r="E1604" t="inlineStr">
        <is>
          <t>C0027</t>
        </is>
      </c>
      <c r="F1604" t="inlineStr">
        <is>
          <t>C0027</t>
        </is>
      </c>
      <c r="G1604" t="inlineStr">
        <is>
          <t>Metro Projects Pty Ltd</t>
        </is>
      </c>
      <c r="H1604" t="inlineStr">
        <is>
          <t>S0100</t>
        </is>
      </c>
      <c r="I1604" t="inlineStr">
        <is>
          <t>Temporary fence hire 4 wks (28/01/26-24/02/26) - 141 panels</t>
        </is>
      </c>
      <c r="J1604" t="n">
        <v>564</v>
      </c>
      <c r="K1604" s="9" t="n">
        <v>2538</v>
      </c>
      <c r="L1604" t="inlineStr">
        <is>
          <t>PAID</t>
        </is>
      </c>
      <c r="M1604">
        <f>IF(L1604="VOIDED",0,1)</f>
        <v>1</v>
      </c>
      <c r="N1604" t="n">
        <v>200</v>
      </c>
      <c r="O1604" t="inlineStr">
        <is>
          <t>GST on Income</t>
        </is>
      </c>
      <c r="P1604" t="inlineStr">
        <is>
          <t>R03</t>
        </is>
      </c>
      <c r="Q1604" t="inlineStr">
        <is>
          <t>HIRE-FP</t>
        </is>
      </c>
      <c r="R1604">
        <f>IF(OR(Q1604="CONTEXT",Q1604="REVIEW"),"",INDEX('Category Rules'!$D$5:$D$17,MATCH(P1604,'Category Rules'!$A$5:$A$17,0)))</f>
        <v>4010</v>
      </c>
      <c r="S1604" t="str">
        <f>IF(Q1604="CONTEXT","Fencing",IF(Q1604="REVIEW","",INDEX('Category Rules'!$E$5:$E$17,MATCH(P1604,'Category Rules'!$A$5:$A$17,0))))</f>
        <v>Fencing</v>
      </c>
      <c r="T1604" t="str">
        <f>IF(Q1604="DEP","BAS Excluded","GST on Income")</f>
        <v>GST on Income</v>
      </c>
      <c r="U1604">
        <f>IF(O1604=T1604,1,0)</f>
        <v>1</v>
      </c>
      <c r="V1604" s="9">
        <f>IF(OR(M1604=0,U1604=1),0,IF(T1604="GST on Income",ROUND(K1604*0.1,2),ROUND(-K1604*0.1,2)))</f>
        <v>0</v>
      </c>
    </row>
    <row r="1605">
      <c r="A1605" t="inlineStr">
        <is>
          <t>INV-4602-1</t>
        </is>
      </c>
      <c r="B1605" t="inlineStr">
        <is>
          <t>INV-4602</t>
        </is>
      </c>
      <c r="C1605" s="11" t="n">
        <v>46078</v>
      </c>
      <c r="D1605" t="inlineStr">
        <is>
          <t>2026-02</t>
        </is>
      </c>
      <c r="E1605" t="inlineStr">
        <is>
          <t>C0027</t>
        </is>
      </c>
      <c r="F1605" t="inlineStr">
        <is>
          <t>C0027</t>
        </is>
      </c>
      <c r="G1605" t="inlineStr">
        <is>
          <t>Metro Projects Pty Ltd</t>
        </is>
      </c>
      <c r="H1605" t="inlineStr">
        <is>
          <t>S0100</t>
        </is>
      </c>
      <c r="I1605" t="inlineStr">
        <is>
          <t>Pedestrian barrier hire 4 wks (28/01/26-24/02/26) - 14 barriers</t>
        </is>
      </c>
      <c r="J1605" t="n">
        <v>56</v>
      </c>
      <c r="K1605" s="9" t="n">
        <v>179.2</v>
      </c>
      <c r="L1605" t="inlineStr">
        <is>
          <t>PAID</t>
        </is>
      </c>
      <c r="M1605">
        <f>IF(L1605="VOIDED",0,1)</f>
        <v>1</v>
      </c>
      <c r="N1605" t="n">
        <v>200</v>
      </c>
      <c r="O1605" t="inlineStr">
        <is>
          <t>GST on Income</t>
        </is>
      </c>
      <c r="P1605" t="inlineStr">
        <is>
          <t>R04</t>
        </is>
      </c>
      <c r="Q1605" t="inlineStr">
        <is>
          <t>HIRE-BR</t>
        </is>
      </c>
      <c r="R1605">
        <f>IF(OR(Q1605="CONTEXT",Q1605="REVIEW"),"",INDEX('Category Rules'!$D$5:$D$17,MATCH(P1605,'Category Rules'!$A$5:$A$17,0)))</f>
        <v>4010</v>
      </c>
      <c r="S1605" t="str">
        <f>IF(Q1605="CONTEXT","Fencing",IF(Q1605="REVIEW","",INDEX('Category Rules'!$E$5:$E$17,MATCH(P1605,'Category Rules'!$A$5:$A$17,0))))</f>
        <v>Fencing</v>
      </c>
      <c r="T1605" t="str">
        <f>IF(Q1605="DEP","BAS Excluded","GST on Income")</f>
        <v>GST on Income</v>
      </c>
      <c r="U1605">
        <f>IF(O1605=T1605,1,0)</f>
        <v>1</v>
      </c>
      <c r="V1605" s="9">
        <f>IF(OR(M1605=0,U1605=1),0,IF(T1605="GST on Income",ROUND(K1605*0.1,2),ROUND(-K1605*0.1,2)))</f>
        <v>0</v>
      </c>
    </row>
    <row r="1606">
      <c r="A1606" t="inlineStr">
        <is>
          <t>INV-4298-1</t>
        </is>
      </c>
      <c r="B1606" t="inlineStr">
        <is>
          <t>INV-4298</t>
        </is>
      </c>
      <c r="C1606" s="11" t="n">
        <v>46079</v>
      </c>
      <c r="D1606" t="inlineStr">
        <is>
          <t>2026-02</t>
        </is>
      </c>
      <c r="E1606" t="inlineStr">
        <is>
          <t>C0020</t>
        </is>
      </c>
      <c r="F1606" t="inlineStr">
        <is>
          <t>C0020</t>
        </is>
      </c>
      <c r="G1606" t="inlineStr">
        <is>
          <t>Eastlink Constructions</t>
        </is>
      </c>
      <c r="H1606" t="inlineStr">
        <is>
          <t>S0041</t>
        </is>
      </c>
      <c r="I1606" t="inlineStr">
        <is>
          <t>Temporary fence hire 1 wks (25/02/26-25/02/26) - 141 panels</t>
        </is>
      </c>
      <c r="J1606" t="n">
        <v>141</v>
      </c>
      <c r="K1606" s="9" t="n">
        <v>634.5</v>
      </c>
      <c r="L1606" t="inlineStr">
        <is>
          <t>PAID</t>
        </is>
      </c>
      <c r="M1606">
        <f>IF(L1606="VOIDED",0,1)</f>
        <v>1</v>
      </c>
      <c r="N1606" t="n">
        <v>200</v>
      </c>
      <c r="O1606" t="inlineStr">
        <is>
          <t>GST on Income</t>
        </is>
      </c>
      <c r="P1606" t="inlineStr">
        <is>
          <t>R03</t>
        </is>
      </c>
      <c r="Q1606" t="inlineStr">
        <is>
          <t>HIRE-FP</t>
        </is>
      </c>
      <c r="R1606">
        <f>IF(OR(Q1606="CONTEXT",Q1606="REVIEW"),"",INDEX('Category Rules'!$D$5:$D$17,MATCH(P1606,'Category Rules'!$A$5:$A$17,0)))</f>
        <v>4010</v>
      </c>
      <c r="S1606" t="str">
        <f>IF(Q1606="CONTEXT","Fencing",IF(Q1606="REVIEW","",INDEX('Category Rules'!$E$5:$E$17,MATCH(P1606,'Category Rules'!$A$5:$A$17,0))))</f>
        <v>Fencing</v>
      </c>
      <c r="T1606" t="str">
        <f>IF(Q1606="DEP","BAS Excluded","GST on Income")</f>
        <v>GST on Income</v>
      </c>
      <c r="U1606">
        <f>IF(O1606=T1606,1,0)</f>
        <v>1</v>
      </c>
      <c r="V1606" s="9">
        <f>IF(OR(M1606=0,U1606=1),0,IF(T1606="GST on Income",ROUND(K1606*0.1,2),ROUND(-K1606*0.1,2)))</f>
        <v>0</v>
      </c>
    </row>
    <row r="1607">
      <c r="A1607" t="inlineStr">
        <is>
          <t>INV-4302-1</t>
        </is>
      </c>
      <c r="B1607" t="inlineStr">
        <is>
          <t>INV-4302</t>
        </is>
      </c>
      <c r="C1607" s="11" t="n">
        <v>46079</v>
      </c>
      <c r="D1607" t="inlineStr">
        <is>
          <t>2026-02</t>
        </is>
      </c>
      <c r="E1607" t="inlineStr">
        <is>
          <t>C0020</t>
        </is>
      </c>
      <c r="F1607" t="inlineStr">
        <is>
          <t>C0020</t>
        </is>
      </c>
      <c r="G1607" t="inlineStr">
        <is>
          <t>Eastlink Constructions</t>
        </is>
      </c>
      <c r="H1607" t="inlineStr">
        <is>
          <t>S0041</t>
        </is>
      </c>
      <c r="I1607" t="inlineStr">
        <is>
          <t>Pedestrian barrier hire 1 wks (25/02/26-25/02/26) - 13 barriers</t>
        </is>
      </c>
      <c r="J1607" t="n">
        <v>13</v>
      </c>
      <c r="K1607" s="9" t="n">
        <v>41.6</v>
      </c>
      <c r="L1607" t="inlineStr">
        <is>
          <t>PAID</t>
        </is>
      </c>
      <c r="M1607">
        <f>IF(L1607="VOIDED",0,1)</f>
        <v>1</v>
      </c>
      <c r="N1607" t="n">
        <v>200</v>
      </c>
      <c r="O1607" t="inlineStr">
        <is>
          <t>GST on Income</t>
        </is>
      </c>
      <c r="P1607" t="inlineStr">
        <is>
          <t>R04</t>
        </is>
      </c>
      <c r="Q1607" t="inlineStr">
        <is>
          <t>HIRE-BR</t>
        </is>
      </c>
      <c r="R1607">
        <f>IF(OR(Q1607="CONTEXT",Q1607="REVIEW"),"",INDEX('Category Rules'!$D$5:$D$17,MATCH(P1607,'Category Rules'!$A$5:$A$17,0)))</f>
        <v>4010</v>
      </c>
      <c r="S1607" t="str">
        <f>IF(Q1607="CONTEXT","Fencing",IF(Q1607="REVIEW","",INDEX('Category Rules'!$E$5:$E$17,MATCH(P1607,'Category Rules'!$A$5:$A$17,0))))</f>
        <v>Fencing</v>
      </c>
      <c r="T1607" t="str">
        <f>IF(Q1607="DEP","BAS Excluded","GST on Income")</f>
        <v>GST on Income</v>
      </c>
      <c r="U1607">
        <f>IF(O1607=T1607,1,0)</f>
        <v>1</v>
      </c>
      <c r="V1607" s="9">
        <f>IF(OR(M1607=0,U1607=1),0,IF(T1607="GST on Income",ROUND(K1607*0.1,2),ROUND(-K1607*0.1,2)))</f>
        <v>0</v>
      </c>
    </row>
    <row r="1608">
      <c r="A1608" t="inlineStr">
        <is>
          <t>INV-4304-1</t>
        </is>
      </c>
      <c r="B1608" t="inlineStr">
        <is>
          <t>INV-4304</t>
        </is>
      </c>
      <c r="C1608" s="11" t="n">
        <v>46079</v>
      </c>
      <c r="D1608" t="inlineStr">
        <is>
          <t>2026-02</t>
        </is>
      </c>
      <c r="E1608" t="inlineStr">
        <is>
          <t>C0020</t>
        </is>
      </c>
      <c r="F1608" t="inlineStr">
        <is>
          <t>C0020</t>
        </is>
      </c>
      <c r="G1608" t="inlineStr">
        <is>
          <t>Eastlink Constructions</t>
        </is>
      </c>
      <c r="H1608" t="inlineStr">
        <is>
          <t>S0041</t>
        </is>
      </c>
      <c r="I1608" t="inlineStr">
        <is>
          <t>Collection and dismantle - temporary fencing</t>
        </is>
      </c>
      <c r="J1608" t="n">
        <v>1</v>
      </c>
      <c r="K1608" s="9" t="n">
        <v>165</v>
      </c>
      <c r="L1608" t="inlineStr">
        <is>
          <t>PAID</t>
        </is>
      </c>
      <c r="M1608">
        <f>IF(L1608="VOIDED",0,1)</f>
        <v>1</v>
      </c>
      <c r="N1608" t="n">
        <v>200</v>
      </c>
      <c r="O1608" t="inlineStr">
        <is>
          <t>GST on Income</t>
        </is>
      </c>
      <c r="P1608" t="inlineStr">
        <is>
          <t>R07</t>
        </is>
      </c>
      <c r="Q1608" t="inlineStr">
        <is>
          <t>DEL-FP</t>
        </is>
      </c>
      <c r="R1608">
        <f>IF(OR(Q1608="CONTEXT",Q1608="REVIEW"),"",INDEX('Category Rules'!$D$5:$D$17,MATCH(P1608,'Category Rules'!$A$5:$A$17,0)))</f>
        <v>4020</v>
      </c>
      <c r="S1608" t="str">
        <f>IF(Q1608="CONTEXT","Fencing",IF(Q1608="REVIEW","",INDEX('Category Rules'!$E$5:$E$17,MATCH(P1608,'Category Rules'!$A$5:$A$17,0))))</f>
        <v>Fencing</v>
      </c>
      <c r="T1608" t="str">
        <f>IF(Q1608="DEP","BAS Excluded","GST on Income")</f>
        <v>GST on Income</v>
      </c>
      <c r="U1608">
        <f>IF(O1608=T1608,1,0)</f>
        <v>1</v>
      </c>
      <c r="V1608" s="9">
        <f>IF(OR(M1608=0,U1608=1),0,IF(T1608="GST on Income",ROUND(K1608*0.1,2),ROUND(-K1608*0.1,2)))</f>
        <v>0</v>
      </c>
    </row>
    <row r="1609">
      <c r="A1609" t="inlineStr">
        <is>
          <t>INV-4304-2</t>
        </is>
      </c>
      <c r="B1609" t="inlineStr">
        <is>
          <t>INV-4304</t>
        </is>
      </c>
      <c r="C1609" s="11" t="n">
        <v>46079</v>
      </c>
      <c r="D1609" t="inlineStr">
        <is>
          <t>2026-02</t>
        </is>
      </c>
      <c r="E1609" t="inlineStr">
        <is>
          <t>C0020</t>
        </is>
      </c>
      <c r="F1609" t="inlineStr">
        <is>
          <t>C0020</t>
        </is>
      </c>
      <c r="G1609" t="inlineStr">
        <is>
          <t>Eastlink Constructions</t>
        </is>
      </c>
      <c r="H1609" t="inlineStr">
        <is>
          <t>S0041</t>
        </is>
      </c>
      <c r="I1609" t="inlineStr">
        <is>
          <t>Lost/damaged panels charged - 1 @ 145.00</t>
        </is>
      </c>
      <c r="J1609" t="n">
        <v>1</v>
      </c>
      <c r="K1609" s="9" t="n">
        <v>145</v>
      </c>
      <c r="L1609" t="inlineStr">
        <is>
          <t>PAID</t>
        </is>
      </c>
      <c r="M1609">
        <f>IF(L1609="VOIDED",0,1)</f>
        <v>1</v>
      </c>
      <c r="N1609" t="n">
        <v>200</v>
      </c>
      <c r="O1609" t="inlineStr">
        <is>
          <t>GST on Income</t>
        </is>
      </c>
      <c r="P1609" t="inlineStr">
        <is>
          <t>R02</t>
        </is>
      </c>
      <c r="Q1609" t="inlineStr">
        <is>
          <t>LOSS</t>
        </is>
      </c>
      <c r="R1609">
        <f>IF(OR(Q1609="CONTEXT",Q1609="REVIEW"),"",INDEX('Category Rules'!$D$5:$D$17,MATCH(P1609,'Category Rules'!$A$5:$A$17,0)))</f>
        <v>4040</v>
      </c>
      <c r="S1609" t="str">
        <f>IF(Q1609="CONTEXT","Fencing",IF(Q1609="REVIEW","",INDEX('Category Rules'!$E$5:$E$17,MATCH(P1609,'Category Rules'!$A$5:$A$17,0))))</f>
        <v>Fencing</v>
      </c>
      <c r="T1609" t="str">
        <f>IF(Q1609="DEP","BAS Excluded","GST on Income")</f>
        <v>GST on Income</v>
      </c>
      <c r="U1609">
        <f>IF(O1609=T1609,1,0)</f>
        <v>1</v>
      </c>
      <c r="V1609" s="9">
        <f>IF(OR(M1609=0,U1609=1),0,IF(T1609="GST on Income",ROUND(K1609*0.1,2),ROUND(-K1609*0.1,2)))</f>
        <v>0</v>
      </c>
    </row>
    <row r="1610">
      <c r="A1610" t="inlineStr">
        <is>
          <t>INV-4741-1</t>
        </is>
      </c>
      <c r="B1610" t="inlineStr">
        <is>
          <t>INV-4741</t>
        </is>
      </c>
      <c r="C1610" s="11" t="n">
        <v>46079</v>
      </c>
      <c r="D1610" t="inlineStr">
        <is>
          <t>2026-02</t>
        </is>
      </c>
      <c r="E1610" t="inlineStr">
        <is>
          <t>C0120</t>
        </is>
      </c>
      <c r="F1610" t="inlineStr">
        <is>
          <t>C0120</t>
        </is>
      </c>
      <c r="G1610" t="inlineStr">
        <is>
          <t>Northgate Building Group</t>
        </is>
      </c>
      <c r="H1610" t="inlineStr">
        <is>
          <t>S0134</t>
        </is>
      </c>
      <c r="I1610" t="inlineStr">
        <is>
          <t>Delivery and installation - temporary fencing</t>
        </is>
      </c>
      <c r="J1610" t="n">
        <v>1</v>
      </c>
      <c r="K1610" s="9" t="n">
        <v>165</v>
      </c>
      <c r="L1610" t="inlineStr">
        <is>
          <t>PAID</t>
        </is>
      </c>
      <c r="M1610">
        <f>IF(L1610="VOIDED",0,1)</f>
        <v>1</v>
      </c>
      <c r="N1610" t="n">
        <v>200</v>
      </c>
      <c r="O1610" t="inlineStr">
        <is>
          <t>GST on Income</t>
        </is>
      </c>
      <c r="P1610" t="inlineStr">
        <is>
          <t>R07</t>
        </is>
      </c>
      <c r="Q1610" t="inlineStr">
        <is>
          <t>DEL-FP</t>
        </is>
      </c>
      <c r="R1610">
        <f>IF(OR(Q1610="CONTEXT",Q1610="REVIEW"),"",INDEX('Category Rules'!$D$5:$D$17,MATCH(P1610,'Category Rules'!$A$5:$A$17,0)))</f>
        <v>4020</v>
      </c>
      <c r="S1610" t="str">
        <f>IF(Q1610="CONTEXT","Fencing",IF(Q1610="REVIEW","",INDEX('Category Rules'!$E$5:$E$17,MATCH(P1610,'Category Rules'!$A$5:$A$17,0))))</f>
        <v>Fencing</v>
      </c>
      <c r="T1610" t="str">
        <f>IF(Q1610="DEP","BAS Excluded","GST on Income")</f>
        <v>GST on Income</v>
      </c>
      <c r="U1610">
        <f>IF(O1610=T1610,1,0)</f>
        <v>1</v>
      </c>
      <c r="V1610" s="9">
        <f>IF(OR(M1610=0,U1610=1),0,IF(T1610="GST on Income",ROUND(K1610*0.1,2),ROUND(-K1610*0.1,2)))</f>
        <v>0</v>
      </c>
    </row>
    <row r="1611">
      <c r="A1611" t="inlineStr">
        <is>
          <t>INV-4741-2</t>
        </is>
      </c>
      <c r="B1611" t="inlineStr">
        <is>
          <t>INV-4741</t>
        </is>
      </c>
      <c r="C1611" s="11" t="n">
        <v>46079</v>
      </c>
      <c r="D1611" t="inlineStr">
        <is>
          <t>2026-02</t>
        </is>
      </c>
      <c r="E1611" t="inlineStr">
        <is>
          <t>C0120</t>
        </is>
      </c>
      <c r="F1611" t="inlineStr">
        <is>
          <t>C0120</t>
        </is>
      </c>
      <c r="G1611" t="inlineStr">
        <is>
          <t>Northgate Building Group</t>
        </is>
      </c>
      <c r="H1611" t="inlineStr">
        <is>
          <t>S0134</t>
        </is>
      </c>
      <c r="I1611" t="inlineStr">
        <is>
          <t>Installation labour - 117 panels @ 2.20</t>
        </is>
      </c>
      <c r="J1611" t="n">
        <v>117</v>
      </c>
      <c r="K1611" s="9" t="n">
        <v>257.4</v>
      </c>
      <c r="L1611" t="inlineStr">
        <is>
          <t>PAID</t>
        </is>
      </c>
      <c r="M1611">
        <f>IF(L1611="VOIDED",0,1)</f>
        <v>1</v>
      </c>
      <c r="N1611" t="n">
        <v>200</v>
      </c>
      <c r="O1611" t="inlineStr">
        <is>
          <t>GST on Income</t>
        </is>
      </c>
      <c r="P1611" t="inlineStr">
        <is>
          <t>R07</t>
        </is>
      </c>
      <c r="Q1611" t="inlineStr">
        <is>
          <t>DEL-FP</t>
        </is>
      </c>
      <c r="R1611">
        <f>IF(OR(Q1611="CONTEXT",Q1611="REVIEW"),"",INDEX('Category Rules'!$D$5:$D$17,MATCH(P1611,'Category Rules'!$A$5:$A$17,0)))</f>
        <v>4020</v>
      </c>
      <c r="S1611" t="str">
        <f>IF(Q1611="CONTEXT","Fencing",IF(Q1611="REVIEW","",INDEX('Category Rules'!$E$5:$E$17,MATCH(P1611,'Category Rules'!$A$5:$A$17,0))))</f>
        <v>Fencing</v>
      </c>
      <c r="T1611" t="str">
        <f>IF(Q1611="DEP","BAS Excluded","GST on Income")</f>
        <v>GST on Income</v>
      </c>
      <c r="U1611">
        <f>IF(O1611=T1611,1,0)</f>
        <v>1</v>
      </c>
      <c r="V1611" s="9">
        <f>IF(OR(M1611=0,U1611=1),0,IF(T1611="GST on Income",ROUND(K1611*0.1,2),ROUND(-K1611*0.1,2)))</f>
        <v>0</v>
      </c>
    </row>
    <row r="1612">
      <c r="A1612" t="inlineStr">
        <is>
          <t>INV-4866-1</t>
        </is>
      </c>
      <c r="B1612" t="inlineStr">
        <is>
          <t>INV-4866</t>
        </is>
      </c>
      <c r="C1612" s="11" t="n">
        <v>46079</v>
      </c>
      <c r="D1612" t="inlineStr">
        <is>
          <t>2026-02</t>
        </is>
      </c>
      <c r="E1612" t="inlineStr">
        <is>
          <t>C0022</t>
        </is>
      </c>
      <c r="F1612" t="inlineStr">
        <is>
          <t>C0022</t>
        </is>
      </c>
      <c r="G1612" t="inlineStr">
        <is>
          <t>Highpoint Projects</t>
        </is>
      </c>
      <c r="H1612" t="inlineStr">
        <is>
          <t>S0162</t>
        </is>
      </c>
      <c r="I1612" t="inlineStr">
        <is>
          <t>Temporary fence hire 4 wks (29/01/26-25/02/26) - 100 panels</t>
        </is>
      </c>
      <c r="J1612" t="n">
        <v>400</v>
      </c>
      <c r="K1612" s="9" t="n">
        <v>1800</v>
      </c>
      <c r="L1612" t="inlineStr">
        <is>
          <t>PAID</t>
        </is>
      </c>
      <c r="M1612">
        <f>IF(L1612="VOIDED",0,1)</f>
        <v>1</v>
      </c>
      <c r="N1612" t="n">
        <v>200</v>
      </c>
      <c r="O1612" t="inlineStr">
        <is>
          <t>GST on Income</t>
        </is>
      </c>
      <c r="P1612" t="inlineStr">
        <is>
          <t>R03</t>
        </is>
      </c>
      <c r="Q1612" t="inlineStr">
        <is>
          <t>HIRE-FP</t>
        </is>
      </c>
      <c r="R1612">
        <f>IF(OR(Q1612="CONTEXT",Q1612="REVIEW"),"",INDEX('Category Rules'!$D$5:$D$17,MATCH(P1612,'Category Rules'!$A$5:$A$17,0)))</f>
        <v>4010</v>
      </c>
      <c r="S1612" t="str">
        <f>IF(Q1612="CONTEXT","Fencing",IF(Q1612="REVIEW","",INDEX('Category Rules'!$E$5:$E$17,MATCH(P1612,'Category Rules'!$A$5:$A$17,0))))</f>
        <v>Fencing</v>
      </c>
      <c r="T1612" t="str">
        <f>IF(Q1612="DEP","BAS Excluded","GST on Income")</f>
        <v>GST on Income</v>
      </c>
      <c r="U1612">
        <f>IF(O1612=T1612,1,0)</f>
        <v>1</v>
      </c>
      <c r="V1612" s="9">
        <f>IF(OR(M1612=0,U1612=1),0,IF(T1612="GST on Income",ROUND(K1612*0.1,2),ROUND(-K1612*0.1,2)))</f>
        <v>0</v>
      </c>
    </row>
    <row r="1613">
      <c r="A1613" t="inlineStr">
        <is>
          <t>INV-5165-1</t>
        </is>
      </c>
      <c r="B1613" t="inlineStr">
        <is>
          <t>INV-5165</t>
        </is>
      </c>
      <c r="C1613" s="11" t="n">
        <v>46079</v>
      </c>
      <c r="D1613" t="inlineStr">
        <is>
          <t>2026-02</t>
        </is>
      </c>
      <c r="E1613" t="inlineStr">
        <is>
          <t>C0080</t>
        </is>
      </c>
      <c r="F1613" t="inlineStr">
        <is>
          <t>C0080</t>
        </is>
      </c>
      <c r="G1613" t="inlineStr">
        <is>
          <t>Ember Productions Pty Ltd</t>
        </is>
      </c>
      <c r="H1613" t="inlineStr">
        <is>
          <t>S0229</t>
        </is>
      </c>
      <c r="I1613" t="inlineStr">
        <is>
          <t>Temporary fence hire 2 wks (18/02/26-25/02/26) - 40 panels</t>
        </is>
      </c>
      <c r="J1613" t="n">
        <v>80</v>
      </c>
      <c r="K1613" s="9" t="n">
        <v>360</v>
      </c>
      <c r="L1613" t="inlineStr">
        <is>
          <t>PAID</t>
        </is>
      </c>
      <c r="M1613">
        <f>IF(L1613="VOIDED",0,1)</f>
        <v>1</v>
      </c>
      <c r="N1613" t="n">
        <v>200</v>
      </c>
      <c r="O1613" t="inlineStr">
        <is>
          <t>GST on Income</t>
        </is>
      </c>
      <c r="P1613" t="inlineStr">
        <is>
          <t>R03</t>
        </is>
      </c>
      <c r="Q1613" t="inlineStr">
        <is>
          <t>HIRE-FP</t>
        </is>
      </c>
      <c r="R1613">
        <f>IF(OR(Q1613="CONTEXT",Q1613="REVIEW"),"",INDEX('Category Rules'!$D$5:$D$17,MATCH(P1613,'Category Rules'!$A$5:$A$17,0)))</f>
        <v>4010</v>
      </c>
      <c r="S1613" t="str">
        <f>IF(Q1613="CONTEXT","Fencing",IF(Q1613="REVIEW","",INDEX('Category Rules'!$E$5:$E$17,MATCH(P1613,'Category Rules'!$A$5:$A$17,0))))</f>
        <v>Fencing</v>
      </c>
      <c r="T1613" t="str">
        <f>IF(Q1613="DEP","BAS Excluded","GST on Income")</f>
        <v>GST on Income</v>
      </c>
      <c r="U1613">
        <f>IF(O1613=T1613,1,0)</f>
        <v>1</v>
      </c>
      <c r="V1613" s="9">
        <f>IF(OR(M1613=0,U1613=1),0,IF(T1613="GST on Income",ROUND(K1613*0.1,2),ROUND(-K1613*0.1,2)))</f>
        <v>0</v>
      </c>
    </row>
    <row r="1614">
      <c r="A1614" t="inlineStr">
        <is>
          <t>INV-5167-1</t>
        </is>
      </c>
      <c r="B1614" t="inlineStr">
        <is>
          <t>INV-5167</t>
        </is>
      </c>
      <c r="C1614" s="11" t="n">
        <v>46079</v>
      </c>
      <c r="D1614" t="inlineStr">
        <is>
          <t>2026-02</t>
        </is>
      </c>
      <c r="E1614" t="inlineStr">
        <is>
          <t>C0080</t>
        </is>
      </c>
      <c r="F1614" t="inlineStr">
        <is>
          <t>C0080</t>
        </is>
      </c>
      <c r="G1614" t="inlineStr">
        <is>
          <t>Ember Productions Pty Ltd</t>
        </is>
      </c>
      <c r="H1614" t="inlineStr">
        <is>
          <t>S0229</t>
        </is>
      </c>
      <c r="I1614" t="inlineStr">
        <is>
          <t>Collection and dismantle - temporary fencing</t>
        </is>
      </c>
      <c r="J1614" t="n">
        <v>1</v>
      </c>
      <c r="K1614" s="9" t="n">
        <v>165</v>
      </c>
      <c r="L1614" t="inlineStr">
        <is>
          <t>PAID</t>
        </is>
      </c>
      <c r="M1614">
        <f>IF(L1614="VOIDED",0,1)</f>
        <v>1</v>
      </c>
      <c r="N1614" t="n">
        <v>200</v>
      </c>
      <c r="O1614" t="inlineStr">
        <is>
          <t>GST on Income</t>
        </is>
      </c>
      <c r="P1614" t="inlineStr">
        <is>
          <t>R07</t>
        </is>
      </c>
      <c r="Q1614" t="inlineStr">
        <is>
          <t>DEL-FP</t>
        </is>
      </c>
      <c r="R1614">
        <f>IF(OR(Q1614="CONTEXT",Q1614="REVIEW"),"",INDEX('Category Rules'!$D$5:$D$17,MATCH(P1614,'Category Rules'!$A$5:$A$17,0)))</f>
        <v>4020</v>
      </c>
      <c r="S1614" t="str">
        <f>IF(Q1614="CONTEXT","Fencing",IF(Q1614="REVIEW","",INDEX('Category Rules'!$E$5:$E$17,MATCH(P1614,'Category Rules'!$A$5:$A$17,0))))</f>
        <v>Fencing</v>
      </c>
      <c r="T1614" t="str">
        <f>IF(Q1614="DEP","BAS Excluded","GST on Income")</f>
        <v>GST on Income</v>
      </c>
      <c r="U1614">
        <f>IF(O1614=T1614,1,0)</f>
        <v>1</v>
      </c>
      <c r="V1614" s="9">
        <f>IF(OR(M1614=0,U1614=1),0,IF(T1614="GST on Income",ROUND(K1614*0.1,2),ROUND(-K1614*0.1,2)))</f>
        <v>0</v>
      </c>
    </row>
    <row r="1615">
      <c r="A1615" t="inlineStr">
        <is>
          <t>INV-5808-1</t>
        </is>
      </c>
      <c r="B1615" t="inlineStr">
        <is>
          <t>INV-5808</t>
        </is>
      </c>
      <c r="C1615" s="11" t="n">
        <v>46079</v>
      </c>
      <c r="D1615" t="inlineStr">
        <is>
          <t>2026-02</t>
        </is>
      </c>
      <c r="E1615" t="inlineStr">
        <is>
          <t>C0061</t>
        </is>
      </c>
      <c r="F1615" t="inlineStr">
        <is>
          <t>C0061</t>
        </is>
      </c>
      <c r="G1615" t="inlineStr">
        <is>
          <t>Southbank Claims Services Pty Ltd</t>
        </is>
      </c>
      <c r="H1615" t="inlineStr">
        <is>
          <t>S0494</t>
        </is>
      </c>
      <c r="I1615" t="inlineStr">
        <is>
          <t>Roof repair labour - 16 hrs</t>
        </is>
      </c>
      <c r="J1615" t="n">
        <v>16</v>
      </c>
      <c r="K1615" s="9" t="n">
        <v>1568</v>
      </c>
      <c r="L1615" t="inlineStr">
        <is>
          <t>PAID</t>
        </is>
      </c>
      <c r="M1615">
        <f>IF(L1615="VOIDED",0,1)</f>
        <v>1</v>
      </c>
      <c r="N1615" t="n">
        <v>200</v>
      </c>
      <c r="O1615" t="inlineStr">
        <is>
          <t>GST on Income</t>
        </is>
      </c>
      <c r="P1615" t="inlineStr">
        <is>
          <t>R10</t>
        </is>
      </c>
      <c r="Q1615" t="inlineStr">
        <is>
          <t>LAB-RF</t>
        </is>
      </c>
      <c r="R1615">
        <f>IF(OR(Q1615="CONTEXT",Q1615="REVIEW"),"",INDEX('Category Rules'!$D$5:$D$17,MATCH(P1615,'Category Rules'!$A$5:$A$17,0)))</f>
        <v>4020</v>
      </c>
      <c r="S1615" t="str">
        <f>IF(Q1615="CONTEXT","Roofing",IF(Q1615="REVIEW","",INDEX('Category Rules'!$E$5:$E$17,MATCH(P1615,'Category Rules'!$A$5:$A$17,0))))</f>
        <v>Roofing</v>
      </c>
      <c r="T1615" t="str">
        <f>IF(Q1615="DEP","BAS Excluded","GST on Income")</f>
        <v>GST on Income</v>
      </c>
      <c r="U1615">
        <f>IF(O1615=T1615,1,0)</f>
        <v>1</v>
      </c>
      <c r="V1615" s="9">
        <f>IF(OR(M1615=0,U1615=1),0,IF(T1615="GST on Income",ROUND(K1615*0.1,2),ROUND(-K1615*0.1,2)))</f>
        <v>0</v>
      </c>
    </row>
    <row r="1616">
      <c r="A1616" t="inlineStr">
        <is>
          <t>INV-5808-2</t>
        </is>
      </c>
      <c r="B1616" t="inlineStr">
        <is>
          <t>INV-5808</t>
        </is>
      </c>
      <c r="C1616" s="11" t="n">
        <v>46079</v>
      </c>
      <c r="D1616" t="inlineStr">
        <is>
          <t>2026-02</t>
        </is>
      </c>
      <c r="E1616" t="inlineStr">
        <is>
          <t>C0061</t>
        </is>
      </c>
      <c r="F1616" t="inlineStr">
        <is>
          <t>C0061</t>
        </is>
      </c>
      <c r="G1616" t="inlineStr">
        <is>
          <t>Southbank Claims Services Pty Ltd</t>
        </is>
      </c>
      <c r="H1616" t="inlineStr">
        <is>
          <t>S0494</t>
        </is>
      </c>
      <c r="I1616" t="inlineStr">
        <is>
          <t>Materials - roof tiles (matched)</t>
        </is>
      </c>
      <c r="J1616" t="n">
        <v>1</v>
      </c>
      <c r="K1616" s="9" t="n">
        <v>388.04</v>
      </c>
      <c r="L1616" t="inlineStr">
        <is>
          <t>PAID</t>
        </is>
      </c>
      <c r="M1616">
        <f>IF(L1616="VOIDED",0,1)</f>
        <v>1</v>
      </c>
      <c r="N1616" t="n">
        <v>200</v>
      </c>
      <c r="O1616" t="inlineStr">
        <is>
          <t>GST on Income</t>
        </is>
      </c>
      <c r="P1616" t="inlineStr">
        <is>
          <t>R11</t>
        </is>
      </c>
      <c r="Q1616" t="inlineStr">
        <is>
          <t>MAT-RF</t>
        </is>
      </c>
      <c r="R1616">
        <f>IF(OR(Q1616="CONTEXT",Q1616="REVIEW"),"",INDEX('Category Rules'!$D$5:$D$17,MATCH(P1616,'Category Rules'!$A$5:$A$17,0)))</f>
        <v>4030</v>
      </c>
      <c r="S1616" t="str">
        <f>IF(Q1616="CONTEXT","Roofing",IF(Q1616="REVIEW","",INDEX('Category Rules'!$E$5:$E$17,MATCH(P1616,'Category Rules'!$A$5:$A$17,0))))</f>
        <v>Roofing</v>
      </c>
      <c r="T1616" t="str">
        <f>IF(Q1616="DEP","BAS Excluded","GST on Income")</f>
        <v>GST on Income</v>
      </c>
      <c r="U1616">
        <f>IF(O1616=T1616,1,0)</f>
        <v>1</v>
      </c>
      <c r="V1616" s="9">
        <f>IF(OR(M1616=0,U1616=1),0,IF(T1616="GST on Income",ROUND(K1616*0.1,2),ROUND(-K1616*0.1,2)))</f>
        <v>0</v>
      </c>
    </row>
    <row r="1617">
      <c r="A1617" t="inlineStr">
        <is>
          <t>INV-5808-3</t>
        </is>
      </c>
      <c r="B1617" t="inlineStr">
        <is>
          <t>INV-5808</t>
        </is>
      </c>
      <c r="C1617" s="11" t="n">
        <v>46079</v>
      </c>
      <c r="D1617" t="inlineStr">
        <is>
          <t>2026-02</t>
        </is>
      </c>
      <c r="E1617" t="inlineStr">
        <is>
          <t>C0061</t>
        </is>
      </c>
      <c r="F1617" t="inlineStr">
        <is>
          <t>C0061</t>
        </is>
      </c>
      <c r="G1617" t="inlineStr">
        <is>
          <t>Southbank Claims Services Pty Ltd</t>
        </is>
      </c>
      <c r="H1617" t="inlineStr">
        <is>
          <t>S0494</t>
        </is>
      </c>
      <c r="I1617" t="inlineStr">
        <is>
          <t>Waste removal and tip fees</t>
        </is>
      </c>
      <c r="J1617" t="n">
        <v>1</v>
      </c>
      <c r="K1617" s="9" t="n">
        <v>120</v>
      </c>
      <c r="L1617" t="inlineStr">
        <is>
          <t>PAID</t>
        </is>
      </c>
      <c r="M1617">
        <f>IF(L1617="VOIDED",0,1)</f>
        <v>1</v>
      </c>
      <c r="N1617" t="n">
        <v>200</v>
      </c>
      <c r="O1617" t="inlineStr">
        <is>
          <t>GST on Income</t>
        </is>
      </c>
      <c r="P1617" t="inlineStr">
        <is>
          <t>R11</t>
        </is>
      </c>
      <c r="Q1617" t="inlineStr">
        <is>
          <t>MAT-RF</t>
        </is>
      </c>
      <c r="R1617">
        <f>IF(OR(Q1617="CONTEXT",Q1617="REVIEW"),"",INDEX('Category Rules'!$D$5:$D$17,MATCH(P1617,'Category Rules'!$A$5:$A$17,0)))</f>
        <v>4030</v>
      </c>
      <c r="S1617" t="str">
        <f>IF(Q1617="CONTEXT","Roofing",IF(Q1617="REVIEW","",INDEX('Category Rules'!$E$5:$E$17,MATCH(P1617,'Category Rules'!$A$5:$A$17,0))))</f>
        <v>Roofing</v>
      </c>
      <c r="T1617" t="str">
        <f>IF(Q1617="DEP","BAS Excluded","GST on Income")</f>
        <v>GST on Income</v>
      </c>
      <c r="U1617">
        <f>IF(O1617=T1617,1,0)</f>
        <v>1</v>
      </c>
      <c r="V1617" s="9">
        <f>IF(OR(M1617=0,U1617=1),0,IF(T1617="GST on Income",ROUND(K1617*0.1,2),ROUND(-K1617*0.1,2)))</f>
        <v>0</v>
      </c>
    </row>
    <row r="1618">
      <c r="A1618" t="inlineStr">
        <is>
          <t>INV-5013-1</t>
        </is>
      </c>
      <c r="B1618" t="inlineStr">
        <is>
          <t>INV-5013</t>
        </is>
      </c>
      <c r="C1618" s="11" t="n">
        <v>46080</v>
      </c>
      <c r="D1618" t="inlineStr">
        <is>
          <t>2026-02</t>
        </is>
      </c>
      <c r="E1618" t="inlineStr">
        <is>
          <t>C0024</t>
        </is>
      </c>
      <c r="F1618" t="inlineStr">
        <is>
          <t>C0024</t>
        </is>
      </c>
      <c r="G1618" t="inlineStr">
        <is>
          <t>Parkview Homes Pty Ltd</t>
        </is>
      </c>
      <c r="H1618" t="inlineStr">
        <is>
          <t>S0197</t>
        </is>
      </c>
      <c r="I1618" t="inlineStr">
        <is>
          <t>Temporary fence hire 3 wks (10/02/26-26/02/26) - 112 panels</t>
        </is>
      </c>
      <c r="J1618" t="n">
        <v>336</v>
      </c>
      <c r="K1618" s="9" t="n">
        <v>1512</v>
      </c>
      <c r="L1618" t="inlineStr">
        <is>
          <t>PAID</t>
        </is>
      </c>
      <c r="M1618">
        <f>IF(L1618="VOIDED",0,1)</f>
        <v>1</v>
      </c>
      <c r="N1618" t="n">
        <v>200</v>
      </c>
      <c r="O1618" t="inlineStr">
        <is>
          <t>GST on Income</t>
        </is>
      </c>
      <c r="P1618" t="inlineStr">
        <is>
          <t>R03</t>
        </is>
      </c>
      <c r="Q1618" t="inlineStr">
        <is>
          <t>HIRE-FP</t>
        </is>
      </c>
      <c r="R1618">
        <f>IF(OR(Q1618="CONTEXT",Q1618="REVIEW"),"",INDEX('Category Rules'!$D$5:$D$17,MATCH(P1618,'Category Rules'!$A$5:$A$17,0)))</f>
        <v>4010</v>
      </c>
      <c r="S1618" t="str">
        <f>IF(Q1618="CONTEXT","Fencing",IF(Q1618="REVIEW","",INDEX('Category Rules'!$E$5:$E$17,MATCH(P1618,'Category Rules'!$A$5:$A$17,0))))</f>
        <v>Fencing</v>
      </c>
      <c r="T1618" t="str">
        <f>IF(Q1618="DEP","BAS Excluded","GST on Income")</f>
        <v>GST on Income</v>
      </c>
      <c r="U1618">
        <f>IF(O1618=T1618,1,0)</f>
        <v>1</v>
      </c>
      <c r="V1618" s="9">
        <f>IF(OR(M1618=0,U1618=1),0,IF(T1618="GST on Income",ROUND(K1618*0.1,2),ROUND(-K1618*0.1,2)))</f>
        <v>0</v>
      </c>
    </row>
    <row r="1619">
      <c r="A1619" t="inlineStr">
        <is>
          <t>INV-5016-1</t>
        </is>
      </c>
      <c r="B1619" t="inlineStr">
        <is>
          <t>INV-5016</t>
        </is>
      </c>
      <c r="C1619" s="11" t="n">
        <v>46080</v>
      </c>
      <c r="D1619" t="inlineStr">
        <is>
          <t>2026-02</t>
        </is>
      </c>
      <c r="E1619" t="inlineStr">
        <is>
          <t>C0024</t>
        </is>
      </c>
      <c r="F1619" t="inlineStr">
        <is>
          <t>C0024</t>
        </is>
      </c>
      <c r="G1619" t="inlineStr">
        <is>
          <t>Parkview Homes Pty Ltd</t>
        </is>
      </c>
      <c r="H1619" t="inlineStr">
        <is>
          <t>S0197</t>
        </is>
      </c>
      <c r="I1619" t="inlineStr">
        <is>
          <t>Pedestrian barrier hire 3 wks (10/02/26-26/02/26) - 4 barriers</t>
        </is>
      </c>
      <c r="J1619" t="n">
        <v>12</v>
      </c>
      <c r="K1619" s="9" t="n">
        <v>38.4</v>
      </c>
      <c r="L1619" t="inlineStr">
        <is>
          <t>PAID</t>
        </is>
      </c>
      <c r="M1619">
        <f>IF(L1619="VOIDED",0,1)</f>
        <v>1</v>
      </c>
      <c r="N1619" t="n">
        <v>200</v>
      </c>
      <c r="O1619" t="inlineStr">
        <is>
          <t>GST on Income</t>
        </is>
      </c>
      <c r="P1619" t="inlineStr">
        <is>
          <t>R04</t>
        </is>
      </c>
      <c r="Q1619" t="inlineStr">
        <is>
          <t>HIRE-BR</t>
        </is>
      </c>
      <c r="R1619">
        <f>IF(OR(Q1619="CONTEXT",Q1619="REVIEW"),"",INDEX('Category Rules'!$D$5:$D$17,MATCH(P1619,'Category Rules'!$A$5:$A$17,0)))</f>
        <v>4010</v>
      </c>
      <c r="S1619" t="str">
        <f>IF(Q1619="CONTEXT","Fencing",IF(Q1619="REVIEW","",INDEX('Category Rules'!$E$5:$E$17,MATCH(P1619,'Category Rules'!$A$5:$A$17,0))))</f>
        <v>Fencing</v>
      </c>
      <c r="T1619" t="str">
        <f>IF(Q1619="DEP","BAS Excluded","GST on Income")</f>
        <v>GST on Income</v>
      </c>
      <c r="U1619">
        <f>IF(O1619=T1619,1,0)</f>
        <v>1</v>
      </c>
      <c r="V1619" s="9">
        <f>IF(OR(M1619=0,U1619=1),0,IF(T1619="GST on Income",ROUND(K1619*0.1,2),ROUND(-K1619*0.1,2)))</f>
        <v>0</v>
      </c>
    </row>
    <row r="1620">
      <c r="A1620" t="inlineStr">
        <is>
          <t>INV-5018-1</t>
        </is>
      </c>
      <c r="B1620" t="inlineStr">
        <is>
          <t>INV-5018</t>
        </is>
      </c>
      <c r="C1620" s="11" t="n">
        <v>46080</v>
      </c>
      <c r="D1620" t="inlineStr">
        <is>
          <t>2026-02</t>
        </is>
      </c>
      <c r="E1620" t="inlineStr">
        <is>
          <t>C0024</t>
        </is>
      </c>
      <c r="F1620" t="inlineStr">
        <is>
          <t>C0024</t>
        </is>
      </c>
      <c r="G1620" t="inlineStr">
        <is>
          <t>Parkview Homes Pty Ltd</t>
        </is>
      </c>
      <c r="H1620" t="inlineStr">
        <is>
          <t>S0197</t>
        </is>
      </c>
      <c r="I1620" t="inlineStr">
        <is>
          <t>Collection and dismantle - temporary fencing</t>
        </is>
      </c>
      <c r="J1620" t="n">
        <v>1</v>
      </c>
      <c r="K1620" s="9" t="n">
        <v>165</v>
      </c>
      <c r="L1620" t="inlineStr">
        <is>
          <t>PAID</t>
        </is>
      </c>
      <c r="M1620">
        <f>IF(L1620="VOIDED",0,1)</f>
        <v>1</v>
      </c>
      <c r="N1620" t="n">
        <v>200</v>
      </c>
      <c r="O1620" t="inlineStr">
        <is>
          <t>GST on Income</t>
        </is>
      </c>
      <c r="P1620" t="inlineStr">
        <is>
          <t>R07</t>
        </is>
      </c>
      <c r="Q1620" t="inlineStr">
        <is>
          <t>DEL-FP</t>
        </is>
      </c>
      <c r="R1620">
        <f>IF(OR(Q1620="CONTEXT",Q1620="REVIEW"),"",INDEX('Category Rules'!$D$5:$D$17,MATCH(P1620,'Category Rules'!$A$5:$A$17,0)))</f>
        <v>4020</v>
      </c>
      <c r="S1620" t="str">
        <f>IF(Q1620="CONTEXT","Fencing",IF(Q1620="REVIEW","",INDEX('Category Rules'!$E$5:$E$17,MATCH(P1620,'Category Rules'!$A$5:$A$17,0))))</f>
        <v>Fencing</v>
      </c>
      <c r="T1620" t="str">
        <f>IF(Q1620="DEP","BAS Excluded","GST on Income")</f>
        <v>GST on Income</v>
      </c>
      <c r="U1620">
        <f>IF(O1620=T1620,1,0)</f>
        <v>1</v>
      </c>
      <c r="V1620" s="9">
        <f>IF(OR(M1620=0,U1620=1),0,IF(T1620="GST on Income",ROUND(K1620*0.1,2),ROUND(-K1620*0.1,2)))</f>
        <v>0</v>
      </c>
    </row>
    <row r="1621">
      <c r="A1621" t="inlineStr">
        <is>
          <t>INV-5265-1</t>
        </is>
      </c>
      <c r="B1621" t="inlineStr">
        <is>
          <t>INV-5265</t>
        </is>
      </c>
      <c r="C1621" s="11" t="n">
        <v>46080</v>
      </c>
      <c r="D1621" t="inlineStr">
        <is>
          <t>2026-02</t>
        </is>
      </c>
      <c r="E1621" t="inlineStr">
        <is>
          <t>C0044</t>
        </is>
      </c>
      <c r="F1621" t="inlineStr">
        <is>
          <t>C0044</t>
        </is>
      </c>
      <c r="G1621" t="inlineStr">
        <is>
          <t>Granite Constructions</t>
        </is>
      </c>
      <c r="H1621" t="inlineStr">
        <is>
          <t>S0251</t>
        </is>
      </c>
      <c r="I1621" t="inlineStr">
        <is>
          <t>Scaffold tower hire 4 wks (30/01/26-26/02/26) - 1 towers</t>
        </is>
      </c>
      <c r="J1621" t="n">
        <v>4</v>
      </c>
      <c r="K1621" s="9" t="n">
        <v>380</v>
      </c>
      <c r="L1621" t="inlineStr">
        <is>
          <t>PAID</t>
        </is>
      </c>
      <c r="M1621">
        <f>IF(L1621="VOIDED",0,1)</f>
        <v>1</v>
      </c>
      <c r="N1621" t="n">
        <v>200</v>
      </c>
      <c r="O1621" t="inlineStr">
        <is>
          <t>GST on Income</t>
        </is>
      </c>
      <c r="P1621" t="inlineStr">
        <is>
          <t>R05</t>
        </is>
      </c>
      <c r="Q1621" t="inlineStr">
        <is>
          <t>HIRE-ST</t>
        </is>
      </c>
      <c r="R1621">
        <f>IF(OR(Q1621="CONTEXT",Q1621="REVIEW"),"",INDEX('Category Rules'!$D$5:$D$17,MATCH(P1621,'Category Rules'!$A$5:$A$17,0)))</f>
        <v>4010</v>
      </c>
      <c r="S1621" t="str">
        <f>IF(Q1621="CONTEXT","Scaffolding",IF(Q1621="REVIEW","",INDEX('Category Rules'!$E$5:$E$17,MATCH(P1621,'Category Rules'!$A$5:$A$17,0))))</f>
        <v>Scaffolding</v>
      </c>
      <c r="T1621" t="str">
        <f>IF(Q1621="DEP","BAS Excluded","GST on Income")</f>
        <v>GST on Income</v>
      </c>
      <c r="U1621">
        <f>IF(O1621=T1621,1,0)</f>
        <v>1</v>
      </c>
      <c r="V1621" s="9">
        <f>IF(OR(M1621=0,U1621=1),0,IF(T1621="GST on Income",ROUND(K1621*0.1,2),ROUND(-K1621*0.1,2)))</f>
        <v>0</v>
      </c>
    </row>
    <row r="1622">
      <c r="A1622" t="inlineStr">
        <is>
          <t>INV-5473-1</t>
        </is>
      </c>
      <c r="B1622" t="inlineStr">
        <is>
          <t>INV-5473</t>
        </is>
      </c>
      <c r="C1622" s="11" t="n">
        <v>46080</v>
      </c>
      <c r="D1622" t="inlineStr">
        <is>
          <t>2026-02</t>
        </is>
      </c>
      <c r="E1622" t="inlineStr">
        <is>
          <t>C0068</t>
        </is>
      </c>
      <c r="F1622" t="inlineStr">
        <is>
          <t>C0068</t>
        </is>
      </c>
      <c r="G1622" t="inlineStr">
        <is>
          <t>Coastline Claims Services</t>
        </is>
      </c>
      <c r="H1622" t="inlineStr">
        <is>
          <t>S0310</t>
        </is>
      </c>
      <c r="I1622" t="inlineStr">
        <is>
          <t>Make safe call-out</t>
        </is>
      </c>
      <c r="J1622" t="n">
        <v>1</v>
      </c>
      <c r="K1622" s="9" t="n">
        <v>385</v>
      </c>
      <c r="L1622" t="inlineStr">
        <is>
          <t>PAID</t>
        </is>
      </c>
      <c r="M1622">
        <f>IF(L1622="VOIDED",0,1)</f>
        <v>1</v>
      </c>
      <c r="N1622" t="n">
        <v>200</v>
      </c>
      <c r="O1622" t="inlineStr">
        <is>
          <t>GST on Income</t>
        </is>
      </c>
      <c r="P1622" t="inlineStr">
        <is>
          <t>R09</t>
        </is>
      </c>
      <c r="Q1622" t="inlineStr">
        <is>
          <t>MS</t>
        </is>
      </c>
      <c r="R1622">
        <f>IF(OR(Q1622="CONTEXT",Q1622="REVIEW"),"",INDEX('Category Rules'!$D$5:$D$17,MATCH(P1622,'Category Rules'!$A$5:$A$17,0)))</f>
        <v>4020</v>
      </c>
      <c r="S1622" t="str">
        <f>IF(Q1622="CONTEXT","Make-safe",IF(Q1622="REVIEW","",INDEX('Category Rules'!$E$5:$E$17,MATCH(P1622,'Category Rules'!$A$5:$A$17,0))))</f>
        <v>Make-safe</v>
      </c>
      <c r="T1622" t="str">
        <f>IF(Q1622="DEP","BAS Excluded","GST on Income")</f>
        <v>GST on Income</v>
      </c>
      <c r="U1622">
        <f>IF(O1622=T1622,1,0)</f>
        <v>1</v>
      </c>
      <c r="V1622" s="9">
        <f>IF(OR(M1622=0,U1622=1),0,IF(T1622="GST on Income",ROUND(K1622*0.1,2),ROUND(-K1622*0.1,2)))</f>
        <v>0</v>
      </c>
    </row>
    <row r="1623">
      <c r="A1623" t="inlineStr">
        <is>
          <t>INV-4378-1</t>
        </is>
      </c>
      <c r="B1623" t="inlineStr">
        <is>
          <t>INV-4378</t>
        </is>
      </c>
      <c r="C1623" s="11" t="n">
        <v>46081</v>
      </c>
      <c r="D1623" t="inlineStr">
        <is>
          <t>2026-02</t>
        </is>
      </c>
      <c r="E1623" t="inlineStr">
        <is>
          <t>C0022</t>
        </is>
      </c>
      <c r="F1623" t="inlineStr">
        <is>
          <t>C0022</t>
        </is>
      </c>
      <c r="G1623" t="inlineStr">
        <is>
          <t>Highpoint Projects</t>
        </is>
      </c>
      <c r="H1623" t="inlineStr">
        <is>
          <t>S0057</t>
        </is>
      </c>
      <c r="I1623" t="inlineStr">
        <is>
          <t>Temporary fence hire 4 wks (31/01/26-27/02/26) - 133 panels</t>
        </is>
      </c>
      <c r="J1623" t="n">
        <v>532</v>
      </c>
      <c r="K1623" s="9" t="n">
        <v>2394</v>
      </c>
      <c r="L1623" t="inlineStr">
        <is>
          <t>PAID</t>
        </is>
      </c>
      <c r="M1623">
        <f>IF(L1623="VOIDED",0,1)</f>
        <v>1</v>
      </c>
      <c r="N1623" t="n">
        <v>200</v>
      </c>
      <c r="O1623" t="inlineStr">
        <is>
          <t>GST on Income</t>
        </is>
      </c>
      <c r="P1623" t="inlineStr">
        <is>
          <t>R03</t>
        </is>
      </c>
      <c r="Q1623" t="inlineStr">
        <is>
          <t>HIRE-FP</t>
        </is>
      </c>
      <c r="R1623">
        <f>IF(OR(Q1623="CONTEXT",Q1623="REVIEW"),"",INDEX('Category Rules'!$D$5:$D$17,MATCH(P1623,'Category Rules'!$A$5:$A$17,0)))</f>
        <v>4010</v>
      </c>
      <c r="S1623" t="str">
        <f>IF(Q1623="CONTEXT","Fencing",IF(Q1623="REVIEW","",INDEX('Category Rules'!$E$5:$E$17,MATCH(P1623,'Category Rules'!$A$5:$A$17,0))))</f>
        <v>Fencing</v>
      </c>
      <c r="T1623" t="str">
        <f>IF(Q1623="DEP","BAS Excluded","GST on Income")</f>
        <v>GST on Income</v>
      </c>
      <c r="U1623">
        <f>IF(O1623=T1623,1,0)</f>
        <v>1</v>
      </c>
      <c r="V1623" s="9">
        <f>IF(OR(M1623=0,U1623=1),0,IF(T1623="GST on Income",ROUND(K1623*0.1,2),ROUND(-K1623*0.1,2)))</f>
        <v>0</v>
      </c>
    </row>
    <row r="1624">
      <c r="A1624" t="inlineStr">
        <is>
          <t>INV-4518-1</t>
        </is>
      </c>
      <c r="B1624" t="inlineStr">
        <is>
          <t>INV-4518</t>
        </is>
      </c>
      <c r="C1624" s="11" t="n">
        <v>46081</v>
      </c>
      <c r="D1624" t="inlineStr">
        <is>
          <t>2026-02</t>
        </is>
      </c>
      <c r="E1624" t="inlineStr">
        <is>
          <t>C0022</t>
        </is>
      </c>
      <c r="F1624" t="inlineStr">
        <is>
          <t>C0022</t>
        </is>
      </c>
      <c r="G1624" t="inlineStr">
        <is>
          <t>Highpoint Projects</t>
        </is>
      </c>
      <c r="H1624" t="inlineStr">
        <is>
          <t>S0085</t>
        </is>
      </c>
      <c r="I1624" t="inlineStr">
        <is>
          <t>Temporary fence hire 3 wks (13/02/26-27/02/26) - 89 panels</t>
        </is>
      </c>
      <c r="J1624" t="n">
        <v>267</v>
      </c>
      <c r="K1624" s="9" t="n">
        <v>1201.5</v>
      </c>
      <c r="L1624" t="inlineStr">
        <is>
          <t>PAID</t>
        </is>
      </c>
      <c r="M1624">
        <f>IF(L1624="VOIDED",0,1)</f>
        <v>1</v>
      </c>
      <c r="N1624" t="n">
        <v>200</v>
      </c>
      <c r="O1624" t="inlineStr">
        <is>
          <t>GST on Income</t>
        </is>
      </c>
      <c r="P1624" t="inlineStr">
        <is>
          <t>R03</t>
        </is>
      </c>
      <c r="Q1624" t="inlineStr">
        <is>
          <t>HIRE-FP</t>
        </is>
      </c>
      <c r="R1624">
        <f>IF(OR(Q1624="CONTEXT",Q1624="REVIEW"),"",INDEX('Category Rules'!$D$5:$D$17,MATCH(P1624,'Category Rules'!$A$5:$A$17,0)))</f>
        <v>4010</v>
      </c>
      <c r="S1624" t="str">
        <f>IF(Q1624="CONTEXT","Fencing",IF(Q1624="REVIEW","",INDEX('Category Rules'!$E$5:$E$17,MATCH(P1624,'Category Rules'!$A$5:$A$17,0))))</f>
        <v>Fencing</v>
      </c>
      <c r="T1624" t="str">
        <f>IF(Q1624="DEP","BAS Excluded","GST on Income")</f>
        <v>GST on Income</v>
      </c>
      <c r="U1624">
        <f>IF(O1624=T1624,1,0)</f>
        <v>1</v>
      </c>
      <c r="V1624" s="9">
        <f>IF(OR(M1624=0,U1624=1),0,IF(T1624="GST on Income",ROUND(K1624*0.1,2),ROUND(-K1624*0.1,2)))</f>
        <v>0</v>
      </c>
    </row>
    <row r="1625">
      <c r="A1625" t="inlineStr">
        <is>
          <t>INV-4527-1</t>
        </is>
      </c>
      <c r="B1625" t="inlineStr">
        <is>
          <t>INV-4527</t>
        </is>
      </c>
      <c r="C1625" s="11" t="n">
        <v>46081</v>
      </c>
      <c r="D1625" t="inlineStr">
        <is>
          <t>2026-02</t>
        </is>
      </c>
      <c r="E1625" t="inlineStr">
        <is>
          <t>C0022</t>
        </is>
      </c>
      <c r="F1625" t="inlineStr">
        <is>
          <t>C0022</t>
        </is>
      </c>
      <c r="G1625" t="inlineStr">
        <is>
          <t>Highpoint Projects</t>
        </is>
      </c>
      <c r="H1625" t="inlineStr">
        <is>
          <t>S0085</t>
        </is>
      </c>
      <c r="I1625" t="inlineStr">
        <is>
          <t>Pedestrian barrier hire 3 wks (13/02/26-27/02/26) - 9 barriers</t>
        </is>
      </c>
      <c r="J1625" t="n">
        <v>27</v>
      </c>
      <c r="K1625" s="9" t="n">
        <v>86.40000000000001</v>
      </c>
      <c r="L1625" t="inlineStr">
        <is>
          <t>PAID</t>
        </is>
      </c>
      <c r="M1625">
        <f>IF(L1625="VOIDED",0,1)</f>
        <v>1</v>
      </c>
      <c r="N1625" t="n">
        <v>260</v>
      </c>
      <c r="O1625" t="inlineStr">
        <is>
          <t>GST on Income</t>
        </is>
      </c>
      <c r="P1625" t="inlineStr">
        <is>
          <t>R04</t>
        </is>
      </c>
      <c r="Q1625" t="inlineStr">
        <is>
          <t>HIRE-BR</t>
        </is>
      </c>
      <c r="R1625">
        <f>IF(OR(Q1625="CONTEXT",Q1625="REVIEW"),"",INDEX('Category Rules'!$D$5:$D$17,MATCH(P1625,'Category Rules'!$A$5:$A$17,0)))</f>
        <v>4010</v>
      </c>
      <c r="S1625" t="str">
        <f>IF(Q1625="CONTEXT","Fencing",IF(Q1625="REVIEW","",INDEX('Category Rules'!$E$5:$E$17,MATCH(P1625,'Category Rules'!$A$5:$A$17,0))))</f>
        <v>Fencing</v>
      </c>
      <c r="T1625" t="str">
        <f>IF(Q1625="DEP","BAS Excluded","GST on Income")</f>
        <v>GST on Income</v>
      </c>
      <c r="U1625">
        <f>IF(O1625=T1625,1,0)</f>
        <v>1</v>
      </c>
      <c r="V1625" s="9">
        <f>IF(OR(M1625=0,U1625=1),0,IF(T1625="GST on Income",ROUND(K1625*0.1,2),ROUND(-K1625*0.1,2)))</f>
        <v>0</v>
      </c>
    </row>
    <row r="1626">
      <c r="A1626" t="inlineStr">
        <is>
          <t>INV-4529-1</t>
        </is>
      </c>
      <c r="B1626" t="inlineStr">
        <is>
          <t>INV-4529</t>
        </is>
      </c>
      <c r="C1626" s="11" t="n">
        <v>46081</v>
      </c>
      <c r="D1626" t="inlineStr">
        <is>
          <t>2026-02</t>
        </is>
      </c>
      <c r="E1626" t="inlineStr">
        <is>
          <t>C0022</t>
        </is>
      </c>
      <c r="F1626" t="inlineStr">
        <is>
          <t>C0022</t>
        </is>
      </c>
      <c r="G1626" t="inlineStr">
        <is>
          <t>Highpoint Projects</t>
        </is>
      </c>
      <c r="H1626" t="inlineStr">
        <is>
          <t>S0085</t>
        </is>
      </c>
      <c r="I1626" t="inlineStr">
        <is>
          <t>Collection and dismantle - temporary fencing</t>
        </is>
      </c>
      <c r="J1626" t="n">
        <v>1</v>
      </c>
      <c r="K1626" s="9" t="n">
        <v>165</v>
      </c>
      <c r="L1626" t="inlineStr">
        <is>
          <t>PAID</t>
        </is>
      </c>
      <c r="M1626">
        <f>IF(L1626="VOIDED",0,1)</f>
        <v>1</v>
      </c>
      <c r="N1626" t="n">
        <v>200</v>
      </c>
      <c r="O1626" t="inlineStr">
        <is>
          <t>GST on Income</t>
        </is>
      </c>
      <c r="P1626" t="inlineStr">
        <is>
          <t>R07</t>
        </is>
      </c>
      <c r="Q1626" t="inlineStr">
        <is>
          <t>DEL-FP</t>
        </is>
      </c>
      <c r="R1626">
        <f>IF(OR(Q1626="CONTEXT",Q1626="REVIEW"),"",INDEX('Category Rules'!$D$5:$D$17,MATCH(P1626,'Category Rules'!$A$5:$A$17,0)))</f>
        <v>4020</v>
      </c>
      <c r="S1626" t="str">
        <f>IF(Q1626="CONTEXT","Fencing",IF(Q1626="REVIEW","",INDEX('Category Rules'!$E$5:$E$17,MATCH(P1626,'Category Rules'!$A$5:$A$17,0))))</f>
        <v>Fencing</v>
      </c>
      <c r="T1626" t="str">
        <f>IF(Q1626="DEP","BAS Excluded","GST on Income")</f>
        <v>GST on Income</v>
      </c>
      <c r="U1626">
        <f>IF(O1626=T1626,1,0)</f>
        <v>1</v>
      </c>
      <c r="V1626" s="9">
        <f>IF(OR(M1626=0,U1626=1),0,IF(T1626="GST on Income",ROUND(K1626*0.1,2),ROUND(-K1626*0.1,2)))</f>
        <v>0</v>
      </c>
    </row>
    <row r="1627">
      <c r="A1627" t="inlineStr">
        <is>
          <t>INV-4883-1</t>
        </is>
      </c>
      <c r="B1627" t="inlineStr">
        <is>
          <t>INV-4883</t>
        </is>
      </c>
      <c r="C1627" s="11" t="n">
        <v>46081</v>
      </c>
      <c r="D1627" t="inlineStr">
        <is>
          <t>2026-02</t>
        </is>
      </c>
      <c r="E1627" t="inlineStr">
        <is>
          <t>C0119</t>
        </is>
      </c>
      <c r="F1627" t="inlineStr">
        <is>
          <t>C0119</t>
        </is>
      </c>
      <c r="G1627" t="inlineStr">
        <is>
          <t>Northgate Builders Pty Ltd</t>
        </is>
      </c>
      <c r="H1627" t="inlineStr">
        <is>
          <t>S0165</t>
        </is>
      </c>
      <c r="I1627" t="inlineStr">
        <is>
          <t>Temporary fence hire 4 wks (31/01/26-27/02/26) - 140 panels</t>
        </is>
      </c>
      <c r="J1627" t="n">
        <v>560</v>
      </c>
      <c r="K1627" s="9" t="n">
        <v>2520</v>
      </c>
      <c r="L1627" t="inlineStr">
        <is>
          <t>PAID</t>
        </is>
      </c>
      <c r="M1627">
        <f>IF(L1627="VOIDED",0,1)</f>
        <v>1</v>
      </c>
      <c r="N1627" t="n">
        <v>200</v>
      </c>
      <c r="O1627" t="inlineStr">
        <is>
          <t>GST on Income</t>
        </is>
      </c>
      <c r="P1627" t="inlineStr">
        <is>
          <t>R03</t>
        </is>
      </c>
      <c r="Q1627" t="inlineStr">
        <is>
          <t>HIRE-FP</t>
        </is>
      </c>
      <c r="R1627">
        <f>IF(OR(Q1627="CONTEXT",Q1627="REVIEW"),"",INDEX('Category Rules'!$D$5:$D$17,MATCH(P1627,'Category Rules'!$A$5:$A$17,0)))</f>
        <v>4010</v>
      </c>
      <c r="S1627" t="str">
        <f>IF(Q1627="CONTEXT","Fencing",IF(Q1627="REVIEW","",INDEX('Category Rules'!$E$5:$E$17,MATCH(P1627,'Category Rules'!$A$5:$A$17,0))))</f>
        <v>Fencing</v>
      </c>
      <c r="T1627" t="str">
        <f>IF(Q1627="DEP","BAS Excluded","GST on Income")</f>
        <v>GST on Income</v>
      </c>
      <c r="U1627">
        <f>IF(O1627=T1627,1,0)</f>
        <v>1</v>
      </c>
      <c r="V1627" s="9">
        <f>IF(OR(M1627=0,U1627=1),0,IF(T1627="GST on Income",ROUND(K1627*0.1,2),ROUND(-K1627*0.1,2)))</f>
        <v>0</v>
      </c>
    </row>
    <row r="1628">
      <c r="A1628" t="inlineStr">
        <is>
          <t>INV-5527-1</t>
        </is>
      </c>
      <c r="B1628" t="inlineStr">
        <is>
          <t>INV-5527</t>
        </is>
      </c>
      <c r="C1628" s="11" t="n">
        <v>46081</v>
      </c>
      <c r="D1628" t="inlineStr">
        <is>
          <t>2026-02</t>
        </is>
      </c>
      <c r="E1628" t="inlineStr">
        <is>
          <t>C0046</t>
        </is>
      </c>
      <c r="F1628" t="inlineStr">
        <is>
          <t>C0046</t>
        </is>
      </c>
      <c r="G1628" t="inlineStr">
        <is>
          <t>Bayside Owners Corporation Services Pty Ltd</t>
        </is>
      </c>
      <c r="H1628" t="inlineStr">
        <is>
          <t>S0338</t>
        </is>
      </c>
      <c r="I1628" t="inlineStr">
        <is>
          <t>Make safe call-out</t>
        </is>
      </c>
      <c r="J1628" t="n">
        <v>1</v>
      </c>
      <c r="K1628" s="9" t="n">
        <v>385</v>
      </c>
      <c r="L1628" t="inlineStr">
        <is>
          <t>PAID</t>
        </is>
      </c>
      <c r="M1628">
        <f>IF(L1628="VOIDED",0,1)</f>
        <v>1</v>
      </c>
      <c r="N1628" t="n">
        <v>200</v>
      </c>
      <c r="O1628" t="inlineStr">
        <is>
          <t>GST on Income</t>
        </is>
      </c>
      <c r="P1628" t="inlineStr">
        <is>
          <t>R09</t>
        </is>
      </c>
      <c r="Q1628" t="inlineStr">
        <is>
          <t>MS</t>
        </is>
      </c>
      <c r="R1628">
        <f>IF(OR(Q1628="CONTEXT",Q1628="REVIEW"),"",INDEX('Category Rules'!$D$5:$D$17,MATCH(P1628,'Category Rules'!$A$5:$A$17,0)))</f>
        <v>4020</v>
      </c>
      <c r="S1628" t="str">
        <f>IF(Q1628="CONTEXT","Make-safe",IF(Q1628="REVIEW","",INDEX('Category Rules'!$E$5:$E$17,MATCH(P1628,'Category Rules'!$A$5:$A$17,0))))</f>
        <v>Make-safe</v>
      </c>
      <c r="T1628" t="str">
        <f>IF(Q1628="DEP","BAS Excluded","GST on Income")</f>
        <v>GST on Income</v>
      </c>
      <c r="U1628">
        <f>IF(O1628=T1628,1,0)</f>
        <v>1</v>
      </c>
      <c r="V1628" s="9">
        <f>IF(OR(M1628=0,U1628=1),0,IF(T1628="GST on Income",ROUND(K1628*0.1,2),ROUND(-K1628*0.1,2)))</f>
        <v>0</v>
      </c>
    </row>
    <row r="1629">
      <c r="A1629" t="inlineStr">
        <is>
          <t>INV-5527-2</t>
        </is>
      </c>
      <c r="B1629" t="inlineStr">
        <is>
          <t>INV-5527</t>
        </is>
      </c>
      <c r="C1629" s="11" t="n">
        <v>46081</v>
      </c>
      <c r="D1629" t="inlineStr">
        <is>
          <t>2026-02</t>
        </is>
      </c>
      <c r="E1629" t="inlineStr">
        <is>
          <t>C0046</t>
        </is>
      </c>
      <c r="F1629" t="inlineStr">
        <is>
          <t>C0046</t>
        </is>
      </c>
      <c r="G1629" t="inlineStr">
        <is>
          <t>Bayside Owners Corporation Services Pty Ltd</t>
        </is>
      </c>
      <c r="H1629" t="inlineStr">
        <is>
          <t>S0338</t>
        </is>
      </c>
      <c r="I1629" t="inlineStr">
        <is>
          <t>Tarp supply and install - 1 tarp(s)</t>
        </is>
      </c>
      <c r="J1629" t="n">
        <v>1</v>
      </c>
      <c r="K1629" s="9" t="n">
        <v>240</v>
      </c>
      <c r="L1629" t="inlineStr">
        <is>
          <t>PAID</t>
        </is>
      </c>
      <c r="M1629">
        <f>IF(L1629="VOIDED",0,1)</f>
        <v>1</v>
      </c>
      <c r="N1629" t="n">
        <v>200</v>
      </c>
      <c r="O1629" t="inlineStr">
        <is>
          <t>GST on Income</t>
        </is>
      </c>
      <c r="P1629" t="inlineStr">
        <is>
          <t>R09</t>
        </is>
      </c>
      <c r="Q1629" t="inlineStr">
        <is>
          <t>MS</t>
        </is>
      </c>
      <c r="R1629">
        <f>IF(OR(Q1629="CONTEXT",Q1629="REVIEW"),"",INDEX('Category Rules'!$D$5:$D$17,MATCH(P1629,'Category Rules'!$A$5:$A$17,0)))</f>
        <v>4020</v>
      </c>
      <c r="S1629" t="str">
        <f>IF(Q1629="CONTEXT","Make-safe",IF(Q1629="REVIEW","",INDEX('Category Rules'!$E$5:$E$17,MATCH(P1629,'Category Rules'!$A$5:$A$17,0))))</f>
        <v>Make-safe</v>
      </c>
      <c r="T1629" t="str">
        <f>IF(Q1629="DEP","BAS Excluded","GST on Income")</f>
        <v>GST on Income</v>
      </c>
      <c r="U1629">
        <f>IF(O1629=T1629,1,0)</f>
        <v>1</v>
      </c>
      <c r="V1629" s="9">
        <f>IF(OR(M1629=0,U1629=1),0,IF(T1629="GST on Income",ROUND(K1629*0.1,2),ROUND(-K1629*0.1,2)))</f>
        <v>0</v>
      </c>
    </row>
    <row r="1630">
      <c r="A1630" t="inlineStr">
        <is>
          <t>INV-4182-1</t>
        </is>
      </c>
      <c r="B1630" t="inlineStr">
        <is>
          <t>INV-4182</t>
        </is>
      </c>
      <c r="C1630" s="11" t="n">
        <v>46082</v>
      </c>
      <c r="D1630" t="inlineStr">
        <is>
          <t>2026-03</t>
        </is>
      </c>
      <c r="E1630" t="inlineStr">
        <is>
          <t>C0028</t>
        </is>
      </c>
      <c r="F1630" t="inlineStr">
        <is>
          <t>C0028</t>
        </is>
      </c>
      <c r="G1630" t="inlineStr">
        <is>
          <t>Banksia Homes</t>
        </is>
      </c>
      <c r="H1630" t="inlineStr">
        <is>
          <t>S0014</t>
        </is>
      </c>
      <c r="I1630" t="inlineStr">
        <is>
          <t>Delivery and installation - temporary fencing</t>
        </is>
      </c>
      <c r="J1630" t="n">
        <v>1</v>
      </c>
      <c r="K1630" s="9" t="n">
        <v>165</v>
      </c>
      <c r="L1630" t="inlineStr">
        <is>
          <t>PAID</t>
        </is>
      </c>
      <c r="M1630">
        <f>IF(L1630="VOIDED",0,1)</f>
        <v>1</v>
      </c>
      <c r="N1630" t="n">
        <v>200</v>
      </c>
      <c r="O1630" t="inlineStr">
        <is>
          <t>GST on Income</t>
        </is>
      </c>
      <c r="P1630" t="inlineStr">
        <is>
          <t>R07</t>
        </is>
      </c>
      <c r="Q1630" t="inlineStr">
        <is>
          <t>DEL-FP</t>
        </is>
      </c>
      <c r="R1630">
        <f>IF(OR(Q1630="CONTEXT",Q1630="REVIEW"),"",INDEX('Category Rules'!$D$5:$D$17,MATCH(P1630,'Category Rules'!$A$5:$A$17,0)))</f>
        <v>4020</v>
      </c>
      <c r="S1630" t="str">
        <f>IF(Q1630="CONTEXT","Fencing",IF(Q1630="REVIEW","",INDEX('Category Rules'!$E$5:$E$17,MATCH(P1630,'Category Rules'!$A$5:$A$17,0))))</f>
        <v>Fencing</v>
      </c>
      <c r="T1630" t="str">
        <f>IF(Q1630="DEP","BAS Excluded","GST on Income")</f>
        <v>GST on Income</v>
      </c>
      <c r="U1630">
        <f>IF(O1630=T1630,1,0)</f>
        <v>1</v>
      </c>
      <c r="V1630" s="9">
        <f>IF(OR(M1630=0,U1630=1),0,IF(T1630="GST on Income",ROUND(K1630*0.1,2),ROUND(-K1630*0.1,2)))</f>
        <v>0</v>
      </c>
    </row>
    <row r="1631">
      <c r="A1631" t="inlineStr">
        <is>
          <t>INV-4182-2</t>
        </is>
      </c>
      <c r="B1631" t="inlineStr">
        <is>
          <t>INV-4182</t>
        </is>
      </c>
      <c r="C1631" s="11" t="n">
        <v>46082</v>
      </c>
      <c r="D1631" t="inlineStr">
        <is>
          <t>2026-03</t>
        </is>
      </c>
      <c r="E1631" t="inlineStr">
        <is>
          <t>C0028</t>
        </is>
      </c>
      <c r="F1631" t="inlineStr">
        <is>
          <t>C0028</t>
        </is>
      </c>
      <c r="G1631" t="inlineStr">
        <is>
          <t>Banksia Homes</t>
        </is>
      </c>
      <c r="H1631" t="inlineStr">
        <is>
          <t>S0014</t>
        </is>
      </c>
      <c r="I1631" t="inlineStr">
        <is>
          <t>Installation labour - 30 panels @ 2.20</t>
        </is>
      </c>
      <c r="J1631" t="n">
        <v>30</v>
      </c>
      <c r="K1631" s="9" t="n">
        <v>66</v>
      </c>
      <c r="L1631" t="inlineStr">
        <is>
          <t>PAID</t>
        </is>
      </c>
      <c r="M1631">
        <f>IF(L1631="VOIDED",0,1)</f>
        <v>1</v>
      </c>
      <c r="N1631" t="n">
        <v>200</v>
      </c>
      <c r="O1631" t="inlineStr">
        <is>
          <t>GST on Income</t>
        </is>
      </c>
      <c r="P1631" t="inlineStr">
        <is>
          <t>R07</t>
        </is>
      </c>
      <c r="Q1631" t="inlineStr">
        <is>
          <t>DEL-FP</t>
        </is>
      </c>
      <c r="R1631">
        <f>IF(OR(Q1631="CONTEXT",Q1631="REVIEW"),"",INDEX('Category Rules'!$D$5:$D$17,MATCH(P1631,'Category Rules'!$A$5:$A$17,0)))</f>
        <v>4020</v>
      </c>
      <c r="S1631" t="str">
        <f>IF(Q1631="CONTEXT","Fencing",IF(Q1631="REVIEW","",INDEX('Category Rules'!$E$5:$E$17,MATCH(P1631,'Category Rules'!$A$5:$A$17,0))))</f>
        <v>Fencing</v>
      </c>
      <c r="T1631" t="str">
        <f>IF(Q1631="DEP","BAS Excluded","GST on Income")</f>
        <v>GST on Income</v>
      </c>
      <c r="U1631">
        <f>IF(O1631=T1631,1,0)</f>
        <v>1</v>
      </c>
      <c r="V1631" s="9">
        <f>IF(OR(M1631=0,U1631=1),0,IF(T1631="GST on Income",ROUND(K1631*0.1,2),ROUND(-K1631*0.1,2)))</f>
        <v>0</v>
      </c>
    </row>
    <row r="1632">
      <c r="A1632" t="inlineStr">
        <is>
          <t>INV-4191-1</t>
        </is>
      </c>
      <c r="B1632" t="inlineStr">
        <is>
          <t>INV-4191</t>
        </is>
      </c>
      <c r="C1632" s="11" t="n">
        <v>46082</v>
      </c>
      <c r="D1632" t="inlineStr">
        <is>
          <t>2026-03</t>
        </is>
      </c>
      <c r="E1632" t="inlineStr">
        <is>
          <t>C0017</t>
        </is>
      </c>
      <c r="F1632" t="inlineStr">
        <is>
          <t>C0017</t>
        </is>
      </c>
      <c r="G1632" t="inlineStr">
        <is>
          <t>Cobalt Developments Pty Ltd</t>
        </is>
      </c>
      <c r="H1632" t="inlineStr">
        <is>
          <t>S0016</t>
        </is>
      </c>
      <c r="I1632" t="inlineStr">
        <is>
          <t>Delivery and installation - temporary fencing</t>
        </is>
      </c>
      <c r="J1632" t="n">
        <v>1</v>
      </c>
      <c r="K1632" s="9" t="n">
        <v>165</v>
      </c>
      <c r="L1632" t="inlineStr">
        <is>
          <t>PAID</t>
        </is>
      </c>
      <c r="M1632">
        <f>IF(L1632="VOIDED",0,1)</f>
        <v>1</v>
      </c>
      <c r="N1632" t="n">
        <v>200</v>
      </c>
      <c r="O1632" t="inlineStr">
        <is>
          <t>GST on Income</t>
        </is>
      </c>
      <c r="P1632" t="inlineStr">
        <is>
          <t>R07</t>
        </is>
      </c>
      <c r="Q1632" t="inlineStr">
        <is>
          <t>DEL-FP</t>
        </is>
      </c>
      <c r="R1632">
        <f>IF(OR(Q1632="CONTEXT",Q1632="REVIEW"),"",INDEX('Category Rules'!$D$5:$D$17,MATCH(P1632,'Category Rules'!$A$5:$A$17,0)))</f>
        <v>4020</v>
      </c>
      <c r="S1632" t="str">
        <f>IF(Q1632="CONTEXT","Fencing",IF(Q1632="REVIEW","",INDEX('Category Rules'!$E$5:$E$17,MATCH(P1632,'Category Rules'!$A$5:$A$17,0))))</f>
        <v>Fencing</v>
      </c>
      <c r="T1632" t="str">
        <f>IF(Q1632="DEP","BAS Excluded","GST on Income")</f>
        <v>GST on Income</v>
      </c>
      <c r="U1632">
        <f>IF(O1632=T1632,1,0)</f>
        <v>1</v>
      </c>
      <c r="V1632" s="9">
        <f>IF(OR(M1632=0,U1632=1),0,IF(T1632="GST on Income",ROUND(K1632*0.1,2),ROUND(-K1632*0.1,2)))</f>
        <v>0</v>
      </c>
    </row>
    <row r="1633">
      <c r="A1633" t="inlineStr">
        <is>
          <t>INV-4191-2</t>
        </is>
      </c>
      <c r="B1633" t="inlineStr">
        <is>
          <t>INV-4191</t>
        </is>
      </c>
      <c r="C1633" s="11" t="n">
        <v>46082</v>
      </c>
      <c r="D1633" t="inlineStr">
        <is>
          <t>2026-03</t>
        </is>
      </c>
      <c r="E1633" t="inlineStr">
        <is>
          <t>C0017</t>
        </is>
      </c>
      <c r="F1633" t="inlineStr">
        <is>
          <t>C0017</t>
        </is>
      </c>
      <c r="G1633" t="inlineStr">
        <is>
          <t>Cobalt Developments Pty Ltd</t>
        </is>
      </c>
      <c r="H1633" t="inlineStr">
        <is>
          <t>S0016</t>
        </is>
      </c>
      <c r="I1633" t="inlineStr">
        <is>
          <t>Installation labour - 49 panels @ 2.20</t>
        </is>
      </c>
      <c r="J1633" t="n">
        <v>49</v>
      </c>
      <c r="K1633" s="9" t="n">
        <v>107.8</v>
      </c>
      <c r="L1633" t="inlineStr">
        <is>
          <t>PAID</t>
        </is>
      </c>
      <c r="M1633">
        <f>IF(L1633="VOIDED",0,1)</f>
        <v>1</v>
      </c>
      <c r="N1633" t="n">
        <v>200</v>
      </c>
      <c r="O1633" t="inlineStr">
        <is>
          <t>GST on Income</t>
        </is>
      </c>
      <c r="P1633" t="inlineStr">
        <is>
          <t>R07</t>
        </is>
      </c>
      <c r="Q1633" t="inlineStr">
        <is>
          <t>DEL-FP</t>
        </is>
      </c>
      <c r="R1633">
        <f>IF(OR(Q1633="CONTEXT",Q1633="REVIEW"),"",INDEX('Category Rules'!$D$5:$D$17,MATCH(P1633,'Category Rules'!$A$5:$A$17,0)))</f>
        <v>4020</v>
      </c>
      <c r="S1633" t="str">
        <f>IF(Q1633="CONTEXT","Fencing",IF(Q1633="REVIEW","",INDEX('Category Rules'!$E$5:$E$17,MATCH(P1633,'Category Rules'!$A$5:$A$17,0))))</f>
        <v>Fencing</v>
      </c>
      <c r="T1633" t="str">
        <f>IF(Q1633="DEP","BAS Excluded","GST on Income")</f>
        <v>GST on Income</v>
      </c>
      <c r="U1633">
        <f>IF(O1633=T1633,1,0)</f>
        <v>1</v>
      </c>
      <c r="V1633" s="9">
        <f>IF(OR(M1633=0,U1633=1),0,IF(T1633="GST on Income",ROUND(K1633*0.1,2),ROUND(-K1633*0.1,2)))</f>
        <v>0</v>
      </c>
    </row>
    <row r="1634">
      <c r="A1634" t="inlineStr">
        <is>
          <t>INV-4477-1</t>
        </is>
      </c>
      <c r="B1634" t="inlineStr">
        <is>
          <t>INV-4477</t>
        </is>
      </c>
      <c r="C1634" s="11" t="n">
        <v>46082</v>
      </c>
      <c r="D1634" t="inlineStr">
        <is>
          <t>2026-03</t>
        </is>
      </c>
      <c r="E1634" t="inlineStr">
        <is>
          <t>C0017</t>
        </is>
      </c>
      <c r="F1634" t="inlineStr">
        <is>
          <t>C0017</t>
        </is>
      </c>
      <c r="G1634" t="inlineStr">
        <is>
          <t>Cobalt Developments Pty Ltd</t>
        </is>
      </c>
      <c r="H1634" t="inlineStr">
        <is>
          <t>S0077</t>
        </is>
      </c>
      <c r="I1634" t="inlineStr">
        <is>
          <t>Delivery and installation - temporary fencing</t>
        </is>
      </c>
      <c r="J1634" t="n">
        <v>1</v>
      </c>
      <c r="K1634" s="9" t="n">
        <v>165</v>
      </c>
      <c r="L1634" t="inlineStr">
        <is>
          <t>PAID</t>
        </is>
      </c>
      <c r="M1634">
        <f>IF(L1634="VOIDED",0,1)</f>
        <v>1</v>
      </c>
      <c r="N1634" t="n">
        <v>200</v>
      </c>
      <c r="O1634" t="inlineStr">
        <is>
          <t>GST on Income</t>
        </is>
      </c>
      <c r="P1634" t="inlineStr">
        <is>
          <t>R07</t>
        </is>
      </c>
      <c r="Q1634" t="inlineStr">
        <is>
          <t>DEL-FP</t>
        </is>
      </c>
      <c r="R1634">
        <f>IF(OR(Q1634="CONTEXT",Q1634="REVIEW"),"",INDEX('Category Rules'!$D$5:$D$17,MATCH(P1634,'Category Rules'!$A$5:$A$17,0)))</f>
        <v>4020</v>
      </c>
      <c r="S1634" t="str">
        <f>IF(Q1634="CONTEXT","Fencing",IF(Q1634="REVIEW","",INDEX('Category Rules'!$E$5:$E$17,MATCH(P1634,'Category Rules'!$A$5:$A$17,0))))</f>
        <v>Fencing</v>
      </c>
      <c r="T1634" t="str">
        <f>IF(Q1634="DEP","BAS Excluded","GST on Income")</f>
        <v>GST on Income</v>
      </c>
      <c r="U1634">
        <f>IF(O1634=T1634,1,0)</f>
        <v>1</v>
      </c>
      <c r="V1634" s="9">
        <f>IF(OR(M1634=0,U1634=1),0,IF(T1634="GST on Income",ROUND(K1634*0.1,2),ROUND(-K1634*0.1,2)))</f>
        <v>0</v>
      </c>
    </row>
    <row r="1635">
      <c r="A1635" t="inlineStr">
        <is>
          <t>INV-4477-2</t>
        </is>
      </c>
      <c r="B1635" t="inlineStr">
        <is>
          <t>INV-4477</t>
        </is>
      </c>
      <c r="C1635" s="11" t="n">
        <v>46082</v>
      </c>
      <c r="D1635" t="inlineStr">
        <is>
          <t>2026-03</t>
        </is>
      </c>
      <c r="E1635" t="inlineStr">
        <is>
          <t>C0017</t>
        </is>
      </c>
      <c r="F1635" t="inlineStr">
        <is>
          <t>C0017</t>
        </is>
      </c>
      <c r="G1635" t="inlineStr">
        <is>
          <t>Cobalt Developments Pty Ltd</t>
        </is>
      </c>
      <c r="H1635" t="inlineStr">
        <is>
          <t>S0077</t>
        </is>
      </c>
      <c r="I1635" t="inlineStr">
        <is>
          <t>Installation labour - 33 panels @ 2.20</t>
        </is>
      </c>
      <c r="J1635" t="n">
        <v>33</v>
      </c>
      <c r="K1635" s="9" t="n">
        <v>72.59999999999999</v>
      </c>
      <c r="L1635" t="inlineStr">
        <is>
          <t>PAID</t>
        </is>
      </c>
      <c r="M1635">
        <f>IF(L1635="VOIDED",0,1)</f>
        <v>1</v>
      </c>
      <c r="N1635" t="n">
        <v>200</v>
      </c>
      <c r="O1635" t="inlineStr">
        <is>
          <t>GST on Income</t>
        </is>
      </c>
      <c r="P1635" t="inlineStr">
        <is>
          <t>R07</t>
        </is>
      </c>
      <c r="Q1635" t="inlineStr">
        <is>
          <t>DEL-FP</t>
        </is>
      </c>
      <c r="R1635">
        <f>IF(OR(Q1635="CONTEXT",Q1635="REVIEW"),"",INDEX('Category Rules'!$D$5:$D$17,MATCH(P1635,'Category Rules'!$A$5:$A$17,0)))</f>
        <v>4020</v>
      </c>
      <c r="S1635" t="str">
        <f>IF(Q1635="CONTEXT","Fencing",IF(Q1635="REVIEW","",INDEX('Category Rules'!$E$5:$E$17,MATCH(P1635,'Category Rules'!$A$5:$A$17,0))))</f>
        <v>Fencing</v>
      </c>
      <c r="T1635" t="str">
        <f>IF(Q1635="DEP","BAS Excluded","GST on Income")</f>
        <v>GST on Income</v>
      </c>
      <c r="U1635">
        <f>IF(O1635=T1635,1,0)</f>
        <v>1</v>
      </c>
      <c r="V1635" s="9">
        <f>IF(OR(M1635=0,U1635=1),0,IF(T1635="GST on Income",ROUND(K1635*0.1,2),ROUND(-K1635*0.1,2)))</f>
        <v>0</v>
      </c>
    </row>
    <row r="1636">
      <c r="A1636" t="inlineStr">
        <is>
          <t>INV-5437-1</t>
        </is>
      </c>
      <c r="B1636" t="inlineStr">
        <is>
          <t>INV-5437</t>
        </is>
      </c>
      <c r="C1636" s="11" t="n">
        <v>46082</v>
      </c>
      <c r="D1636" t="inlineStr">
        <is>
          <t>2026-03</t>
        </is>
      </c>
      <c r="E1636" t="inlineStr">
        <is>
          <t>C0041</t>
        </is>
      </c>
      <c r="F1636" t="inlineStr">
        <is>
          <t>C0041</t>
        </is>
      </c>
      <c r="G1636" t="inlineStr">
        <is>
          <t>Summit Builders Pty Ltd</t>
        </is>
      </c>
      <c r="H1636" t="inlineStr">
        <is>
          <t>S0294</t>
        </is>
      </c>
      <c r="I1636" t="inlineStr">
        <is>
          <t>Scaffold tower hire 4 wks (01/02/26-28/02/26) - 4 towers</t>
        </is>
      </c>
      <c r="J1636" t="n">
        <v>16</v>
      </c>
      <c r="K1636" s="9" t="n">
        <v>1520</v>
      </c>
      <c r="L1636" t="inlineStr">
        <is>
          <t>PAID</t>
        </is>
      </c>
      <c r="M1636">
        <f>IF(L1636="VOIDED",0,1)</f>
        <v>1</v>
      </c>
      <c r="N1636" t="n">
        <v>200</v>
      </c>
      <c r="O1636" t="inlineStr">
        <is>
          <t>GST on Income</t>
        </is>
      </c>
      <c r="P1636" t="inlineStr">
        <is>
          <t>R05</t>
        </is>
      </c>
      <c r="Q1636" t="inlineStr">
        <is>
          <t>HIRE-ST</t>
        </is>
      </c>
      <c r="R1636">
        <f>IF(OR(Q1636="CONTEXT",Q1636="REVIEW"),"",INDEX('Category Rules'!$D$5:$D$17,MATCH(P1636,'Category Rules'!$A$5:$A$17,0)))</f>
        <v>4010</v>
      </c>
      <c r="S1636" t="str">
        <f>IF(Q1636="CONTEXT","Scaffolding",IF(Q1636="REVIEW","",INDEX('Category Rules'!$E$5:$E$17,MATCH(P1636,'Category Rules'!$A$5:$A$17,0))))</f>
        <v>Scaffolding</v>
      </c>
      <c r="T1636" t="str">
        <f>IF(Q1636="DEP","BAS Excluded","GST on Income")</f>
        <v>GST on Income</v>
      </c>
      <c r="U1636">
        <f>IF(O1636=T1636,1,0)</f>
        <v>1</v>
      </c>
      <c r="V1636" s="9">
        <f>IF(OR(M1636=0,U1636=1),0,IF(T1636="GST on Income",ROUND(K1636*0.1,2),ROUND(-K1636*0.1,2)))</f>
        <v>0</v>
      </c>
    </row>
    <row r="1637">
      <c r="A1637" t="inlineStr">
        <is>
          <t>INV-5928-1</t>
        </is>
      </c>
      <c r="B1637" t="inlineStr">
        <is>
          <t>INV-5928</t>
        </is>
      </c>
      <c r="C1637" s="11" t="n">
        <v>46082</v>
      </c>
      <c r="D1637" t="inlineStr">
        <is>
          <t>2026-03</t>
        </is>
      </c>
      <c r="E1637" t="inlineStr">
        <is>
          <t>C0039</t>
        </is>
      </c>
      <c r="F1637" t="inlineStr">
        <is>
          <t>C0039</t>
        </is>
      </c>
      <c r="G1637" t="inlineStr">
        <is>
          <t>Coastline Developments Pty Ltd</t>
        </is>
      </c>
      <c r="H1637" t="inlineStr">
        <is>
          <t>S0462</t>
        </is>
      </c>
      <c r="I1637" t="inlineStr">
        <is>
          <t>Fence and make safe package - Job 4201</t>
        </is>
      </c>
      <c r="J1637" t="n">
        <v>1</v>
      </c>
      <c r="K1637" s="9" t="n">
        <v>1864.11</v>
      </c>
      <c r="L1637" t="inlineStr">
        <is>
          <t>PAID</t>
        </is>
      </c>
      <c r="M1637">
        <f>IF(L1637="VOIDED",0,1)</f>
        <v>1</v>
      </c>
      <c r="N1637" t="n">
        <v>200</v>
      </c>
      <c r="O1637" t="inlineStr">
        <is>
          <t>GST on Income</t>
        </is>
      </c>
      <c r="P1637" t="inlineStr">
        <is>
          <t>R00</t>
        </is>
      </c>
      <c r="Q1637" t="inlineStr">
        <is>
          <t>CONTEXT</t>
        </is>
      </c>
      <c r="R1637">
        <f>IF(OR(Q1637="CONTEXT",Q1637="REVIEW"),"",INDEX('Category Rules'!$D$5:$D$17,MATCH(P1637,'Category Rules'!$A$5:$A$17,0)))</f>
      </c>
      <c r="S1637" t="str">
        <f>IF(Q1637="CONTEXT","Roofing",IF(Q1637="REVIEW","",INDEX('Category Rules'!$E$5:$E$17,MATCH(P1637,'Category Rules'!$A$5:$A$17,0))))</f>
        <v>Roofing</v>
      </c>
      <c r="T1637" t="str">
        <f>IF(Q1637="DEP","BAS Excluded","GST on Income")</f>
        <v>GST on Income</v>
      </c>
      <c r="U1637">
        <f>IF(O1637=T1637,1,0)</f>
        <v>1</v>
      </c>
      <c r="V1637" s="9">
        <f>IF(OR(M1637=0,U1637=1),0,IF(T1637="GST on Income",ROUND(K1637*0.1,2),ROUND(-K1637*0.1,2)))</f>
        <v>0</v>
      </c>
    </row>
    <row r="1638">
      <c r="A1638" t="inlineStr">
        <is>
          <t>INV-4203-1</t>
        </is>
      </c>
      <c r="B1638" t="inlineStr">
        <is>
          <t>INV-4203</t>
        </is>
      </c>
      <c r="C1638" s="11" t="n">
        <v>46083</v>
      </c>
      <c r="D1638" t="inlineStr">
        <is>
          <t>2026-03</t>
        </is>
      </c>
      <c r="E1638" t="inlineStr">
        <is>
          <t>C0106</t>
        </is>
      </c>
      <c r="F1638" t="inlineStr">
        <is>
          <t>C0106</t>
        </is>
      </c>
      <c r="G1638" t="inlineStr">
        <is>
          <t>Ella Wilson</t>
        </is>
      </c>
      <c r="H1638" t="inlineStr">
        <is>
          <t>S0019</t>
        </is>
      </c>
      <c r="I1638" t="inlineStr">
        <is>
          <t>Temporary fence hire 4 wks (02/02/26-01/03/26) - 81 panels</t>
        </is>
      </c>
      <c r="J1638" t="n">
        <v>324</v>
      </c>
      <c r="K1638" s="9" t="n">
        <v>1458</v>
      </c>
      <c r="L1638" t="inlineStr">
        <is>
          <t>PAID</t>
        </is>
      </c>
      <c r="M1638">
        <f>IF(L1638="VOIDED",0,1)</f>
        <v>1</v>
      </c>
      <c r="N1638" t="n">
        <v>200</v>
      </c>
      <c r="O1638" t="inlineStr">
        <is>
          <t>GST on Income</t>
        </is>
      </c>
      <c r="P1638" t="inlineStr">
        <is>
          <t>R03</t>
        </is>
      </c>
      <c r="Q1638" t="inlineStr">
        <is>
          <t>HIRE-FP</t>
        </is>
      </c>
      <c r="R1638">
        <f>IF(OR(Q1638="CONTEXT",Q1638="REVIEW"),"",INDEX('Category Rules'!$D$5:$D$17,MATCH(P1638,'Category Rules'!$A$5:$A$17,0)))</f>
        <v>4010</v>
      </c>
      <c r="S1638" t="str">
        <f>IF(Q1638="CONTEXT","Fencing",IF(Q1638="REVIEW","",INDEX('Category Rules'!$E$5:$E$17,MATCH(P1638,'Category Rules'!$A$5:$A$17,0))))</f>
        <v>Fencing</v>
      </c>
      <c r="T1638" t="str">
        <f>IF(Q1638="DEP","BAS Excluded","GST on Income")</f>
        <v>GST on Income</v>
      </c>
      <c r="U1638">
        <f>IF(O1638=T1638,1,0)</f>
        <v>1</v>
      </c>
      <c r="V1638" s="9">
        <f>IF(OR(M1638=0,U1638=1),0,IF(T1638="GST on Income",ROUND(K1638*0.1,2),ROUND(-K1638*0.1,2)))</f>
        <v>0</v>
      </c>
    </row>
    <row r="1639">
      <c r="A1639" t="inlineStr">
        <is>
          <t>INV-4305-1</t>
        </is>
      </c>
      <c r="B1639" t="inlineStr">
        <is>
          <t>INV-4305</t>
        </is>
      </c>
      <c r="C1639" s="11" t="n">
        <v>46083</v>
      </c>
      <c r="D1639" t="inlineStr">
        <is>
          <t>2026-03</t>
        </is>
      </c>
      <c r="E1639" t="inlineStr">
        <is>
          <t>C0083</t>
        </is>
      </c>
      <c r="F1639" t="inlineStr">
        <is>
          <t>C0083</t>
        </is>
      </c>
      <c r="G1639" t="inlineStr">
        <is>
          <t>Noah Williams</t>
        </is>
      </c>
      <c r="H1639" t="inlineStr">
        <is>
          <t>S0042</t>
        </is>
      </c>
      <c r="I1639" t="inlineStr">
        <is>
          <t>Temporary fence hire 4 wks (02/02/26-01/03/26) - 81 panels</t>
        </is>
      </c>
      <c r="J1639" t="n">
        <v>324</v>
      </c>
      <c r="K1639" s="9" t="n">
        <v>1458</v>
      </c>
      <c r="L1639" t="inlineStr">
        <is>
          <t>PAID</t>
        </is>
      </c>
      <c r="M1639">
        <f>IF(L1639="VOIDED",0,1)</f>
        <v>1</v>
      </c>
      <c r="N1639" t="n">
        <v>200</v>
      </c>
      <c r="O1639" t="inlineStr">
        <is>
          <t>GST on Income</t>
        </is>
      </c>
      <c r="P1639" t="inlineStr">
        <is>
          <t>R03</t>
        </is>
      </c>
      <c r="Q1639" t="inlineStr">
        <is>
          <t>HIRE-FP</t>
        </is>
      </c>
      <c r="R1639">
        <f>IF(OR(Q1639="CONTEXT",Q1639="REVIEW"),"",INDEX('Category Rules'!$D$5:$D$17,MATCH(P1639,'Category Rules'!$A$5:$A$17,0)))</f>
        <v>4010</v>
      </c>
      <c r="S1639" t="str">
        <f>IF(Q1639="CONTEXT","Fencing",IF(Q1639="REVIEW","",INDEX('Category Rules'!$E$5:$E$17,MATCH(P1639,'Category Rules'!$A$5:$A$17,0))))</f>
        <v>Fencing</v>
      </c>
      <c r="T1639" t="str">
        <f>IF(Q1639="DEP","BAS Excluded","GST on Income")</f>
        <v>GST on Income</v>
      </c>
      <c r="U1639">
        <f>IF(O1639=T1639,1,0)</f>
        <v>1</v>
      </c>
      <c r="V1639" s="9">
        <f>IF(OR(M1639=0,U1639=1),0,IF(T1639="GST on Income",ROUND(K1639*0.1,2),ROUND(-K1639*0.1,2)))</f>
        <v>0</v>
      </c>
    </row>
    <row r="1640">
      <c r="A1640" t="inlineStr">
        <is>
          <t>INV-4898-1</t>
        </is>
      </c>
      <c r="B1640" t="inlineStr">
        <is>
          <t>INV-4898</t>
        </is>
      </c>
      <c r="C1640" s="11" t="n">
        <v>46083</v>
      </c>
      <c r="D1640" t="inlineStr">
        <is>
          <t>2026-03</t>
        </is>
      </c>
      <c r="E1640" t="inlineStr">
        <is>
          <t>C0011</t>
        </is>
      </c>
      <c r="F1640" t="inlineStr">
        <is>
          <t>C0011</t>
        </is>
      </c>
      <c r="G1640" t="inlineStr">
        <is>
          <t>Wattle Homes Pty Ltd</t>
        </is>
      </c>
      <c r="H1640" t="inlineStr">
        <is>
          <t>S0169</t>
        </is>
      </c>
      <c r="I1640" t="inlineStr">
        <is>
          <t>Temporary fence hire 4 wks (02/02/26-01/03/26) - 29 panels</t>
        </is>
      </c>
      <c r="J1640" t="n">
        <v>116</v>
      </c>
      <c r="K1640" s="9" t="n">
        <v>522</v>
      </c>
      <c r="L1640" t="inlineStr">
        <is>
          <t>PAID</t>
        </is>
      </c>
      <c r="M1640">
        <f>IF(L1640="VOIDED",0,1)</f>
        <v>1</v>
      </c>
      <c r="N1640" t="n">
        <v>200</v>
      </c>
      <c r="O1640" t="inlineStr">
        <is>
          <t>GST on Income</t>
        </is>
      </c>
      <c r="P1640" t="inlineStr">
        <is>
          <t>R03</t>
        </is>
      </c>
      <c r="Q1640" t="inlineStr">
        <is>
          <t>HIRE-FP</t>
        </is>
      </c>
      <c r="R1640">
        <f>IF(OR(Q1640="CONTEXT",Q1640="REVIEW"),"",INDEX('Category Rules'!$D$5:$D$17,MATCH(P1640,'Category Rules'!$A$5:$A$17,0)))</f>
        <v>4010</v>
      </c>
      <c r="S1640" t="str">
        <f>IF(Q1640="CONTEXT","Fencing",IF(Q1640="REVIEW","",INDEX('Category Rules'!$E$5:$E$17,MATCH(P1640,'Category Rules'!$A$5:$A$17,0))))</f>
        <v>Fencing</v>
      </c>
      <c r="T1640" t="str">
        <f>IF(Q1640="DEP","BAS Excluded","GST on Income")</f>
        <v>GST on Income</v>
      </c>
      <c r="U1640">
        <f>IF(O1640=T1640,1,0)</f>
        <v>1</v>
      </c>
      <c r="V1640" s="9">
        <f>IF(OR(M1640=0,U1640=1),0,IF(T1640="GST on Income",ROUND(K1640*0.1,2),ROUND(-K1640*0.1,2)))</f>
        <v>0</v>
      </c>
    </row>
    <row r="1641">
      <c r="A1641" t="inlineStr">
        <is>
          <t>INV-4903-1</t>
        </is>
      </c>
      <c r="B1641" t="inlineStr">
        <is>
          <t>INV-4903</t>
        </is>
      </c>
      <c r="C1641" s="11" t="n">
        <v>46083</v>
      </c>
      <c r="D1641" t="inlineStr">
        <is>
          <t>2026-03</t>
        </is>
      </c>
      <c r="E1641" t="inlineStr">
        <is>
          <t>C0011</t>
        </is>
      </c>
      <c r="F1641" t="inlineStr">
        <is>
          <t>C0011</t>
        </is>
      </c>
      <c r="G1641" t="inlineStr">
        <is>
          <t>Wattle Homes Pty Ltd</t>
        </is>
      </c>
      <c r="H1641" t="inlineStr">
        <is>
          <t>S0169</t>
        </is>
      </c>
      <c r="I1641" t="inlineStr">
        <is>
          <t>Pedestrian barrier hire 4 wks (02/02/26-01/03/26) - 16 barriers</t>
        </is>
      </c>
      <c r="J1641" t="n">
        <v>64</v>
      </c>
      <c r="K1641" s="9" t="n">
        <v>204.8</v>
      </c>
      <c r="L1641" t="inlineStr">
        <is>
          <t>PAID</t>
        </is>
      </c>
      <c r="M1641">
        <f>IF(L1641="VOIDED",0,1)</f>
        <v>1</v>
      </c>
      <c r="N1641" t="n">
        <v>200</v>
      </c>
      <c r="O1641" t="inlineStr">
        <is>
          <t>GST on Income</t>
        </is>
      </c>
      <c r="P1641" t="inlineStr">
        <is>
          <t>R04</t>
        </is>
      </c>
      <c r="Q1641" t="inlineStr">
        <is>
          <t>HIRE-BR</t>
        </is>
      </c>
      <c r="R1641">
        <f>IF(OR(Q1641="CONTEXT",Q1641="REVIEW"),"",INDEX('Category Rules'!$D$5:$D$17,MATCH(P1641,'Category Rules'!$A$5:$A$17,0)))</f>
        <v>4010</v>
      </c>
      <c r="S1641" t="str">
        <f>IF(Q1641="CONTEXT","Fencing",IF(Q1641="REVIEW","",INDEX('Category Rules'!$E$5:$E$17,MATCH(P1641,'Category Rules'!$A$5:$A$17,0))))</f>
        <v>Fencing</v>
      </c>
      <c r="T1641" t="str">
        <f>IF(Q1641="DEP","BAS Excluded","GST on Income")</f>
        <v>GST on Income</v>
      </c>
      <c r="U1641">
        <f>IF(O1641=T1641,1,0)</f>
        <v>1</v>
      </c>
      <c r="V1641" s="9">
        <f>IF(OR(M1641=0,U1641=1),0,IF(T1641="GST on Income",ROUND(K1641*0.1,2),ROUND(-K1641*0.1,2)))</f>
        <v>0</v>
      </c>
    </row>
    <row r="1642">
      <c r="A1642" t="inlineStr">
        <is>
          <t>INV-5049-1</t>
        </is>
      </c>
      <c r="B1642" t="inlineStr">
        <is>
          <t>INV-5049</t>
        </is>
      </c>
      <c r="C1642" s="11" t="n">
        <v>46083</v>
      </c>
      <c r="D1642" t="inlineStr">
        <is>
          <t>2026-03</t>
        </is>
      </c>
      <c r="E1642" t="inlineStr">
        <is>
          <t>C0103</t>
        </is>
      </c>
      <c r="F1642" t="inlineStr">
        <is>
          <t>C0103</t>
        </is>
      </c>
      <c r="G1642" t="inlineStr">
        <is>
          <t>Grace Martin</t>
        </is>
      </c>
      <c r="H1642" t="inlineStr">
        <is>
          <t>S0203</t>
        </is>
      </c>
      <c r="I1642" t="inlineStr">
        <is>
          <t>Delivery and installation - temporary fencing</t>
        </is>
      </c>
      <c r="J1642" t="n">
        <v>1</v>
      </c>
      <c r="K1642" s="9" t="n">
        <v>165</v>
      </c>
      <c r="L1642" t="inlineStr">
        <is>
          <t>PAID</t>
        </is>
      </c>
      <c r="M1642">
        <f>IF(L1642="VOIDED",0,1)</f>
        <v>1</v>
      </c>
      <c r="N1642" t="n">
        <v>200</v>
      </c>
      <c r="O1642" t="inlineStr">
        <is>
          <t>GST on Income</t>
        </is>
      </c>
      <c r="P1642" t="inlineStr">
        <is>
          <t>R07</t>
        </is>
      </c>
      <c r="Q1642" t="inlineStr">
        <is>
          <t>DEL-FP</t>
        </is>
      </c>
      <c r="R1642">
        <f>IF(OR(Q1642="CONTEXT",Q1642="REVIEW"),"",INDEX('Category Rules'!$D$5:$D$17,MATCH(P1642,'Category Rules'!$A$5:$A$17,0)))</f>
        <v>4020</v>
      </c>
      <c r="S1642" t="str">
        <f>IF(Q1642="CONTEXT","Fencing",IF(Q1642="REVIEW","",INDEX('Category Rules'!$E$5:$E$17,MATCH(P1642,'Category Rules'!$A$5:$A$17,0))))</f>
        <v>Fencing</v>
      </c>
      <c r="T1642" t="str">
        <f>IF(Q1642="DEP","BAS Excluded","GST on Income")</f>
        <v>GST on Income</v>
      </c>
      <c r="U1642">
        <f>IF(O1642=T1642,1,0)</f>
        <v>1</v>
      </c>
      <c r="V1642" s="9">
        <f>IF(OR(M1642=0,U1642=1),0,IF(T1642="GST on Income",ROUND(K1642*0.1,2),ROUND(-K1642*0.1,2)))</f>
        <v>0</v>
      </c>
    </row>
    <row r="1643">
      <c r="A1643" t="inlineStr">
        <is>
          <t>INV-5049-2</t>
        </is>
      </c>
      <c r="B1643" t="inlineStr">
        <is>
          <t>INV-5049</t>
        </is>
      </c>
      <c r="C1643" s="11" t="n">
        <v>46083</v>
      </c>
      <c r="D1643" t="inlineStr">
        <is>
          <t>2026-03</t>
        </is>
      </c>
      <c r="E1643" t="inlineStr">
        <is>
          <t>C0103</t>
        </is>
      </c>
      <c r="F1643" t="inlineStr">
        <is>
          <t>C0103</t>
        </is>
      </c>
      <c r="G1643" t="inlineStr">
        <is>
          <t>Grace Martin</t>
        </is>
      </c>
      <c r="H1643" t="inlineStr">
        <is>
          <t>S0203</t>
        </is>
      </c>
      <c r="I1643" t="inlineStr">
        <is>
          <t>Installation labour - 28 panels @ 2.20</t>
        </is>
      </c>
      <c r="J1643" t="n">
        <v>28</v>
      </c>
      <c r="K1643" s="9" t="n">
        <v>61.6</v>
      </c>
      <c r="L1643" t="inlineStr">
        <is>
          <t>PAID</t>
        </is>
      </c>
      <c r="M1643">
        <f>IF(L1643="VOIDED",0,1)</f>
        <v>1</v>
      </c>
      <c r="N1643" t="n">
        <v>200</v>
      </c>
      <c r="O1643" t="inlineStr">
        <is>
          <t>GST on Income</t>
        </is>
      </c>
      <c r="P1643" t="inlineStr">
        <is>
          <t>R07</t>
        </is>
      </c>
      <c r="Q1643" t="inlineStr">
        <is>
          <t>DEL-FP</t>
        </is>
      </c>
      <c r="R1643">
        <f>IF(OR(Q1643="CONTEXT",Q1643="REVIEW"),"",INDEX('Category Rules'!$D$5:$D$17,MATCH(P1643,'Category Rules'!$A$5:$A$17,0)))</f>
        <v>4020</v>
      </c>
      <c r="S1643" t="str">
        <f>IF(Q1643="CONTEXT","Fencing",IF(Q1643="REVIEW","",INDEX('Category Rules'!$E$5:$E$17,MATCH(P1643,'Category Rules'!$A$5:$A$17,0))))</f>
        <v>Fencing</v>
      </c>
      <c r="T1643" t="str">
        <f>IF(Q1643="DEP","BAS Excluded","GST on Income")</f>
        <v>GST on Income</v>
      </c>
      <c r="U1643">
        <f>IF(O1643=T1643,1,0)</f>
        <v>1</v>
      </c>
      <c r="V1643" s="9">
        <f>IF(OR(M1643=0,U1643=1),0,IF(T1643="GST on Income",ROUND(K1643*0.1,2),ROUND(-K1643*0.1,2)))</f>
        <v>0</v>
      </c>
    </row>
    <row r="1644">
      <c r="A1644" t="inlineStr">
        <is>
          <t>INV-5049-3</t>
        </is>
      </c>
      <c r="B1644" t="inlineStr">
        <is>
          <t>INV-5049</t>
        </is>
      </c>
      <c r="C1644" s="11" t="n">
        <v>46083</v>
      </c>
      <c r="D1644" t="inlineStr">
        <is>
          <t>2026-03</t>
        </is>
      </c>
      <c r="E1644" t="inlineStr">
        <is>
          <t>C0103</t>
        </is>
      </c>
      <c r="F1644" t="inlineStr">
        <is>
          <t>C0103</t>
        </is>
      </c>
      <c r="G1644" t="inlineStr">
        <is>
          <t>Grace Martin</t>
        </is>
      </c>
      <c r="H1644" t="inlineStr">
        <is>
          <t>S0203</t>
        </is>
      </c>
      <c r="I1644" t="inlineStr">
        <is>
          <t>Security deposit - fence panels (refundable)</t>
        </is>
      </c>
      <c r="J1644" t="n">
        <v>1</v>
      </c>
      <c r="K1644" s="9" t="n">
        <v>220</v>
      </c>
      <c r="L1644" t="inlineStr">
        <is>
          <t>PAID</t>
        </is>
      </c>
      <c r="M1644">
        <f>IF(L1644="VOIDED",0,1)</f>
        <v>1</v>
      </c>
      <c r="N1644" t="n">
        <v>200</v>
      </c>
      <c r="O1644" t="inlineStr">
        <is>
          <t>GST on Income</t>
        </is>
      </c>
      <c r="P1644" t="inlineStr">
        <is>
          <t>R01</t>
        </is>
      </c>
      <c r="Q1644" t="inlineStr">
        <is>
          <t>DEP</t>
        </is>
      </c>
      <c r="R1644">
        <f>IF(OR(Q1644="CONTEXT",Q1644="REVIEW"),"",INDEX('Category Rules'!$D$5:$D$17,MATCH(P1644,'Category Rules'!$A$5:$A$17,0)))</f>
        <v>835</v>
      </c>
      <c r="S1644" t="str">
        <f>IF(Q1644="CONTEXT","Fencing",IF(Q1644="REVIEW","",INDEX('Category Rules'!$E$5:$E$17,MATCH(P1644,'Category Rules'!$A$5:$A$17,0))))</f>
        <v>Fencing</v>
      </c>
      <c r="T1644" t="str">
        <f>IF(Q1644="DEP","BAS Excluded","GST on Income")</f>
        <v>BAS Excluded</v>
      </c>
      <c r="U1644">
        <f>IF(O1644=T1644,1,0)</f>
        <v>0</v>
      </c>
      <c r="V1644" s="9">
        <f>IF(OR(M1644=0,U1644=1),0,IF(T1644="GST on Income",ROUND(K1644*0.1,2),ROUND(-K1644*0.1,2)))</f>
        <v>-22</v>
      </c>
    </row>
    <row r="1645">
      <c r="A1645" t="inlineStr">
        <is>
          <t>INV-5064-1</t>
        </is>
      </c>
      <c r="B1645" t="inlineStr">
        <is>
          <t>INV-5064</t>
        </is>
      </c>
      <c r="C1645" s="11" t="n">
        <v>46084</v>
      </c>
      <c r="D1645" t="inlineStr">
        <is>
          <t>2026-03</t>
        </is>
      </c>
      <c r="E1645" t="inlineStr">
        <is>
          <t>C0135</t>
        </is>
      </c>
      <c r="F1645" t="inlineStr">
        <is>
          <t>C0076</t>
        </is>
      </c>
      <c r="G1645" t="inlineStr">
        <is>
          <t>Westside Productions</t>
        </is>
      </c>
      <c r="H1645" t="inlineStr">
        <is>
          <t>S0206</t>
        </is>
      </c>
      <c r="I1645" t="inlineStr">
        <is>
          <t>Temporary fence hire 4 wks (09/02/26-02/03/26) - 89 panels</t>
        </is>
      </c>
      <c r="J1645" t="n">
        <v>356</v>
      </c>
      <c r="K1645" s="9" t="n">
        <v>1602</v>
      </c>
      <c r="L1645" t="inlineStr">
        <is>
          <t>PAID</t>
        </is>
      </c>
      <c r="M1645">
        <f>IF(L1645="VOIDED",0,1)</f>
        <v>1</v>
      </c>
      <c r="N1645" t="n">
        <v>200</v>
      </c>
      <c r="O1645" t="inlineStr">
        <is>
          <t>GST on Income</t>
        </is>
      </c>
      <c r="P1645" t="inlineStr">
        <is>
          <t>R03</t>
        </is>
      </c>
      <c r="Q1645" t="inlineStr">
        <is>
          <t>HIRE-FP</t>
        </is>
      </c>
      <c r="R1645">
        <f>IF(OR(Q1645="CONTEXT",Q1645="REVIEW"),"",INDEX('Category Rules'!$D$5:$D$17,MATCH(P1645,'Category Rules'!$A$5:$A$17,0)))</f>
        <v>4010</v>
      </c>
      <c r="S1645" t="str">
        <f>IF(Q1645="CONTEXT","Fencing",IF(Q1645="REVIEW","",INDEX('Category Rules'!$E$5:$E$17,MATCH(P1645,'Category Rules'!$A$5:$A$17,0))))</f>
        <v>Fencing</v>
      </c>
      <c r="T1645" t="str">
        <f>IF(Q1645="DEP","BAS Excluded","GST on Income")</f>
        <v>GST on Income</v>
      </c>
      <c r="U1645">
        <f>IF(O1645=T1645,1,0)</f>
        <v>1</v>
      </c>
      <c r="V1645" s="9">
        <f>IF(OR(M1645=0,U1645=1),0,IF(T1645="GST on Income",ROUND(K1645*0.1,2),ROUND(-K1645*0.1,2)))</f>
        <v>0</v>
      </c>
    </row>
    <row r="1646">
      <c r="A1646" t="inlineStr">
        <is>
          <t>INV-5066-1</t>
        </is>
      </c>
      <c r="B1646" t="inlineStr">
        <is>
          <t>INV-5066</t>
        </is>
      </c>
      <c r="C1646" s="11" t="n">
        <v>46084</v>
      </c>
      <c r="D1646" t="inlineStr">
        <is>
          <t>2026-03</t>
        </is>
      </c>
      <c r="E1646" t="inlineStr">
        <is>
          <t>C0076</t>
        </is>
      </c>
      <c r="F1646" t="inlineStr">
        <is>
          <t>C0076</t>
        </is>
      </c>
      <c r="G1646" t="inlineStr">
        <is>
          <t>Westside Productions</t>
        </is>
      </c>
      <c r="H1646" t="inlineStr">
        <is>
          <t>S0206</t>
        </is>
      </c>
      <c r="I1646" t="inlineStr">
        <is>
          <t>Collection and dismantle - temporary fencing</t>
        </is>
      </c>
      <c r="J1646" t="n">
        <v>1</v>
      </c>
      <c r="K1646" s="9" t="n">
        <v>165</v>
      </c>
      <c r="L1646" t="inlineStr">
        <is>
          <t>PAID</t>
        </is>
      </c>
      <c r="M1646">
        <f>IF(L1646="VOIDED",0,1)</f>
        <v>1</v>
      </c>
      <c r="N1646" t="n">
        <v>200</v>
      </c>
      <c r="O1646" t="inlineStr">
        <is>
          <t>GST on Income</t>
        </is>
      </c>
      <c r="P1646" t="inlineStr">
        <is>
          <t>R07</t>
        </is>
      </c>
      <c r="Q1646" t="inlineStr">
        <is>
          <t>DEL-FP</t>
        </is>
      </c>
      <c r="R1646">
        <f>IF(OR(Q1646="CONTEXT",Q1646="REVIEW"),"",INDEX('Category Rules'!$D$5:$D$17,MATCH(P1646,'Category Rules'!$A$5:$A$17,0)))</f>
        <v>4020</v>
      </c>
      <c r="S1646" t="str">
        <f>IF(Q1646="CONTEXT","Fencing",IF(Q1646="REVIEW","",INDEX('Category Rules'!$E$5:$E$17,MATCH(P1646,'Category Rules'!$A$5:$A$17,0))))</f>
        <v>Fencing</v>
      </c>
      <c r="T1646" t="str">
        <f>IF(Q1646="DEP","BAS Excluded","GST on Income")</f>
        <v>GST on Income</v>
      </c>
      <c r="U1646">
        <f>IF(O1646=T1646,1,0)</f>
        <v>1</v>
      </c>
      <c r="V1646" s="9">
        <f>IF(OR(M1646=0,U1646=1),0,IF(T1646="GST on Income",ROUND(K1646*0.1,2),ROUND(-K1646*0.1,2)))</f>
        <v>0</v>
      </c>
    </row>
    <row r="1647">
      <c r="A1647" t="inlineStr">
        <is>
          <t>INV-5383-1</t>
        </is>
      </c>
      <c r="B1647" t="inlineStr">
        <is>
          <t>INV-5383</t>
        </is>
      </c>
      <c r="C1647" s="11" t="n">
        <v>46084</v>
      </c>
      <c r="D1647" t="inlineStr">
        <is>
          <t>2026-03</t>
        </is>
      </c>
      <c r="E1647" t="inlineStr">
        <is>
          <t>C0049</t>
        </is>
      </c>
      <c r="F1647" t="inlineStr">
        <is>
          <t>C0049</t>
        </is>
      </c>
      <c r="G1647" t="inlineStr">
        <is>
          <t>Fairway Body Corporate Pty Ltd</t>
        </is>
      </c>
      <c r="H1647" t="inlineStr">
        <is>
          <t>S0279</t>
        </is>
      </c>
      <c r="I1647" t="inlineStr">
        <is>
          <t>Scaffold tower hire 4 wks (03/02/26-02/03/26) - 2 towers</t>
        </is>
      </c>
      <c r="J1647" t="n">
        <v>8</v>
      </c>
      <c r="K1647" s="9" t="n">
        <v>760</v>
      </c>
      <c r="L1647" t="inlineStr">
        <is>
          <t>VOIDED</t>
        </is>
      </c>
      <c r="M1647">
        <f>IF(L1647="VOIDED",0,1)</f>
        <v>0</v>
      </c>
      <c r="N1647" t="n">
        <v>200</v>
      </c>
      <c r="O1647" t="inlineStr">
        <is>
          <t>GST on Income</t>
        </is>
      </c>
      <c r="P1647" t="inlineStr">
        <is>
          <t>R05</t>
        </is>
      </c>
      <c r="Q1647" t="inlineStr">
        <is>
          <t>HIRE-ST</t>
        </is>
      </c>
      <c r="R1647">
        <f>IF(OR(Q1647="CONTEXT",Q1647="REVIEW"),"",INDEX('Category Rules'!$D$5:$D$17,MATCH(P1647,'Category Rules'!$A$5:$A$17,0)))</f>
        <v>4010</v>
      </c>
      <c r="S1647" t="str">
        <f>IF(Q1647="CONTEXT","Scaffolding",IF(Q1647="REVIEW","",INDEX('Category Rules'!$E$5:$E$17,MATCH(P1647,'Category Rules'!$A$5:$A$17,0))))</f>
        <v>Scaffolding</v>
      </c>
      <c r="T1647" t="str">
        <f>IF(Q1647="DEP","BAS Excluded","GST on Income")</f>
        <v>GST on Income</v>
      </c>
      <c r="U1647">
        <f>IF(O1647=T1647,1,0)</f>
        <v>1</v>
      </c>
      <c r="V1647" s="9">
        <f>IF(OR(M1647=0,U1647=1),0,IF(T1647="GST on Income",ROUND(K1647*0.1,2),ROUND(-K1647*0.1,2)))</f>
        <v>0</v>
      </c>
    </row>
    <row r="1648">
      <c r="A1648" t="inlineStr">
        <is>
          <t>INV-5500-1</t>
        </is>
      </c>
      <c r="B1648" t="inlineStr">
        <is>
          <t>INV-5500</t>
        </is>
      </c>
      <c r="C1648" s="11" t="n">
        <v>46084</v>
      </c>
      <c r="D1648" t="inlineStr">
        <is>
          <t>2026-03</t>
        </is>
      </c>
      <c r="E1648" t="inlineStr">
        <is>
          <t>C0048</t>
        </is>
      </c>
      <c r="F1648" t="inlineStr">
        <is>
          <t>C0048</t>
        </is>
      </c>
      <c r="G1648" t="inlineStr">
        <is>
          <t>Banksia Strata Management</t>
        </is>
      </c>
      <c r="H1648" t="inlineStr">
        <is>
          <t>S0327</t>
        </is>
      </c>
      <c r="I1648" t="inlineStr">
        <is>
          <t>Roof repair labour - 24 hrs</t>
        </is>
      </c>
      <c r="J1648" t="n">
        <v>24</v>
      </c>
      <c r="K1648" s="9" t="n">
        <v>2352</v>
      </c>
      <c r="L1648" t="inlineStr">
        <is>
          <t>PAID</t>
        </is>
      </c>
      <c r="M1648">
        <f>IF(L1648="VOIDED",0,1)</f>
        <v>1</v>
      </c>
      <c r="N1648" t="n">
        <v>200</v>
      </c>
      <c r="O1648" t="inlineStr">
        <is>
          <t>GST on Income</t>
        </is>
      </c>
      <c r="P1648" t="inlineStr">
        <is>
          <t>R10</t>
        </is>
      </c>
      <c r="Q1648" t="inlineStr">
        <is>
          <t>LAB-RF</t>
        </is>
      </c>
      <c r="R1648">
        <f>IF(OR(Q1648="CONTEXT",Q1648="REVIEW"),"",INDEX('Category Rules'!$D$5:$D$17,MATCH(P1648,'Category Rules'!$A$5:$A$17,0)))</f>
        <v>4020</v>
      </c>
      <c r="S1648" t="str">
        <f>IF(Q1648="CONTEXT","Roofing",IF(Q1648="REVIEW","",INDEX('Category Rules'!$E$5:$E$17,MATCH(P1648,'Category Rules'!$A$5:$A$17,0))))</f>
        <v>Roofing</v>
      </c>
      <c r="T1648" t="str">
        <f>IF(Q1648="DEP","BAS Excluded","GST on Income")</f>
        <v>GST on Income</v>
      </c>
      <c r="U1648">
        <f>IF(O1648=T1648,1,0)</f>
        <v>1</v>
      </c>
      <c r="V1648" s="9">
        <f>IF(OR(M1648=0,U1648=1),0,IF(T1648="GST on Income",ROUND(K1648*0.1,2),ROUND(-K1648*0.1,2)))</f>
        <v>0</v>
      </c>
    </row>
    <row r="1649">
      <c r="A1649" t="inlineStr">
        <is>
          <t>INV-5500-2</t>
        </is>
      </c>
      <c r="B1649" t="inlineStr">
        <is>
          <t>INV-5500</t>
        </is>
      </c>
      <c r="C1649" s="11" t="n">
        <v>46084</v>
      </c>
      <c r="D1649" t="inlineStr">
        <is>
          <t>2026-03</t>
        </is>
      </c>
      <c r="E1649" t="inlineStr">
        <is>
          <t>C0048</t>
        </is>
      </c>
      <c r="F1649" t="inlineStr">
        <is>
          <t>C0048</t>
        </is>
      </c>
      <c r="G1649" t="inlineStr">
        <is>
          <t>Banksia Strata Management</t>
        </is>
      </c>
      <c r="H1649" t="inlineStr">
        <is>
          <t>S0327</t>
        </is>
      </c>
      <c r="I1649" t="inlineStr">
        <is>
          <t>Materials - flashing</t>
        </is>
      </c>
      <c r="J1649" t="n">
        <v>1</v>
      </c>
      <c r="K1649" s="9" t="n">
        <v>788.65</v>
      </c>
      <c r="L1649" t="inlineStr">
        <is>
          <t>PAID</t>
        </is>
      </c>
      <c r="M1649">
        <f>IF(L1649="VOIDED",0,1)</f>
        <v>1</v>
      </c>
      <c r="N1649" t="n">
        <v>200</v>
      </c>
      <c r="O1649" t="inlineStr">
        <is>
          <t>GST on Income</t>
        </is>
      </c>
      <c r="P1649" t="inlineStr">
        <is>
          <t>R11</t>
        </is>
      </c>
      <c r="Q1649" t="inlineStr">
        <is>
          <t>MAT-RF</t>
        </is>
      </c>
      <c r="R1649">
        <f>IF(OR(Q1649="CONTEXT",Q1649="REVIEW"),"",INDEX('Category Rules'!$D$5:$D$17,MATCH(P1649,'Category Rules'!$A$5:$A$17,0)))</f>
        <v>4030</v>
      </c>
      <c r="S1649" t="str">
        <f>IF(Q1649="CONTEXT","Roofing",IF(Q1649="REVIEW","",INDEX('Category Rules'!$E$5:$E$17,MATCH(P1649,'Category Rules'!$A$5:$A$17,0))))</f>
        <v>Roofing</v>
      </c>
      <c r="T1649" t="str">
        <f>IF(Q1649="DEP","BAS Excluded","GST on Income")</f>
        <v>GST on Income</v>
      </c>
      <c r="U1649">
        <f>IF(O1649=T1649,1,0)</f>
        <v>1</v>
      </c>
      <c r="V1649" s="9">
        <f>IF(OR(M1649=0,U1649=1),0,IF(T1649="GST on Income",ROUND(K1649*0.1,2),ROUND(-K1649*0.1,2)))</f>
        <v>0</v>
      </c>
    </row>
    <row r="1650">
      <c r="A1650" t="inlineStr">
        <is>
          <t>INV-5500-3</t>
        </is>
      </c>
      <c r="B1650" t="inlineStr">
        <is>
          <t>INV-5500</t>
        </is>
      </c>
      <c r="C1650" s="11" t="n">
        <v>46084</v>
      </c>
      <c r="D1650" t="inlineStr">
        <is>
          <t>2026-03</t>
        </is>
      </c>
      <c r="E1650" t="inlineStr">
        <is>
          <t>C0048</t>
        </is>
      </c>
      <c r="F1650" t="inlineStr">
        <is>
          <t>C0048</t>
        </is>
      </c>
      <c r="G1650" t="inlineStr">
        <is>
          <t>Banksia Strata Management</t>
        </is>
      </c>
      <c r="H1650" t="inlineStr">
        <is>
          <t>S0327</t>
        </is>
      </c>
      <c r="I1650" t="inlineStr">
        <is>
          <t>Materials - ridge capping</t>
        </is>
      </c>
      <c r="J1650" t="n">
        <v>1</v>
      </c>
      <c r="K1650" s="9" t="n">
        <v>842.55</v>
      </c>
      <c r="L1650" t="inlineStr">
        <is>
          <t>PAID</t>
        </is>
      </c>
      <c r="M1650">
        <f>IF(L1650="VOIDED",0,1)</f>
        <v>1</v>
      </c>
      <c r="N1650" t="n">
        <v>260</v>
      </c>
      <c r="O1650" t="inlineStr">
        <is>
          <t>GST on Income</t>
        </is>
      </c>
      <c r="P1650" t="inlineStr">
        <is>
          <t>R11</t>
        </is>
      </c>
      <c r="Q1650" t="inlineStr">
        <is>
          <t>MAT-RF</t>
        </is>
      </c>
      <c r="R1650">
        <f>IF(OR(Q1650="CONTEXT",Q1650="REVIEW"),"",INDEX('Category Rules'!$D$5:$D$17,MATCH(P1650,'Category Rules'!$A$5:$A$17,0)))</f>
        <v>4030</v>
      </c>
      <c r="S1650" t="str">
        <f>IF(Q1650="CONTEXT","Roofing",IF(Q1650="REVIEW","",INDEX('Category Rules'!$E$5:$E$17,MATCH(P1650,'Category Rules'!$A$5:$A$17,0))))</f>
        <v>Roofing</v>
      </c>
      <c r="T1650" t="str">
        <f>IF(Q1650="DEP","BAS Excluded","GST on Income")</f>
        <v>GST on Income</v>
      </c>
      <c r="U1650">
        <f>IF(O1650=T1650,1,0)</f>
        <v>1</v>
      </c>
      <c r="V1650" s="9">
        <f>IF(OR(M1650=0,U1650=1),0,IF(T1650="GST on Income",ROUND(K1650*0.1,2),ROUND(-K1650*0.1,2)))</f>
        <v>0</v>
      </c>
    </row>
    <row r="1651">
      <c r="A1651" t="inlineStr">
        <is>
          <t>INV-5500-4</t>
        </is>
      </c>
      <c r="B1651" t="inlineStr">
        <is>
          <t>INV-5500</t>
        </is>
      </c>
      <c r="C1651" s="11" t="n">
        <v>46084</v>
      </c>
      <c r="D1651" t="inlineStr">
        <is>
          <t>2026-03</t>
        </is>
      </c>
      <c r="E1651" t="inlineStr">
        <is>
          <t>C0048</t>
        </is>
      </c>
      <c r="F1651" t="inlineStr">
        <is>
          <t>C0048</t>
        </is>
      </c>
      <c r="G1651" t="inlineStr">
        <is>
          <t>Banksia Strata Management</t>
        </is>
      </c>
      <c r="H1651" t="inlineStr">
        <is>
          <t>S0327</t>
        </is>
      </c>
      <c r="I1651" t="inlineStr">
        <is>
          <t>Waste removal and tip fees</t>
        </is>
      </c>
      <c r="J1651" t="n">
        <v>1</v>
      </c>
      <c r="K1651" s="9" t="n">
        <v>120</v>
      </c>
      <c r="L1651" t="inlineStr">
        <is>
          <t>PAID</t>
        </is>
      </c>
      <c r="M1651">
        <f>IF(L1651="VOIDED",0,1)</f>
        <v>1</v>
      </c>
      <c r="N1651" t="n">
        <v>200</v>
      </c>
      <c r="O1651" t="inlineStr">
        <is>
          <t>GST on Income</t>
        </is>
      </c>
      <c r="P1651" t="inlineStr">
        <is>
          <t>R11</t>
        </is>
      </c>
      <c r="Q1651" t="inlineStr">
        <is>
          <t>MAT-RF</t>
        </is>
      </c>
      <c r="R1651">
        <f>IF(OR(Q1651="CONTEXT",Q1651="REVIEW"),"",INDEX('Category Rules'!$D$5:$D$17,MATCH(P1651,'Category Rules'!$A$5:$A$17,0)))</f>
        <v>4030</v>
      </c>
      <c r="S1651" t="str">
        <f>IF(Q1651="CONTEXT","Roofing",IF(Q1651="REVIEW","",INDEX('Category Rules'!$E$5:$E$17,MATCH(P1651,'Category Rules'!$A$5:$A$17,0))))</f>
        <v>Roofing</v>
      </c>
      <c r="T1651" t="str">
        <f>IF(Q1651="DEP","BAS Excluded","GST on Income")</f>
        <v>GST on Income</v>
      </c>
      <c r="U1651">
        <f>IF(O1651=T1651,1,0)</f>
        <v>1</v>
      </c>
      <c r="V1651" s="9">
        <f>IF(OR(M1651=0,U1651=1),0,IF(T1651="GST on Income",ROUND(K1651*0.1,2),ROUND(-K1651*0.1,2)))</f>
        <v>0</v>
      </c>
    </row>
    <row r="1652">
      <c r="A1652" t="inlineStr">
        <is>
          <t>INV-4689-1</t>
        </is>
      </c>
      <c r="B1652" t="inlineStr">
        <is>
          <t>INV-4689</t>
        </is>
      </c>
      <c r="C1652" s="11" t="n">
        <v>46085</v>
      </c>
      <c r="D1652" t="inlineStr">
        <is>
          <t>2026-03</t>
        </is>
      </c>
      <c r="E1652" t="inlineStr">
        <is>
          <t>C0033</t>
        </is>
      </c>
      <c r="F1652" t="inlineStr">
        <is>
          <t>C0033</t>
        </is>
      </c>
      <c r="G1652" t="inlineStr">
        <is>
          <t>Granite Projects Pty Ltd</t>
        </is>
      </c>
      <c r="H1652" t="inlineStr">
        <is>
          <t>S0123</t>
        </is>
      </c>
      <c r="I1652" t="inlineStr">
        <is>
          <t>Temporary fence hire 4 wks (04/02/26-03/03/26) - 70 panels</t>
        </is>
      </c>
      <c r="J1652" t="n">
        <v>280</v>
      </c>
      <c r="K1652" s="9" t="n">
        <v>1260</v>
      </c>
      <c r="L1652" t="inlineStr">
        <is>
          <t>PAID</t>
        </is>
      </c>
      <c r="M1652">
        <f>IF(L1652="VOIDED",0,1)</f>
        <v>1</v>
      </c>
      <c r="N1652" t="n">
        <v>200</v>
      </c>
      <c r="O1652" t="inlineStr">
        <is>
          <t>GST on Income</t>
        </is>
      </c>
      <c r="P1652" t="inlineStr">
        <is>
          <t>R03</t>
        </is>
      </c>
      <c r="Q1652" t="inlineStr">
        <is>
          <t>HIRE-FP</t>
        </is>
      </c>
      <c r="R1652">
        <f>IF(OR(Q1652="CONTEXT",Q1652="REVIEW"),"",INDEX('Category Rules'!$D$5:$D$17,MATCH(P1652,'Category Rules'!$A$5:$A$17,0)))</f>
        <v>4010</v>
      </c>
      <c r="S1652" t="str">
        <f>IF(Q1652="CONTEXT","Fencing",IF(Q1652="REVIEW","",INDEX('Category Rules'!$E$5:$E$17,MATCH(P1652,'Category Rules'!$A$5:$A$17,0))))</f>
        <v>Fencing</v>
      </c>
      <c r="T1652" t="str">
        <f>IF(Q1652="DEP","BAS Excluded","GST on Income")</f>
        <v>GST on Income</v>
      </c>
      <c r="U1652">
        <f>IF(O1652=T1652,1,0)</f>
        <v>1</v>
      </c>
      <c r="V1652" s="9">
        <f>IF(OR(M1652=0,U1652=1),0,IF(T1652="GST on Income",ROUND(K1652*0.1,2),ROUND(-K1652*0.1,2)))</f>
        <v>0</v>
      </c>
    </row>
    <row r="1653">
      <c r="A1653" t="inlineStr">
        <is>
          <t>INV-5025-1</t>
        </is>
      </c>
      <c r="B1653" t="inlineStr">
        <is>
          <t>INV-5025</t>
        </is>
      </c>
      <c r="C1653" s="11" t="n">
        <v>46085</v>
      </c>
      <c r="D1653" t="inlineStr">
        <is>
          <t>2026-03</t>
        </is>
      </c>
      <c r="E1653" t="inlineStr">
        <is>
          <t>C0143</t>
        </is>
      </c>
      <c r="F1653" t="inlineStr">
        <is>
          <t>C0043</t>
        </is>
      </c>
      <c r="G1653" t="inlineStr">
        <is>
          <t>Banksia Projects Pty Ltd</t>
        </is>
      </c>
      <c r="H1653" t="inlineStr">
        <is>
          <t>S0200</t>
        </is>
      </c>
      <c r="I1653" t="inlineStr">
        <is>
          <t>Temporary fence hire 4 wks (04/02/26-03/03/26) - 116 panels</t>
        </is>
      </c>
      <c r="J1653" t="n">
        <v>464</v>
      </c>
      <c r="K1653" s="9" t="n">
        <v>2088</v>
      </c>
      <c r="L1653" t="inlineStr">
        <is>
          <t>PAID</t>
        </is>
      </c>
      <c r="M1653">
        <f>IF(L1653="VOIDED",0,1)</f>
        <v>1</v>
      </c>
      <c r="N1653" t="n">
        <v>200</v>
      </c>
      <c r="O1653" t="inlineStr">
        <is>
          <t>GST on Income</t>
        </is>
      </c>
      <c r="P1653" t="inlineStr">
        <is>
          <t>R03</t>
        </is>
      </c>
      <c r="Q1653" t="inlineStr">
        <is>
          <t>HIRE-FP</t>
        </is>
      </c>
      <c r="R1653">
        <f>IF(OR(Q1653="CONTEXT",Q1653="REVIEW"),"",INDEX('Category Rules'!$D$5:$D$17,MATCH(P1653,'Category Rules'!$A$5:$A$17,0)))</f>
        <v>4010</v>
      </c>
      <c r="S1653" t="str">
        <f>IF(Q1653="CONTEXT","Fencing",IF(Q1653="REVIEW","",INDEX('Category Rules'!$E$5:$E$17,MATCH(P1653,'Category Rules'!$A$5:$A$17,0))))</f>
        <v>Fencing</v>
      </c>
      <c r="T1653" t="str">
        <f>IF(Q1653="DEP","BAS Excluded","GST on Income")</f>
        <v>GST on Income</v>
      </c>
      <c r="U1653">
        <f>IF(O1653=T1653,1,0)</f>
        <v>1</v>
      </c>
      <c r="V1653" s="9">
        <f>IF(OR(M1653=0,U1653=1),0,IF(T1653="GST on Income",ROUND(K1653*0.1,2),ROUND(-K1653*0.1,2)))</f>
        <v>0</v>
      </c>
    </row>
    <row r="1654">
      <c r="A1654" t="inlineStr">
        <is>
          <t>INV-5723-1</t>
        </is>
      </c>
      <c r="B1654" t="inlineStr">
        <is>
          <t>INV-5723</t>
        </is>
      </c>
      <c r="C1654" s="11" t="n">
        <v>46085</v>
      </c>
      <c r="D1654" t="inlineStr">
        <is>
          <t>2026-03</t>
        </is>
      </c>
      <c r="E1654" t="inlineStr">
        <is>
          <t>C0061</t>
        </is>
      </c>
      <c r="F1654" t="inlineStr">
        <is>
          <t>C0061</t>
        </is>
      </c>
      <c r="G1654" t="inlineStr">
        <is>
          <t>Southbank Claims Services Pty Ltd</t>
        </is>
      </c>
      <c r="H1654" t="inlineStr">
        <is>
          <t>S0447</t>
        </is>
      </c>
      <c r="I1654" t="inlineStr">
        <is>
          <t>Roof repair labour - 3 hrs</t>
        </is>
      </c>
      <c r="J1654" t="n">
        <v>3</v>
      </c>
      <c r="K1654" s="9" t="n">
        <v>294</v>
      </c>
      <c r="L1654" t="inlineStr">
        <is>
          <t>PAID</t>
        </is>
      </c>
      <c r="M1654">
        <f>IF(L1654="VOIDED",0,1)</f>
        <v>1</v>
      </c>
      <c r="N1654" t="n">
        <v>200</v>
      </c>
      <c r="O1654" t="inlineStr">
        <is>
          <t>GST on Income</t>
        </is>
      </c>
      <c r="P1654" t="inlineStr">
        <is>
          <t>R10</t>
        </is>
      </c>
      <c r="Q1654" t="inlineStr">
        <is>
          <t>LAB-RF</t>
        </is>
      </c>
      <c r="R1654">
        <f>IF(OR(Q1654="CONTEXT",Q1654="REVIEW"),"",INDEX('Category Rules'!$D$5:$D$17,MATCH(P1654,'Category Rules'!$A$5:$A$17,0)))</f>
        <v>4020</v>
      </c>
      <c r="S1654" t="str">
        <f>IF(Q1654="CONTEXT","Roofing",IF(Q1654="REVIEW","",INDEX('Category Rules'!$E$5:$E$17,MATCH(P1654,'Category Rules'!$A$5:$A$17,0))))</f>
        <v>Roofing</v>
      </c>
      <c r="T1654" t="str">
        <f>IF(Q1654="DEP","BAS Excluded","GST on Income")</f>
        <v>GST on Income</v>
      </c>
      <c r="U1654">
        <f>IF(O1654=T1654,1,0)</f>
        <v>1</v>
      </c>
      <c r="V1654" s="9">
        <f>IF(OR(M1654=0,U1654=1),0,IF(T1654="GST on Income",ROUND(K1654*0.1,2),ROUND(-K1654*0.1,2)))</f>
        <v>0</v>
      </c>
    </row>
    <row r="1655">
      <c r="A1655" t="inlineStr">
        <is>
          <t>INV-5723-2</t>
        </is>
      </c>
      <c r="B1655" t="inlineStr">
        <is>
          <t>INV-5723</t>
        </is>
      </c>
      <c r="C1655" s="11" t="n">
        <v>46085</v>
      </c>
      <c r="D1655" t="inlineStr">
        <is>
          <t>2026-03</t>
        </is>
      </c>
      <c r="E1655" t="inlineStr">
        <is>
          <t>C0061</t>
        </is>
      </c>
      <c r="F1655" t="inlineStr">
        <is>
          <t>C0061</t>
        </is>
      </c>
      <c r="G1655" t="inlineStr">
        <is>
          <t>Southbank Claims Services Pty Ltd</t>
        </is>
      </c>
      <c r="H1655" t="inlineStr">
        <is>
          <t>S0447</t>
        </is>
      </c>
      <c r="I1655" t="inlineStr">
        <is>
          <t>Materials - ridge capping</t>
        </is>
      </c>
      <c r="J1655" t="n">
        <v>1</v>
      </c>
      <c r="K1655" s="9" t="n">
        <v>990.13</v>
      </c>
      <c r="L1655" t="inlineStr">
        <is>
          <t>PAID</t>
        </is>
      </c>
      <c r="M1655">
        <f>IF(L1655="VOIDED",0,1)</f>
        <v>1</v>
      </c>
      <c r="N1655" t="n">
        <v>200</v>
      </c>
      <c r="O1655" t="inlineStr">
        <is>
          <t>GST on Income</t>
        </is>
      </c>
      <c r="P1655" t="inlineStr">
        <is>
          <t>R11</t>
        </is>
      </c>
      <c r="Q1655" t="inlineStr">
        <is>
          <t>MAT-RF</t>
        </is>
      </c>
      <c r="R1655">
        <f>IF(OR(Q1655="CONTEXT",Q1655="REVIEW"),"",INDEX('Category Rules'!$D$5:$D$17,MATCH(P1655,'Category Rules'!$A$5:$A$17,0)))</f>
        <v>4030</v>
      </c>
      <c r="S1655" t="str">
        <f>IF(Q1655="CONTEXT","Roofing",IF(Q1655="REVIEW","",INDEX('Category Rules'!$E$5:$E$17,MATCH(P1655,'Category Rules'!$A$5:$A$17,0))))</f>
        <v>Roofing</v>
      </c>
      <c r="T1655" t="str">
        <f>IF(Q1655="DEP","BAS Excluded","GST on Income")</f>
        <v>GST on Income</v>
      </c>
      <c r="U1655">
        <f>IF(O1655=T1655,1,0)</f>
        <v>1</v>
      </c>
      <c r="V1655" s="9">
        <f>IF(OR(M1655=0,U1655=1),0,IF(T1655="GST on Income",ROUND(K1655*0.1,2),ROUND(-K1655*0.1,2)))</f>
        <v>0</v>
      </c>
    </row>
    <row r="1656">
      <c r="A1656" t="inlineStr">
        <is>
          <t>INV-5723-3</t>
        </is>
      </c>
      <c r="B1656" t="inlineStr">
        <is>
          <t>INV-5723</t>
        </is>
      </c>
      <c r="C1656" s="11" t="n">
        <v>46085</v>
      </c>
      <c r="D1656" t="inlineStr">
        <is>
          <t>2026-03</t>
        </is>
      </c>
      <c r="E1656" t="inlineStr">
        <is>
          <t>C0061</t>
        </is>
      </c>
      <c r="F1656" t="inlineStr">
        <is>
          <t>C0061</t>
        </is>
      </c>
      <c r="G1656" t="inlineStr">
        <is>
          <t>Southbank Claims Services Pty Ltd</t>
        </is>
      </c>
      <c r="H1656" t="inlineStr">
        <is>
          <t>S0447</t>
        </is>
      </c>
      <c r="I1656" t="inlineStr">
        <is>
          <t>Waste removal and tip fees</t>
        </is>
      </c>
      <c r="J1656" t="n">
        <v>1</v>
      </c>
      <c r="K1656" s="9" t="n">
        <v>120</v>
      </c>
      <c r="L1656" t="inlineStr">
        <is>
          <t>PAID</t>
        </is>
      </c>
      <c r="M1656">
        <f>IF(L1656="VOIDED",0,1)</f>
        <v>1</v>
      </c>
      <c r="N1656" t="n">
        <v>200</v>
      </c>
      <c r="O1656" t="inlineStr">
        <is>
          <t>GST on Income</t>
        </is>
      </c>
      <c r="P1656" t="inlineStr">
        <is>
          <t>R11</t>
        </is>
      </c>
      <c r="Q1656" t="inlineStr">
        <is>
          <t>MAT-RF</t>
        </is>
      </c>
      <c r="R1656">
        <f>IF(OR(Q1656="CONTEXT",Q1656="REVIEW"),"",INDEX('Category Rules'!$D$5:$D$17,MATCH(P1656,'Category Rules'!$A$5:$A$17,0)))</f>
        <v>4030</v>
      </c>
      <c r="S1656" t="str">
        <f>IF(Q1656="CONTEXT","Roofing",IF(Q1656="REVIEW","",INDEX('Category Rules'!$E$5:$E$17,MATCH(P1656,'Category Rules'!$A$5:$A$17,0))))</f>
        <v>Roofing</v>
      </c>
      <c r="T1656" t="str">
        <f>IF(Q1656="DEP","BAS Excluded","GST on Income")</f>
        <v>GST on Income</v>
      </c>
      <c r="U1656">
        <f>IF(O1656=T1656,1,0)</f>
        <v>1</v>
      </c>
      <c r="V1656" s="9">
        <f>IF(OR(M1656=0,U1656=1),0,IF(T1656="GST on Income",ROUND(K1656*0.1,2),ROUND(-K1656*0.1,2)))</f>
        <v>0</v>
      </c>
    </row>
    <row r="1657">
      <c r="A1657" t="inlineStr">
        <is>
          <t>INV-5878-1</t>
        </is>
      </c>
      <c r="B1657" t="inlineStr">
        <is>
          <t>INV-5878</t>
        </is>
      </c>
      <c r="C1657" s="11" t="n">
        <v>46085</v>
      </c>
      <c r="D1657" t="inlineStr">
        <is>
          <t>2026-03</t>
        </is>
      </c>
      <c r="E1657" t="inlineStr">
        <is>
          <t>C0018</t>
        </is>
      </c>
      <c r="F1657" t="inlineStr">
        <is>
          <t>C0018</t>
        </is>
      </c>
      <c r="G1657" t="inlineStr">
        <is>
          <t>Wattle Constructions Pty Ltd</t>
        </is>
      </c>
      <c r="H1657" t="inlineStr">
        <is>
          <t>S0538</t>
        </is>
      </c>
      <c r="I1657" t="inlineStr">
        <is>
          <t>Make safe call-out</t>
        </is>
      </c>
      <c r="J1657" t="n">
        <v>1</v>
      </c>
      <c r="K1657" s="9" t="n">
        <v>385</v>
      </c>
      <c r="L1657" t="inlineStr">
        <is>
          <t>PAID</t>
        </is>
      </c>
      <c r="M1657">
        <f>IF(L1657="VOIDED",0,1)</f>
        <v>1</v>
      </c>
      <c r="N1657" t="n">
        <v>200</v>
      </c>
      <c r="O1657" t="inlineStr">
        <is>
          <t>GST on Income</t>
        </is>
      </c>
      <c r="P1657" t="inlineStr">
        <is>
          <t>R09</t>
        </is>
      </c>
      <c r="Q1657" t="inlineStr">
        <is>
          <t>MS</t>
        </is>
      </c>
      <c r="R1657">
        <f>IF(OR(Q1657="CONTEXT",Q1657="REVIEW"),"",INDEX('Category Rules'!$D$5:$D$17,MATCH(P1657,'Category Rules'!$A$5:$A$17,0)))</f>
        <v>4020</v>
      </c>
      <c r="S1657" t="str">
        <f>IF(Q1657="CONTEXT","Make-safe",IF(Q1657="REVIEW","",INDEX('Category Rules'!$E$5:$E$17,MATCH(P1657,'Category Rules'!$A$5:$A$17,0))))</f>
        <v>Make-safe</v>
      </c>
      <c r="T1657" t="str">
        <f>IF(Q1657="DEP","BAS Excluded","GST on Income")</f>
        <v>GST on Income</v>
      </c>
      <c r="U1657">
        <f>IF(O1657=T1657,1,0)</f>
        <v>1</v>
      </c>
      <c r="V1657" s="9">
        <f>IF(OR(M1657=0,U1657=1),0,IF(T1657="GST on Income",ROUND(K1657*0.1,2),ROUND(-K1657*0.1,2)))</f>
        <v>0</v>
      </c>
    </row>
    <row r="1658">
      <c r="A1658" t="inlineStr">
        <is>
          <t>INV-4354-1</t>
        </is>
      </c>
      <c r="B1658" t="inlineStr">
        <is>
          <t>INV-4354</t>
        </is>
      </c>
      <c r="C1658" s="11" t="n">
        <v>46086</v>
      </c>
      <c r="D1658" t="inlineStr">
        <is>
          <t>2026-03</t>
        </is>
      </c>
      <c r="E1658" t="inlineStr">
        <is>
          <t>C0001</t>
        </is>
      </c>
      <c r="F1658" t="inlineStr">
        <is>
          <t>C0001</t>
        </is>
      </c>
      <c r="G1658" t="inlineStr">
        <is>
          <t>Parkview Projects Pty Ltd</t>
        </is>
      </c>
      <c r="H1658" t="inlineStr">
        <is>
          <t>S0053</t>
        </is>
      </c>
      <c r="I1658" t="inlineStr">
        <is>
          <t>Temporary fence hire 4 wks (05/02/26-04/03/26) - 143 panels</t>
        </is>
      </c>
      <c r="J1658" t="n">
        <v>572</v>
      </c>
      <c r="K1658" s="9" t="n">
        <v>2574</v>
      </c>
      <c r="L1658" t="inlineStr">
        <is>
          <t>PAID</t>
        </is>
      </c>
      <c r="M1658">
        <f>IF(L1658="VOIDED",0,1)</f>
        <v>1</v>
      </c>
      <c r="N1658" t="n">
        <v>200</v>
      </c>
      <c r="O1658" t="inlineStr">
        <is>
          <t>GST on Income</t>
        </is>
      </c>
      <c r="P1658" t="inlineStr">
        <is>
          <t>R03</t>
        </is>
      </c>
      <c r="Q1658" t="inlineStr">
        <is>
          <t>HIRE-FP</t>
        </is>
      </c>
      <c r="R1658">
        <f>IF(OR(Q1658="CONTEXT",Q1658="REVIEW"),"",INDEX('Category Rules'!$D$5:$D$17,MATCH(P1658,'Category Rules'!$A$5:$A$17,0)))</f>
        <v>4010</v>
      </c>
      <c r="S1658" t="str">
        <f>IF(Q1658="CONTEXT","Fencing",IF(Q1658="REVIEW","",INDEX('Category Rules'!$E$5:$E$17,MATCH(P1658,'Category Rules'!$A$5:$A$17,0))))</f>
        <v>Fencing</v>
      </c>
      <c r="T1658" t="str">
        <f>IF(Q1658="DEP","BAS Excluded","GST on Income")</f>
        <v>GST on Income</v>
      </c>
      <c r="U1658">
        <f>IF(O1658=T1658,1,0)</f>
        <v>1</v>
      </c>
      <c r="V1658" s="9">
        <f>IF(OR(M1658=0,U1658=1),0,IF(T1658="GST on Income",ROUND(K1658*0.1,2),ROUND(-K1658*0.1,2)))</f>
        <v>0</v>
      </c>
    </row>
    <row r="1659">
      <c r="A1659" t="inlineStr">
        <is>
          <t>INV-5459-1</t>
        </is>
      </c>
      <c r="B1659" t="inlineStr">
        <is>
          <t>INV-5459</t>
        </is>
      </c>
      <c r="C1659" s="11" t="n">
        <v>46086</v>
      </c>
      <c r="D1659" t="inlineStr">
        <is>
          <t>2026-03</t>
        </is>
      </c>
      <c r="E1659" t="inlineStr">
        <is>
          <t>C0083</t>
        </is>
      </c>
      <c r="F1659" t="inlineStr">
        <is>
          <t>C0083</t>
        </is>
      </c>
      <c r="G1659" t="inlineStr">
        <is>
          <t>Noah Williams</t>
        </is>
      </c>
      <c r="H1659" t="inlineStr">
        <is>
          <t>S0302</t>
        </is>
      </c>
      <c r="I1659" t="inlineStr">
        <is>
          <t>Tarp kit hire 4 wks (05/02/26-04/03/26) - 2 kits</t>
        </is>
      </c>
      <c r="J1659" t="n">
        <v>8</v>
      </c>
      <c r="K1659" s="9" t="n">
        <v>280</v>
      </c>
      <c r="L1659" t="inlineStr">
        <is>
          <t>PAID</t>
        </is>
      </c>
      <c r="M1659">
        <f>IF(L1659="VOIDED",0,1)</f>
        <v>1</v>
      </c>
      <c r="N1659" t="n">
        <v>200</v>
      </c>
      <c r="O1659" t="inlineStr">
        <is>
          <t>GST on Income</t>
        </is>
      </c>
      <c r="P1659" t="inlineStr">
        <is>
          <t>R06</t>
        </is>
      </c>
      <c r="Q1659" t="inlineStr">
        <is>
          <t>HIRE-TK</t>
        </is>
      </c>
      <c r="R1659">
        <f>IF(OR(Q1659="CONTEXT",Q1659="REVIEW"),"",INDEX('Category Rules'!$D$5:$D$17,MATCH(P1659,'Category Rules'!$A$5:$A$17,0)))</f>
        <v>4010</v>
      </c>
      <c r="S1659" t="str">
        <f>IF(Q1659="CONTEXT","Make-safe",IF(Q1659="REVIEW","",INDEX('Category Rules'!$E$5:$E$17,MATCH(P1659,'Category Rules'!$A$5:$A$17,0))))</f>
        <v>Make-safe</v>
      </c>
      <c r="T1659" t="str">
        <f>IF(Q1659="DEP","BAS Excluded","GST on Income")</f>
        <v>GST on Income</v>
      </c>
      <c r="U1659">
        <f>IF(O1659=T1659,1,0)</f>
        <v>1</v>
      </c>
      <c r="V1659" s="9">
        <f>IF(OR(M1659=0,U1659=1),0,IF(T1659="GST on Income",ROUND(K1659*0.1,2),ROUND(-K1659*0.1,2)))</f>
        <v>0</v>
      </c>
    </row>
    <row r="1660">
      <c r="A1660" t="inlineStr">
        <is>
          <t>INV-5741-1</t>
        </is>
      </c>
      <c r="B1660" t="inlineStr">
        <is>
          <t>INV-5741</t>
        </is>
      </c>
      <c r="C1660" s="11" t="n">
        <v>46086</v>
      </c>
      <c r="D1660" t="inlineStr">
        <is>
          <t>2026-03</t>
        </is>
      </c>
      <c r="E1660" t="inlineStr">
        <is>
          <t>C0026</t>
        </is>
      </c>
      <c r="F1660" t="inlineStr">
        <is>
          <t>C0026</t>
        </is>
      </c>
      <c r="G1660" t="inlineStr">
        <is>
          <t>Juniper Constructions</t>
        </is>
      </c>
      <c r="H1660" t="inlineStr">
        <is>
          <t>S0455</t>
        </is>
      </c>
      <c r="I1660" t="inlineStr">
        <is>
          <t>Roof repair labour - 4 hrs</t>
        </is>
      </c>
      <c r="J1660" t="n">
        <v>4</v>
      </c>
      <c r="K1660" s="9" t="n">
        <v>392</v>
      </c>
      <c r="L1660" t="inlineStr">
        <is>
          <t>PAID</t>
        </is>
      </c>
      <c r="M1660">
        <f>IF(L1660="VOIDED",0,1)</f>
        <v>1</v>
      </c>
      <c r="N1660" t="n">
        <v>200</v>
      </c>
      <c r="O1660" t="inlineStr">
        <is>
          <t>GST on Income</t>
        </is>
      </c>
      <c r="P1660" t="inlineStr">
        <is>
          <t>R10</t>
        </is>
      </c>
      <c r="Q1660" t="inlineStr">
        <is>
          <t>LAB-RF</t>
        </is>
      </c>
      <c r="R1660">
        <f>IF(OR(Q1660="CONTEXT",Q1660="REVIEW"),"",INDEX('Category Rules'!$D$5:$D$17,MATCH(P1660,'Category Rules'!$A$5:$A$17,0)))</f>
        <v>4020</v>
      </c>
      <c r="S1660" t="str">
        <f>IF(Q1660="CONTEXT","Roofing",IF(Q1660="REVIEW","",INDEX('Category Rules'!$E$5:$E$17,MATCH(P1660,'Category Rules'!$A$5:$A$17,0))))</f>
        <v>Roofing</v>
      </c>
      <c r="T1660" t="str">
        <f>IF(Q1660="DEP","BAS Excluded","GST on Income")</f>
        <v>GST on Income</v>
      </c>
      <c r="U1660">
        <f>IF(O1660=T1660,1,0)</f>
        <v>1</v>
      </c>
      <c r="V1660" s="9">
        <f>IF(OR(M1660=0,U1660=1),0,IF(T1660="GST on Income",ROUND(K1660*0.1,2),ROUND(-K1660*0.1,2)))</f>
        <v>0</v>
      </c>
    </row>
    <row r="1661">
      <c r="A1661" t="inlineStr">
        <is>
          <t>INV-5741-2</t>
        </is>
      </c>
      <c r="B1661" t="inlineStr">
        <is>
          <t>INV-5741</t>
        </is>
      </c>
      <c r="C1661" s="11" t="n">
        <v>46086</v>
      </c>
      <c r="D1661" t="inlineStr">
        <is>
          <t>2026-03</t>
        </is>
      </c>
      <c r="E1661" t="inlineStr">
        <is>
          <t>C0026</t>
        </is>
      </c>
      <c r="F1661" t="inlineStr">
        <is>
          <t>C0026</t>
        </is>
      </c>
      <c r="G1661" t="inlineStr">
        <is>
          <t>Juniper Constructions</t>
        </is>
      </c>
      <c r="H1661" t="inlineStr">
        <is>
          <t>S0455</t>
        </is>
      </c>
      <c r="I1661" t="inlineStr">
        <is>
          <t>Materials - roof tiles (matched)</t>
        </is>
      </c>
      <c r="J1661" t="n">
        <v>1</v>
      </c>
      <c r="K1661" s="9" t="n">
        <v>865</v>
      </c>
      <c r="L1661" t="inlineStr">
        <is>
          <t>PAID</t>
        </is>
      </c>
      <c r="M1661">
        <f>IF(L1661="VOIDED",0,1)</f>
        <v>1</v>
      </c>
      <c r="N1661" t="n">
        <v>200</v>
      </c>
      <c r="O1661" t="inlineStr">
        <is>
          <t>GST on Income</t>
        </is>
      </c>
      <c r="P1661" t="inlineStr">
        <is>
          <t>R11</t>
        </is>
      </c>
      <c r="Q1661" t="inlineStr">
        <is>
          <t>MAT-RF</t>
        </is>
      </c>
      <c r="R1661">
        <f>IF(OR(Q1661="CONTEXT",Q1661="REVIEW"),"",INDEX('Category Rules'!$D$5:$D$17,MATCH(P1661,'Category Rules'!$A$5:$A$17,0)))</f>
        <v>4030</v>
      </c>
      <c r="S1661" t="str">
        <f>IF(Q1661="CONTEXT","Roofing",IF(Q1661="REVIEW","",INDEX('Category Rules'!$E$5:$E$17,MATCH(P1661,'Category Rules'!$A$5:$A$17,0))))</f>
        <v>Roofing</v>
      </c>
      <c r="T1661" t="str">
        <f>IF(Q1661="DEP","BAS Excluded","GST on Income")</f>
        <v>GST on Income</v>
      </c>
      <c r="U1661">
        <f>IF(O1661=T1661,1,0)</f>
        <v>1</v>
      </c>
      <c r="V1661" s="9">
        <f>IF(OR(M1661=0,U1661=1),0,IF(T1661="GST on Income",ROUND(K1661*0.1,2),ROUND(-K1661*0.1,2)))</f>
        <v>0</v>
      </c>
    </row>
    <row r="1662">
      <c r="A1662" t="inlineStr">
        <is>
          <t>INV-5741-3</t>
        </is>
      </c>
      <c r="B1662" t="inlineStr">
        <is>
          <t>INV-5741</t>
        </is>
      </c>
      <c r="C1662" s="11" t="n">
        <v>46086</v>
      </c>
      <c r="D1662" t="inlineStr">
        <is>
          <t>2026-03</t>
        </is>
      </c>
      <c r="E1662" t="inlineStr">
        <is>
          <t>C0026</t>
        </is>
      </c>
      <c r="F1662" t="inlineStr">
        <is>
          <t>C0026</t>
        </is>
      </c>
      <c r="G1662" t="inlineStr">
        <is>
          <t>Juniper Constructions</t>
        </is>
      </c>
      <c r="H1662" t="inlineStr">
        <is>
          <t>S0455</t>
        </is>
      </c>
      <c r="I1662" t="inlineStr">
        <is>
          <t>Materials - ridge capping</t>
        </is>
      </c>
      <c r="J1662" t="n">
        <v>1</v>
      </c>
      <c r="K1662" s="9" t="n">
        <v>1258.51</v>
      </c>
      <c r="L1662" t="inlineStr">
        <is>
          <t>PAID</t>
        </is>
      </c>
      <c r="M1662">
        <f>IF(L1662="VOIDED",0,1)</f>
        <v>1</v>
      </c>
      <c r="N1662" t="n">
        <v>200</v>
      </c>
      <c r="O1662" t="inlineStr">
        <is>
          <t>GST on Income</t>
        </is>
      </c>
      <c r="P1662" t="inlineStr">
        <is>
          <t>R11</t>
        </is>
      </c>
      <c r="Q1662" t="inlineStr">
        <is>
          <t>MAT-RF</t>
        </is>
      </c>
      <c r="R1662">
        <f>IF(OR(Q1662="CONTEXT",Q1662="REVIEW"),"",INDEX('Category Rules'!$D$5:$D$17,MATCH(P1662,'Category Rules'!$A$5:$A$17,0)))</f>
        <v>4030</v>
      </c>
      <c r="S1662" t="str">
        <f>IF(Q1662="CONTEXT","Roofing",IF(Q1662="REVIEW","",INDEX('Category Rules'!$E$5:$E$17,MATCH(P1662,'Category Rules'!$A$5:$A$17,0))))</f>
        <v>Roofing</v>
      </c>
      <c r="T1662" t="str">
        <f>IF(Q1662="DEP","BAS Excluded","GST on Income")</f>
        <v>GST on Income</v>
      </c>
      <c r="U1662">
        <f>IF(O1662=T1662,1,0)</f>
        <v>1</v>
      </c>
      <c r="V1662" s="9">
        <f>IF(OR(M1662=0,U1662=1),0,IF(T1662="GST on Income",ROUND(K1662*0.1,2),ROUND(-K1662*0.1,2)))</f>
        <v>0</v>
      </c>
    </row>
    <row r="1663">
      <c r="A1663" t="inlineStr">
        <is>
          <t>INV-4333-1</t>
        </is>
      </c>
      <c r="B1663" t="inlineStr">
        <is>
          <t>INV-4333</t>
        </is>
      </c>
      <c r="C1663" s="11" t="n">
        <v>46087</v>
      </c>
      <c r="D1663" t="inlineStr">
        <is>
          <t>2026-03</t>
        </is>
      </c>
      <c r="E1663" t="inlineStr">
        <is>
          <t>C0042</t>
        </is>
      </c>
      <c r="F1663" t="inlineStr">
        <is>
          <t>C0042</t>
        </is>
      </c>
      <c r="G1663" t="inlineStr">
        <is>
          <t>Lakeside Constructions Pty Ltd</t>
        </is>
      </c>
      <c r="H1663" t="inlineStr">
        <is>
          <t>S0049</t>
        </is>
      </c>
      <c r="I1663" t="inlineStr">
        <is>
          <t>Temporary fence hire 4 wks (06/02/26-05/03/26) - 12 panels</t>
        </is>
      </c>
      <c r="J1663" t="n">
        <v>48</v>
      </c>
      <c r="K1663" s="9" t="n">
        <v>216</v>
      </c>
      <c r="L1663" t="inlineStr">
        <is>
          <t>PAID</t>
        </is>
      </c>
      <c r="M1663">
        <f>IF(L1663="VOIDED",0,1)</f>
        <v>1</v>
      </c>
      <c r="N1663" t="n">
        <v>200</v>
      </c>
      <c r="O1663" t="inlineStr">
        <is>
          <t>GST on Income</t>
        </is>
      </c>
      <c r="P1663" t="inlineStr">
        <is>
          <t>R03</t>
        </is>
      </c>
      <c r="Q1663" t="inlineStr">
        <is>
          <t>HIRE-FP</t>
        </is>
      </c>
      <c r="R1663">
        <f>IF(OR(Q1663="CONTEXT",Q1663="REVIEW"),"",INDEX('Category Rules'!$D$5:$D$17,MATCH(P1663,'Category Rules'!$A$5:$A$17,0)))</f>
        <v>4010</v>
      </c>
      <c r="S1663" t="str">
        <f>IF(Q1663="CONTEXT","Fencing",IF(Q1663="REVIEW","",INDEX('Category Rules'!$E$5:$E$17,MATCH(P1663,'Category Rules'!$A$5:$A$17,0))))</f>
        <v>Fencing</v>
      </c>
      <c r="T1663" t="str">
        <f>IF(Q1663="DEP","BAS Excluded","GST on Income")</f>
        <v>GST on Income</v>
      </c>
      <c r="U1663">
        <f>IF(O1663=T1663,1,0)</f>
        <v>1</v>
      </c>
      <c r="V1663" s="9">
        <f>IF(OR(M1663=0,U1663=1),0,IF(T1663="GST on Income",ROUND(K1663*0.1,2),ROUND(-K1663*0.1,2)))</f>
        <v>0</v>
      </c>
    </row>
    <row r="1664">
      <c r="A1664" t="inlineStr">
        <is>
          <t>INV-4349-1</t>
        </is>
      </c>
      <c r="B1664" t="inlineStr">
        <is>
          <t>INV-4349</t>
        </is>
      </c>
      <c r="C1664" s="11" t="n">
        <v>46087</v>
      </c>
      <c r="D1664" t="inlineStr">
        <is>
          <t>2026-03</t>
        </is>
      </c>
      <c r="E1664" t="inlineStr">
        <is>
          <t>C0043</t>
        </is>
      </c>
      <c r="F1664" t="inlineStr">
        <is>
          <t>C0043</t>
        </is>
      </c>
      <c r="G1664" t="inlineStr">
        <is>
          <t>Banksia Projects Pty Ltd</t>
        </is>
      </c>
      <c r="H1664" t="inlineStr">
        <is>
          <t>S0052</t>
        </is>
      </c>
      <c r="I1664" t="inlineStr">
        <is>
          <t>Delivery and installation - temporary fencing</t>
        </is>
      </c>
      <c r="J1664" t="n">
        <v>1</v>
      </c>
      <c r="K1664" s="9" t="n">
        <v>165</v>
      </c>
      <c r="L1664" t="inlineStr">
        <is>
          <t>PAID</t>
        </is>
      </c>
      <c r="M1664">
        <f>IF(L1664="VOIDED",0,1)</f>
        <v>1</v>
      </c>
      <c r="N1664" t="n">
        <v>200</v>
      </c>
      <c r="O1664" t="inlineStr">
        <is>
          <t>GST on Income</t>
        </is>
      </c>
      <c r="P1664" t="inlineStr">
        <is>
          <t>R07</t>
        </is>
      </c>
      <c r="Q1664" t="inlineStr">
        <is>
          <t>DEL-FP</t>
        </is>
      </c>
      <c r="R1664">
        <f>IF(OR(Q1664="CONTEXT",Q1664="REVIEW"),"",INDEX('Category Rules'!$D$5:$D$17,MATCH(P1664,'Category Rules'!$A$5:$A$17,0)))</f>
        <v>4020</v>
      </c>
      <c r="S1664" t="str">
        <f>IF(Q1664="CONTEXT","Fencing",IF(Q1664="REVIEW","",INDEX('Category Rules'!$E$5:$E$17,MATCH(P1664,'Category Rules'!$A$5:$A$17,0))))</f>
        <v>Fencing</v>
      </c>
      <c r="T1664" t="str">
        <f>IF(Q1664="DEP","BAS Excluded","GST on Income")</f>
        <v>GST on Income</v>
      </c>
      <c r="U1664">
        <f>IF(O1664=T1664,1,0)</f>
        <v>1</v>
      </c>
      <c r="V1664" s="9">
        <f>IF(OR(M1664=0,U1664=1),0,IF(T1664="GST on Income",ROUND(K1664*0.1,2),ROUND(-K1664*0.1,2)))</f>
        <v>0</v>
      </c>
    </row>
    <row r="1665">
      <c r="A1665" t="inlineStr">
        <is>
          <t>INV-4349-2</t>
        </is>
      </c>
      <c r="B1665" t="inlineStr">
        <is>
          <t>INV-4349</t>
        </is>
      </c>
      <c r="C1665" s="11" t="n">
        <v>46087</v>
      </c>
      <c r="D1665" t="inlineStr">
        <is>
          <t>2026-03</t>
        </is>
      </c>
      <c r="E1665" t="inlineStr">
        <is>
          <t>C0043</t>
        </is>
      </c>
      <c r="F1665" t="inlineStr">
        <is>
          <t>C0043</t>
        </is>
      </c>
      <c r="G1665" t="inlineStr">
        <is>
          <t>Banksia Projects Pty Ltd</t>
        </is>
      </c>
      <c r="H1665" t="inlineStr">
        <is>
          <t>S0052</t>
        </is>
      </c>
      <c r="I1665" t="inlineStr">
        <is>
          <t>Installation labour - 107 panels @ 2.20</t>
        </is>
      </c>
      <c r="J1665" t="n">
        <v>107</v>
      </c>
      <c r="K1665" s="9" t="n">
        <v>235.4</v>
      </c>
      <c r="L1665" t="inlineStr">
        <is>
          <t>PAID</t>
        </is>
      </c>
      <c r="M1665">
        <f>IF(L1665="VOIDED",0,1)</f>
        <v>1</v>
      </c>
      <c r="N1665" t="n">
        <v>200</v>
      </c>
      <c r="O1665" t="inlineStr">
        <is>
          <t>GST on Income</t>
        </is>
      </c>
      <c r="P1665" t="inlineStr">
        <is>
          <t>R07</t>
        </is>
      </c>
      <c r="Q1665" t="inlineStr">
        <is>
          <t>DEL-FP</t>
        </is>
      </c>
      <c r="R1665">
        <f>IF(OR(Q1665="CONTEXT",Q1665="REVIEW"),"",INDEX('Category Rules'!$D$5:$D$17,MATCH(P1665,'Category Rules'!$A$5:$A$17,0)))</f>
        <v>4020</v>
      </c>
      <c r="S1665" t="str">
        <f>IF(Q1665="CONTEXT","Fencing",IF(Q1665="REVIEW","",INDEX('Category Rules'!$E$5:$E$17,MATCH(P1665,'Category Rules'!$A$5:$A$17,0))))</f>
        <v>Fencing</v>
      </c>
      <c r="T1665" t="str">
        <f>IF(Q1665="DEP","BAS Excluded","GST on Income")</f>
        <v>GST on Income</v>
      </c>
      <c r="U1665">
        <f>IF(O1665=T1665,1,0)</f>
        <v>1</v>
      </c>
      <c r="V1665" s="9">
        <f>IF(OR(M1665=0,U1665=1),0,IF(T1665="GST on Income",ROUND(K1665*0.1,2),ROUND(-K1665*0.1,2)))</f>
        <v>0</v>
      </c>
    </row>
    <row r="1666">
      <c r="A1666" t="inlineStr">
        <is>
          <t>INV-4647-1</t>
        </is>
      </c>
      <c r="B1666" t="inlineStr">
        <is>
          <t>INV-4647</t>
        </is>
      </c>
      <c r="C1666" s="11" t="n">
        <v>46087</v>
      </c>
      <c r="D1666" t="inlineStr">
        <is>
          <t>2026-03</t>
        </is>
      </c>
      <c r="E1666" t="inlineStr">
        <is>
          <t>C0040</t>
        </is>
      </c>
      <c r="F1666" t="inlineStr">
        <is>
          <t>C0040</t>
        </is>
      </c>
      <c r="G1666" t="inlineStr">
        <is>
          <t>Coastline Projects Pty Ltd</t>
        </is>
      </c>
      <c r="H1666" t="inlineStr">
        <is>
          <t>S0111</t>
        </is>
      </c>
      <c r="I1666" t="inlineStr">
        <is>
          <t>Temporary fence hire 4 wks (06/02/26-05/03/26) - 35 panels</t>
        </is>
      </c>
      <c r="J1666" t="n">
        <v>140</v>
      </c>
      <c r="K1666" s="9" t="n">
        <v>630</v>
      </c>
      <c r="L1666" t="inlineStr">
        <is>
          <t>PAID</t>
        </is>
      </c>
      <c r="M1666">
        <f>IF(L1666="VOIDED",0,1)</f>
        <v>1</v>
      </c>
      <c r="N1666" t="n">
        <v>200</v>
      </c>
      <c r="O1666" t="inlineStr">
        <is>
          <t>GST on Income</t>
        </is>
      </c>
      <c r="P1666" t="inlineStr">
        <is>
          <t>R03</t>
        </is>
      </c>
      <c r="Q1666" t="inlineStr">
        <is>
          <t>HIRE-FP</t>
        </is>
      </c>
      <c r="R1666">
        <f>IF(OR(Q1666="CONTEXT",Q1666="REVIEW"),"",INDEX('Category Rules'!$D$5:$D$17,MATCH(P1666,'Category Rules'!$A$5:$A$17,0)))</f>
        <v>4010</v>
      </c>
      <c r="S1666" t="str">
        <f>IF(Q1666="CONTEXT","Fencing",IF(Q1666="REVIEW","",INDEX('Category Rules'!$E$5:$E$17,MATCH(P1666,'Category Rules'!$A$5:$A$17,0))))</f>
        <v>Fencing</v>
      </c>
      <c r="T1666" t="str">
        <f>IF(Q1666="DEP","BAS Excluded","GST on Income")</f>
        <v>GST on Income</v>
      </c>
      <c r="U1666">
        <f>IF(O1666=T1666,1,0)</f>
        <v>1</v>
      </c>
      <c r="V1666" s="9">
        <f>IF(OR(M1666=0,U1666=1),0,IF(T1666="GST on Income",ROUND(K1666*0.1,2),ROUND(-K1666*0.1,2)))</f>
        <v>0</v>
      </c>
    </row>
    <row r="1667">
      <c r="A1667" t="inlineStr">
        <is>
          <t>INV-4690-1</t>
        </is>
      </c>
      <c r="B1667" t="inlineStr">
        <is>
          <t>INV-4690</t>
        </is>
      </c>
      <c r="C1667" s="11" t="n">
        <v>46087</v>
      </c>
      <c r="D1667" t="inlineStr">
        <is>
          <t>2026-03</t>
        </is>
      </c>
      <c r="E1667" t="inlineStr">
        <is>
          <t>C0033</t>
        </is>
      </c>
      <c r="F1667" t="inlineStr">
        <is>
          <t>C0033</t>
        </is>
      </c>
      <c r="G1667" t="inlineStr">
        <is>
          <t>Granite Projects Pty Ltd</t>
        </is>
      </c>
      <c r="H1667" t="inlineStr">
        <is>
          <t>S0123</t>
        </is>
      </c>
      <c r="I1667" t="inlineStr">
        <is>
          <t>Temporary fence hire 1 wks (04/03/26-05/03/26) - 70 panels</t>
        </is>
      </c>
      <c r="J1667" t="n">
        <v>70</v>
      </c>
      <c r="K1667" s="9" t="n">
        <v>315</v>
      </c>
      <c r="L1667" t="inlineStr">
        <is>
          <t>PAID</t>
        </is>
      </c>
      <c r="M1667">
        <f>IF(L1667="VOIDED",0,1)</f>
        <v>1</v>
      </c>
      <c r="N1667" t="n">
        <v>200</v>
      </c>
      <c r="O1667" t="inlineStr">
        <is>
          <t>GST on Income</t>
        </is>
      </c>
      <c r="P1667" t="inlineStr">
        <is>
          <t>R03</t>
        </is>
      </c>
      <c r="Q1667" t="inlineStr">
        <is>
          <t>HIRE-FP</t>
        </is>
      </c>
      <c r="R1667">
        <f>IF(OR(Q1667="CONTEXT",Q1667="REVIEW"),"",INDEX('Category Rules'!$D$5:$D$17,MATCH(P1667,'Category Rules'!$A$5:$A$17,0)))</f>
        <v>4010</v>
      </c>
      <c r="S1667" t="str">
        <f>IF(Q1667="CONTEXT","Fencing",IF(Q1667="REVIEW","",INDEX('Category Rules'!$E$5:$E$17,MATCH(P1667,'Category Rules'!$A$5:$A$17,0))))</f>
        <v>Fencing</v>
      </c>
      <c r="T1667" t="str">
        <f>IF(Q1667="DEP","BAS Excluded","GST on Income")</f>
        <v>GST on Income</v>
      </c>
      <c r="U1667">
        <f>IF(O1667=T1667,1,0)</f>
        <v>1</v>
      </c>
      <c r="V1667" s="9">
        <f>IF(OR(M1667=0,U1667=1),0,IF(T1667="GST on Income",ROUND(K1667*0.1,2),ROUND(-K1667*0.1,2)))</f>
        <v>0</v>
      </c>
    </row>
    <row r="1668">
      <c r="A1668" t="inlineStr">
        <is>
          <t>INV-4692-1</t>
        </is>
      </c>
      <c r="B1668" t="inlineStr">
        <is>
          <t>INV-4692</t>
        </is>
      </c>
      <c r="C1668" s="11" t="n">
        <v>46087</v>
      </c>
      <c r="D1668" t="inlineStr">
        <is>
          <t>2026-03</t>
        </is>
      </c>
      <c r="E1668" t="inlineStr">
        <is>
          <t>C0033</t>
        </is>
      </c>
      <c r="F1668" t="inlineStr">
        <is>
          <t>C0033</t>
        </is>
      </c>
      <c r="G1668" t="inlineStr">
        <is>
          <t>Granite Projects Pty Ltd</t>
        </is>
      </c>
      <c r="H1668" t="inlineStr">
        <is>
          <t>S0123</t>
        </is>
      </c>
      <c r="I1668" t="inlineStr">
        <is>
          <t>Collection and dismantle - temporary fencing</t>
        </is>
      </c>
      <c r="J1668" t="n">
        <v>1</v>
      </c>
      <c r="K1668" s="9" t="n">
        <v>165</v>
      </c>
      <c r="L1668" t="inlineStr">
        <is>
          <t>PAID</t>
        </is>
      </c>
      <c r="M1668">
        <f>IF(L1668="VOIDED",0,1)</f>
        <v>1</v>
      </c>
      <c r="N1668" t="n">
        <v>200</v>
      </c>
      <c r="O1668" t="inlineStr">
        <is>
          <t>GST on Income</t>
        </is>
      </c>
      <c r="P1668" t="inlineStr">
        <is>
          <t>R07</t>
        </is>
      </c>
      <c r="Q1668" t="inlineStr">
        <is>
          <t>DEL-FP</t>
        </is>
      </c>
      <c r="R1668">
        <f>IF(OR(Q1668="CONTEXT",Q1668="REVIEW"),"",INDEX('Category Rules'!$D$5:$D$17,MATCH(P1668,'Category Rules'!$A$5:$A$17,0)))</f>
        <v>4020</v>
      </c>
      <c r="S1668" t="str">
        <f>IF(Q1668="CONTEXT","Fencing",IF(Q1668="REVIEW","",INDEX('Category Rules'!$E$5:$E$17,MATCH(P1668,'Category Rules'!$A$5:$A$17,0))))</f>
        <v>Fencing</v>
      </c>
      <c r="T1668" t="str">
        <f>IF(Q1668="DEP","BAS Excluded","GST on Income")</f>
        <v>GST on Income</v>
      </c>
      <c r="U1668">
        <f>IF(O1668=T1668,1,0)</f>
        <v>1</v>
      </c>
      <c r="V1668" s="9">
        <f>IF(OR(M1668=0,U1668=1),0,IF(T1668="GST on Income",ROUND(K1668*0.1,2),ROUND(-K1668*0.1,2)))</f>
        <v>0</v>
      </c>
    </row>
    <row r="1669">
      <c r="A1669" t="inlineStr">
        <is>
          <t>INV-5206-1</t>
        </is>
      </c>
      <c r="B1669" t="inlineStr">
        <is>
          <t>INV-5206</t>
        </is>
      </c>
      <c r="C1669" s="11" t="n">
        <v>46087</v>
      </c>
      <c r="D1669" t="inlineStr">
        <is>
          <t>2026-03</t>
        </is>
      </c>
      <c r="E1669" t="inlineStr">
        <is>
          <t>C0037</t>
        </is>
      </c>
      <c r="F1669" t="inlineStr">
        <is>
          <t>C0037</t>
        </is>
      </c>
      <c r="G1669" t="inlineStr">
        <is>
          <t>Highpoint Constructions</t>
        </is>
      </c>
      <c r="H1669" t="inlineStr">
        <is>
          <t>S0237</t>
        </is>
      </c>
      <c r="I1669" t="inlineStr">
        <is>
          <t>Scaffold tower hire 4 wks (06/02/26-05/03/26) - 1 towers</t>
        </is>
      </c>
      <c r="J1669" t="n">
        <v>4</v>
      </c>
      <c r="K1669" s="9" t="n">
        <v>380</v>
      </c>
      <c r="L1669" t="inlineStr">
        <is>
          <t>PAID</t>
        </is>
      </c>
      <c r="M1669">
        <f>IF(L1669="VOIDED",0,1)</f>
        <v>1</v>
      </c>
      <c r="N1669" t="n">
        <v>260</v>
      </c>
      <c r="O1669" t="inlineStr">
        <is>
          <t>GST on Income</t>
        </is>
      </c>
      <c r="P1669" t="inlineStr">
        <is>
          <t>R05</t>
        </is>
      </c>
      <c r="Q1669" t="inlineStr">
        <is>
          <t>HIRE-ST</t>
        </is>
      </c>
      <c r="R1669">
        <f>IF(OR(Q1669="CONTEXT",Q1669="REVIEW"),"",INDEX('Category Rules'!$D$5:$D$17,MATCH(P1669,'Category Rules'!$A$5:$A$17,0)))</f>
        <v>4010</v>
      </c>
      <c r="S1669" t="str">
        <f>IF(Q1669="CONTEXT","Scaffolding",IF(Q1669="REVIEW","",INDEX('Category Rules'!$E$5:$E$17,MATCH(P1669,'Category Rules'!$A$5:$A$17,0))))</f>
        <v>Scaffolding</v>
      </c>
      <c r="T1669" t="str">
        <f>IF(Q1669="DEP","BAS Excluded","GST on Income")</f>
        <v>GST on Income</v>
      </c>
      <c r="U1669">
        <f>IF(O1669=T1669,1,0)</f>
        <v>1</v>
      </c>
      <c r="V1669" s="9">
        <f>IF(OR(M1669=0,U1669=1),0,IF(T1669="GST on Income",ROUND(K1669*0.1,2),ROUND(-K1669*0.1,2)))</f>
        <v>0</v>
      </c>
    </row>
    <row r="1670">
      <c r="A1670" t="inlineStr">
        <is>
          <t>INV-5291-1</t>
        </is>
      </c>
      <c r="B1670" t="inlineStr">
        <is>
          <t>INV-5291</t>
        </is>
      </c>
      <c r="C1670" s="11" t="n">
        <v>46087</v>
      </c>
      <c r="D1670" t="inlineStr">
        <is>
          <t>2026-03</t>
        </is>
      </c>
      <c r="E1670" t="inlineStr">
        <is>
          <t>C0095</t>
        </is>
      </c>
      <c r="F1670" t="inlineStr">
        <is>
          <t>C0095</t>
        </is>
      </c>
      <c r="G1670" t="inlineStr">
        <is>
          <t>Noah Singh</t>
        </is>
      </c>
      <c r="H1670" t="inlineStr">
        <is>
          <t>S0258</t>
        </is>
      </c>
      <c r="I1670" t="inlineStr">
        <is>
          <t>Scaffold tower hire 4 wks (06/02/26-05/03/26) - 2 towers</t>
        </is>
      </c>
      <c r="J1670" t="n">
        <v>8</v>
      </c>
      <c r="K1670" s="9" t="n">
        <v>760</v>
      </c>
      <c r="L1670" t="inlineStr">
        <is>
          <t>PAID</t>
        </is>
      </c>
      <c r="M1670">
        <f>IF(L1670="VOIDED",0,1)</f>
        <v>1</v>
      </c>
      <c r="N1670" t="n">
        <v>200</v>
      </c>
      <c r="O1670" t="inlineStr">
        <is>
          <t>GST on Income</t>
        </is>
      </c>
      <c r="P1670" t="inlineStr">
        <is>
          <t>R05</t>
        </is>
      </c>
      <c r="Q1670" t="inlineStr">
        <is>
          <t>HIRE-ST</t>
        </is>
      </c>
      <c r="R1670">
        <f>IF(OR(Q1670="CONTEXT",Q1670="REVIEW"),"",INDEX('Category Rules'!$D$5:$D$17,MATCH(P1670,'Category Rules'!$A$5:$A$17,0)))</f>
        <v>4010</v>
      </c>
      <c r="S1670" t="str">
        <f>IF(Q1670="CONTEXT","Scaffolding",IF(Q1670="REVIEW","",INDEX('Category Rules'!$E$5:$E$17,MATCH(P1670,'Category Rules'!$A$5:$A$17,0))))</f>
        <v>Scaffolding</v>
      </c>
      <c r="T1670" t="str">
        <f>IF(Q1670="DEP","BAS Excluded","GST on Income")</f>
        <v>GST on Income</v>
      </c>
      <c r="U1670">
        <f>IF(O1670=T1670,1,0)</f>
        <v>1</v>
      </c>
      <c r="V1670" s="9">
        <f>IF(OR(M1670=0,U1670=1),0,IF(T1670="GST on Income",ROUND(K1670*0.1,2),ROUND(-K1670*0.1,2)))</f>
        <v>0</v>
      </c>
    </row>
    <row r="1671">
      <c r="A1671" t="inlineStr">
        <is>
          <t>INV-5460-1</t>
        </is>
      </c>
      <c r="B1671" t="inlineStr">
        <is>
          <t>INV-5460</t>
        </is>
      </c>
      <c r="C1671" s="11" t="n">
        <v>46087</v>
      </c>
      <c r="D1671" t="inlineStr">
        <is>
          <t>2026-03</t>
        </is>
      </c>
      <c r="E1671" t="inlineStr">
        <is>
          <t>C0083</t>
        </is>
      </c>
      <c r="F1671" t="inlineStr">
        <is>
          <t>C0083</t>
        </is>
      </c>
      <c r="G1671" t="inlineStr">
        <is>
          <t>Noah Williams</t>
        </is>
      </c>
      <c r="H1671" t="inlineStr">
        <is>
          <t>S0302</t>
        </is>
      </c>
      <c r="I1671" t="inlineStr">
        <is>
          <t>Tarp kit hire 1 wks (05/03/26-05/03/26) - 2 kits</t>
        </is>
      </c>
      <c r="J1671" t="n">
        <v>2</v>
      </c>
      <c r="K1671" s="9" t="n">
        <v>70</v>
      </c>
      <c r="L1671" t="inlineStr">
        <is>
          <t>PAID</t>
        </is>
      </c>
      <c r="M1671">
        <f>IF(L1671="VOIDED",0,1)</f>
        <v>1</v>
      </c>
      <c r="N1671" t="n">
        <v>200</v>
      </c>
      <c r="O1671" t="inlineStr">
        <is>
          <t>GST on Income</t>
        </is>
      </c>
      <c r="P1671" t="inlineStr">
        <is>
          <t>R06</t>
        </is>
      </c>
      <c r="Q1671" t="inlineStr">
        <is>
          <t>HIRE-TK</t>
        </is>
      </c>
      <c r="R1671">
        <f>IF(OR(Q1671="CONTEXT",Q1671="REVIEW"),"",INDEX('Category Rules'!$D$5:$D$17,MATCH(P1671,'Category Rules'!$A$5:$A$17,0)))</f>
        <v>4010</v>
      </c>
      <c r="S1671" t="str">
        <f>IF(Q1671="CONTEXT","Make-safe",IF(Q1671="REVIEW","",INDEX('Category Rules'!$E$5:$E$17,MATCH(P1671,'Category Rules'!$A$5:$A$17,0))))</f>
        <v>Make-safe</v>
      </c>
      <c r="T1671" t="str">
        <f>IF(Q1671="DEP","BAS Excluded","GST on Income")</f>
        <v>GST on Income</v>
      </c>
      <c r="U1671">
        <f>IF(O1671=T1671,1,0)</f>
        <v>1</v>
      </c>
      <c r="V1671" s="9">
        <f>IF(OR(M1671=0,U1671=1),0,IF(T1671="GST on Income",ROUND(K1671*0.1,2),ROUND(-K1671*0.1,2)))</f>
        <v>0</v>
      </c>
    </row>
    <row r="1672">
      <c r="A1672" t="inlineStr">
        <is>
          <t>INV-5866-1</t>
        </is>
      </c>
      <c r="B1672" t="inlineStr">
        <is>
          <t>INV-5866</t>
        </is>
      </c>
      <c r="C1672" s="11" t="n">
        <v>46087</v>
      </c>
      <c r="D1672" t="inlineStr">
        <is>
          <t>2026-03</t>
        </is>
      </c>
      <c r="E1672" t="inlineStr">
        <is>
          <t>C0106</t>
        </is>
      </c>
      <c r="F1672" t="inlineStr">
        <is>
          <t>C0106</t>
        </is>
      </c>
      <c r="G1672" t="inlineStr">
        <is>
          <t>Ella Wilson</t>
        </is>
      </c>
      <c r="H1672" t="inlineStr">
        <is>
          <t>S0529</t>
        </is>
      </c>
      <c r="I1672" t="inlineStr">
        <is>
          <t>Tarp kit hire 3 wks (19/02/26-05/03/26) - 3 kits</t>
        </is>
      </c>
      <c r="J1672" t="n">
        <v>9</v>
      </c>
      <c r="K1672" s="9" t="n">
        <v>315</v>
      </c>
      <c r="L1672" t="inlineStr">
        <is>
          <t>PAID</t>
        </is>
      </c>
      <c r="M1672">
        <f>IF(L1672="VOIDED",0,1)</f>
        <v>1</v>
      </c>
      <c r="N1672" t="n">
        <v>200</v>
      </c>
      <c r="O1672" t="inlineStr">
        <is>
          <t>GST on Income</t>
        </is>
      </c>
      <c r="P1672" t="inlineStr">
        <is>
          <t>R06</t>
        </is>
      </c>
      <c r="Q1672" t="inlineStr">
        <is>
          <t>HIRE-TK</t>
        </is>
      </c>
      <c r="R1672">
        <f>IF(OR(Q1672="CONTEXT",Q1672="REVIEW"),"",INDEX('Category Rules'!$D$5:$D$17,MATCH(P1672,'Category Rules'!$A$5:$A$17,0)))</f>
        <v>4010</v>
      </c>
      <c r="S1672" t="str">
        <f>IF(Q1672="CONTEXT","Make-safe",IF(Q1672="REVIEW","",INDEX('Category Rules'!$E$5:$E$17,MATCH(P1672,'Category Rules'!$A$5:$A$17,0))))</f>
        <v>Make-safe</v>
      </c>
      <c r="T1672" t="str">
        <f>IF(Q1672="DEP","BAS Excluded","GST on Income")</f>
        <v>GST on Income</v>
      </c>
      <c r="U1672">
        <f>IF(O1672=T1672,1,0)</f>
        <v>1</v>
      </c>
      <c r="V1672" s="9">
        <f>IF(OR(M1672=0,U1672=1),0,IF(T1672="GST on Income",ROUND(K1672*0.1,2),ROUND(-K1672*0.1,2)))</f>
        <v>0</v>
      </c>
    </row>
    <row r="1673">
      <c r="A1673" t="inlineStr">
        <is>
          <t>INV-4534-1</t>
        </is>
      </c>
      <c r="B1673" t="inlineStr">
        <is>
          <t>INV-4534</t>
        </is>
      </c>
      <c r="C1673" s="11" t="n">
        <v>46088</v>
      </c>
      <c r="D1673" t="inlineStr">
        <is>
          <t>2026-03</t>
        </is>
      </c>
      <c r="E1673" t="inlineStr">
        <is>
          <t>C0133</t>
        </is>
      </c>
      <c r="F1673" t="inlineStr">
        <is>
          <t>C0014</t>
        </is>
      </c>
      <c r="G1673" t="inlineStr">
        <is>
          <t>Riverbend Homes Pty Ltd</t>
        </is>
      </c>
      <c r="H1673" t="inlineStr">
        <is>
          <t>S0087</t>
        </is>
      </c>
      <c r="I1673" t="inlineStr">
        <is>
          <t>Temporary fence hire 4 wks (07/02/26-06/03/26) - 101 panels</t>
        </is>
      </c>
      <c r="J1673" t="n">
        <v>404</v>
      </c>
      <c r="K1673" s="9" t="n">
        <v>1818</v>
      </c>
      <c r="L1673" t="inlineStr">
        <is>
          <t>PAID</t>
        </is>
      </c>
      <c r="M1673">
        <f>IF(L1673="VOIDED",0,1)</f>
        <v>1</v>
      </c>
      <c r="N1673" t="n">
        <v>260</v>
      </c>
      <c r="O1673" t="inlineStr">
        <is>
          <t>GST on Income</t>
        </is>
      </c>
      <c r="P1673" t="inlineStr">
        <is>
          <t>R03</t>
        </is>
      </c>
      <c r="Q1673" t="inlineStr">
        <is>
          <t>HIRE-FP</t>
        </is>
      </c>
      <c r="R1673">
        <f>IF(OR(Q1673="CONTEXT",Q1673="REVIEW"),"",INDEX('Category Rules'!$D$5:$D$17,MATCH(P1673,'Category Rules'!$A$5:$A$17,0)))</f>
        <v>4010</v>
      </c>
      <c r="S1673" t="str">
        <f>IF(Q1673="CONTEXT","Fencing",IF(Q1673="REVIEW","",INDEX('Category Rules'!$E$5:$E$17,MATCH(P1673,'Category Rules'!$A$5:$A$17,0))))</f>
        <v>Fencing</v>
      </c>
      <c r="T1673" t="str">
        <f>IF(Q1673="DEP","BAS Excluded","GST on Income")</f>
        <v>GST on Income</v>
      </c>
      <c r="U1673">
        <f>IF(O1673=T1673,1,0)</f>
        <v>1</v>
      </c>
      <c r="V1673" s="9">
        <f>IF(OR(M1673=0,U1673=1),0,IF(T1673="GST on Income",ROUND(K1673*0.1,2),ROUND(-K1673*0.1,2)))</f>
        <v>0</v>
      </c>
    </row>
    <row r="1674">
      <c r="A1674" t="inlineStr">
        <is>
          <t>INV-4535-1</t>
        </is>
      </c>
      <c r="B1674" t="inlineStr">
        <is>
          <t>INV-4535</t>
        </is>
      </c>
      <c r="C1674" s="11" t="n">
        <v>46088</v>
      </c>
      <c r="D1674" t="inlineStr">
        <is>
          <t>2026-03</t>
        </is>
      </c>
      <c r="E1674" t="inlineStr">
        <is>
          <t>C0133</t>
        </is>
      </c>
      <c r="F1674" t="inlineStr">
        <is>
          <t>C0014</t>
        </is>
      </c>
      <c r="G1674" t="inlineStr">
        <is>
          <t>Riverbend Homes Pty Ltd</t>
        </is>
      </c>
      <c r="H1674" t="inlineStr">
        <is>
          <t>S0087</t>
        </is>
      </c>
      <c r="I1674" t="inlineStr">
        <is>
          <t>Pedestrian barrier hire 4 wks (07/02/26-06/03/26) - 8 barriers</t>
        </is>
      </c>
      <c r="J1674" t="n">
        <v>32</v>
      </c>
      <c r="K1674" s="9" t="n">
        <v>102.4</v>
      </c>
      <c r="L1674" t="inlineStr">
        <is>
          <t>PAID</t>
        </is>
      </c>
      <c r="M1674">
        <f>IF(L1674="VOIDED",0,1)</f>
        <v>1</v>
      </c>
      <c r="N1674" t="n">
        <v>200</v>
      </c>
      <c r="O1674" t="inlineStr">
        <is>
          <t>GST on Income</t>
        </is>
      </c>
      <c r="P1674" t="inlineStr">
        <is>
          <t>R04</t>
        </is>
      </c>
      <c r="Q1674" t="inlineStr">
        <is>
          <t>HIRE-BR</t>
        </is>
      </c>
      <c r="R1674">
        <f>IF(OR(Q1674="CONTEXT",Q1674="REVIEW"),"",INDEX('Category Rules'!$D$5:$D$17,MATCH(P1674,'Category Rules'!$A$5:$A$17,0)))</f>
        <v>4010</v>
      </c>
      <c r="S1674" t="str">
        <f>IF(Q1674="CONTEXT","Fencing",IF(Q1674="REVIEW","",INDEX('Category Rules'!$E$5:$E$17,MATCH(P1674,'Category Rules'!$A$5:$A$17,0))))</f>
        <v>Fencing</v>
      </c>
      <c r="T1674" t="str">
        <f>IF(Q1674="DEP","BAS Excluded","GST on Income")</f>
        <v>GST on Income</v>
      </c>
      <c r="U1674">
        <f>IF(O1674=T1674,1,0)</f>
        <v>1</v>
      </c>
      <c r="V1674" s="9">
        <f>IF(OR(M1674=0,U1674=1),0,IF(T1674="GST on Income",ROUND(K1674*0.1,2),ROUND(-K1674*0.1,2)))</f>
        <v>0</v>
      </c>
    </row>
    <row r="1675">
      <c r="A1675" t="inlineStr">
        <is>
          <t>INV-4537-1</t>
        </is>
      </c>
      <c r="B1675" t="inlineStr">
        <is>
          <t>INV-4537</t>
        </is>
      </c>
      <c r="C1675" s="11" t="n">
        <v>46088</v>
      </c>
      <c r="D1675" t="inlineStr">
        <is>
          <t>2026-03</t>
        </is>
      </c>
      <c r="E1675" t="inlineStr">
        <is>
          <t>C0133</t>
        </is>
      </c>
      <c r="F1675" t="inlineStr">
        <is>
          <t>C0014</t>
        </is>
      </c>
      <c r="G1675" t="inlineStr">
        <is>
          <t>Riverbend Homes Pty Ltd</t>
        </is>
      </c>
      <c r="H1675" t="inlineStr">
        <is>
          <t>S0087</t>
        </is>
      </c>
      <c r="I1675" t="inlineStr">
        <is>
          <t>Collection and dismantle - temporary fencing</t>
        </is>
      </c>
      <c r="J1675" t="n">
        <v>1</v>
      </c>
      <c r="K1675" s="9" t="n">
        <v>165</v>
      </c>
      <c r="L1675" t="inlineStr">
        <is>
          <t>PAID</t>
        </is>
      </c>
      <c r="M1675">
        <f>IF(L1675="VOIDED",0,1)</f>
        <v>1</v>
      </c>
      <c r="N1675" t="n">
        <v>200</v>
      </c>
      <c r="O1675" t="inlineStr">
        <is>
          <t>GST on Income</t>
        </is>
      </c>
      <c r="P1675" t="inlineStr">
        <is>
          <t>R07</t>
        </is>
      </c>
      <c r="Q1675" t="inlineStr">
        <is>
          <t>DEL-FP</t>
        </is>
      </c>
      <c r="R1675">
        <f>IF(OR(Q1675="CONTEXT",Q1675="REVIEW"),"",INDEX('Category Rules'!$D$5:$D$17,MATCH(P1675,'Category Rules'!$A$5:$A$17,0)))</f>
        <v>4020</v>
      </c>
      <c r="S1675" t="str">
        <f>IF(Q1675="CONTEXT","Fencing",IF(Q1675="REVIEW","",INDEX('Category Rules'!$E$5:$E$17,MATCH(P1675,'Category Rules'!$A$5:$A$17,0))))</f>
        <v>Fencing</v>
      </c>
      <c r="T1675" t="str">
        <f>IF(Q1675="DEP","BAS Excluded","GST on Income")</f>
        <v>GST on Income</v>
      </c>
      <c r="U1675">
        <f>IF(O1675=T1675,1,0)</f>
        <v>1</v>
      </c>
      <c r="V1675" s="9">
        <f>IF(OR(M1675=0,U1675=1),0,IF(T1675="GST on Income",ROUND(K1675*0.1,2),ROUND(-K1675*0.1,2)))</f>
        <v>0</v>
      </c>
    </row>
    <row r="1676">
      <c r="A1676" t="inlineStr">
        <is>
          <t>INV-4537-2</t>
        </is>
      </c>
      <c r="B1676" t="inlineStr">
        <is>
          <t>INV-4537</t>
        </is>
      </c>
      <c r="C1676" s="11" t="n">
        <v>46088</v>
      </c>
      <c r="D1676" t="inlineStr">
        <is>
          <t>2026-03</t>
        </is>
      </c>
      <c r="E1676" t="inlineStr">
        <is>
          <t>C0133</t>
        </is>
      </c>
      <c r="F1676" t="inlineStr">
        <is>
          <t>C0014</t>
        </is>
      </c>
      <c r="G1676" t="inlineStr">
        <is>
          <t>Riverbend Homes Pty Ltd</t>
        </is>
      </c>
      <c r="H1676" t="inlineStr">
        <is>
          <t>S0087</t>
        </is>
      </c>
      <c r="I1676" t="inlineStr">
        <is>
          <t>Lost/damaged panels charged - 6 @ 145.00</t>
        </is>
      </c>
      <c r="J1676" t="n">
        <v>6</v>
      </c>
      <c r="K1676" s="9" t="n">
        <v>870</v>
      </c>
      <c r="L1676" t="inlineStr">
        <is>
          <t>PAID</t>
        </is>
      </c>
      <c r="M1676">
        <f>IF(L1676="VOIDED",0,1)</f>
        <v>1</v>
      </c>
      <c r="N1676" t="n">
        <v>200</v>
      </c>
      <c r="O1676" t="inlineStr">
        <is>
          <t>GST on Income</t>
        </is>
      </c>
      <c r="P1676" t="inlineStr">
        <is>
          <t>R02</t>
        </is>
      </c>
      <c r="Q1676" t="inlineStr">
        <is>
          <t>LOSS</t>
        </is>
      </c>
      <c r="R1676">
        <f>IF(OR(Q1676="CONTEXT",Q1676="REVIEW"),"",INDEX('Category Rules'!$D$5:$D$17,MATCH(P1676,'Category Rules'!$A$5:$A$17,0)))</f>
        <v>4040</v>
      </c>
      <c r="S1676" t="str">
        <f>IF(Q1676="CONTEXT","Fencing",IF(Q1676="REVIEW","",INDEX('Category Rules'!$E$5:$E$17,MATCH(P1676,'Category Rules'!$A$5:$A$17,0))))</f>
        <v>Fencing</v>
      </c>
      <c r="T1676" t="str">
        <f>IF(Q1676="DEP","BAS Excluded","GST on Income")</f>
        <v>GST on Income</v>
      </c>
      <c r="U1676">
        <f>IF(O1676=T1676,1,0)</f>
        <v>1</v>
      </c>
      <c r="V1676" s="9">
        <f>IF(OR(M1676=0,U1676=1),0,IF(T1676="GST on Income",ROUND(K1676*0.1,2),ROUND(-K1676*0.1,2)))</f>
        <v>0</v>
      </c>
    </row>
    <row r="1677">
      <c r="A1677" t="inlineStr">
        <is>
          <t>INV-4770-1</t>
        </is>
      </c>
      <c r="B1677" t="inlineStr">
        <is>
          <t>INV-4770</t>
        </is>
      </c>
      <c r="C1677" s="11" t="n">
        <v>46088</v>
      </c>
      <c r="D1677" t="inlineStr">
        <is>
          <t>2026-03</t>
        </is>
      </c>
      <c r="E1677" t="inlineStr">
        <is>
          <t>C0083</t>
        </is>
      </c>
      <c r="F1677" t="inlineStr">
        <is>
          <t>C0083</t>
        </is>
      </c>
      <c r="G1677" t="inlineStr">
        <is>
          <t>Noah Williams</t>
        </is>
      </c>
      <c r="H1677" t="inlineStr">
        <is>
          <t>S0143</t>
        </is>
      </c>
      <c r="I1677" t="inlineStr">
        <is>
          <t>Temporary fence hire 4 wks (07/02/26-06/03/26) - 140 panels</t>
        </is>
      </c>
      <c r="J1677" t="n">
        <v>560</v>
      </c>
      <c r="K1677" s="9" t="n">
        <v>2520</v>
      </c>
      <c r="L1677" t="inlineStr">
        <is>
          <t>PAID</t>
        </is>
      </c>
      <c r="M1677">
        <f>IF(L1677="VOIDED",0,1)</f>
        <v>1</v>
      </c>
      <c r="N1677" t="n">
        <v>200</v>
      </c>
      <c r="O1677" t="inlineStr">
        <is>
          <t>GST on Income</t>
        </is>
      </c>
      <c r="P1677" t="inlineStr">
        <is>
          <t>R03</t>
        </is>
      </c>
      <c r="Q1677" t="inlineStr">
        <is>
          <t>HIRE-FP</t>
        </is>
      </c>
      <c r="R1677">
        <f>IF(OR(Q1677="CONTEXT",Q1677="REVIEW"),"",INDEX('Category Rules'!$D$5:$D$17,MATCH(P1677,'Category Rules'!$A$5:$A$17,0)))</f>
        <v>4010</v>
      </c>
      <c r="S1677" t="str">
        <f>IF(Q1677="CONTEXT","Fencing",IF(Q1677="REVIEW","",INDEX('Category Rules'!$E$5:$E$17,MATCH(P1677,'Category Rules'!$A$5:$A$17,0))))</f>
        <v>Fencing</v>
      </c>
      <c r="T1677" t="str">
        <f>IF(Q1677="DEP","BAS Excluded","GST on Income")</f>
        <v>GST on Income</v>
      </c>
      <c r="U1677">
        <f>IF(O1677=T1677,1,0)</f>
        <v>1</v>
      </c>
      <c r="V1677" s="9">
        <f>IF(OR(M1677=0,U1677=1),0,IF(T1677="GST on Income",ROUND(K1677*0.1,2),ROUND(-K1677*0.1,2)))</f>
        <v>0</v>
      </c>
    </row>
    <row r="1678">
      <c r="A1678" t="inlineStr">
        <is>
          <t>INV-4829-1</t>
        </is>
      </c>
      <c r="B1678" t="inlineStr">
        <is>
          <t>INV-4829</t>
        </is>
      </c>
      <c r="C1678" s="11" t="n">
        <v>46088</v>
      </c>
      <c r="D1678" t="inlineStr">
        <is>
          <t>2026-03</t>
        </is>
      </c>
      <c r="E1678" t="inlineStr">
        <is>
          <t>C0072</t>
        </is>
      </c>
      <c r="F1678" t="inlineStr">
        <is>
          <t>C0072</t>
        </is>
      </c>
      <c r="G1678" t="inlineStr">
        <is>
          <t>Kingston City Council</t>
        </is>
      </c>
      <c r="H1678" t="inlineStr">
        <is>
          <t>S0157</t>
        </is>
      </c>
      <c r="I1678" t="inlineStr">
        <is>
          <t>Temporary fence hire 4 wks (07/02/26-06/03/26) - 145 panels</t>
        </is>
      </c>
      <c r="J1678" t="n">
        <v>580</v>
      </c>
      <c r="K1678" s="9" t="n">
        <v>2610</v>
      </c>
      <c r="L1678" t="inlineStr">
        <is>
          <t>PAID</t>
        </is>
      </c>
      <c r="M1678">
        <f>IF(L1678="VOIDED",0,1)</f>
        <v>1</v>
      </c>
      <c r="N1678" t="n">
        <v>260</v>
      </c>
      <c r="O1678" t="inlineStr">
        <is>
          <t>GST on Income</t>
        </is>
      </c>
      <c r="P1678" t="inlineStr">
        <is>
          <t>R03</t>
        </is>
      </c>
      <c r="Q1678" t="inlineStr">
        <is>
          <t>HIRE-FP</t>
        </is>
      </c>
      <c r="R1678">
        <f>IF(OR(Q1678="CONTEXT",Q1678="REVIEW"),"",INDEX('Category Rules'!$D$5:$D$17,MATCH(P1678,'Category Rules'!$A$5:$A$17,0)))</f>
        <v>4010</v>
      </c>
      <c r="S1678" t="str">
        <f>IF(Q1678="CONTEXT","Fencing",IF(Q1678="REVIEW","",INDEX('Category Rules'!$E$5:$E$17,MATCH(P1678,'Category Rules'!$A$5:$A$17,0))))</f>
        <v>Fencing</v>
      </c>
      <c r="T1678" t="str">
        <f>IF(Q1678="DEP","BAS Excluded","GST on Income")</f>
        <v>GST on Income</v>
      </c>
      <c r="U1678">
        <f>IF(O1678=T1678,1,0)</f>
        <v>1</v>
      </c>
      <c r="V1678" s="9">
        <f>IF(OR(M1678=0,U1678=1),0,IF(T1678="GST on Income",ROUND(K1678*0.1,2),ROUND(-K1678*0.1,2)))</f>
        <v>0</v>
      </c>
    </row>
    <row r="1679">
      <c r="A1679" t="inlineStr">
        <is>
          <t>INV-5228-1</t>
        </is>
      </c>
      <c r="B1679" t="inlineStr">
        <is>
          <t>INV-5228</t>
        </is>
      </c>
      <c r="C1679" s="11" t="n">
        <v>46088</v>
      </c>
      <c r="D1679" t="inlineStr">
        <is>
          <t>2026-03</t>
        </is>
      </c>
      <c r="E1679" t="inlineStr">
        <is>
          <t>C0010</t>
        </is>
      </c>
      <c r="F1679" t="inlineStr">
        <is>
          <t>C0010</t>
        </is>
      </c>
      <c r="G1679" t="inlineStr">
        <is>
          <t>Eastlink Developments</t>
        </is>
      </c>
      <c r="H1679" t="inlineStr">
        <is>
          <t>S0242</t>
        </is>
      </c>
      <c r="I1679" t="inlineStr">
        <is>
          <t>Scaffold erect - 4 tower(s)</t>
        </is>
      </c>
      <c r="J1679" t="n">
        <v>4</v>
      </c>
      <c r="K1679" s="9" t="n">
        <v>1680</v>
      </c>
      <c r="L1679" t="inlineStr">
        <is>
          <t>PAID</t>
        </is>
      </c>
      <c r="M1679">
        <f>IF(L1679="VOIDED",0,1)</f>
        <v>1</v>
      </c>
      <c r="N1679" t="n">
        <v>200</v>
      </c>
      <c r="O1679" t="inlineStr">
        <is>
          <t>GST on Income</t>
        </is>
      </c>
      <c r="P1679" t="inlineStr">
        <is>
          <t>R08</t>
        </is>
      </c>
      <c r="Q1679" t="inlineStr">
        <is>
          <t>LAB-ST</t>
        </is>
      </c>
      <c r="R1679">
        <f>IF(OR(Q1679="CONTEXT",Q1679="REVIEW"),"",INDEX('Category Rules'!$D$5:$D$17,MATCH(P1679,'Category Rules'!$A$5:$A$17,0)))</f>
        <v>4020</v>
      </c>
      <c r="S1679" t="str">
        <f>IF(Q1679="CONTEXT","Scaffolding",IF(Q1679="REVIEW","",INDEX('Category Rules'!$E$5:$E$17,MATCH(P1679,'Category Rules'!$A$5:$A$17,0))))</f>
        <v>Scaffolding</v>
      </c>
      <c r="T1679" t="str">
        <f>IF(Q1679="DEP","BAS Excluded","GST on Income")</f>
        <v>GST on Income</v>
      </c>
      <c r="U1679">
        <f>IF(O1679=T1679,1,0)</f>
        <v>1</v>
      </c>
      <c r="V1679" s="9">
        <f>IF(OR(M1679=0,U1679=1),0,IF(T1679="GST on Income",ROUND(K1679*0.1,2),ROUND(-K1679*0.1,2)))</f>
        <v>0</v>
      </c>
    </row>
    <row r="1680">
      <c r="A1680" t="inlineStr">
        <is>
          <t>INV-5314-1</t>
        </is>
      </c>
      <c r="B1680" t="inlineStr">
        <is>
          <t>INV-5314</t>
        </is>
      </c>
      <c r="C1680" s="11" t="n">
        <v>46088</v>
      </c>
      <c r="D1680" t="inlineStr">
        <is>
          <t>2026-03</t>
        </is>
      </c>
      <c r="E1680" t="inlineStr">
        <is>
          <t>C0014</t>
        </is>
      </c>
      <c r="F1680" t="inlineStr">
        <is>
          <t>C0014</t>
        </is>
      </c>
      <c r="G1680" t="inlineStr">
        <is>
          <t>Riverbend Homes Pty Ltd</t>
        </is>
      </c>
      <c r="H1680" t="inlineStr">
        <is>
          <t>S0263</t>
        </is>
      </c>
      <c r="I1680" t="inlineStr">
        <is>
          <t>Scaffold tower hire 4 wks (07/02/26-06/03/26) - 3 towers</t>
        </is>
      </c>
      <c r="J1680" t="n">
        <v>12</v>
      </c>
      <c r="K1680" s="9" t="n">
        <v>1140</v>
      </c>
      <c r="L1680" t="inlineStr">
        <is>
          <t>PAID</t>
        </is>
      </c>
      <c r="M1680">
        <f>IF(L1680="VOIDED",0,1)</f>
        <v>1</v>
      </c>
      <c r="N1680" t="n">
        <v>200</v>
      </c>
      <c r="O1680" t="inlineStr">
        <is>
          <t>GST on Income</t>
        </is>
      </c>
      <c r="P1680" t="inlineStr">
        <is>
          <t>R05</t>
        </is>
      </c>
      <c r="Q1680" t="inlineStr">
        <is>
          <t>HIRE-ST</t>
        </is>
      </c>
      <c r="R1680">
        <f>IF(OR(Q1680="CONTEXT",Q1680="REVIEW"),"",INDEX('Category Rules'!$D$5:$D$17,MATCH(P1680,'Category Rules'!$A$5:$A$17,0)))</f>
        <v>4010</v>
      </c>
      <c r="S1680" t="str">
        <f>IF(Q1680="CONTEXT","Scaffolding",IF(Q1680="REVIEW","",INDEX('Category Rules'!$E$5:$E$17,MATCH(P1680,'Category Rules'!$A$5:$A$17,0))))</f>
        <v>Scaffolding</v>
      </c>
      <c r="T1680" t="str">
        <f>IF(Q1680="DEP","BAS Excluded","GST on Income")</f>
        <v>GST on Income</v>
      </c>
      <c r="U1680">
        <f>IF(O1680=T1680,1,0)</f>
        <v>1</v>
      </c>
      <c r="V1680" s="9">
        <f>IF(OR(M1680=0,U1680=1),0,IF(T1680="GST on Income",ROUND(K1680*0.1,2),ROUND(-K1680*0.1,2)))</f>
        <v>0</v>
      </c>
    </row>
    <row r="1681">
      <c r="A1681" t="inlineStr">
        <is>
          <t>INV-4573-1</t>
        </is>
      </c>
      <c r="B1681" t="inlineStr">
        <is>
          <t>INV-4573</t>
        </is>
      </c>
      <c r="C1681" s="11" t="n">
        <v>46089</v>
      </c>
      <c r="D1681" t="inlineStr">
        <is>
          <t>2026-03</t>
        </is>
      </c>
      <c r="E1681" t="inlineStr">
        <is>
          <t>C0143</t>
        </is>
      </c>
      <c r="F1681" t="inlineStr">
        <is>
          <t>C0043</t>
        </is>
      </c>
      <c r="G1681" t="inlineStr">
        <is>
          <t>Banksia Projects Pty Ltd</t>
        </is>
      </c>
      <c r="H1681" t="inlineStr">
        <is>
          <t>S0095</t>
        </is>
      </c>
      <c r="I1681" t="inlineStr">
        <is>
          <t>Temporary fence hire 4 wks (08/02/26-07/03/26) - 129 panels</t>
        </is>
      </c>
      <c r="J1681" t="n">
        <v>516</v>
      </c>
      <c r="K1681" s="9" t="n">
        <v>2322</v>
      </c>
      <c r="L1681" t="inlineStr">
        <is>
          <t>PAID</t>
        </is>
      </c>
      <c r="M1681">
        <f>IF(L1681="VOIDED",0,1)</f>
        <v>1</v>
      </c>
      <c r="N1681" t="n">
        <v>200</v>
      </c>
      <c r="O1681" t="inlineStr">
        <is>
          <t>GST on Income</t>
        </is>
      </c>
      <c r="P1681" t="inlineStr">
        <is>
          <t>R03</t>
        </is>
      </c>
      <c r="Q1681" t="inlineStr">
        <is>
          <t>HIRE-FP</t>
        </is>
      </c>
      <c r="R1681">
        <f>IF(OR(Q1681="CONTEXT",Q1681="REVIEW"),"",INDEX('Category Rules'!$D$5:$D$17,MATCH(P1681,'Category Rules'!$A$5:$A$17,0)))</f>
        <v>4010</v>
      </c>
      <c r="S1681" t="str">
        <f>IF(Q1681="CONTEXT","Fencing",IF(Q1681="REVIEW","",INDEX('Category Rules'!$E$5:$E$17,MATCH(P1681,'Category Rules'!$A$5:$A$17,0))))</f>
        <v>Fencing</v>
      </c>
      <c r="T1681" t="str">
        <f>IF(Q1681="DEP","BAS Excluded","GST on Income")</f>
        <v>GST on Income</v>
      </c>
      <c r="U1681">
        <f>IF(O1681=T1681,1,0)</f>
        <v>1</v>
      </c>
      <c r="V1681" s="9">
        <f>IF(OR(M1681=0,U1681=1),0,IF(T1681="GST on Income",ROUND(K1681*0.1,2),ROUND(-K1681*0.1,2)))</f>
        <v>0</v>
      </c>
    </row>
    <row r="1682">
      <c r="A1682" t="inlineStr">
        <is>
          <t>INV-5315-1</t>
        </is>
      </c>
      <c r="B1682" t="inlineStr">
        <is>
          <t>INV-5315</t>
        </is>
      </c>
      <c r="C1682" s="11" t="n">
        <v>46089</v>
      </c>
      <c r="D1682" t="inlineStr">
        <is>
          <t>2026-03</t>
        </is>
      </c>
      <c r="E1682" t="inlineStr">
        <is>
          <t>C0133</t>
        </is>
      </c>
      <c r="F1682" t="inlineStr">
        <is>
          <t>C0014</t>
        </is>
      </c>
      <c r="G1682" t="inlineStr">
        <is>
          <t>Riverbend Homes Pty Ltd</t>
        </is>
      </c>
      <c r="H1682" t="inlineStr">
        <is>
          <t>S0263</t>
        </is>
      </c>
      <c r="I1682" t="inlineStr">
        <is>
          <t>Scaffold tower hire 1 wks (07/03/26-07/03/26) - 3 towers</t>
        </is>
      </c>
      <c r="J1682" t="n">
        <v>3</v>
      </c>
      <c r="K1682" s="9" t="n">
        <v>285</v>
      </c>
      <c r="L1682" t="inlineStr">
        <is>
          <t>PAID</t>
        </is>
      </c>
      <c r="M1682">
        <f>IF(L1682="VOIDED",0,1)</f>
        <v>1</v>
      </c>
      <c r="N1682" t="n">
        <v>200</v>
      </c>
      <c r="O1682" t="inlineStr">
        <is>
          <t>GST Free Income</t>
        </is>
      </c>
      <c r="P1682" t="inlineStr">
        <is>
          <t>R05</t>
        </is>
      </c>
      <c r="Q1682" t="inlineStr">
        <is>
          <t>HIRE-ST</t>
        </is>
      </c>
      <c r="R1682">
        <f>IF(OR(Q1682="CONTEXT",Q1682="REVIEW"),"",INDEX('Category Rules'!$D$5:$D$17,MATCH(P1682,'Category Rules'!$A$5:$A$17,0)))</f>
        <v>4010</v>
      </c>
      <c r="S1682" t="str">
        <f>IF(Q1682="CONTEXT","Scaffolding",IF(Q1682="REVIEW","",INDEX('Category Rules'!$E$5:$E$17,MATCH(P1682,'Category Rules'!$A$5:$A$17,0))))</f>
        <v>Scaffolding</v>
      </c>
      <c r="T1682" t="str">
        <f>IF(Q1682="DEP","BAS Excluded","GST on Income")</f>
        <v>GST on Income</v>
      </c>
      <c r="U1682">
        <f>IF(O1682=T1682,1,0)</f>
        <v>0</v>
      </c>
      <c r="V1682" s="9">
        <f>IF(OR(M1682=0,U1682=1),0,IF(T1682="GST on Income",ROUND(K1682*0.1,2),ROUND(-K1682*0.1,2)))</f>
        <v>28.5</v>
      </c>
    </row>
    <row r="1683">
      <c r="A1683" t="inlineStr">
        <is>
          <t>INV-5317-1</t>
        </is>
      </c>
      <c r="B1683" t="inlineStr">
        <is>
          <t>INV-5317</t>
        </is>
      </c>
      <c r="C1683" s="11" t="n">
        <v>46089</v>
      </c>
      <c r="D1683" t="inlineStr">
        <is>
          <t>2026-03</t>
        </is>
      </c>
      <c r="E1683" t="inlineStr">
        <is>
          <t>C0014</t>
        </is>
      </c>
      <c r="F1683" t="inlineStr">
        <is>
          <t>C0014</t>
        </is>
      </c>
      <c r="G1683" t="inlineStr">
        <is>
          <t>Riverbend Homes Pty Ltd</t>
        </is>
      </c>
      <c r="H1683" t="inlineStr">
        <is>
          <t>S0263</t>
        </is>
      </c>
      <c r="I1683" t="inlineStr">
        <is>
          <t>Scaffold dismantle - 3 tower(s)</t>
        </is>
      </c>
      <c r="J1683" t="n">
        <v>3</v>
      </c>
      <c r="K1683" s="9" t="n">
        <v>960</v>
      </c>
      <c r="L1683" t="inlineStr">
        <is>
          <t>PAID</t>
        </is>
      </c>
      <c r="M1683">
        <f>IF(L1683="VOIDED",0,1)</f>
        <v>1</v>
      </c>
      <c r="N1683" t="n">
        <v>260</v>
      </c>
      <c r="O1683" t="inlineStr">
        <is>
          <t>GST on Income</t>
        </is>
      </c>
      <c r="P1683" t="inlineStr">
        <is>
          <t>R08</t>
        </is>
      </c>
      <c r="Q1683" t="inlineStr">
        <is>
          <t>LAB-ST</t>
        </is>
      </c>
      <c r="R1683">
        <f>IF(OR(Q1683="CONTEXT",Q1683="REVIEW"),"",INDEX('Category Rules'!$D$5:$D$17,MATCH(P1683,'Category Rules'!$A$5:$A$17,0)))</f>
        <v>4020</v>
      </c>
      <c r="S1683" t="str">
        <f>IF(Q1683="CONTEXT","Scaffolding",IF(Q1683="REVIEW","",INDEX('Category Rules'!$E$5:$E$17,MATCH(P1683,'Category Rules'!$A$5:$A$17,0))))</f>
        <v>Scaffolding</v>
      </c>
      <c r="T1683" t="str">
        <f>IF(Q1683="DEP","BAS Excluded","GST on Income")</f>
        <v>GST on Income</v>
      </c>
      <c r="U1683">
        <f>IF(O1683=T1683,1,0)</f>
        <v>1</v>
      </c>
      <c r="V1683" s="9">
        <f>IF(OR(M1683=0,U1683=1),0,IF(T1683="GST on Income",ROUND(K1683*0.1,2),ROUND(-K1683*0.1,2)))</f>
        <v>0</v>
      </c>
    </row>
    <row r="1684">
      <c r="A1684" t="inlineStr">
        <is>
          <t>INV-4806-1</t>
        </is>
      </c>
      <c r="B1684" t="inlineStr">
        <is>
          <t>INV-4806</t>
        </is>
      </c>
      <c r="C1684" s="11" t="n">
        <v>46090</v>
      </c>
      <c r="D1684" t="inlineStr">
        <is>
          <t>2026-03</t>
        </is>
      </c>
      <c r="E1684" t="inlineStr">
        <is>
          <t>C0143</t>
        </is>
      </c>
      <c r="F1684" t="inlineStr">
        <is>
          <t>C0043</t>
        </is>
      </c>
      <c r="G1684" t="inlineStr">
        <is>
          <t>Banksia Projects Pty Ltd</t>
        </is>
      </c>
      <c r="H1684" t="inlineStr">
        <is>
          <t>S0151</t>
        </is>
      </c>
      <c r="I1684" t="inlineStr">
        <is>
          <t>Temporary fence hire 4 wks (09/02/26-08/03/26) - 87 panels</t>
        </is>
      </c>
      <c r="J1684" t="n">
        <v>348</v>
      </c>
      <c r="K1684" s="9" t="n">
        <v>1566</v>
      </c>
      <c r="L1684" t="inlineStr">
        <is>
          <t>PAID</t>
        </is>
      </c>
      <c r="M1684">
        <f>IF(L1684="VOIDED",0,1)</f>
        <v>1</v>
      </c>
      <c r="N1684" t="n">
        <v>200</v>
      </c>
      <c r="O1684" t="inlineStr">
        <is>
          <t>GST on Income</t>
        </is>
      </c>
      <c r="P1684" t="inlineStr">
        <is>
          <t>R03</t>
        </is>
      </c>
      <c r="Q1684" t="inlineStr">
        <is>
          <t>HIRE-FP</t>
        </is>
      </c>
      <c r="R1684">
        <f>IF(OR(Q1684="CONTEXT",Q1684="REVIEW"),"",INDEX('Category Rules'!$D$5:$D$17,MATCH(P1684,'Category Rules'!$A$5:$A$17,0)))</f>
        <v>4010</v>
      </c>
      <c r="S1684" t="str">
        <f>IF(Q1684="CONTEXT","Fencing",IF(Q1684="REVIEW","",INDEX('Category Rules'!$E$5:$E$17,MATCH(P1684,'Category Rules'!$A$5:$A$17,0))))</f>
        <v>Fencing</v>
      </c>
      <c r="T1684" t="str">
        <f>IF(Q1684="DEP","BAS Excluded","GST on Income")</f>
        <v>GST on Income</v>
      </c>
      <c r="U1684">
        <f>IF(O1684=T1684,1,0)</f>
        <v>1</v>
      </c>
      <c r="V1684" s="9">
        <f>IF(OR(M1684=0,U1684=1),0,IF(T1684="GST on Income",ROUND(K1684*0.1,2),ROUND(-K1684*0.1,2)))</f>
        <v>0</v>
      </c>
    </row>
    <row r="1685">
      <c r="A1685" t="inlineStr">
        <is>
          <t>INV-5377-1</t>
        </is>
      </c>
      <c r="B1685" t="inlineStr">
        <is>
          <t>INV-5377</t>
        </is>
      </c>
      <c r="C1685" s="11" t="n">
        <v>46090</v>
      </c>
      <c r="D1685" t="inlineStr">
        <is>
          <t>2026-03</t>
        </is>
      </c>
      <c r="E1685" t="inlineStr">
        <is>
          <t>C0047</t>
        </is>
      </c>
      <c r="F1685" t="inlineStr">
        <is>
          <t>C0047</t>
        </is>
      </c>
      <c r="G1685" t="inlineStr">
        <is>
          <t>Fairway Owners Corporation Services</t>
        </is>
      </c>
      <c r="H1685" t="inlineStr">
        <is>
          <t>S0278</t>
        </is>
      </c>
      <c r="I1685" t="inlineStr">
        <is>
          <t>Scaffold tower hire 4 wks (09/02/26-08/03/26) - 2 towers</t>
        </is>
      </c>
      <c r="J1685" t="n">
        <v>8</v>
      </c>
      <c r="K1685" s="9" t="n">
        <v>760</v>
      </c>
      <c r="L1685" t="inlineStr">
        <is>
          <t>PAID</t>
        </is>
      </c>
      <c r="M1685">
        <f>IF(L1685="VOIDED",0,1)</f>
        <v>1</v>
      </c>
      <c r="N1685" t="n">
        <v>200</v>
      </c>
      <c r="O1685" t="inlineStr">
        <is>
          <t>GST on Income</t>
        </is>
      </c>
      <c r="P1685" t="inlineStr">
        <is>
          <t>R05</t>
        </is>
      </c>
      <c r="Q1685" t="inlineStr">
        <is>
          <t>HIRE-ST</t>
        </is>
      </c>
      <c r="R1685">
        <f>IF(OR(Q1685="CONTEXT",Q1685="REVIEW"),"",INDEX('Category Rules'!$D$5:$D$17,MATCH(P1685,'Category Rules'!$A$5:$A$17,0)))</f>
        <v>4010</v>
      </c>
      <c r="S1685" t="str">
        <f>IF(Q1685="CONTEXT","Scaffolding",IF(Q1685="REVIEW","",INDEX('Category Rules'!$E$5:$E$17,MATCH(P1685,'Category Rules'!$A$5:$A$17,0))))</f>
        <v>Scaffolding</v>
      </c>
      <c r="T1685" t="str">
        <f>IF(Q1685="DEP","BAS Excluded","GST on Income")</f>
        <v>GST on Income</v>
      </c>
      <c r="U1685">
        <f>IF(O1685=T1685,1,0)</f>
        <v>1</v>
      </c>
      <c r="V1685" s="9">
        <f>IF(OR(M1685=0,U1685=1),0,IF(T1685="GST on Income",ROUND(K1685*0.1,2),ROUND(-K1685*0.1,2)))</f>
        <v>0</v>
      </c>
    </row>
    <row r="1686">
      <c r="A1686" t="inlineStr">
        <is>
          <t>INV-5669-1</t>
        </is>
      </c>
      <c r="B1686" t="inlineStr">
        <is>
          <t>INV-5669</t>
        </is>
      </c>
      <c r="C1686" s="11" t="n">
        <v>46090</v>
      </c>
      <c r="D1686" t="inlineStr">
        <is>
          <t>2026-03</t>
        </is>
      </c>
      <c r="E1686" t="inlineStr">
        <is>
          <t>C0057</t>
        </is>
      </c>
      <c r="F1686" t="inlineStr">
        <is>
          <t>C0057</t>
        </is>
      </c>
      <c r="G1686" t="inlineStr">
        <is>
          <t>Ashford Owners Corporation Services</t>
        </is>
      </c>
      <c r="H1686" t="inlineStr">
        <is>
          <t>S0418</t>
        </is>
      </c>
      <c r="I1686" t="inlineStr">
        <is>
          <t>Make safe call-out</t>
        </is>
      </c>
      <c r="J1686" t="n">
        <v>1</v>
      </c>
      <c r="K1686" s="9" t="n">
        <v>385</v>
      </c>
      <c r="L1686" t="inlineStr">
        <is>
          <t>PAID</t>
        </is>
      </c>
      <c r="M1686">
        <f>IF(L1686="VOIDED",0,1)</f>
        <v>1</v>
      </c>
      <c r="N1686" t="n">
        <v>200</v>
      </c>
      <c r="O1686" t="inlineStr">
        <is>
          <t>GST on Income</t>
        </is>
      </c>
      <c r="P1686" t="inlineStr">
        <is>
          <t>R09</t>
        </is>
      </c>
      <c r="Q1686" t="inlineStr">
        <is>
          <t>MS</t>
        </is>
      </c>
      <c r="R1686">
        <f>IF(OR(Q1686="CONTEXT",Q1686="REVIEW"),"",INDEX('Category Rules'!$D$5:$D$17,MATCH(P1686,'Category Rules'!$A$5:$A$17,0)))</f>
        <v>4020</v>
      </c>
      <c r="S1686" t="str">
        <f>IF(Q1686="CONTEXT","Make-safe",IF(Q1686="REVIEW","",INDEX('Category Rules'!$E$5:$E$17,MATCH(P1686,'Category Rules'!$A$5:$A$17,0))))</f>
        <v>Make-safe</v>
      </c>
      <c r="T1686" t="str">
        <f>IF(Q1686="DEP","BAS Excluded","GST on Income")</f>
        <v>GST on Income</v>
      </c>
      <c r="U1686">
        <f>IF(O1686=T1686,1,0)</f>
        <v>1</v>
      </c>
      <c r="V1686" s="9">
        <f>IF(OR(M1686=0,U1686=1),0,IF(T1686="GST on Income",ROUND(K1686*0.1,2),ROUND(-K1686*0.1,2)))</f>
        <v>0</v>
      </c>
    </row>
    <row r="1687">
      <c r="A1687" t="inlineStr">
        <is>
          <t>INV-5919-1</t>
        </is>
      </c>
      <c r="B1687" t="inlineStr">
        <is>
          <t>INV-5919</t>
        </is>
      </c>
      <c r="C1687" s="11" t="n">
        <v>46090</v>
      </c>
      <c r="D1687" t="inlineStr">
        <is>
          <t>2026-03</t>
        </is>
      </c>
      <c r="E1687" t="inlineStr">
        <is>
          <t>C0046</t>
        </is>
      </c>
      <c r="F1687" t="inlineStr">
        <is>
          <t>C0046</t>
        </is>
      </c>
      <c r="G1687" t="inlineStr">
        <is>
          <t>Bayside Owners Corporation Services Pty Ltd</t>
        </is>
      </c>
      <c r="H1687" t="inlineStr">
        <is>
          <t>S0360</t>
        </is>
      </c>
      <c r="I1687" t="inlineStr">
        <is>
          <t>As per quote Q-3163</t>
        </is>
      </c>
      <c r="J1687" t="n">
        <v>1</v>
      </c>
      <c r="K1687" s="9" t="n">
        <v>3119.58</v>
      </c>
      <c r="L1687" t="inlineStr">
        <is>
          <t>PAID</t>
        </is>
      </c>
      <c r="M1687">
        <f>IF(L1687="VOIDED",0,1)</f>
        <v>1</v>
      </c>
      <c r="N1687" t="n">
        <v>200</v>
      </c>
      <c r="O1687" t="inlineStr">
        <is>
          <t>GST on Income</t>
        </is>
      </c>
      <c r="P1687" t="inlineStr">
        <is>
          <t>R12</t>
        </is>
      </c>
      <c r="Q1687" t="inlineStr">
        <is>
          <t>CONTEXT</t>
        </is>
      </c>
      <c r="R1687">
        <f>IF(OR(Q1687="CONTEXT",Q1687="REVIEW"),"",INDEX('Category Rules'!$D$5:$D$17,MATCH(P1687,'Category Rules'!$A$5:$A$17,0)))</f>
      </c>
      <c r="S1687" t="str">
        <f>IF(Q1687="CONTEXT","Roofing",IF(Q1687="REVIEW","",INDEX('Category Rules'!$E$5:$E$17,MATCH(P1687,'Category Rules'!$A$5:$A$17,0))))</f>
        <v>Roofing</v>
      </c>
      <c r="T1687" t="str">
        <f>IF(Q1687="DEP","BAS Excluded","GST on Income")</f>
        <v>GST on Income</v>
      </c>
      <c r="U1687">
        <f>IF(O1687=T1687,1,0)</f>
        <v>1</v>
      </c>
      <c r="V1687" s="9">
        <f>IF(OR(M1687=0,U1687=1),0,IF(T1687="GST on Income",ROUND(K1687*0.1,2),ROUND(-K1687*0.1,2)))</f>
        <v>0</v>
      </c>
    </row>
    <row r="1688">
      <c r="A1688" t="inlineStr">
        <is>
          <t>INV-4497-1</t>
        </is>
      </c>
      <c r="B1688" t="inlineStr">
        <is>
          <t>INV-4497</t>
        </is>
      </c>
      <c r="C1688" s="11" t="n">
        <v>46091</v>
      </c>
      <c r="D1688" t="inlineStr">
        <is>
          <t>2026-03</t>
        </is>
      </c>
      <c r="E1688" t="inlineStr">
        <is>
          <t>C0070</t>
        </is>
      </c>
      <c r="F1688" t="inlineStr">
        <is>
          <t>C0070</t>
        </is>
      </c>
      <c r="G1688" t="inlineStr">
        <is>
          <t>Banyule City Council</t>
        </is>
      </c>
      <c r="H1688" t="inlineStr">
        <is>
          <t>S0082</t>
        </is>
      </c>
      <c r="I1688" t="inlineStr">
        <is>
          <t>Temporary fence hire 4 wks (10/02/26-09/03/26) - 158 panels</t>
        </is>
      </c>
      <c r="J1688" t="n">
        <v>632</v>
      </c>
      <c r="K1688" s="9" t="n">
        <v>2844</v>
      </c>
      <c r="L1688" t="inlineStr">
        <is>
          <t>PAID</t>
        </is>
      </c>
      <c r="M1688">
        <f>IF(L1688="VOIDED",0,1)</f>
        <v>1</v>
      </c>
      <c r="N1688" t="n">
        <v>200</v>
      </c>
      <c r="O1688" t="inlineStr">
        <is>
          <t>GST on Income</t>
        </is>
      </c>
      <c r="P1688" t="inlineStr">
        <is>
          <t>R03</t>
        </is>
      </c>
      <c r="Q1688" t="inlineStr">
        <is>
          <t>HIRE-FP</t>
        </is>
      </c>
      <c r="R1688">
        <f>IF(OR(Q1688="CONTEXT",Q1688="REVIEW"),"",INDEX('Category Rules'!$D$5:$D$17,MATCH(P1688,'Category Rules'!$A$5:$A$17,0)))</f>
        <v>4010</v>
      </c>
      <c r="S1688" t="str">
        <f>IF(Q1688="CONTEXT","Fencing",IF(Q1688="REVIEW","",INDEX('Category Rules'!$E$5:$E$17,MATCH(P1688,'Category Rules'!$A$5:$A$17,0))))</f>
        <v>Fencing</v>
      </c>
      <c r="T1688" t="str">
        <f>IF(Q1688="DEP","BAS Excluded","GST on Income")</f>
        <v>GST on Income</v>
      </c>
      <c r="U1688">
        <f>IF(O1688=T1688,1,0)</f>
        <v>1</v>
      </c>
      <c r="V1688" s="9">
        <f>IF(OR(M1688=0,U1688=1),0,IF(T1688="GST on Income",ROUND(K1688*0.1,2),ROUND(-K1688*0.1,2)))</f>
        <v>0</v>
      </c>
    </row>
    <row r="1689">
      <c r="A1689" t="inlineStr">
        <is>
          <t>INV-4957-1</t>
        </is>
      </c>
      <c r="B1689" t="inlineStr">
        <is>
          <t>INV-4957</t>
        </is>
      </c>
      <c r="C1689" s="11" t="n">
        <v>46091</v>
      </c>
      <c r="D1689" t="inlineStr">
        <is>
          <t>2026-03</t>
        </is>
      </c>
      <c r="E1689" t="inlineStr">
        <is>
          <t>C0022</t>
        </is>
      </c>
      <c r="F1689" t="inlineStr">
        <is>
          <t>C0022</t>
        </is>
      </c>
      <c r="G1689" t="inlineStr">
        <is>
          <t>Highpoint Projects</t>
        </is>
      </c>
      <c r="H1689" t="inlineStr">
        <is>
          <t>S0182</t>
        </is>
      </c>
      <c r="I1689" t="inlineStr">
        <is>
          <t>Temporary fence hire 4 wks (10/02/26-09/03/26) - 111 panels</t>
        </is>
      </c>
      <c r="J1689" t="n">
        <v>444</v>
      </c>
      <c r="K1689" s="9" t="n">
        <v>1998</v>
      </c>
      <c r="L1689" t="inlineStr">
        <is>
          <t>PAID</t>
        </is>
      </c>
      <c r="M1689">
        <f>IF(L1689="VOIDED",0,1)</f>
        <v>1</v>
      </c>
      <c r="N1689" t="n">
        <v>200</v>
      </c>
      <c r="O1689" t="inlineStr">
        <is>
          <t>GST on Income</t>
        </is>
      </c>
      <c r="P1689" t="inlineStr">
        <is>
          <t>R03</t>
        </is>
      </c>
      <c r="Q1689" t="inlineStr">
        <is>
          <t>HIRE-FP</t>
        </is>
      </c>
      <c r="R1689">
        <f>IF(OR(Q1689="CONTEXT",Q1689="REVIEW"),"",INDEX('Category Rules'!$D$5:$D$17,MATCH(P1689,'Category Rules'!$A$5:$A$17,0)))</f>
        <v>4010</v>
      </c>
      <c r="S1689" t="str">
        <f>IF(Q1689="CONTEXT","Fencing",IF(Q1689="REVIEW","",INDEX('Category Rules'!$E$5:$E$17,MATCH(P1689,'Category Rules'!$A$5:$A$17,0))))</f>
        <v>Fencing</v>
      </c>
      <c r="T1689" t="str">
        <f>IF(Q1689="DEP","BAS Excluded","GST on Income")</f>
        <v>GST on Income</v>
      </c>
      <c r="U1689">
        <f>IF(O1689=T1689,1,0)</f>
        <v>1</v>
      </c>
      <c r="V1689" s="9">
        <f>IF(OR(M1689=0,U1689=1),0,IF(T1689="GST on Income",ROUND(K1689*0.1,2),ROUND(-K1689*0.1,2)))</f>
        <v>0</v>
      </c>
    </row>
    <row r="1690">
      <c r="A1690" t="inlineStr">
        <is>
          <t>INV-5070-1</t>
        </is>
      </c>
      <c r="B1690" t="inlineStr">
        <is>
          <t>INV-5070</t>
        </is>
      </c>
      <c r="C1690" s="11" t="n">
        <v>46091</v>
      </c>
      <c r="D1690" t="inlineStr">
        <is>
          <t>2026-03</t>
        </is>
      </c>
      <c r="E1690" t="inlineStr">
        <is>
          <t>C0054</t>
        </is>
      </c>
      <c r="F1690" t="inlineStr">
        <is>
          <t>C0054</t>
        </is>
      </c>
      <c r="G1690" t="inlineStr">
        <is>
          <t>Westside Strata Management Pty Ltd</t>
        </is>
      </c>
      <c r="H1690" t="inlineStr">
        <is>
          <t>S0208</t>
        </is>
      </c>
      <c r="I1690" t="inlineStr">
        <is>
          <t>Temporary fence hire 4 wks (10/02/26-09/03/26) - 72 panels</t>
        </is>
      </c>
      <c r="J1690" t="n">
        <v>288</v>
      </c>
      <c r="K1690" s="9" t="n">
        <v>1296</v>
      </c>
      <c r="L1690" t="inlineStr">
        <is>
          <t>PAID</t>
        </is>
      </c>
      <c r="M1690">
        <f>IF(L1690="VOIDED",0,1)</f>
        <v>1</v>
      </c>
      <c r="N1690" t="n">
        <v>200</v>
      </c>
      <c r="O1690" t="inlineStr">
        <is>
          <t>GST on Income</t>
        </is>
      </c>
      <c r="P1690" t="inlineStr">
        <is>
          <t>R03</t>
        </is>
      </c>
      <c r="Q1690" t="inlineStr">
        <is>
          <t>HIRE-FP</t>
        </is>
      </c>
      <c r="R1690">
        <f>IF(OR(Q1690="CONTEXT",Q1690="REVIEW"),"",INDEX('Category Rules'!$D$5:$D$17,MATCH(P1690,'Category Rules'!$A$5:$A$17,0)))</f>
        <v>4010</v>
      </c>
      <c r="S1690" t="str">
        <f>IF(Q1690="CONTEXT","Fencing",IF(Q1690="REVIEW","",INDEX('Category Rules'!$E$5:$E$17,MATCH(P1690,'Category Rules'!$A$5:$A$17,0))))</f>
        <v>Fencing</v>
      </c>
      <c r="T1690" t="str">
        <f>IF(Q1690="DEP","BAS Excluded","GST on Income")</f>
        <v>GST on Income</v>
      </c>
      <c r="U1690">
        <f>IF(O1690=T1690,1,0)</f>
        <v>1</v>
      </c>
      <c r="V1690" s="9">
        <f>IF(OR(M1690=0,U1690=1),0,IF(T1690="GST on Income",ROUND(K1690*0.1,2),ROUND(-K1690*0.1,2)))</f>
        <v>0</v>
      </c>
    </row>
    <row r="1691">
      <c r="A1691" t="inlineStr">
        <is>
          <t>INV-5130-1</t>
        </is>
      </c>
      <c r="B1691" t="inlineStr">
        <is>
          <t>INV-5130</t>
        </is>
      </c>
      <c r="C1691" s="11" t="n">
        <v>46091</v>
      </c>
      <c r="D1691" t="inlineStr">
        <is>
          <t>2026-03</t>
        </is>
      </c>
      <c r="E1691" t="inlineStr">
        <is>
          <t>C0098</t>
        </is>
      </c>
      <c r="F1691" t="inlineStr">
        <is>
          <t>C0098</t>
        </is>
      </c>
      <c r="G1691" t="inlineStr">
        <is>
          <t>Ethan Walker</t>
        </is>
      </c>
      <c r="H1691" t="inlineStr">
        <is>
          <t>S0220</t>
        </is>
      </c>
      <c r="I1691" t="inlineStr">
        <is>
          <t>Temporary fence hire 4 wks (10/02/26-09/03/26) - 114 panels</t>
        </is>
      </c>
      <c r="J1691" t="n">
        <v>456</v>
      </c>
      <c r="K1691" s="9" t="n">
        <v>2052</v>
      </c>
      <c r="L1691" t="inlineStr">
        <is>
          <t>PAID</t>
        </is>
      </c>
      <c r="M1691">
        <f>IF(L1691="VOIDED",0,1)</f>
        <v>1</v>
      </c>
      <c r="N1691" t="n">
        <v>260</v>
      </c>
      <c r="O1691" t="inlineStr">
        <is>
          <t>GST on Income</t>
        </is>
      </c>
      <c r="P1691" t="inlineStr">
        <is>
          <t>R03</t>
        </is>
      </c>
      <c r="Q1691" t="inlineStr">
        <is>
          <t>HIRE-FP</t>
        </is>
      </c>
      <c r="R1691">
        <f>IF(OR(Q1691="CONTEXT",Q1691="REVIEW"),"",INDEX('Category Rules'!$D$5:$D$17,MATCH(P1691,'Category Rules'!$A$5:$A$17,0)))</f>
        <v>4010</v>
      </c>
      <c r="S1691" t="str">
        <f>IF(Q1691="CONTEXT","Fencing",IF(Q1691="REVIEW","",INDEX('Category Rules'!$E$5:$E$17,MATCH(P1691,'Category Rules'!$A$5:$A$17,0))))</f>
        <v>Fencing</v>
      </c>
      <c r="T1691" t="str">
        <f>IF(Q1691="DEP","BAS Excluded","GST on Income")</f>
        <v>GST on Income</v>
      </c>
      <c r="U1691">
        <f>IF(O1691=T1691,1,0)</f>
        <v>1</v>
      </c>
      <c r="V1691" s="9">
        <f>IF(OR(M1691=0,U1691=1),0,IF(T1691="GST on Income",ROUND(K1691*0.1,2),ROUND(-K1691*0.1,2)))</f>
        <v>0</v>
      </c>
    </row>
    <row r="1692">
      <c r="A1692" t="inlineStr">
        <is>
          <t>INV-5730-1</t>
        </is>
      </c>
      <c r="B1692" t="inlineStr">
        <is>
          <t>INV-5730</t>
        </is>
      </c>
      <c r="C1692" s="11" t="n">
        <v>46091</v>
      </c>
      <c r="D1692" t="inlineStr">
        <is>
          <t>2026-03</t>
        </is>
      </c>
      <c r="E1692" t="inlineStr">
        <is>
          <t>C0029</t>
        </is>
      </c>
      <c r="F1692" t="inlineStr">
        <is>
          <t>C0029</t>
        </is>
      </c>
      <c r="G1692" t="inlineStr">
        <is>
          <t>Ironbark Constructions</t>
        </is>
      </c>
      <c r="H1692" t="inlineStr">
        <is>
          <t>S0449</t>
        </is>
      </c>
      <c r="I1692" t="inlineStr">
        <is>
          <t>Roof repair labour - 16 hrs</t>
        </is>
      </c>
      <c r="J1692" t="n">
        <v>16</v>
      </c>
      <c r="K1692" s="9" t="n">
        <v>1568</v>
      </c>
      <c r="L1692" t="inlineStr">
        <is>
          <t>PAID</t>
        </is>
      </c>
      <c r="M1692">
        <f>IF(L1692="VOIDED",0,1)</f>
        <v>1</v>
      </c>
      <c r="N1692" t="n">
        <v>200</v>
      </c>
      <c r="O1692" t="inlineStr">
        <is>
          <t>GST on Income</t>
        </is>
      </c>
      <c r="P1692" t="inlineStr">
        <is>
          <t>R10</t>
        </is>
      </c>
      <c r="Q1692" t="inlineStr">
        <is>
          <t>LAB-RF</t>
        </is>
      </c>
      <c r="R1692">
        <f>IF(OR(Q1692="CONTEXT",Q1692="REVIEW"),"",INDEX('Category Rules'!$D$5:$D$17,MATCH(P1692,'Category Rules'!$A$5:$A$17,0)))</f>
        <v>4020</v>
      </c>
      <c r="S1692" t="str">
        <f>IF(Q1692="CONTEXT","Roofing",IF(Q1692="REVIEW","",INDEX('Category Rules'!$E$5:$E$17,MATCH(P1692,'Category Rules'!$A$5:$A$17,0))))</f>
        <v>Roofing</v>
      </c>
      <c r="T1692" t="str">
        <f>IF(Q1692="DEP","BAS Excluded","GST on Income")</f>
        <v>GST on Income</v>
      </c>
      <c r="U1692">
        <f>IF(O1692=T1692,1,0)</f>
        <v>1</v>
      </c>
      <c r="V1692" s="9">
        <f>IF(OR(M1692=0,U1692=1),0,IF(T1692="GST on Income",ROUND(K1692*0.1,2),ROUND(-K1692*0.1,2)))</f>
        <v>0</v>
      </c>
    </row>
    <row r="1693">
      <c r="A1693" t="inlineStr">
        <is>
          <t>INV-5730-2</t>
        </is>
      </c>
      <c r="B1693" t="inlineStr">
        <is>
          <t>INV-5730</t>
        </is>
      </c>
      <c r="C1693" s="11" t="n">
        <v>46091</v>
      </c>
      <c r="D1693" t="inlineStr">
        <is>
          <t>2026-03</t>
        </is>
      </c>
      <c r="E1693" t="inlineStr">
        <is>
          <t>C0029</t>
        </is>
      </c>
      <c r="F1693" t="inlineStr">
        <is>
          <t>C0029</t>
        </is>
      </c>
      <c r="G1693" t="inlineStr">
        <is>
          <t>Ironbark Constructions</t>
        </is>
      </c>
      <c r="H1693" t="inlineStr">
        <is>
          <t>S0449</t>
        </is>
      </c>
      <c r="I1693" t="inlineStr">
        <is>
          <t>Materials - flashing</t>
        </is>
      </c>
      <c r="J1693" t="n">
        <v>1</v>
      </c>
      <c r="K1693" s="9" t="n">
        <v>1188.45</v>
      </c>
      <c r="L1693" t="inlineStr">
        <is>
          <t>PAID</t>
        </is>
      </c>
      <c r="M1693">
        <f>IF(L1693="VOIDED",0,1)</f>
        <v>1</v>
      </c>
      <c r="N1693" t="n">
        <v>200</v>
      </c>
      <c r="O1693" t="inlineStr">
        <is>
          <t>GST on Income</t>
        </is>
      </c>
      <c r="P1693" t="inlineStr">
        <is>
          <t>R11</t>
        </is>
      </c>
      <c r="Q1693" t="inlineStr">
        <is>
          <t>MAT-RF</t>
        </is>
      </c>
      <c r="R1693">
        <f>IF(OR(Q1693="CONTEXT",Q1693="REVIEW"),"",INDEX('Category Rules'!$D$5:$D$17,MATCH(P1693,'Category Rules'!$A$5:$A$17,0)))</f>
        <v>4030</v>
      </c>
      <c r="S1693" t="str">
        <f>IF(Q1693="CONTEXT","Roofing",IF(Q1693="REVIEW","",INDEX('Category Rules'!$E$5:$E$17,MATCH(P1693,'Category Rules'!$A$5:$A$17,0))))</f>
        <v>Roofing</v>
      </c>
      <c r="T1693" t="str">
        <f>IF(Q1693="DEP","BAS Excluded","GST on Income")</f>
        <v>GST on Income</v>
      </c>
      <c r="U1693">
        <f>IF(O1693=T1693,1,0)</f>
        <v>1</v>
      </c>
      <c r="V1693" s="9">
        <f>IF(OR(M1693=0,U1693=1),0,IF(T1693="GST on Income",ROUND(K1693*0.1,2),ROUND(-K1693*0.1,2)))</f>
        <v>0</v>
      </c>
    </row>
    <row r="1694">
      <c r="A1694" t="inlineStr">
        <is>
          <t>INV-5730-3</t>
        </is>
      </c>
      <c r="B1694" t="inlineStr">
        <is>
          <t>INV-5730</t>
        </is>
      </c>
      <c r="C1694" s="11" t="n">
        <v>46091</v>
      </c>
      <c r="D1694" t="inlineStr">
        <is>
          <t>2026-03</t>
        </is>
      </c>
      <c r="E1694" t="inlineStr">
        <is>
          <t>C0029</t>
        </is>
      </c>
      <c r="F1694" t="inlineStr">
        <is>
          <t>C0029</t>
        </is>
      </c>
      <c r="G1694" t="inlineStr">
        <is>
          <t>Ironbark Constructions</t>
        </is>
      </c>
      <c r="H1694" t="inlineStr">
        <is>
          <t>S0449</t>
        </is>
      </c>
      <c r="I1694" t="inlineStr">
        <is>
          <t>Materials - sealant and fixings</t>
        </is>
      </c>
      <c r="J1694" t="n">
        <v>1</v>
      </c>
      <c r="K1694" s="9" t="n">
        <v>876.36</v>
      </c>
      <c r="L1694" t="inlineStr">
        <is>
          <t>PAID</t>
        </is>
      </c>
      <c r="M1694">
        <f>IF(L1694="VOIDED",0,1)</f>
        <v>1</v>
      </c>
      <c r="N1694" t="n">
        <v>200</v>
      </c>
      <c r="O1694" t="inlineStr">
        <is>
          <t>GST on Income</t>
        </is>
      </c>
      <c r="P1694" t="inlineStr">
        <is>
          <t>R11</t>
        </is>
      </c>
      <c r="Q1694" t="inlineStr">
        <is>
          <t>MAT-RF</t>
        </is>
      </c>
      <c r="R1694">
        <f>IF(OR(Q1694="CONTEXT",Q1694="REVIEW"),"",INDEX('Category Rules'!$D$5:$D$17,MATCH(P1694,'Category Rules'!$A$5:$A$17,0)))</f>
        <v>4030</v>
      </c>
      <c r="S1694" t="str">
        <f>IF(Q1694="CONTEXT","Roofing",IF(Q1694="REVIEW","",INDEX('Category Rules'!$E$5:$E$17,MATCH(P1694,'Category Rules'!$A$5:$A$17,0))))</f>
        <v>Roofing</v>
      </c>
      <c r="T1694" t="str">
        <f>IF(Q1694="DEP","BAS Excluded","GST on Income")</f>
        <v>GST on Income</v>
      </c>
      <c r="U1694">
        <f>IF(O1694=T1694,1,0)</f>
        <v>1</v>
      </c>
      <c r="V1694" s="9">
        <f>IF(OR(M1694=0,U1694=1),0,IF(T1694="GST on Income",ROUND(K1694*0.1,2),ROUND(-K1694*0.1,2)))</f>
        <v>0</v>
      </c>
    </row>
    <row r="1695">
      <c r="A1695" t="inlineStr">
        <is>
          <t>INV-5826-1</t>
        </is>
      </c>
      <c r="B1695" t="inlineStr">
        <is>
          <t>INV-5826</t>
        </is>
      </c>
      <c r="C1695" s="11" t="n">
        <v>46091</v>
      </c>
      <c r="D1695" t="inlineStr">
        <is>
          <t>2026-03</t>
        </is>
      </c>
      <c r="E1695" t="inlineStr">
        <is>
          <t>C0026</t>
        </is>
      </c>
      <c r="F1695" t="inlineStr">
        <is>
          <t>C0026</t>
        </is>
      </c>
      <c r="G1695" t="inlineStr">
        <is>
          <t>Juniper Constructions</t>
        </is>
      </c>
      <c r="H1695" t="inlineStr">
        <is>
          <t>S0504</t>
        </is>
      </c>
      <c r="I1695" t="inlineStr">
        <is>
          <t>Make safe call-out</t>
        </is>
      </c>
      <c r="J1695" t="n">
        <v>1</v>
      </c>
      <c r="K1695" s="9" t="n">
        <v>385</v>
      </c>
      <c r="L1695" t="inlineStr">
        <is>
          <t>PAID</t>
        </is>
      </c>
      <c r="M1695">
        <f>IF(L1695="VOIDED",0,1)</f>
        <v>1</v>
      </c>
      <c r="N1695" t="n">
        <v>200</v>
      </c>
      <c r="O1695" t="inlineStr">
        <is>
          <t>GST on Income</t>
        </is>
      </c>
      <c r="P1695" t="inlineStr">
        <is>
          <t>R09</t>
        </is>
      </c>
      <c r="Q1695" t="inlineStr">
        <is>
          <t>MS</t>
        </is>
      </c>
      <c r="R1695">
        <f>IF(OR(Q1695="CONTEXT",Q1695="REVIEW"),"",INDEX('Category Rules'!$D$5:$D$17,MATCH(P1695,'Category Rules'!$A$5:$A$17,0)))</f>
        <v>4020</v>
      </c>
      <c r="S1695" t="str">
        <f>IF(Q1695="CONTEXT","Make-safe",IF(Q1695="REVIEW","",INDEX('Category Rules'!$E$5:$E$17,MATCH(P1695,'Category Rules'!$A$5:$A$17,0))))</f>
        <v>Make-safe</v>
      </c>
      <c r="T1695" t="str">
        <f>IF(Q1695="DEP","BAS Excluded","GST on Income")</f>
        <v>GST on Income</v>
      </c>
      <c r="U1695">
        <f>IF(O1695=T1695,1,0)</f>
        <v>1</v>
      </c>
      <c r="V1695" s="9">
        <f>IF(OR(M1695=0,U1695=1),0,IF(T1695="GST on Income",ROUND(K1695*0.1,2),ROUND(-K1695*0.1,2)))</f>
        <v>0</v>
      </c>
    </row>
    <row r="1696">
      <c r="A1696" t="inlineStr">
        <is>
          <t>INV-5826-2</t>
        </is>
      </c>
      <c r="B1696" t="inlineStr">
        <is>
          <t>INV-5826</t>
        </is>
      </c>
      <c r="C1696" s="11" t="n">
        <v>46091</v>
      </c>
      <c r="D1696" t="inlineStr">
        <is>
          <t>2026-03</t>
        </is>
      </c>
      <c r="E1696" t="inlineStr">
        <is>
          <t>C0026</t>
        </is>
      </c>
      <c r="F1696" t="inlineStr">
        <is>
          <t>C0026</t>
        </is>
      </c>
      <c r="G1696" t="inlineStr">
        <is>
          <t>Juniper Constructions</t>
        </is>
      </c>
      <c r="H1696" t="inlineStr">
        <is>
          <t>S0504</t>
        </is>
      </c>
      <c r="I1696" t="inlineStr">
        <is>
          <t>Tarp supply and install - 3 tarp(s)</t>
        </is>
      </c>
      <c r="J1696" t="n">
        <v>3</v>
      </c>
      <c r="K1696" s="9" t="n">
        <v>720</v>
      </c>
      <c r="L1696" t="inlineStr">
        <is>
          <t>PAID</t>
        </is>
      </c>
      <c r="M1696">
        <f>IF(L1696="VOIDED",0,1)</f>
        <v>1</v>
      </c>
      <c r="N1696" t="n">
        <v>260</v>
      </c>
      <c r="O1696" t="inlineStr">
        <is>
          <t>GST on Income</t>
        </is>
      </c>
      <c r="P1696" t="inlineStr">
        <is>
          <t>R09</t>
        </is>
      </c>
      <c r="Q1696" t="inlineStr">
        <is>
          <t>MS</t>
        </is>
      </c>
      <c r="R1696">
        <f>IF(OR(Q1696="CONTEXT",Q1696="REVIEW"),"",INDEX('Category Rules'!$D$5:$D$17,MATCH(P1696,'Category Rules'!$A$5:$A$17,0)))</f>
        <v>4020</v>
      </c>
      <c r="S1696" t="str">
        <f>IF(Q1696="CONTEXT","Make-safe",IF(Q1696="REVIEW","",INDEX('Category Rules'!$E$5:$E$17,MATCH(P1696,'Category Rules'!$A$5:$A$17,0))))</f>
        <v>Make-safe</v>
      </c>
      <c r="T1696" t="str">
        <f>IF(Q1696="DEP","BAS Excluded","GST on Income")</f>
        <v>GST on Income</v>
      </c>
      <c r="U1696">
        <f>IF(O1696=T1696,1,0)</f>
        <v>1</v>
      </c>
      <c r="V1696" s="9">
        <f>IF(OR(M1696=0,U1696=1),0,IF(T1696="GST on Income",ROUND(K1696*0.1,2),ROUND(-K1696*0.1,2)))</f>
        <v>0</v>
      </c>
    </row>
    <row r="1697">
      <c r="A1697" t="inlineStr">
        <is>
          <t>INV-4106-1</t>
        </is>
      </c>
      <c r="B1697" t="inlineStr">
        <is>
          <t>INV-4106</t>
        </is>
      </c>
      <c r="C1697" s="11" t="n">
        <v>46092</v>
      </c>
      <c r="D1697" t="inlineStr">
        <is>
          <t>2026-03</t>
        </is>
      </c>
      <c r="E1697" t="inlineStr">
        <is>
          <t>C0120</t>
        </is>
      </c>
      <c r="F1697" t="inlineStr">
        <is>
          <t>C0120</t>
        </is>
      </c>
      <c r="G1697" t="inlineStr">
        <is>
          <t>Northgate Building Group</t>
        </is>
      </c>
      <c r="H1697" t="inlineStr">
        <is>
          <t>S0001</t>
        </is>
      </c>
      <c r="I1697" t="inlineStr">
        <is>
          <t>Temporary fence hire 4 wks (11/02/26-10/03/26) - 101 panels</t>
        </is>
      </c>
      <c r="J1697" t="n">
        <v>404</v>
      </c>
      <c r="K1697" s="9" t="n">
        <v>1818</v>
      </c>
      <c r="L1697" t="inlineStr">
        <is>
          <t>PAID</t>
        </is>
      </c>
      <c r="M1697">
        <f>IF(L1697="VOIDED",0,1)</f>
        <v>1</v>
      </c>
      <c r="N1697" t="n">
        <v>200</v>
      </c>
      <c r="O1697" t="inlineStr">
        <is>
          <t>GST on Income</t>
        </is>
      </c>
      <c r="P1697" t="inlineStr">
        <is>
          <t>R03</t>
        </is>
      </c>
      <c r="Q1697" t="inlineStr">
        <is>
          <t>HIRE-FP</t>
        </is>
      </c>
      <c r="R1697">
        <f>IF(OR(Q1697="CONTEXT",Q1697="REVIEW"),"",INDEX('Category Rules'!$D$5:$D$17,MATCH(P1697,'Category Rules'!$A$5:$A$17,0)))</f>
        <v>4010</v>
      </c>
      <c r="S1697" t="str">
        <f>IF(Q1697="CONTEXT","Fencing",IF(Q1697="REVIEW","",INDEX('Category Rules'!$E$5:$E$17,MATCH(P1697,'Category Rules'!$A$5:$A$17,0))))</f>
        <v>Fencing</v>
      </c>
      <c r="T1697" t="str">
        <f>IF(Q1697="DEP","BAS Excluded","GST on Income")</f>
        <v>GST on Income</v>
      </c>
      <c r="U1697">
        <f>IF(O1697=T1697,1,0)</f>
        <v>1</v>
      </c>
      <c r="V1697" s="9">
        <f>IF(OR(M1697=0,U1697=1),0,IF(T1697="GST on Income",ROUND(K1697*0.1,2),ROUND(-K1697*0.1,2)))</f>
        <v>0</v>
      </c>
    </row>
    <row r="1698">
      <c r="A1698" t="inlineStr">
        <is>
          <t>INV-4161-1</t>
        </is>
      </c>
      <c r="B1698" t="inlineStr">
        <is>
          <t>INV-4161</t>
        </is>
      </c>
      <c r="C1698" s="11" t="n">
        <v>46092</v>
      </c>
      <c r="D1698" t="inlineStr">
        <is>
          <t>2026-03</t>
        </is>
      </c>
      <c r="E1698" t="inlineStr">
        <is>
          <t>C0015</t>
        </is>
      </c>
      <c r="F1698" t="inlineStr">
        <is>
          <t>C0015</t>
        </is>
      </c>
      <c r="G1698" t="inlineStr">
        <is>
          <t>Bluegum Building Group</t>
        </is>
      </c>
      <c r="H1698" t="inlineStr">
        <is>
          <t>S0011</t>
        </is>
      </c>
      <c r="I1698" t="inlineStr">
        <is>
          <t>Temporary fence hire 4 wks (11/02/26-10/03/26) - 96 panels</t>
        </is>
      </c>
      <c r="J1698" t="n">
        <v>384</v>
      </c>
      <c r="K1698" s="9" t="n">
        <v>1728</v>
      </c>
      <c r="L1698" t="inlineStr">
        <is>
          <t>PAID</t>
        </is>
      </c>
      <c r="M1698">
        <f>IF(L1698="VOIDED",0,1)</f>
        <v>1</v>
      </c>
      <c r="N1698" t="n">
        <v>200</v>
      </c>
      <c r="O1698" t="inlineStr">
        <is>
          <t>GST on Income</t>
        </is>
      </c>
      <c r="P1698" t="inlineStr">
        <is>
          <t>R03</t>
        </is>
      </c>
      <c r="Q1698" t="inlineStr">
        <is>
          <t>HIRE-FP</t>
        </is>
      </c>
      <c r="R1698">
        <f>IF(OR(Q1698="CONTEXT",Q1698="REVIEW"),"",INDEX('Category Rules'!$D$5:$D$17,MATCH(P1698,'Category Rules'!$A$5:$A$17,0)))</f>
        <v>4010</v>
      </c>
      <c r="S1698" t="str">
        <f>IF(Q1698="CONTEXT","Fencing",IF(Q1698="REVIEW","",INDEX('Category Rules'!$E$5:$E$17,MATCH(P1698,'Category Rules'!$A$5:$A$17,0))))</f>
        <v>Fencing</v>
      </c>
      <c r="T1698" t="str">
        <f>IF(Q1698="DEP","BAS Excluded","GST on Income")</f>
        <v>GST on Income</v>
      </c>
      <c r="U1698">
        <f>IF(O1698=T1698,1,0)</f>
        <v>1</v>
      </c>
      <c r="V1698" s="9">
        <f>IF(OR(M1698=0,U1698=1),0,IF(T1698="GST on Income",ROUND(K1698*0.1,2),ROUND(-K1698*0.1,2)))</f>
        <v>0</v>
      </c>
    </row>
    <row r="1699">
      <c r="A1699" t="inlineStr">
        <is>
          <t>INV-4504-1</t>
        </is>
      </c>
      <c r="B1699" t="inlineStr">
        <is>
          <t>INV-4504</t>
        </is>
      </c>
      <c r="C1699" s="11" t="n">
        <v>46092</v>
      </c>
      <c r="D1699" t="inlineStr">
        <is>
          <t>2026-03</t>
        </is>
      </c>
      <c r="E1699" t="inlineStr">
        <is>
          <t>C0004</t>
        </is>
      </c>
      <c r="F1699" t="inlineStr">
        <is>
          <t>C0004</t>
        </is>
      </c>
      <c r="G1699" t="inlineStr">
        <is>
          <t>Lakeside Builders Pty Ltd</t>
        </is>
      </c>
      <c r="H1699" t="inlineStr">
        <is>
          <t>S0084</t>
        </is>
      </c>
      <c r="I1699" t="inlineStr">
        <is>
          <t>Temporary fence hire 4 wks (11/02/26-10/03/26) - 18 panels</t>
        </is>
      </c>
      <c r="J1699" t="n">
        <v>72</v>
      </c>
      <c r="K1699" s="9" t="n">
        <v>324</v>
      </c>
      <c r="L1699" t="inlineStr">
        <is>
          <t>PAID</t>
        </is>
      </c>
      <c r="M1699">
        <f>IF(L1699="VOIDED",0,1)</f>
        <v>1</v>
      </c>
      <c r="N1699" t="n">
        <v>200</v>
      </c>
      <c r="O1699" t="inlineStr">
        <is>
          <t>GST on Income</t>
        </is>
      </c>
      <c r="P1699" t="inlineStr">
        <is>
          <t>R03</t>
        </is>
      </c>
      <c r="Q1699" t="inlineStr">
        <is>
          <t>HIRE-FP</t>
        </is>
      </c>
      <c r="R1699">
        <f>IF(OR(Q1699="CONTEXT",Q1699="REVIEW"),"",INDEX('Category Rules'!$D$5:$D$17,MATCH(P1699,'Category Rules'!$A$5:$A$17,0)))</f>
        <v>4010</v>
      </c>
      <c r="S1699" t="str">
        <f>IF(Q1699="CONTEXT","Fencing",IF(Q1699="REVIEW","",INDEX('Category Rules'!$E$5:$E$17,MATCH(P1699,'Category Rules'!$A$5:$A$17,0))))</f>
        <v>Fencing</v>
      </c>
      <c r="T1699" t="str">
        <f>IF(Q1699="DEP","BAS Excluded","GST on Income")</f>
        <v>GST on Income</v>
      </c>
      <c r="U1699">
        <f>IF(O1699=T1699,1,0)</f>
        <v>1</v>
      </c>
      <c r="V1699" s="9">
        <f>IF(OR(M1699=0,U1699=1),0,IF(T1699="GST on Income",ROUND(K1699*0.1,2),ROUND(-K1699*0.1,2)))</f>
        <v>0</v>
      </c>
    </row>
    <row r="1700">
      <c r="A1700" t="inlineStr">
        <is>
          <t>INV-4434-1</t>
        </is>
      </c>
      <c r="B1700" t="inlineStr">
        <is>
          <t>INV-4434</t>
        </is>
      </c>
      <c r="C1700" s="11" t="n">
        <v>46093</v>
      </c>
      <c r="D1700" t="inlineStr">
        <is>
          <t>2026-03</t>
        </is>
      </c>
      <c r="E1700" t="inlineStr">
        <is>
          <t>C0071</t>
        </is>
      </c>
      <c r="F1700" t="inlineStr">
        <is>
          <t>C0071</t>
        </is>
      </c>
      <c r="G1700" t="inlineStr">
        <is>
          <t>Maribyrnong City Council</t>
        </is>
      </c>
      <c r="H1700" t="inlineStr">
        <is>
          <t>S0066</t>
        </is>
      </c>
      <c r="I1700" t="inlineStr">
        <is>
          <t>Temporary fence hire 4 wks (12/02/26-11/03/26) - 87 panels</t>
        </is>
      </c>
      <c r="J1700" t="n">
        <v>348</v>
      </c>
      <c r="K1700" s="9" t="n">
        <v>1566</v>
      </c>
      <c r="L1700" t="inlineStr">
        <is>
          <t>PAID</t>
        </is>
      </c>
      <c r="M1700">
        <f>IF(L1700="VOIDED",0,1)</f>
        <v>1</v>
      </c>
      <c r="N1700" t="n">
        <v>260</v>
      </c>
      <c r="O1700" t="inlineStr">
        <is>
          <t>GST on Income</t>
        </is>
      </c>
      <c r="P1700" t="inlineStr">
        <is>
          <t>R03</t>
        </is>
      </c>
      <c r="Q1700" t="inlineStr">
        <is>
          <t>HIRE-FP</t>
        </is>
      </c>
      <c r="R1700">
        <f>IF(OR(Q1700="CONTEXT",Q1700="REVIEW"),"",INDEX('Category Rules'!$D$5:$D$17,MATCH(P1700,'Category Rules'!$A$5:$A$17,0)))</f>
        <v>4010</v>
      </c>
      <c r="S1700" t="str">
        <f>IF(Q1700="CONTEXT","Fencing",IF(Q1700="REVIEW","",INDEX('Category Rules'!$E$5:$E$17,MATCH(P1700,'Category Rules'!$A$5:$A$17,0))))</f>
        <v>Fencing</v>
      </c>
      <c r="T1700" t="str">
        <f>IF(Q1700="DEP","BAS Excluded","GST on Income")</f>
        <v>GST on Income</v>
      </c>
      <c r="U1700">
        <f>IF(O1700=T1700,1,0)</f>
        <v>1</v>
      </c>
      <c r="V1700" s="9">
        <f>IF(OR(M1700=0,U1700=1),0,IF(T1700="GST on Income",ROUND(K1700*0.1,2),ROUND(-K1700*0.1,2)))</f>
        <v>0</v>
      </c>
    </row>
    <row r="1701">
      <c r="A1701" t="inlineStr">
        <is>
          <t>INV-4726-1</t>
        </is>
      </c>
      <c r="B1701" t="inlineStr">
        <is>
          <t>INV-4726</t>
        </is>
      </c>
      <c r="C1701" s="11" t="n">
        <v>46093</v>
      </c>
      <c r="D1701" t="inlineStr">
        <is>
          <t>2026-03</t>
        </is>
      </c>
      <c r="E1701" t="inlineStr">
        <is>
          <t>C0148</t>
        </is>
      </c>
      <c r="F1701" t="inlineStr">
        <is>
          <t>C0042</t>
        </is>
      </c>
      <c r="G1701" t="inlineStr">
        <is>
          <t>Lakeside Constructions Pty Ltd</t>
        </is>
      </c>
      <c r="H1701" t="inlineStr">
        <is>
          <t>S0131</t>
        </is>
      </c>
      <c r="I1701" t="inlineStr">
        <is>
          <t>Temporary fence hire 4 wks (12/02/26-11/03/26) - 62 panels</t>
        </is>
      </c>
      <c r="J1701" t="n">
        <v>248</v>
      </c>
      <c r="K1701" s="9" t="n">
        <v>1116</v>
      </c>
      <c r="L1701" t="inlineStr">
        <is>
          <t>PAID</t>
        </is>
      </c>
      <c r="M1701">
        <f>IF(L1701="VOIDED",0,1)</f>
        <v>1</v>
      </c>
      <c r="N1701" t="n">
        <v>200</v>
      </c>
      <c r="O1701" t="inlineStr">
        <is>
          <t>GST on Income</t>
        </is>
      </c>
      <c r="P1701" t="inlineStr">
        <is>
          <t>R03</t>
        </is>
      </c>
      <c r="Q1701" t="inlineStr">
        <is>
          <t>HIRE-FP</t>
        </is>
      </c>
      <c r="R1701">
        <f>IF(OR(Q1701="CONTEXT",Q1701="REVIEW"),"",INDEX('Category Rules'!$D$5:$D$17,MATCH(P1701,'Category Rules'!$A$5:$A$17,0)))</f>
        <v>4010</v>
      </c>
      <c r="S1701" t="str">
        <f>IF(Q1701="CONTEXT","Fencing",IF(Q1701="REVIEW","",INDEX('Category Rules'!$E$5:$E$17,MATCH(P1701,'Category Rules'!$A$5:$A$17,0))))</f>
        <v>Fencing</v>
      </c>
      <c r="T1701" t="str">
        <f>IF(Q1701="DEP","BAS Excluded","GST on Income")</f>
        <v>GST on Income</v>
      </c>
      <c r="U1701">
        <f>IF(O1701=T1701,1,0)</f>
        <v>1</v>
      </c>
      <c r="V1701" s="9">
        <f>IF(OR(M1701=0,U1701=1),0,IF(T1701="GST on Income",ROUND(K1701*0.1,2),ROUND(-K1701*0.1,2)))</f>
        <v>0</v>
      </c>
    </row>
    <row r="1702">
      <c r="A1702" t="inlineStr">
        <is>
          <t>INV-4746-1</t>
        </is>
      </c>
      <c r="B1702" t="inlineStr">
        <is>
          <t>INV-4746</t>
        </is>
      </c>
      <c r="C1702" s="11" t="n">
        <v>46093</v>
      </c>
      <c r="D1702" t="inlineStr">
        <is>
          <t>2026-03</t>
        </is>
      </c>
      <c r="E1702" t="inlineStr">
        <is>
          <t>C0122</t>
        </is>
      </c>
      <c r="F1702" t="inlineStr">
        <is>
          <t>C0122</t>
        </is>
      </c>
      <c r="G1702" t="inlineStr">
        <is>
          <t>Bluegum Construction Pty Ltd</t>
        </is>
      </c>
      <c r="H1702" t="inlineStr">
        <is>
          <t>S0135</t>
        </is>
      </c>
      <c r="I1702" t="inlineStr">
        <is>
          <t>Temporary fence hire 4 wks (13/02/26-11/03/26) - 65 panels</t>
        </is>
      </c>
      <c r="J1702" t="n">
        <v>260</v>
      </c>
      <c r="K1702" s="9" t="n">
        <v>1170</v>
      </c>
      <c r="L1702" t="inlineStr">
        <is>
          <t>PAID</t>
        </is>
      </c>
      <c r="M1702">
        <f>IF(L1702="VOIDED",0,1)</f>
        <v>1</v>
      </c>
      <c r="N1702" t="n">
        <v>200</v>
      </c>
      <c r="O1702" t="inlineStr">
        <is>
          <t>GST on Income</t>
        </is>
      </c>
      <c r="P1702" t="inlineStr">
        <is>
          <t>R03</t>
        </is>
      </c>
      <c r="Q1702" t="inlineStr">
        <is>
          <t>HIRE-FP</t>
        </is>
      </c>
      <c r="R1702">
        <f>IF(OR(Q1702="CONTEXT",Q1702="REVIEW"),"",INDEX('Category Rules'!$D$5:$D$17,MATCH(P1702,'Category Rules'!$A$5:$A$17,0)))</f>
        <v>4010</v>
      </c>
      <c r="S1702" t="str">
        <f>IF(Q1702="CONTEXT","Fencing",IF(Q1702="REVIEW","",INDEX('Category Rules'!$E$5:$E$17,MATCH(P1702,'Category Rules'!$A$5:$A$17,0))))</f>
        <v>Fencing</v>
      </c>
      <c r="T1702" t="str">
        <f>IF(Q1702="DEP","BAS Excluded","GST on Income")</f>
        <v>GST on Income</v>
      </c>
      <c r="U1702">
        <f>IF(O1702=T1702,1,0)</f>
        <v>1</v>
      </c>
      <c r="V1702" s="9">
        <f>IF(OR(M1702=0,U1702=1),0,IF(T1702="GST on Income",ROUND(K1702*0.1,2),ROUND(-K1702*0.1,2)))</f>
        <v>0</v>
      </c>
    </row>
    <row r="1703">
      <c r="A1703" t="inlineStr">
        <is>
          <t>INV-4751-1</t>
        </is>
      </c>
      <c r="B1703" t="inlineStr">
        <is>
          <t>INV-4751</t>
        </is>
      </c>
      <c r="C1703" s="11" t="n">
        <v>46093</v>
      </c>
      <c r="D1703" t="inlineStr">
        <is>
          <t>2026-03</t>
        </is>
      </c>
      <c r="E1703" t="inlineStr">
        <is>
          <t>C0122</t>
        </is>
      </c>
      <c r="F1703" t="inlineStr">
        <is>
          <t>C0122</t>
        </is>
      </c>
      <c r="G1703" t="inlineStr">
        <is>
          <t>Bluegum Construction Pty Ltd</t>
        </is>
      </c>
      <c r="H1703" t="inlineStr">
        <is>
          <t>S0135</t>
        </is>
      </c>
      <c r="I1703" t="inlineStr">
        <is>
          <t>Pedestrian barrier hire 4 wks (13/02/26-11/03/26) - 11 barriers</t>
        </is>
      </c>
      <c r="J1703" t="n">
        <v>44</v>
      </c>
      <c r="K1703" s="9" t="n">
        <v>140.8</v>
      </c>
      <c r="L1703" t="inlineStr">
        <is>
          <t>PAID</t>
        </is>
      </c>
      <c r="M1703">
        <f>IF(L1703="VOIDED",0,1)</f>
        <v>1</v>
      </c>
      <c r="N1703" t="n">
        <v>200</v>
      </c>
      <c r="O1703" t="inlineStr">
        <is>
          <t>GST on Income</t>
        </is>
      </c>
      <c r="P1703" t="inlineStr">
        <is>
          <t>R04</t>
        </is>
      </c>
      <c r="Q1703" t="inlineStr">
        <is>
          <t>HIRE-BR</t>
        </is>
      </c>
      <c r="R1703">
        <f>IF(OR(Q1703="CONTEXT",Q1703="REVIEW"),"",INDEX('Category Rules'!$D$5:$D$17,MATCH(P1703,'Category Rules'!$A$5:$A$17,0)))</f>
        <v>4010</v>
      </c>
      <c r="S1703" t="str">
        <f>IF(Q1703="CONTEXT","Fencing",IF(Q1703="REVIEW","",INDEX('Category Rules'!$E$5:$E$17,MATCH(P1703,'Category Rules'!$A$5:$A$17,0))))</f>
        <v>Fencing</v>
      </c>
      <c r="T1703" t="str">
        <f>IF(Q1703="DEP","BAS Excluded","GST on Income")</f>
        <v>GST on Income</v>
      </c>
      <c r="U1703">
        <f>IF(O1703=T1703,1,0)</f>
        <v>1</v>
      </c>
      <c r="V1703" s="9">
        <f>IF(OR(M1703=0,U1703=1),0,IF(T1703="GST on Income",ROUND(K1703*0.1,2),ROUND(-K1703*0.1,2)))</f>
        <v>0</v>
      </c>
    </row>
    <row r="1704">
      <c r="A1704" t="inlineStr">
        <is>
          <t>INV-4753-1</t>
        </is>
      </c>
      <c r="B1704" t="inlineStr">
        <is>
          <t>INV-4753</t>
        </is>
      </c>
      <c r="C1704" s="11" t="n">
        <v>46093</v>
      </c>
      <c r="D1704" t="inlineStr">
        <is>
          <t>2026-03</t>
        </is>
      </c>
      <c r="E1704" t="inlineStr">
        <is>
          <t>C0122</t>
        </is>
      </c>
      <c r="F1704" t="inlineStr">
        <is>
          <t>C0122</t>
        </is>
      </c>
      <c r="G1704" t="inlineStr">
        <is>
          <t>Bluegum Construction Pty Ltd</t>
        </is>
      </c>
      <c r="H1704" t="inlineStr">
        <is>
          <t>S0135</t>
        </is>
      </c>
      <c r="I1704" t="inlineStr">
        <is>
          <t>Collection and dismantle - temporary fencing</t>
        </is>
      </c>
      <c r="J1704" t="n">
        <v>1</v>
      </c>
      <c r="K1704" s="9" t="n">
        <v>165</v>
      </c>
      <c r="L1704" t="inlineStr">
        <is>
          <t>PAID</t>
        </is>
      </c>
      <c r="M1704">
        <f>IF(L1704="VOIDED",0,1)</f>
        <v>1</v>
      </c>
      <c r="N1704" t="n">
        <v>200</v>
      </c>
      <c r="O1704" t="inlineStr">
        <is>
          <t>GST on Income</t>
        </is>
      </c>
      <c r="P1704" t="inlineStr">
        <is>
          <t>R07</t>
        </is>
      </c>
      <c r="Q1704" t="inlineStr">
        <is>
          <t>DEL-FP</t>
        </is>
      </c>
      <c r="R1704">
        <f>IF(OR(Q1704="CONTEXT",Q1704="REVIEW"),"",INDEX('Category Rules'!$D$5:$D$17,MATCH(P1704,'Category Rules'!$A$5:$A$17,0)))</f>
        <v>4020</v>
      </c>
      <c r="S1704" t="str">
        <f>IF(Q1704="CONTEXT","Fencing",IF(Q1704="REVIEW","",INDEX('Category Rules'!$E$5:$E$17,MATCH(P1704,'Category Rules'!$A$5:$A$17,0))))</f>
        <v>Fencing</v>
      </c>
      <c r="T1704" t="str">
        <f>IF(Q1704="DEP","BAS Excluded","GST on Income")</f>
        <v>GST on Income</v>
      </c>
      <c r="U1704">
        <f>IF(O1704=T1704,1,0)</f>
        <v>1</v>
      </c>
      <c r="V1704" s="9">
        <f>IF(OR(M1704=0,U1704=1),0,IF(T1704="GST on Income",ROUND(K1704*0.1,2),ROUND(-K1704*0.1,2)))</f>
        <v>0</v>
      </c>
    </row>
    <row r="1705">
      <c r="A1705" t="inlineStr">
        <is>
          <t>INV-5150-1</t>
        </is>
      </c>
      <c r="B1705" t="inlineStr">
        <is>
          <t>INV-5150</t>
        </is>
      </c>
      <c r="C1705" s="11" t="n">
        <v>46093</v>
      </c>
      <c r="D1705" t="inlineStr">
        <is>
          <t>2026-03</t>
        </is>
      </c>
      <c r="E1705" t="inlineStr">
        <is>
          <t>C0127</t>
        </is>
      </c>
      <c r="F1705" t="inlineStr">
        <is>
          <t>C0115</t>
        </is>
      </c>
      <c r="G1705" t="inlineStr">
        <is>
          <t>Arjun Smith</t>
        </is>
      </c>
      <c r="H1705" t="inlineStr">
        <is>
          <t>S0225</t>
        </is>
      </c>
      <c r="I1705" t="inlineStr">
        <is>
          <t>Delivery and installation - temporary fencing</t>
        </is>
      </c>
      <c r="J1705" t="n">
        <v>1</v>
      </c>
      <c r="K1705" s="9" t="n">
        <v>165</v>
      </c>
      <c r="L1705" t="inlineStr">
        <is>
          <t>PAID</t>
        </is>
      </c>
      <c r="M1705">
        <f>IF(L1705="VOIDED",0,1)</f>
        <v>1</v>
      </c>
      <c r="N1705" t="n">
        <v>200</v>
      </c>
      <c r="O1705" t="inlineStr">
        <is>
          <t>GST on Income</t>
        </is>
      </c>
      <c r="P1705" t="inlineStr">
        <is>
          <t>R07</t>
        </is>
      </c>
      <c r="Q1705" t="inlineStr">
        <is>
          <t>DEL-FP</t>
        </is>
      </c>
      <c r="R1705">
        <f>IF(OR(Q1705="CONTEXT",Q1705="REVIEW"),"",INDEX('Category Rules'!$D$5:$D$17,MATCH(P1705,'Category Rules'!$A$5:$A$17,0)))</f>
        <v>4020</v>
      </c>
      <c r="S1705" t="str">
        <f>IF(Q1705="CONTEXT","Fencing",IF(Q1705="REVIEW","",INDEX('Category Rules'!$E$5:$E$17,MATCH(P1705,'Category Rules'!$A$5:$A$17,0))))</f>
        <v>Fencing</v>
      </c>
      <c r="T1705" t="str">
        <f>IF(Q1705="DEP","BAS Excluded","GST on Income")</f>
        <v>GST on Income</v>
      </c>
      <c r="U1705">
        <f>IF(O1705=T1705,1,0)</f>
        <v>1</v>
      </c>
      <c r="V1705" s="9">
        <f>IF(OR(M1705=0,U1705=1),0,IF(T1705="GST on Income",ROUND(K1705*0.1,2),ROUND(-K1705*0.1,2)))</f>
        <v>0</v>
      </c>
    </row>
    <row r="1706">
      <c r="A1706" t="inlineStr">
        <is>
          <t>INV-5150-2</t>
        </is>
      </c>
      <c r="B1706" t="inlineStr">
        <is>
          <t>INV-5150</t>
        </is>
      </c>
      <c r="C1706" s="11" t="n">
        <v>46093</v>
      </c>
      <c r="D1706" t="inlineStr">
        <is>
          <t>2026-03</t>
        </is>
      </c>
      <c r="E1706" t="inlineStr">
        <is>
          <t>C0127</t>
        </is>
      </c>
      <c r="F1706" t="inlineStr">
        <is>
          <t>C0115</t>
        </is>
      </c>
      <c r="G1706" t="inlineStr">
        <is>
          <t>Arjun Smith</t>
        </is>
      </c>
      <c r="H1706" t="inlineStr">
        <is>
          <t>S0225</t>
        </is>
      </c>
      <c r="I1706" t="inlineStr">
        <is>
          <t>Installation labour - 84 panels @ 2.20</t>
        </is>
      </c>
      <c r="J1706" t="n">
        <v>84</v>
      </c>
      <c r="K1706" s="9" t="n">
        <v>184.8</v>
      </c>
      <c r="L1706" t="inlineStr">
        <is>
          <t>PAID</t>
        </is>
      </c>
      <c r="M1706">
        <f>IF(L1706="VOIDED",0,1)</f>
        <v>1</v>
      </c>
      <c r="N1706" t="n">
        <v>200</v>
      </c>
      <c r="O1706" t="inlineStr">
        <is>
          <t>GST on Income</t>
        </is>
      </c>
      <c r="P1706" t="inlineStr">
        <is>
          <t>R07</t>
        </is>
      </c>
      <c r="Q1706" t="inlineStr">
        <is>
          <t>DEL-FP</t>
        </is>
      </c>
      <c r="R1706">
        <f>IF(OR(Q1706="CONTEXT",Q1706="REVIEW"),"",INDEX('Category Rules'!$D$5:$D$17,MATCH(P1706,'Category Rules'!$A$5:$A$17,0)))</f>
        <v>4020</v>
      </c>
      <c r="S1706" t="str">
        <f>IF(Q1706="CONTEXT","Fencing",IF(Q1706="REVIEW","",INDEX('Category Rules'!$E$5:$E$17,MATCH(P1706,'Category Rules'!$A$5:$A$17,0))))</f>
        <v>Fencing</v>
      </c>
      <c r="T1706" t="str">
        <f>IF(Q1706="DEP","BAS Excluded","GST on Income")</f>
        <v>GST on Income</v>
      </c>
      <c r="U1706">
        <f>IF(O1706=T1706,1,0)</f>
        <v>1</v>
      </c>
      <c r="V1706" s="9">
        <f>IF(OR(M1706=0,U1706=1),0,IF(T1706="GST on Income",ROUND(K1706*0.1,2),ROUND(-K1706*0.1,2)))</f>
        <v>0</v>
      </c>
    </row>
    <row r="1707">
      <c r="A1707" t="inlineStr">
        <is>
          <t>INV-5150-3</t>
        </is>
      </c>
      <c r="B1707" t="inlineStr">
        <is>
          <t>INV-5150</t>
        </is>
      </c>
      <c r="C1707" s="11" t="n">
        <v>46093</v>
      </c>
      <c r="D1707" t="inlineStr">
        <is>
          <t>2026-03</t>
        </is>
      </c>
      <c r="E1707" t="inlineStr">
        <is>
          <t>C0127</t>
        </is>
      </c>
      <c r="F1707" t="inlineStr">
        <is>
          <t>C0115</t>
        </is>
      </c>
      <c r="G1707" t="inlineStr">
        <is>
          <t>Arjun Smith</t>
        </is>
      </c>
      <c r="H1707" t="inlineStr">
        <is>
          <t>S0225</t>
        </is>
      </c>
      <c r="I1707" t="inlineStr">
        <is>
          <t>Security deposit - fence panels (refundable)</t>
        </is>
      </c>
      <c r="J1707" t="n">
        <v>1</v>
      </c>
      <c r="K1707" s="9" t="n">
        <v>670</v>
      </c>
      <c r="L1707" t="inlineStr">
        <is>
          <t>PAID</t>
        </is>
      </c>
      <c r="M1707">
        <f>IF(L1707="VOIDED",0,1)</f>
        <v>1</v>
      </c>
      <c r="N1707" t="n">
        <v>200</v>
      </c>
      <c r="O1707" t="inlineStr">
        <is>
          <t>BAS Excluded</t>
        </is>
      </c>
      <c r="P1707" t="inlineStr">
        <is>
          <t>R01</t>
        </is>
      </c>
      <c r="Q1707" t="inlineStr">
        <is>
          <t>DEP</t>
        </is>
      </c>
      <c r="R1707">
        <f>IF(OR(Q1707="CONTEXT",Q1707="REVIEW"),"",INDEX('Category Rules'!$D$5:$D$17,MATCH(P1707,'Category Rules'!$A$5:$A$17,0)))</f>
        <v>835</v>
      </c>
      <c r="S1707" t="str">
        <f>IF(Q1707="CONTEXT","Fencing",IF(Q1707="REVIEW","",INDEX('Category Rules'!$E$5:$E$17,MATCH(P1707,'Category Rules'!$A$5:$A$17,0))))</f>
        <v>Fencing</v>
      </c>
      <c r="T1707" t="str">
        <f>IF(Q1707="DEP","BAS Excluded","GST on Income")</f>
        <v>BAS Excluded</v>
      </c>
      <c r="U1707">
        <f>IF(O1707=T1707,1,0)</f>
        <v>1</v>
      </c>
      <c r="V1707" s="9">
        <f>IF(OR(M1707=0,U1707=1),0,IF(T1707="GST on Income",ROUND(K1707*0.1,2),ROUND(-K1707*0.1,2)))</f>
        <v>0</v>
      </c>
    </row>
    <row r="1708">
      <c r="A1708" t="inlineStr">
        <is>
          <t>INV-5635-1</t>
        </is>
      </c>
      <c r="B1708" t="inlineStr">
        <is>
          <t>INV-5635</t>
        </is>
      </c>
      <c r="C1708" s="11" t="n">
        <v>46093</v>
      </c>
      <c r="D1708" t="inlineStr">
        <is>
          <t>2026-03</t>
        </is>
      </c>
      <c r="E1708" t="inlineStr">
        <is>
          <t>C0137</t>
        </is>
      </c>
      <c r="F1708" t="inlineStr">
        <is>
          <t>C0062</t>
        </is>
      </c>
      <c r="G1708" t="inlineStr">
        <is>
          <t>Wattle Insurance Repairs Pty Ltd</t>
        </is>
      </c>
      <c r="H1708" t="inlineStr">
        <is>
          <t>S0398</t>
        </is>
      </c>
      <c r="I1708" t="inlineStr">
        <is>
          <t>Roof repair labour - 16 hrs</t>
        </is>
      </c>
      <c r="J1708" t="n">
        <v>16</v>
      </c>
      <c r="K1708" s="9" t="n">
        <v>1568</v>
      </c>
      <c r="L1708" t="inlineStr">
        <is>
          <t>PAID</t>
        </is>
      </c>
      <c r="M1708">
        <f>IF(L1708="VOIDED",0,1)</f>
        <v>1</v>
      </c>
      <c r="N1708" t="n">
        <v>200</v>
      </c>
      <c r="O1708" t="inlineStr">
        <is>
          <t>GST on Income</t>
        </is>
      </c>
      <c r="P1708" t="inlineStr">
        <is>
          <t>R10</t>
        </is>
      </c>
      <c r="Q1708" t="inlineStr">
        <is>
          <t>LAB-RF</t>
        </is>
      </c>
      <c r="R1708">
        <f>IF(OR(Q1708="CONTEXT",Q1708="REVIEW"),"",INDEX('Category Rules'!$D$5:$D$17,MATCH(P1708,'Category Rules'!$A$5:$A$17,0)))</f>
        <v>4020</v>
      </c>
      <c r="S1708" t="str">
        <f>IF(Q1708="CONTEXT","Roofing",IF(Q1708="REVIEW","",INDEX('Category Rules'!$E$5:$E$17,MATCH(P1708,'Category Rules'!$A$5:$A$17,0))))</f>
        <v>Roofing</v>
      </c>
      <c r="T1708" t="str">
        <f>IF(Q1708="DEP","BAS Excluded","GST on Income")</f>
        <v>GST on Income</v>
      </c>
      <c r="U1708">
        <f>IF(O1708=T1708,1,0)</f>
        <v>1</v>
      </c>
      <c r="V1708" s="9">
        <f>IF(OR(M1708=0,U1708=1),0,IF(T1708="GST on Income",ROUND(K1708*0.1,2),ROUND(-K1708*0.1,2)))</f>
        <v>0</v>
      </c>
    </row>
    <row r="1709">
      <c r="A1709" t="inlineStr">
        <is>
          <t>INV-5635-2</t>
        </is>
      </c>
      <c r="B1709" t="inlineStr">
        <is>
          <t>INV-5635</t>
        </is>
      </c>
      <c r="C1709" s="11" t="n">
        <v>46093</v>
      </c>
      <c r="D1709" t="inlineStr">
        <is>
          <t>2026-03</t>
        </is>
      </c>
      <c r="E1709" t="inlineStr">
        <is>
          <t>C0137</t>
        </is>
      </c>
      <c r="F1709" t="inlineStr">
        <is>
          <t>C0062</t>
        </is>
      </c>
      <c r="G1709" t="inlineStr">
        <is>
          <t>Wattle Insurance Repairs Pty Ltd</t>
        </is>
      </c>
      <c r="H1709" t="inlineStr">
        <is>
          <t>S0398</t>
        </is>
      </c>
      <c r="I1709" t="inlineStr">
        <is>
          <t>Materials - gutter and downpipe</t>
        </is>
      </c>
      <c r="J1709" t="n">
        <v>1</v>
      </c>
      <c r="K1709" s="9" t="n">
        <v>1371.51</v>
      </c>
      <c r="L1709" t="inlineStr">
        <is>
          <t>PAID</t>
        </is>
      </c>
      <c r="M1709">
        <f>IF(L1709="VOIDED",0,1)</f>
        <v>1</v>
      </c>
      <c r="N1709" t="n">
        <v>200</v>
      </c>
      <c r="O1709" t="inlineStr">
        <is>
          <t>GST on Income</t>
        </is>
      </c>
      <c r="P1709" t="inlineStr">
        <is>
          <t>R11</t>
        </is>
      </c>
      <c r="Q1709" t="inlineStr">
        <is>
          <t>MAT-RF</t>
        </is>
      </c>
      <c r="R1709">
        <f>IF(OR(Q1709="CONTEXT",Q1709="REVIEW"),"",INDEX('Category Rules'!$D$5:$D$17,MATCH(P1709,'Category Rules'!$A$5:$A$17,0)))</f>
        <v>4030</v>
      </c>
      <c r="S1709" t="str">
        <f>IF(Q1709="CONTEXT","Roofing",IF(Q1709="REVIEW","",INDEX('Category Rules'!$E$5:$E$17,MATCH(P1709,'Category Rules'!$A$5:$A$17,0))))</f>
        <v>Roofing</v>
      </c>
      <c r="T1709" t="str">
        <f>IF(Q1709="DEP","BAS Excluded","GST on Income")</f>
        <v>GST on Income</v>
      </c>
      <c r="U1709">
        <f>IF(O1709=T1709,1,0)</f>
        <v>1</v>
      </c>
      <c r="V1709" s="9">
        <f>IF(OR(M1709=0,U1709=1),0,IF(T1709="GST on Income",ROUND(K1709*0.1,2),ROUND(-K1709*0.1,2)))</f>
        <v>0</v>
      </c>
    </row>
    <row r="1710">
      <c r="A1710" t="inlineStr">
        <is>
          <t>INV-5635-3</t>
        </is>
      </c>
      <c r="B1710" t="inlineStr">
        <is>
          <t>INV-5635</t>
        </is>
      </c>
      <c r="C1710" s="11" t="n">
        <v>46093</v>
      </c>
      <c r="D1710" t="inlineStr">
        <is>
          <t>2026-03</t>
        </is>
      </c>
      <c r="E1710" t="inlineStr">
        <is>
          <t>C0137</t>
        </is>
      </c>
      <c r="F1710" t="inlineStr">
        <is>
          <t>C0062</t>
        </is>
      </c>
      <c r="G1710" t="inlineStr">
        <is>
          <t>Wattle Insurance Repairs Pty Ltd</t>
        </is>
      </c>
      <c r="H1710" t="inlineStr">
        <is>
          <t>S0398</t>
        </is>
      </c>
      <c r="I1710" t="inlineStr">
        <is>
          <t>Materials - Colorbond sheet</t>
        </is>
      </c>
      <c r="J1710" t="n">
        <v>1</v>
      </c>
      <c r="K1710" s="9" t="n">
        <v>197.4</v>
      </c>
      <c r="L1710" t="inlineStr">
        <is>
          <t>PAID</t>
        </is>
      </c>
      <c r="M1710">
        <f>IF(L1710="VOIDED",0,1)</f>
        <v>1</v>
      </c>
      <c r="N1710" t="n">
        <v>200</v>
      </c>
      <c r="O1710" t="inlineStr">
        <is>
          <t>GST on Income</t>
        </is>
      </c>
      <c r="P1710" t="inlineStr">
        <is>
          <t>R11</t>
        </is>
      </c>
      <c r="Q1710" t="inlineStr">
        <is>
          <t>MAT-RF</t>
        </is>
      </c>
      <c r="R1710">
        <f>IF(OR(Q1710="CONTEXT",Q1710="REVIEW"),"",INDEX('Category Rules'!$D$5:$D$17,MATCH(P1710,'Category Rules'!$A$5:$A$17,0)))</f>
        <v>4030</v>
      </c>
      <c r="S1710" t="str">
        <f>IF(Q1710="CONTEXT","Roofing",IF(Q1710="REVIEW","",INDEX('Category Rules'!$E$5:$E$17,MATCH(P1710,'Category Rules'!$A$5:$A$17,0))))</f>
        <v>Roofing</v>
      </c>
      <c r="T1710" t="str">
        <f>IF(Q1710="DEP","BAS Excluded","GST on Income")</f>
        <v>GST on Income</v>
      </c>
      <c r="U1710">
        <f>IF(O1710=T1710,1,0)</f>
        <v>1</v>
      </c>
      <c r="V1710" s="9">
        <f>IF(OR(M1710=0,U1710=1),0,IF(T1710="GST on Income",ROUND(K1710*0.1,2),ROUND(-K1710*0.1,2)))</f>
        <v>0</v>
      </c>
    </row>
    <row r="1711">
      <c r="A1711" t="inlineStr">
        <is>
          <t>INV-5635-4</t>
        </is>
      </c>
      <c r="B1711" t="inlineStr">
        <is>
          <t>INV-5635</t>
        </is>
      </c>
      <c r="C1711" s="11" t="n">
        <v>46093</v>
      </c>
      <c r="D1711" t="inlineStr">
        <is>
          <t>2026-03</t>
        </is>
      </c>
      <c r="E1711" t="inlineStr">
        <is>
          <t>C0137</t>
        </is>
      </c>
      <c r="F1711" t="inlineStr">
        <is>
          <t>C0062</t>
        </is>
      </c>
      <c r="G1711" t="inlineStr">
        <is>
          <t>Wattle Insurance Repairs Pty Ltd</t>
        </is>
      </c>
      <c r="H1711" t="inlineStr">
        <is>
          <t>S0398</t>
        </is>
      </c>
      <c r="I1711" t="inlineStr">
        <is>
          <t>Materials - sealant and fixings</t>
        </is>
      </c>
      <c r="J1711" t="n">
        <v>1</v>
      </c>
      <c r="K1711" s="9" t="n">
        <v>181.65</v>
      </c>
      <c r="L1711" t="inlineStr">
        <is>
          <t>PAID</t>
        </is>
      </c>
      <c r="M1711">
        <f>IF(L1711="VOIDED",0,1)</f>
        <v>1</v>
      </c>
      <c r="N1711" t="n">
        <v>200</v>
      </c>
      <c r="O1711" t="inlineStr">
        <is>
          <t>GST on Income</t>
        </is>
      </c>
      <c r="P1711" t="inlineStr">
        <is>
          <t>R11</t>
        </is>
      </c>
      <c r="Q1711" t="inlineStr">
        <is>
          <t>MAT-RF</t>
        </is>
      </c>
      <c r="R1711">
        <f>IF(OR(Q1711="CONTEXT",Q1711="REVIEW"),"",INDEX('Category Rules'!$D$5:$D$17,MATCH(P1711,'Category Rules'!$A$5:$A$17,0)))</f>
        <v>4030</v>
      </c>
      <c r="S1711" t="str">
        <f>IF(Q1711="CONTEXT","Roofing",IF(Q1711="REVIEW","",INDEX('Category Rules'!$E$5:$E$17,MATCH(P1711,'Category Rules'!$A$5:$A$17,0))))</f>
        <v>Roofing</v>
      </c>
      <c r="T1711" t="str">
        <f>IF(Q1711="DEP","BAS Excluded","GST on Income")</f>
        <v>GST on Income</v>
      </c>
      <c r="U1711">
        <f>IF(O1711=T1711,1,0)</f>
        <v>1</v>
      </c>
      <c r="V1711" s="9">
        <f>IF(OR(M1711=0,U1711=1),0,IF(T1711="GST on Income",ROUND(K1711*0.1,2),ROUND(-K1711*0.1,2)))</f>
        <v>0</v>
      </c>
    </row>
    <row r="1712">
      <c r="A1712" t="inlineStr">
        <is>
          <t>INV-5600-1</t>
        </is>
      </c>
      <c r="B1712" t="inlineStr">
        <is>
          <t>INV-5600</t>
        </is>
      </c>
      <c r="C1712" s="11" t="n">
        <v>46094</v>
      </c>
      <c r="D1712" t="inlineStr">
        <is>
          <t>2026-03</t>
        </is>
      </c>
      <c r="E1712" t="inlineStr">
        <is>
          <t>C0123</t>
        </is>
      </c>
      <c r="F1712" t="inlineStr">
        <is>
          <t>C0123</t>
        </is>
      </c>
      <c r="G1712" t="inlineStr">
        <is>
          <t>Harbour Strata Management</t>
        </is>
      </c>
      <c r="H1712" t="inlineStr">
        <is>
          <t>S0381</t>
        </is>
      </c>
      <c r="I1712" t="inlineStr">
        <is>
          <t>Roof repair labour - 6 hrs</t>
        </is>
      </c>
      <c r="J1712" t="n">
        <v>6</v>
      </c>
      <c r="K1712" s="9" t="n">
        <v>588</v>
      </c>
      <c r="L1712" t="inlineStr">
        <is>
          <t>PAID</t>
        </is>
      </c>
      <c r="M1712">
        <f>IF(L1712="VOIDED",0,1)</f>
        <v>1</v>
      </c>
      <c r="N1712" t="n">
        <v>200</v>
      </c>
      <c r="O1712" t="inlineStr">
        <is>
          <t>GST on Income</t>
        </is>
      </c>
      <c r="P1712" t="inlineStr">
        <is>
          <t>R10</t>
        </is>
      </c>
      <c r="Q1712" t="inlineStr">
        <is>
          <t>LAB-RF</t>
        </is>
      </c>
      <c r="R1712">
        <f>IF(OR(Q1712="CONTEXT",Q1712="REVIEW"),"",INDEX('Category Rules'!$D$5:$D$17,MATCH(P1712,'Category Rules'!$A$5:$A$17,0)))</f>
        <v>4020</v>
      </c>
      <c r="S1712" t="str">
        <f>IF(Q1712="CONTEXT","Roofing",IF(Q1712="REVIEW","",INDEX('Category Rules'!$E$5:$E$17,MATCH(P1712,'Category Rules'!$A$5:$A$17,0))))</f>
        <v>Roofing</v>
      </c>
      <c r="T1712" t="str">
        <f>IF(Q1712="DEP","BAS Excluded","GST on Income")</f>
        <v>GST on Income</v>
      </c>
      <c r="U1712">
        <f>IF(O1712=T1712,1,0)</f>
        <v>1</v>
      </c>
      <c r="V1712" s="9">
        <f>IF(OR(M1712=0,U1712=1),0,IF(T1712="GST on Income",ROUND(K1712*0.1,2),ROUND(-K1712*0.1,2)))</f>
        <v>0</v>
      </c>
    </row>
    <row r="1713">
      <c r="A1713" t="inlineStr">
        <is>
          <t>INV-5600-2</t>
        </is>
      </c>
      <c r="B1713" t="inlineStr">
        <is>
          <t>INV-5600</t>
        </is>
      </c>
      <c r="C1713" s="11" t="n">
        <v>46094</v>
      </c>
      <c r="D1713" t="inlineStr">
        <is>
          <t>2026-03</t>
        </is>
      </c>
      <c r="E1713" t="inlineStr">
        <is>
          <t>C0123</t>
        </is>
      </c>
      <c r="F1713" t="inlineStr">
        <is>
          <t>C0123</t>
        </is>
      </c>
      <c r="G1713" t="inlineStr">
        <is>
          <t>Harbour Strata Management</t>
        </is>
      </c>
      <c r="H1713" t="inlineStr">
        <is>
          <t>S0381</t>
        </is>
      </c>
      <c r="I1713" t="inlineStr">
        <is>
          <t>Materials - roof tiles (matched)</t>
        </is>
      </c>
      <c r="J1713" t="n">
        <v>1</v>
      </c>
      <c r="K1713" s="9" t="n">
        <v>874.33</v>
      </c>
      <c r="L1713" t="inlineStr">
        <is>
          <t>PAID</t>
        </is>
      </c>
      <c r="M1713">
        <f>IF(L1713="VOIDED",0,1)</f>
        <v>1</v>
      </c>
      <c r="N1713" t="n">
        <v>200</v>
      </c>
      <c r="O1713" t="inlineStr">
        <is>
          <t>GST on Income</t>
        </is>
      </c>
      <c r="P1713" t="inlineStr">
        <is>
          <t>R11</t>
        </is>
      </c>
      <c r="Q1713" t="inlineStr">
        <is>
          <t>MAT-RF</t>
        </is>
      </c>
      <c r="R1713">
        <f>IF(OR(Q1713="CONTEXT",Q1713="REVIEW"),"",INDEX('Category Rules'!$D$5:$D$17,MATCH(P1713,'Category Rules'!$A$5:$A$17,0)))</f>
        <v>4030</v>
      </c>
      <c r="S1713" t="str">
        <f>IF(Q1713="CONTEXT","Roofing",IF(Q1713="REVIEW","",INDEX('Category Rules'!$E$5:$E$17,MATCH(P1713,'Category Rules'!$A$5:$A$17,0))))</f>
        <v>Roofing</v>
      </c>
      <c r="T1713" t="str">
        <f>IF(Q1713="DEP","BAS Excluded","GST on Income")</f>
        <v>GST on Income</v>
      </c>
      <c r="U1713">
        <f>IF(O1713=T1713,1,0)</f>
        <v>1</v>
      </c>
      <c r="V1713" s="9">
        <f>IF(OR(M1713=0,U1713=1),0,IF(T1713="GST on Income",ROUND(K1713*0.1,2),ROUND(-K1713*0.1,2)))</f>
        <v>0</v>
      </c>
    </row>
    <row r="1714">
      <c r="A1714" t="inlineStr">
        <is>
          <t>INV-5600-3</t>
        </is>
      </c>
      <c r="B1714" t="inlineStr">
        <is>
          <t>INV-5600</t>
        </is>
      </c>
      <c r="C1714" s="11" t="n">
        <v>46094</v>
      </c>
      <c r="D1714" t="inlineStr">
        <is>
          <t>2026-03</t>
        </is>
      </c>
      <c r="E1714" t="inlineStr">
        <is>
          <t>C0123</t>
        </is>
      </c>
      <c r="F1714" t="inlineStr">
        <is>
          <t>C0123</t>
        </is>
      </c>
      <c r="G1714" t="inlineStr">
        <is>
          <t>Harbour Strata Management</t>
        </is>
      </c>
      <c r="H1714" t="inlineStr">
        <is>
          <t>S0381</t>
        </is>
      </c>
      <c r="I1714" t="inlineStr">
        <is>
          <t>Materials - gutter and downpipe</t>
        </is>
      </c>
      <c r="J1714" t="n">
        <v>1</v>
      </c>
      <c r="K1714" s="9" t="n">
        <v>1337.66</v>
      </c>
      <c r="L1714" t="inlineStr">
        <is>
          <t>PAID</t>
        </is>
      </c>
      <c r="M1714">
        <f>IF(L1714="VOIDED",0,1)</f>
        <v>1</v>
      </c>
      <c r="N1714" t="n">
        <v>200</v>
      </c>
      <c r="O1714" t="inlineStr">
        <is>
          <t>GST on Income</t>
        </is>
      </c>
      <c r="P1714" t="inlineStr">
        <is>
          <t>R11</t>
        </is>
      </c>
      <c r="Q1714" t="inlineStr">
        <is>
          <t>MAT-RF</t>
        </is>
      </c>
      <c r="R1714">
        <f>IF(OR(Q1714="CONTEXT",Q1714="REVIEW"),"",INDEX('Category Rules'!$D$5:$D$17,MATCH(P1714,'Category Rules'!$A$5:$A$17,0)))</f>
        <v>4030</v>
      </c>
      <c r="S1714" t="str">
        <f>IF(Q1714="CONTEXT","Roofing",IF(Q1714="REVIEW","",INDEX('Category Rules'!$E$5:$E$17,MATCH(P1714,'Category Rules'!$A$5:$A$17,0))))</f>
        <v>Roofing</v>
      </c>
      <c r="T1714" t="str">
        <f>IF(Q1714="DEP","BAS Excluded","GST on Income")</f>
        <v>GST on Income</v>
      </c>
      <c r="U1714">
        <f>IF(O1714=T1714,1,0)</f>
        <v>1</v>
      </c>
      <c r="V1714" s="9">
        <f>IF(OR(M1714=0,U1714=1),0,IF(T1714="GST on Income",ROUND(K1714*0.1,2),ROUND(-K1714*0.1,2)))</f>
        <v>0</v>
      </c>
    </row>
    <row r="1715">
      <c r="A1715" t="inlineStr">
        <is>
          <t>INV-5600-4</t>
        </is>
      </c>
      <c r="B1715" t="inlineStr">
        <is>
          <t>INV-5600</t>
        </is>
      </c>
      <c r="C1715" s="11" t="n">
        <v>46094</v>
      </c>
      <c r="D1715" t="inlineStr">
        <is>
          <t>2026-03</t>
        </is>
      </c>
      <c r="E1715" t="inlineStr">
        <is>
          <t>C0123</t>
        </is>
      </c>
      <c r="F1715" t="inlineStr">
        <is>
          <t>C0123</t>
        </is>
      </c>
      <c r="G1715" t="inlineStr">
        <is>
          <t>Harbour Strata Management</t>
        </is>
      </c>
      <c r="H1715" t="inlineStr">
        <is>
          <t>S0381</t>
        </is>
      </c>
      <c r="I1715" t="inlineStr">
        <is>
          <t>Materials - sealant and fixings</t>
        </is>
      </c>
      <c r="J1715" t="n">
        <v>1</v>
      </c>
      <c r="K1715" s="9" t="n">
        <v>469.47</v>
      </c>
      <c r="L1715" t="inlineStr">
        <is>
          <t>PAID</t>
        </is>
      </c>
      <c r="M1715">
        <f>IF(L1715="VOIDED",0,1)</f>
        <v>1</v>
      </c>
      <c r="N1715" t="n">
        <v>200</v>
      </c>
      <c r="O1715" t="inlineStr">
        <is>
          <t>GST on Income</t>
        </is>
      </c>
      <c r="P1715" t="inlineStr">
        <is>
          <t>R11</t>
        </is>
      </c>
      <c r="Q1715" t="inlineStr">
        <is>
          <t>MAT-RF</t>
        </is>
      </c>
      <c r="R1715">
        <f>IF(OR(Q1715="CONTEXT",Q1715="REVIEW"),"",INDEX('Category Rules'!$D$5:$D$17,MATCH(P1715,'Category Rules'!$A$5:$A$17,0)))</f>
        <v>4030</v>
      </c>
      <c r="S1715" t="str">
        <f>IF(Q1715="CONTEXT","Roofing",IF(Q1715="REVIEW","",INDEX('Category Rules'!$E$5:$E$17,MATCH(P1715,'Category Rules'!$A$5:$A$17,0))))</f>
        <v>Roofing</v>
      </c>
      <c r="T1715" t="str">
        <f>IF(Q1715="DEP","BAS Excluded","GST on Income")</f>
        <v>GST on Income</v>
      </c>
      <c r="U1715">
        <f>IF(O1715=T1715,1,0)</f>
        <v>1</v>
      </c>
      <c r="V1715" s="9">
        <f>IF(OR(M1715=0,U1715=1),0,IF(T1715="GST on Income",ROUND(K1715*0.1,2),ROUND(-K1715*0.1,2)))</f>
        <v>0</v>
      </c>
    </row>
    <row r="1716">
      <c r="A1716" t="inlineStr">
        <is>
          <t>INV-5600-5</t>
        </is>
      </c>
      <c r="B1716" t="inlineStr">
        <is>
          <t>INV-5600</t>
        </is>
      </c>
      <c r="C1716" s="11" t="n">
        <v>46094</v>
      </c>
      <c r="D1716" t="inlineStr">
        <is>
          <t>2026-03</t>
        </is>
      </c>
      <c r="E1716" t="inlineStr">
        <is>
          <t>C0123</t>
        </is>
      </c>
      <c r="F1716" t="inlineStr">
        <is>
          <t>C0123</t>
        </is>
      </c>
      <c r="G1716" t="inlineStr">
        <is>
          <t>Harbour Strata Management</t>
        </is>
      </c>
      <c r="H1716" t="inlineStr">
        <is>
          <t>S0381</t>
        </is>
      </c>
      <c r="I1716" t="inlineStr">
        <is>
          <t>Waste removal and tip fees</t>
        </is>
      </c>
      <c r="J1716" t="n">
        <v>1</v>
      </c>
      <c r="K1716" s="9" t="n">
        <v>120</v>
      </c>
      <c r="L1716" t="inlineStr">
        <is>
          <t>PAID</t>
        </is>
      </c>
      <c r="M1716">
        <f>IF(L1716="VOIDED",0,1)</f>
        <v>1</v>
      </c>
      <c r="N1716" t="n">
        <v>200</v>
      </c>
      <c r="O1716" t="inlineStr">
        <is>
          <t>GST on Income</t>
        </is>
      </c>
      <c r="P1716" t="inlineStr">
        <is>
          <t>R11</t>
        </is>
      </c>
      <c r="Q1716" t="inlineStr">
        <is>
          <t>MAT-RF</t>
        </is>
      </c>
      <c r="R1716">
        <f>IF(OR(Q1716="CONTEXT",Q1716="REVIEW"),"",INDEX('Category Rules'!$D$5:$D$17,MATCH(P1716,'Category Rules'!$A$5:$A$17,0)))</f>
        <v>4030</v>
      </c>
      <c r="S1716" t="str">
        <f>IF(Q1716="CONTEXT","Roofing",IF(Q1716="REVIEW","",INDEX('Category Rules'!$E$5:$E$17,MATCH(P1716,'Category Rules'!$A$5:$A$17,0))))</f>
        <v>Roofing</v>
      </c>
      <c r="T1716" t="str">
        <f>IF(Q1716="DEP","BAS Excluded","GST on Income")</f>
        <v>GST on Income</v>
      </c>
      <c r="U1716">
        <f>IF(O1716=T1716,1,0)</f>
        <v>1</v>
      </c>
      <c r="V1716" s="9">
        <f>IF(OR(M1716=0,U1716=1),0,IF(T1716="GST on Income",ROUND(K1716*0.1,2),ROUND(-K1716*0.1,2)))</f>
        <v>0</v>
      </c>
    </row>
    <row r="1717">
      <c r="A1717" t="inlineStr">
        <is>
          <t>INV-5704-1</t>
        </is>
      </c>
      <c r="B1717" t="inlineStr">
        <is>
          <t>INV-5704</t>
        </is>
      </c>
      <c r="C1717" s="11" t="n">
        <v>46094</v>
      </c>
      <c r="D1717" t="inlineStr">
        <is>
          <t>2026-03</t>
        </is>
      </c>
      <c r="E1717" t="inlineStr">
        <is>
          <t>C0124</t>
        </is>
      </c>
      <c r="F1717" t="inlineStr">
        <is>
          <t>C0124</t>
        </is>
      </c>
      <c r="G1717" t="inlineStr">
        <is>
          <t>Harbor Strata Management</t>
        </is>
      </c>
      <c r="H1717" t="inlineStr">
        <is>
          <t>S0437</t>
        </is>
      </c>
      <c r="I1717" t="inlineStr">
        <is>
          <t>Roof repair labour - 16 hrs</t>
        </is>
      </c>
      <c r="J1717" t="n">
        <v>16</v>
      </c>
      <c r="K1717" s="9" t="n">
        <v>1568</v>
      </c>
      <c r="L1717" t="inlineStr">
        <is>
          <t>PAID</t>
        </is>
      </c>
      <c r="M1717">
        <f>IF(L1717="VOIDED",0,1)</f>
        <v>1</v>
      </c>
      <c r="N1717" t="n">
        <v>200</v>
      </c>
      <c r="O1717" t="inlineStr">
        <is>
          <t>GST on Income</t>
        </is>
      </c>
      <c r="P1717" t="inlineStr">
        <is>
          <t>R10</t>
        </is>
      </c>
      <c r="Q1717" t="inlineStr">
        <is>
          <t>LAB-RF</t>
        </is>
      </c>
      <c r="R1717">
        <f>IF(OR(Q1717="CONTEXT",Q1717="REVIEW"),"",INDEX('Category Rules'!$D$5:$D$17,MATCH(P1717,'Category Rules'!$A$5:$A$17,0)))</f>
        <v>4020</v>
      </c>
      <c r="S1717" t="str">
        <f>IF(Q1717="CONTEXT","Roofing",IF(Q1717="REVIEW","",INDEX('Category Rules'!$E$5:$E$17,MATCH(P1717,'Category Rules'!$A$5:$A$17,0))))</f>
        <v>Roofing</v>
      </c>
      <c r="T1717" t="str">
        <f>IF(Q1717="DEP","BAS Excluded","GST on Income")</f>
        <v>GST on Income</v>
      </c>
      <c r="U1717">
        <f>IF(O1717=T1717,1,0)</f>
        <v>1</v>
      </c>
      <c r="V1717" s="9">
        <f>IF(OR(M1717=0,U1717=1),0,IF(T1717="GST on Income",ROUND(K1717*0.1,2),ROUND(-K1717*0.1,2)))</f>
        <v>0</v>
      </c>
    </row>
    <row r="1718">
      <c r="A1718" t="inlineStr">
        <is>
          <t>INV-5704-2</t>
        </is>
      </c>
      <c r="B1718" t="inlineStr">
        <is>
          <t>INV-5704</t>
        </is>
      </c>
      <c r="C1718" s="11" t="n">
        <v>46094</v>
      </c>
      <c r="D1718" t="inlineStr">
        <is>
          <t>2026-03</t>
        </is>
      </c>
      <c r="E1718" t="inlineStr">
        <is>
          <t>C0124</t>
        </is>
      </c>
      <c r="F1718" t="inlineStr">
        <is>
          <t>C0124</t>
        </is>
      </c>
      <c r="G1718" t="inlineStr">
        <is>
          <t>Harbor Strata Management</t>
        </is>
      </c>
      <c r="H1718" t="inlineStr">
        <is>
          <t>S0437</t>
        </is>
      </c>
      <c r="I1718" t="inlineStr">
        <is>
          <t>Materials - flashing</t>
        </is>
      </c>
      <c r="J1718" t="n">
        <v>1</v>
      </c>
      <c r="K1718" s="9" t="n">
        <v>1034.14</v>
      </c>
      <c r="L1718" t="inlineStr">
        <is>
          <t>PAID</t>
        </is>
      </c>
      <c r="M1718">
        <f>IF(L1718="VOIDED",0,1)</f>
        <v>1</v>
      </c>
      <c r="N1718" t="n">
        <v>200</v>
      </c>
      <c r="O1718" t="inlineStr">
        <is>
          <t>GST on Income</t>
        </is>
      </c>
      <c r="P1718" t="inlineStr">
        <is>
          <t>R11</t>
        </is>
      </c>
      <c r="Q1718" t="inlineStr">
        <is>
          <t>MAT-RF</t>
        </is>
      </c>
      <c r="R1718">
        <f>IF(OR(Q1718="CONTEXT",Q1718="REVIEW"),"",INDEX('Category Rules'!$D$5:$D$17,MATCH(P1718,'Category Rules'!$A$5:$A$17,0)))</f>
        <v>4030</v>
      </c>
      <c r="S1718" t="str">
        <f>IF(Q1718="CONTEXT","Roofing",IF(Q1718="REVIEW","",INDEX('Category Rules'!$E$5:$E$17,MATCH(P1718,'Category Rules'!$A$5:$A$17,0))))</f>
        <v>Roofing</v>
      </c>
      <c r="T1718" t="str">
        <f>IF(Q1718="DEP","BAS Excluded","GST on Income")</f>
        <v>GST on Income</v>
      </c>
      <c r="U1718">
        <f>IF(O1718=T1718,1,0)</f>
        <v>1</v>
      </c>
      <c r="V1718" s="9">
        <f>IF(OR(M1718=0,U1718=1),0,IF(T1718="GST on Income",ROUND(K1718*0.1,2),ROUND(-K1718*0.1,2)))</f>
        <v>0</v>
      </c>
    </row>
    <row r="1719">
      <c r="A1719" t="inlineStr">
        <is>
          <t>INV-5704-3</t>
        </is>
      </c>
      <c r="B1719" t="inlineStr">
        <is>
          <t>INV-5704</t>
        </is>
      </c>
      <c r="C1719" s="11" t="n">
        <v>46094</v>
      </c>
      <c r="D1719" t="inlineStr">
        <is>
          <t>2026-03</t>
        </is>
      </c>
      <c r="E1719" t="inlineStr">
        <is>
          <t>C0124</t>
        </is>
      </c>
      <c r="F1719" t="inlineStr">
        <is>
          <t>C0124</t>
        </is>
      </c>
      <c r="G1719" t="inlineStr">
        <is>
          <t>Harbor Strata Management</t>
        </is>
      </c>
      <c r="H1719" t="inlineStr">
        <is>
          <t>S0437</t>
        </is>
      </c>
      <c r="I1719" t="inlineStr">
        <is>
          <t>Materials - Colorbond sheet</t>
        </is>
      </c>
      <c r="J1719" t="n">
        <v>1</v>
      </c>
      <c r="K1719" s="9" t="n">
        <v>1377.11</v>
      </c>
      <c r="L1719" t="inlineStr">
        <is>
          <t>PAID</t>
        </is>
      </c>
      <c r="M1719">
        <f>IF(L1719="VOIDED",0,1)</f>
        <v>1</v>
      </c>
      <c r="N1719" t="n">
        <v>200</v>
      </c>
      <c r="O1719" t="inlineStr">
        <is>
          <t>GST on Income</t>
        </is>
      </c>
      <c r="P1719" t="inlineStr">
        <is>
          <t>R11</t>
        </is>
      </c>
      <c r="Q1719" t="inlineStr">
        <is>
          <t>MAT-RF</t>
        </is>
      </c>
      <c r="R1719">
        <f>IF(OR(Q1719="CONTEXT",Q1719="REVIEW"),"",INDEX('Category Rules'!$D$5:$D$17,MATCH(P1719,'Category Rules'!$A$5:$A$17,0)))</f>
        <v>4030</v>
      </c>
      <c r="S1719" t="str">
        <f>IF(Q1719="CONTEXT","Roofing",IF(Q1719="REVIEW","",INDEX('Category Rules'!$E$5:$E$17,MATCH(P1719,'Category Rules'!$A$5:$A$17,0))))</f>
        <v>Roofing</v>
      </c>
      <c r="T1719" t="str">
        <f>IF(Q1719="DEP","BAS Excluded","GST on Income")</f>
        <v>GST on Income</v>
      </c>
      <c r="U1719">
        <f>IF(O1719=T1719,1,0)</f>
        <v>1</v>
      </c>
      <c r="V1719" s="9">
        <f>IF(OR(M1719=0,U1719=1),0,IF(T1719="GST on Income",ROUND(K1719*0.1,2),ROUND(-K1719*0.1,2)))</f>
        <v>0</v>
      </c>
    </row>
    <row r="1720">
      <c r="A1720" t="inlineStr">
        <is>
          <t>INV-5704-4</t>
        </is>
      </c>
      <c r="B1720" t="inlineStr">
        <is>
          <t>INV-5704</t>
        </is>
      </c>
      <c r="C1720" s="11" t="n">
        <v>46094</v>
      </c>
      <c r="D1720" t="inlineStr">
        <is>
          <t>2026-03</t>
        </is>
      </c>
      <c r="E1720" t="inlineStr">
        <is>
          <t>C0124</t>
        </is>
      </c>
      <c r="F1720" t="inlineStr">
        <is>
          <t>C0124</t>
        </is>
      </c>
      <c r="G1720" t="inlineStr">
        <is>
          <t>Harbor Strata Management</t>
        </is>
      </c>
      <c r="H1720" t="inlineStr">
        <is>
          <t>S0437</t>
        </is>
      </c>
      <c r="I1720" t="inlineStr">
        <is>
          <t>Waste removal and tip fees</t>
        </is>
      </c>
      <c r="J1720" t="n">
        <v>1</v>
      </c>
      <c r="K1720" s="9" t="n">
        <v>120</v>
      </c>
      <c r="L1720" t="inlineStr">
        <is>
          <t>PAID</t>
        </is>
      </c>
      <c r="M1720">
        <f>IF(L1720="VOIDED",0,1)</f>
        <v>1</v>
      </c>
      <c r="N1720" t="n">
        <v>200</v>
      </c>
      <c r="O1720" t="inlineStr">
        <is>
          <t>GST on Income</t>
        </is>
      </c>
      <c r="P1720" t="inlineStr">
        <is>
          <t>R11</t>
        </is>
      </c>
      <c r="Q1720" t="inlineStr">
        <is>
          <t>MAT-RF</t>
        </is>
      </c>
      <c r="R1720">
        <f>IF(OR(Q1720="CONTEXT",Q1720="REVIEW"),"",INDEX('Category Rules'!$D$5:$D$17,MATCH(P1720,'Category Rules'!$A$5:$A$17,0)))</f>
        <v>4030</v>
      </c>
      <c r="S1720" t="str">
        <f>IF(Q1720="CONTEXT","Roofing",IF(Q1720="REVIEW","",INDEX('Category Rules'!$E$5:$E$17,MATCH(P1720,'Category Rules'!$A$5:$A$17,0))))</f>
        <v>Roofing</v>
      </c>
      <c r="T1720" t="str">
        <f>IF(Q1720="DEP","BAS Excluded","GST on Income")</f>
        <v>GST on Income</v>
      </c>
      <c r="U1720">
        <f>IF(O1720=T1720,1,0)</f>
        <v>1</v>
      </c>
      <c r="V1720" s="9">
        <f>IF(OR(M1720=0,U1720=1),0,IF(T1720="GST on Income",ROUND(K1720*0.1,2),ROUND(-K1720*0.1,2)))</f>
        <v>0</v>
      </c>
    </row>
    <row r="1721">
      <c r="A1721" t="inlineStr">
        <is>
          <t>INV-4154-1</t>
        </is>
      </c>
      <c r="B1721" t="inlineStr">
        <is>
          <t>INV-4154</t>
        </is>
      </c>
      <c r="C1721" s="11" t="n">
        <v>46095</v>
      </c>
      <c r="D1721" t="inlineStr">
        <is>
          <t>2026-03</t>
        </is>
      </c>
      <c r="E1721" t="inlineStr">
        <is>
          <t>C0033</t>
        </is>
      </c>
      <c r="F1721" t="inlineStr">
        <is>
          <t>C0033</t>
        </is>
      </c>
      <c r="G1721" t="inlineStr">
        <is>
          <t>Granite Projects Pty Ltd</t>
        </is>
      </c>
      <c r="H1721" t="inlineStr">
        <is>
          <t>S0010</t>
        </is>
      </c>
      <c r="I1721" t="inlineStr">
        <is>
          <t>Delivery and installation - temporary fencing</t>
        </is>
      </c>
      <c r="J1721" t="n">
        <v>1</v>
      </c>
      <c r="K1721" s="9" t="n">
        <v>165</v>
      </c>
      <c r="L1721" t="inlineStr">
        <is>
          <t>PAID</t>
        </is>
      </c>
      <c r="M1721">
        <f>IF(L1721="VOIDED",0,1)</f>
        <v>1</v>
      </c>
      <c r="N1721" t="n">
        <v>260</v>
      </c>
      <c r="O1721" t="inlineStr">
        <is>
          <t>GST on Income</t>
        </is>
      </c>
      <c r="P1721" t="inlineStr">
        <is>
          <t>R07</t>
        </is>
      </c>
      <c r="Q1721" t="inlineStr">
        <is>
          <t>DEL-FP</t>
        </is>
      </c>
      <c r="R1721">
        <f>IF(OR(Q1721="CONTEXT",Q1721="REVIEW"),"",INDEX('Category Rules'!$D$5:$D$17,MATCH(P1721,'Category Rules'!$A$5:$A$17,0)))</f>
        <v>4020</v>
      </c>
      <c r="S1721" t="str">
        <f>IF(Q1721="CONTEXT","Fencing",IF(Q1721="REVIEW","",INDEX('Category Rules'!$E$5:$E$17,MATCH(P1721,'Category Rules'!$A$5:$A$17,0))))</f>
        <v>Fencing</v>
      </c>
      <c r="T1721" t="str">
        <f>IF(Q1721="DEP","BAS Excluded","GST on Income")</f>
        <v>GST on Income</v>
      </c>
      <c r="U1721">
        <f>IF(O1721=T1721,1,0)</f>
        <v>1</v>
      </c>
      <c r="V1721" s="9">
        <f>IF(OR(M1721=0,U1721=1),0,IF(T1721="GST on Income",ROUND(K1721*0.1,2),ROUND(-K1721*0.1,2)))</f>
        <v>0</v>
      </c>
    </row>
    <row r="1722">
      <c r="A1722" t="inlineStr">
        <is>
          <t>INV-4154-2</t>
        </is>
      </c>
      <c r="B1722" t="inlineStr">
        <is>
          <t>INV-4154</t>
        </is>
      </c>
      <c r="C1722" s="11" t="n">
        <v>46095</v>
      </c>
      <c r="D1722" t="inlineStr">
        <is>
          <t>2026-03</t>
        </is>
      </c>
      <c r="E1722" t="inlineStr">
        <is>
          <t>C0033</t>
        </is>
      </c>
      <c r="F1722" t="inlineStr">
        <is>
          <t>C0033</t>
        </is>
      </c>
      <c r="G1722" t="inlineStr">
        <is>
          <t>Granite Projects Pty Ltd</t>
        </is>
      </c>
      <c r="H1722" t="inlineStr">
        <is>
          <t>S0010</t>
        </is>
      </c>
      <c r="I1722" t="inlineStr">
        <is>
          <t>Installation labour - 16 panels @ 2.20</t>
        </is>
      </c>
      <c r="J1722" t="n">
        <v>16</v>
      </c>
      <c r="K1722" s="9" t="n">
        <v>35.2</v>
      </c>
      <c r="L1722" t="inlineStr">
        <is>
          <t>PAID</t>
        </is>
      </c>
      <c r="M1722">
        <f>IF(L1722="VOIDED",0,1)</f>
        <v>1</v>
      </c>
      <c r="N1722" t="n">
        <v>200</v>
      </c>
      <c r="O1722" t="inlineStr">
        <is>
          <t>GST on Income</t>
        </is>
      </c>
      <c r="P1722" t="inlineStr">
        <is>
          <t>R07</t>
        </is>
      </c>
      <c r="Q1722" t="inlineStr">
        <is>
          <t>DEL-FP</t>
        </is>
      </c>
      <c r="R1722">
        <f>IF(OR(Q1722="CONTEXT",Q1722="REVIEW"),"",INDEX('Category Rules'!$D$5:$D$17,MATCH(P1722,'Category Rules'!$A$5:$A$17,0)))</f>
        <v>4020</v>
      </c>
      <c r="S1722" t="str">
        <f>IF(Q1722="CONTEXT","Fencing",IF(Q1722="REVIEW","",INDEX('Category Rules'!$E$5:$E$17,MATCH(P1722,'Category Rules'!$A$5:$A$17,0))))</f>
        <v>Fencing</v>
      </c>
      <c r="T1722" t="str">
        <f>IF(Q1722="DEP","BAS Excluded","GST on Income")</f>
        <v>GST on Income</v>
      </c>
      <c r="U1722">
        <f>IF(O1722=T1722,1,0)</f>
        <v>1</v>
      </c>
      <c r="V1722" s="9">
        <f>IF(OR(M1722=0,U1722=1),0,IF(T1722="GST on Income",ROUND(K1722*0.1,2),ROUND(-K1722*0.1,2)))</f>
        <v>0</v>
      </c>
    </row>
    <row r="1723">
      <c r="A1723" t="inlineStr">
        <is>
          <t>INV-4212-1</t>
        </is>
      </c>
      <c r="B1723" t="inlineStr">
        <is>
          <t>INV-4212</t>
        </is>
      </c>
      <c r="C1723" s="11" t="n">
        <v>46095</v>
      </c>
      <c r="D1723" t="inlineStr">
        <is>
          <t>2026-03</t>
        </is>
      </c>
      <c r="E1723" t="inlineStr">
        <is>
          <t>C0046</t>
        </is>
      </c>
      <c r="F1723" t="inlineStr">
        <is>
          <t>C0046</t>
        </is>
      </c>
      <c r="G1723" t="inlineStr">
        <is>
          <t>Bayside Owners Corporation Services Pty Ltd</t>
        </is>
      </c>
      <c r="H1723" t="inlineStr">
        <is>
          <t>S0021</t>
        </is>
      </c>
      <c r="I1723" t="inlineStr">
        <is>
          <t>Temporary fence hire 4 wks (14/02/26-13/03/26) - 101 panels</t>
        </is>
      </c>
      <c r="J1723" t="n">
        <v>404</v>
      </c>
      <c r="K1723" s="9" t="n">
        <v>1818</v>
      </c>
      <c r="L1723" t="inlineStr">
        <is>
          <t>PAID</t>
        </is>
      </c>
      <c r="M1723">
        <f>IF(L1723="VOIDED",0,1)</f>
        <v>1</v>
      </c>
      <c r="N1723" t="n">
        <v>200</v>
      </c>
      <c r="O1723" t="inlineStr">
        <is>
          <t>GST on Income</t>
        </is>
      </c>
      <c r="P1723" t="inlineStr">
        <is>
          <t>R03</t>
        </is>
      </c>
      <c r="Q1723" t="inlineStr">
        <is>
          <t>HIRE-FP</t>
        </is>
      </c>
      <c r="R1723">
        <f>IF(OR(Q1723="CONTEXT",Q1723="REVIEW"),"",INDEX('Category Rules'!$D$5:$D$17,MATCH(P1723,'Category Rules'!$A$5:$A$17,0)))</f>
        <v>4010</v>
      </c>
      <c r="S1723" t="str">
        <f>IF(Q1723="CONTEXT","Fencing",IF(Q1723="REVIEW","",INDEX('Category Rules'!$E$5:$E$17,MATCH(P1723,'Category Rules'!$A$5:$A$17,0))))</f>
        <v>Fencing</v>
      </c>
      <c r="T1723" t="str">
        <f>IF(Q1723="DEP","BAS Excluded","GST on Income")</f>
        <v>GST on Income</v>
      </c>
      <c r="U1723">
        <f>IF(O1723=T1723,1,0)</f>
        <v>1</v>
      </c>
      <c r="V1723" s="9">
        <f>IF(OR(M1723=0,U1723=1),0,IF(T1723="GST on Income",ROUND(K1723*0.1,2),ROUND(-K1723*0.1,2)))</f>
        <v>0</v>
      </c>
    </row>
    <row r="1724">
      <c r="A1724" t="inlineStr">
        <is>
          <t>INV-4215-1</t>
        </is>
      </c>
      <c r="B1724" t="inlineStr">
        <is>
          <t>INV-4215</t>
        </is>
      </c>
      <c r="C1724" s="11" t="n">
        <v>46095</v>
      </c>
      <c r="D1724" t="inlineStr">
        <is>
          <t>2026-03</t>
        </is>
      </c>
      <c r="E1724" t="inlineStr">
        <is>
          <t>C0046</t>
        </is>
      </c>
      <c r="F1724" t="inlineStr">
        <is>
          <t>C0046</t>
        </is>
      </c>
      <c r="G1724" t="inlineStr">
        <is>
          <t>Bayside Owners Corporation Services Pty Ltd</t>
        </is>
      </c>
      <c r="H1724" t="inlineStr">
        <is>
          <t>S0021</t>
        </is>
      </c>
      <c r="I1724" t="inlineStr">
        <is>
          <t>Pedestrian barrier hire 4 wks (14/02/26-13/03/26) - 20 barriers</t>
        </is>
      </c>
      <c r="J1724" t="n">
        <v>80</v>
      </c>
      <c r="K1724" s="9" t="n">
        <v>256</v>
      </c>
      <c r="L1724" t="inlineStr">
        <is>
          <t>PAID</t>
        </is>
      </c>
      <c r="M1724">
        <f>IF(L1724="VOIDED",0,1)</f>
        <v>1</v>
      </c>
      <c r="N1724" t="n">
        <v>200</v>
      </c>
      <c r="O1724" t="inlineStr">
        <is>
          <t>GST on Income</t>
        </is>
      </c>
      <c r="P1724" t="inlineStr">
        <is>
          <t>R04</t>
        </is>
      </c>
      <c r="Q1724" t="inlineStr">
        <is>
          <t>HIRE-BR</t>
        </is>
      </c>
      <c r="R1724">
        <f>IF(OR(Q1724="CONTEXT",Q1724="REVIEW"),"",INDEX('Category Rules'!$D$5:$D$17,MATCH(P1724,'Category Rules'!$A$5:$A$17,0)))</f>
        <v>4010</v>
      </c>
      <c r="S1724" t="str">
        <f>IF(Q1724="CONTEXT","Fencing",IF(Q1724="REVIEW","",INDEX('Category Rules'!$E$5:$E$17,MATCH(P1724,'Category Rules'!$A$5:$A$17,0))))</f>
        <v>Fencing</v>
      </c>
      <c r="T1724" t="str">
        <f>IF(Q1724="DEP","BAS Excluded","GST on Income")</f>
        <v>GST on Income</v>
      </c>
      <c r="U1724">
        <f>IF(O1724=T1724,1,0)</f>
        <v>1</v>
      </c>
      <c r="V1724" s="9">
        <f>IF(OR(M1724=0,U1724=1),0,IF(T1724="GST on Income",ROUND(K1724*0.1,2),ROUND(-K1724*0.1,2)))</f>
        <v>0</v>
      </c>
    </row>
    <row r="1725">
      <c r="A1725" t="inlineStr">
        <is>
          <t>INV-4447-1</t>
        </is>
      </c>
      <c r="B1725" t="inlineStr">
        <is>
          <t>INV-4447</t>
        </is>
      </c>
      <c r="C1725" s="11" t="n">
        <v>46095</v>
      </c>
      <c r="D1725" t="inlineStr">
        <is>
          <t>2026-03</t>
        </is>
      </c>
      <c r="E1725" t="inlineStr">
        <is>
          <t>C0010</t>
        </is>
      </c>
      <c r="F1725" t="inlineStr">
        <is>
          <t>C0010</t>
        </is>
      </c>
      <c r="G1725" t="inlineStr">
        <is>
          <t>Eastlink Developments</t>
        </is>
      </c>
      <c r="H1725" t="inlineStr">
        <is>
          <t>S0069</t>
        </is>
      </c>
      <c r="I1725" t="inlineStr">
        <is>
          <t>Temporary fence hire 4 wks (14/02/26-13/03/26) - 39 panels</t>
        </is>
      </c>
      <c r="J1725" t="n">
        <v>156</v>
      </c>
      <c r="K1725" s="9" t="n">
        <v>702</v>
      </c>
      <c r="L1725" t="inlineStr">
        <is>
          <t>PAID</t>
        </is>
      </c>
      <c r="M1725">
        <f>IF(L1725="VOIDED",0,1)</f>
        <v>1</v>
      </c>
      <c r="N1725" t="n">
        <v>200</v>
      </c>
      <c r="O1725" t="inlineStr">
        <is>
          <t>GST on Income</t>
        </is>
      </c>
      <c r="P1725" t="inlineStr">
        <is>
          <t>R03</t>
        </is>
      </c>
      <c r="Q1725" t="inlineStr">
        <is>
          <t>HIRE-FP</t>
        </is>
      </c>
      <c r="R1725">
        <f>IF(OR(Q1725="CONTEXT",Q1725="REVIEW"),"",INDEX('Category Rules'!$D$5:$D$17,MATCH(P1725,'Category Rules'!$A$5:$A$17,0)))</f>
        <v>4010</v>
      </c>
      <c r="S1725" t="str">
        <f>IF(Q1725="CONTEXT","Fencing",IF(Q1725="REVIEW","",INDEX('Category Rules'!$E$5:$E$17,MATCH(P1725,'Category Rules'!$A$5:$A$17,0))))</f>
        <v>Fencing</v>
      </c>
      <c r="T1725" t="str">
        <f>IF(Q1725="DEP","BAS Excluded","GST on Income")</f>
        <v>GST on Income</v>
      </c>
      <c r="U1725">
        <f>IF(O1725=T1725,1,0)</f>
        <v>1</v>
      </c>
      <c r="V1725" s="9">
        <f>IF(OR(M1725=0,U1725=1),0,IF(T1725="GST on Income",ROUND(K1725*0.1,2),ROUND(-K1725*0.1,2)))</f>
        <v>0</v>
      </c>
    </row>
    <row r="1726">
      <c r="A1726" t="inlineStr">
        <is>
          <t>INV-4683-1</t>
        </is>
      </c>
      <c r="B1726" t="inlineStr">
        <is>
          <t>INV-4683</t>
        </is>
      </c>
      <c r="C1726" s="11" t="n">
        <v>46095</v>
      </c>
      <c r="D1726" t="inlineStr">
        <is>
          <t>2026-03</t>
        </is>
      </c>
      <c r="E1726" t="inlineStr">
        <is>
          <t>C0008</t>
        </is>
      </c>
      <c r="F1726" t="inlineStr">
        <is>
          <t>C0008</t>
        </is>
      </c>
      <c r="G1726" t="inlineStr">
        <is>
          <t>Redline Builders Pty Ltd</t>
        </is>
      </c>
      <c r="H1726" t="inlineStr">
        <is>
          <t>S0122</t>
        </is>
      </c>
      <c r="I1726" t="inlineStr">
        <is>
          <t>Delivery and installation - temporary fencing</t>
        </is>
      </c>
      <c r="J1726" t="n">
        <v>1</v>
      </c>
      <c r="K1726" s="9" t="n">
        <v>165</v>
      </c>
      <c r="L1726" t="inlineStr">
        <is>
          <t>PAID</t>
        </is>
      </c>
      <c r="M1726">
        <f>IF(L1726="VOIDED",0,1)</f>
        <v>1</v>
      </c>
      <c r="N1726" t="n">
        <v>200</v>
      </c>
      <c r="O1726" t="inlineStr">
        <is>
          <t>GST on Income</t>
        </is>
      </c>
      <c r="P1726" t="inlineStr">
        <is>
          <t>R07</t>
        </is>
      </c>
      <c r="Q1726" t="inlineStr">
        <is>
          <t>DEL-FP</t>
        </is>
      </c>
      <c r="R1726">
        <f>IF(OR(Q1726="CONTEXT",Q1726="REVIEW"),"",INDEX('Category Rules'!$D$5:$D$17,MATCH(P1726,'Category Rules'!$A$5:$A$17,0)))</f>
        <v>4020</v>
      </c>
      <c r="S1726" t="str">
        <f>IF(Q1726="CONTEXT","Fencing",IF(Q1726="REVIEW","",INDEX('Category Rules'!$E$5:$E$17,MATCH(P1726,'Category Rules'!$A$5:$A$17,0))))</f>
        <v>Fencing</v>
      </c>
      <c r="T1726" t="str">
        <f>IF(Q1726="DEP","BAS Excluded","GST on Income")</f>
        <v>GST on Income</v>
      </c>
      <c r="U1726">
        <f>IF(O1726=T1726,1,0)</f>
        <v>1</v>
      </c>
      <c r="V1726" s="9">
        <f>IF(OR(M1726=0,U1726=1),0,IF(T1726="GST on Income",ROUND(K1726*0.1,2),ROUND(-K1726*0.1,2)))</f>
        <v>0</v>
      </c>
    </row>
    <row r="1727">
      <c r="A1727" t="inlineStr">
        <is>
          <t>INV-4683-2</t>
        </is>
      </c>
      <c r="B1727" t="inlineStr">
        <is>
          <t>INV-4683</t>
        </is>
      </c>
      <c r="C1727" s="11" t="n">
        <v>46095</v>
      </c>
      <c r="D1727" t="inlineStr">
        <is>
          <t>2026-03</t>
        </is>
      </c>
      <c r="E1727" t="inlineStr">
        <is>
          <t>C0008</t>
        </is>
      </c>
      <c r="F1727" t="inlineStr">
        <is>
          <t>C0008</t>
        </is>
      </c>
      <c r="G1727" t="inlineStr">
        <is>
          <t>Redline Builders Pty Ltd</t>
        </is>
      </c>
      <c r="H1727" t="inlineStr">
        <is>
          <t>S0122</t>
        </is>
      </c>
      <c r="I1727" t="inlineStr">
        <is>
          <t>Installation labour - 19 panels @ 2.20</t>
        </is>
      </c>
      <c r="J1727" t="n">
        <v>19</v>
      </c>
      <c r="K1727" s="9" t="n">
        <v>41.8</v>
      </c>
      <c r="L1727" t="inlineStr">
        <is>
          <t>PAID</t>
        </is>
      </c>
      <c r="M1727">
        <f>IF(L1727="VOIDED",0,1)</f>
        <v>1</v>
      </c>
      <c r="N1727" t="n">
        <v>200</v>
      </c>
      <c r="O1727" t="inlineStr">
        <is>
          <t>GST on Income</t>
        </is>
      </c>
      <c r="P1727" t="inlineStr">
        <is>
          <t>R07</t>
        </is>
      </c>
      <c r="Q1727" t="inlineStr">
        <is>
          <t>DEL-FP</t>
        </is>
      </c>
      <c r="R1727">
        <f>IF(OR(Q1727="CONTEXT",Q1727="REVIEW"),"",INDEX('Category Rules'!$D$5:$D$17,MATCH(P1727,'Category Rules'!$A$5:$A$17,0)))</f>
        <v>4020</v>
      </c>
      <c r="S1727" t="str">
        <f>IF(Q1727="CONTEXT","Fencing",IF(Q1727="REVIEW","",INDEX('Category Rules'!$E$5:$E$17,MATCH(P1727,'Category Rules'!$A$5:$A$17,0))))</f>
        <v>Fencing</v>
      </c>
      <c r="T1727" t="str">
        <f>IF(Q1727="DEP","BAS Excluded","GST on Income")</f>
        <v>GST on Income</v>
      </c>
      <c r="U1727">
        <f>IF(O1727=T1727,1,0)</f>
        <v>1</v>
      </c>
      <c r="V1727" s="9">
        <f>IF(OR(M1727=0,U1727=1),0,IF(T1727="GST on Income",ROUND(K1727*0.1,2),ROUND(-K1727*0.1,2)))</f>
        <v>0</v>
      </c>
    </row>
    <row r="1728">
      <c r="A1728" t="inlineStr">
        <is>
          <t>INV-5588-1</t>
        </is>
      </c>
      <c r="B1728" t="inlineStr">
        <is>
          <t>INV-5588</t>
        </is>
      </c>
      <c r="C1728" s="11" t="n">
        <v>46095</v>
      </c>
      <c r="D1728" t="inlineStr">
        <is>
          <t>2026-03</t>
        </is>
      </c>
      <c r="E1728" t="inlineStr">
        <is>
          <t>C0093</t>
        </is>
      </c>
      <c r="F1728" t="inlineStr">
        <is>
          <t>C0093</t>
        </is>
      </c>
      <c r="G1728" t="inlineStr">
        <is>
          <t>Olivia Wilson</t>
        </is>
      </c>
      <c r="H1728" t="inlineStr">
        <is>
          <t>S0374</t>
        </is>
      </c>
      <c r="I1728" t="inlineStr">
        <is>
          <t>Roof repair labour - 4 hrs</t>
        </is>
      </c>
      <c r="J1728" t="n">
        <v>4</v>
      </c>
      <c r="K1728" s="9" t="n">
        <v>392</v>
      </c>
      <c r="L1728" t="inlineStr">
        <is>
          <t>PAID</t>
        </is>
      </c>
      <c r="M1728">
        <f>IF(L1728="VOIDED",0,1)</f>
        <v>1</v>
      </c>
      <c r="N1728" t="n">
        <v>200</v>
      </c>
      <c r="O1728" t="inlineStr">
        <is>
          <t>GST on Income</t>
        </is>
      </c>
      <c r="P1728" t="inlineStr">
        <is>
          <t>R10</t>
        </is>
      </c>
      <c r="Q1728" t="inlineStr">
        <is>
          <t>LAB-RF</t>
        </is>
      </c>
      <c r="R1728">
        <f>IF(OR(Q1728="CONTEXT",Q1728="REVIEW"),"",INDEX('Category Rules'!$D$5:$D$17,MATCH(P1728,'Category Rules'!$A$5:$A$17,0)))</f>
        <v>4020</v>
      </c>
      <c r="S1728" t="str">
        <f>IF(Q1728="CONTEXT","Roofing",IF(Q1728="REVIEW","",INDEX('Category Rules'!$E$5:$E$17,MATCH(P1728,'Category Rules'!$A$5:$A$17,0))))</f>
        <v>Roofing</v>
      </c>
      <c r="T1728" t="str">
        <f>IF(Q1728="DEP","BAS Excluded","GST on Income")</f>
        <v>GST on Income</v>
      </c>
      <c r="U1728">
        <f>IF(O1728=T1728,1,0)</f>
        <v>1</v>
      </c>
      <c r="V1728" s="9">
        <f>IF(OR(M1728=0,U1728=1),0,IF(T1728="GST on Income",ROUND(K1728*0.1,2),ROUND(-K1728*0.1,2)))</f>
        <v>0</v>
      </c>
    </row>
    <row r="1729">
      <c r="A1729" t="inlineStr">
        <is>
          <t>INV-5588-2</t>
        </is>
      </c>
      <c r="B1729" t="inlineStr">
        <is>
          <t>INV-5588</t>
        </is>
      </c>
      <c r="C1729" s="11" t="n">
        <v>46095</v>
      </c>
      <c r="D1729" t="inlineStr">
        <is>
          <t>2026-03</t>
        </is>
      </c>
      <c r="E1729" t="inlineStr">
        <is>
          <t>C0093</t>
        </is>
      </c>
      <c r="F1729" t="inlineStr">
        <is>
          <t>C0093</t>
        </is>
      </c>
      <c r="G1729" t="inlineStr">
        <is>
          <t>Olivia Wilson</t>
        </is>
      </c>
      <c r="H1729" t="inlineStr">
        <is>
          <t>S0374</t>
        </is>
      </c>
      <c r="I1729" t="inlineStr">
        <is>
          <t>Materials - gutter and downpipe</t>
        </is>
      </c>
      <c r="J1729" t="n">
        <v>1</v>
      </c>
      <c r="K1729" s="9" t="n">
        <v>624.9299999999999</v>
      </c>
      <c r="L1729" t="inlineStr">
        <is>
          <t>PAID</t>
        </is>
      </c>
      <c r="M1729">
        <f>IF(L1729="VOIDED",0,1)</f>
        <v>1</v>
      </c>
      <c r="N1729" t="n">
        <v>200</v>
      </c>
      <c r="O1729" t="inlineStr">
        <is>
          <t>GST on Income</t>
        </is>
      </c>
      <c r="P1729" t="inlineStr">
        <is>
          <t>R11</t>
        </is>
      </c>
      <c r="Q1729" t="inlineStr">
        <is>
          <t>MAT-RF</t>
        </is>
      </c>
      <c r="R1729">
        <f>IF(OR(Q1729="CONTEXT",Q1729="REVIEW"),"",INDEX('Category Rules'!$D$5:$D$17,MATCH(P1729,'Category Rules'!$A$5:$A$17,0)))</f>
        <v>4030</v>
      </c>
      <c r="S1729" t="str">
        <f>IF(Q1729="CONTEXT","Roofing",IF(Q1729="REVIEW","",INDEX('Category Rules'!$E$5:$E$17,MATCH(P1729,'Category Rules'!$A$5:$A$17,0))))</f>
        <v>Roofing</v>
      </c>
      <c r="T1729" t="str">
        <f>IF(Q1729="DEP","BAS Excluded","GST on Income")</f>
        <v>GST on Income</v>
      </c>
      <c r="U1729">
        <f>IF(O1729=T1729,1,0)</f>
        <v>1</v>
      </c>
      <c r="V1729" s="9">
        <f>IF(OR(M1729=0,U1729=1),0,IF(T1729="GST on Income",ROUND(K1729*0.1,2),ROUND(-K1729*0.1,2)))</f>
        <v>0</v>
      </c>
    </row>
    <row r="1730">
      <c r="A1730" t="inlineStr">
        <is>
          <t>INV-5588-3</t>
        </is>
      </c>
      <c r="B1730" t="inlineStr">
        <is>
          <t>INV-5588</t>
        </is>
      </c>
      <c r="C1730" s="11" t="n">
        <v>46095</v>
      </c>
      <c r="D1730" t="inlineStr">
        <is>
          <t>2026-03</t>
        </is>
      </c>
      <c r="E1730" t="inlineStr">
        <is>
          <t>C0093</t>
        </is>
      </c>
      <c r="F1730" t="inlineStr">
        <is>
          <t>C0093</t>
        </is>
      </c>
      <c r="G1730" t="inlineStr">
        <is>
          <t>Olivia Wilson</t>
        </is>
      </c>
      <c r="H1730" t="inlineStr">
        <is>
          <t>S0374</t>
        </is>
      </c>
      <c r="I1730" t="inlineStr">
        <is>
          <t>Materials - ridge capping</t>
        </is>
      </c>
      <c r="J1730" t="n">
        <v>1</v>
      </c>
      <c r="K1730" s="9" t="n">
        <v>945.38</v>
      </c>
      <c r="L1730" t="inlineStr">
        <is>
          <t>PAID</t>
        </is>
      </c>
      <c r="M1730">
        <f>IF(L1730="VOIDED",0,1)</f>
        <v>1</v>
      </c>
      <c r="N1730" t="n">
        <v>200</v>
      </c>
      <c r="O1730" t="inlineStr">
        <is>
          <t>GST on Income</t>
        </is>
      </c>
      <c r="P1730" t="inlineStr">
        <is>
          <t>R11</t>
        </is>
      </c>
      <c r="Q1730" t="inlineStr">
        <is>
          <t>MAT-RF</t>
        </is>
      </c>
      <c r="R1730">
        <f>IF(OR(Q1730="CONTEXT",Q1730="REVIEW"),"",INDEX('Category Rules'!$D$5:$D$17,MATCH(P1730,'Category Rules'!$A$5:$A$17,0)))</f>
        <v>4030</v>
      </c>
      <c r="S1730" t="str">
        <f>IF(Q1730="CONTEXT","Roofing",IF(Q1730="REVIEW","",INDEX('Category Rules'!$E$5:$E$17,MATCH(P1730,'Category Rules'!$A$5:$A$17,0))))</f>
        <v>Roofing</v>
      </c>
      <c r="T1730" t="str">
        <f>IF(Q1730="DEP","BAS Excluded","GST on Income")</f>
        <v>GST on Income</v>
      </c>
      <c r="U1730">
        <f>IF(O1730=T1730,1,0)</f>
        <v>1</v>
      </c>
      <c r="V1730" s="9">
        <f>IF(OR(M1730=0,U1730=1),0,IF(T1730="GST on Income",ROUND(K1730*0.1,2),ROUND(-K1730*0.1,2)))</f>
        <v>0</v>
      </c>
    </row>
    <row r="1731">
      <c r="A1731" t="inlineStr">
        <is>
          <t>INV-5588-4</t>
        </is>
      </c>
      <c r="B1731" t="inlineStr">
        <is>
          <t>INV-5588</t>
        </is>
      </c>
      <c r="C1731" s="11" t="n">
        <v>46095</v>
      </c>
      <c r="D1731" t="inlineStr">
        <is>
          <t>2026-03</t>
        </is>
      </c>
      <c r="E1731" t="inlineStr">
        <is>
          <t>C0093</t>
        </is>
      </c>
      <c r="F1731" t="inlineStr">
        <is>
          <t>C0093</t>
        </is>
      </c>
      <c r="G1731" t="inlineStr">
        <is>
          <t>Olivia Wilson</t>
        </is>
      </c>
      <c r="H1731" t="inlineStr">
        <is>
          <t>S0374</t>
        </is>
      </c>
      <c r="I1731" t="inlineStr">
        <is>
          <t>Materials - flashing</t>
        </is>
      </c>
      <c r="J1731" t="n">
        <v>1</v>
      </c>
      <c r="K1731" s="9" t="n">
        <v>864.85</v>
      </c>
      <c r="L1731" t="inlineStr">
        <is>
          <t>PAID</t>
        </is>
      </c>
      <c r="M1731">
        <f>IF(L1731="VOIDED",0,1)</f>
        <v>1</v>
      </c>
      <c r="N1731" t="n">
        <v>200</v>
      </c>
      <c r="O1731" t="inlineStr">
        <is>
          <t>GST on Income</t>
        </is>
      </c>
      <c r="P1731" t="inlineStr">
        <is>
          <t>R11</t>
        </is>
      </c>
      <c r="Q1731" t="inlineStr">
        <is>
          <t>MAT-RF</t>
        </is>
      </c>
      <c r="R1731">
        <f>IF(OR(Q1731="CONTEXT",Q1731="REVIEW"),"",INDEX('Category Rules'!$D$5:$D$17,MATCH(P1731,'Category Rules'!$A$5:$A$17,0)))</f>
        <v>4030</v>
      </c>
      <c r="S1731" t="str">
        <f>IF(Q1731="CONTEXT","Roofing",IF(Q1731="REVIEW","",INDEX('Category Rules'!$E$5:$E$17,MATCH(P1731,'Category Rules'!$A$5:$A$17,0))))</f>
        <v>Roofing</v>
      </c>
      <c r="T1731" t="str">
        <f>IF(Q1731="DEP","BAS Excluded","GST on Income")</f>
        <v>GST on Income</v>
      </c>
      <c r="U1731">
        <f>IF(O1731=T1731,1,0)</f>
        <v>1</v>
      </c>
      <c r="V1731" s="9">
        <f>IF(OR(M1731=0,U1731=1),0,IF(T1731="GST on Income",ROUND(K1731*0.1,2),ROUND(-K1731*0.1,2)))</f>
        <v>0</v>
      </c>
    </row>
    <row r="1732">
      <c r="A1732" t="inlineStr">
        <is>
          <t>INV-5588-5</t>
        </is>
      </c>
      <c r="B1732" t="inlineStr">
        <is>
          <t>INV-5588</t>
        </is>
      </c>
      <c r="C1732" s="11" t="n">
        <v>46095</v>
      </c>
      <c r="D1732" t="inlineStr">
        <is>
          <t>2026-03</t>
        </is>
      </c>
      <c r="E1732" t="inlineStr">
        <is>
          <t>C0093</t>
        </is>
      </c>
      <c r="F1732" t="inlineStr">
        <is>
          <t>C0093</t>
        </is>
      </c>
      <c r="G1732" t="inlineStr">
        <is>
          <t>Olivia Wilson</t>
        </is>
      </c>
      <c r="H1732" t="inlineStr">
        <is>
          <t>S0374</t>
        </is>
      </c>
      <c r="I1732" t="inlineStr">
        <is>
          <t>Waste removal and tip fees</t>
        </is>
      </c>
      <c r="J1732" t="n">
        <v>1</v>
      </c>
      <c r="K1732" s="9" t="n">
        <v>120</v>
      </c>
      <c r="L1732" t="inlineStr">
        <is>
          <t>PAID</t>
        </is>
      </c>
      <c r="M1732">
        <f>IF(L1732="VOIDED",0,1)</f>
        <v>1</v>
      </c>
      <c r="N1732" t="n">
        <v>200</v>
      </c>
      <c r="O1732" t="inlineStr">
        <is>
          <t>GST on Income</t>
        </is>
      </c>
      <c r="P1732" t="inlineStr">
        <is>
          <t>R11</t>
        </is>
      </c>
      <c r="Q1732" t="inlineStr">
        <is>
          <t>MAT-RF</t>
        </is>
      </c>
      <c r="R1732">
        <f>IF(OR(Q1732="CONTEXT",Q1732="REVIEW"),"",INDEX('Category Rules'!$D$5:$D$17,MATCH(P1732,'Category Rules'!$A$5:$A$17,0)))</f>
        <v>4030</v>
      </c>
      <c r="S1732" t="str">
        <f>IF(Q1732="CONTEXT","Roofing",IF(Q1732="REVIEW","",INDEX('Category Rules'!$E$5:$E$17,MATCH(P1732,'Category Rules'!$A$5:$A$17,0))))</f>
        <v>Roofing</v>
      </c>
      <c r="T1732" t="str">
        <f>IF(Q1732="DEP","BAS Excluded","GST on Income")</f>
        <v>GST on Income</v>
      </c>
      <c r="U1732">
        <f>IF(O1732=T1732,1,0)</f>
        <v>1</v>
      </c>
      <c r="V1732" s="9">
        <f>IF(OR(M1732=0,U1732=1),0,IF(T1732="GST on Income",ROUND(K1732*0.1,2),ROUND(-K1732*0.1,2)))</f>
        <v>0</v>
      </c>
    </row>
    <row r="1733">
      <c r="A1733" t="inlineStr">
        <is>
          <t>INV-5875-1</t>
        </is>
      </c>
      <c r="B1733" t="inlineStr">
        <is>
          <t>INV-5875</t>
        </is>
      </c>
      <c r="C1733" s="11" t="n">
        <v>46095</v>
      </c>
      <c r="D1733" t="inlineStr">
        <is>
          <t>2026-03</t>
        </is>
      </c>
      <c r="E1733" t="inlineStr">
        <is>
          <t>C0017</t>
        </is>
      </c>
      <c r="F1733" t="inlineStr">
        <is>
          <t>C0017</t>
        </is>
      </c>
      <c r="G1733" t="inlineStr">
        <is>
          <t>Cobalt Developments Pty Ltd</t>
        </is>
      </c>
      <c r="H1733" t="inlineStr">
        <is>
          <t>S0535</t>
        </is>
      </c>
      <c r="I1733" t="inlineStr">
        <is>
          <t>Make safe call-out</t>
        </is>
      </c>
      <c r="J1733" t="n">
        <v>1</v>
      </c>
      <c r="K1733" s="9" t="n">
        <v>385</v>
      </c>
      <c r="L1733" t="inlineStr">
        <is>
          <t>PAID</t>
        </is>
      </c>
      <c r="M1733">
        <f>IF(L1733="VOIDED",0,1)</f>
        <v>1</v>
      </c>
      <c r="N1733" t="n">
        <v>200</v>
      </c>
      <c r="O1733" t="inlineStr">
        <is>
          <t>GST on Income</t>
        </is>
      </c>
      <c r="P1733" t="inlineStr">
        <is>
          <t>R09</t>
        </is>
      </c>
      <c r="Q1733" t="inlineStr">
        <is>
          <t>MS</t>
        </is>
      </c>
      <c r="R1733">
        <f>IF(OR(Q1733="CONTEXT",Q1733="REVIEW"),"",INDEX('Category Rules'!$D$5:$D$17,MATCH(P1733,'Category Rules'!$A$5:$A$17,0)))</f>
        <v>4020</v>
      </c>
      <c r="S1733" t="str">
        <f>IF(Q1733="CONTEXT","Make-safe",IF(Q1733="REVIEW","",INDEX('Category Rules'!$E$5:$E$17,MATCH(P1733,'Category Rules'!$A$5:$A$17,0))))</f>
        <v>Make-safe</v>
      </c>
      <c r="T1733" t="str">
        <f>IF(Q1733="DEP","BAS Excluded","GST on Income")</f>
        <v>GST on Income</v>
      </c>
      <c r="U1733">
        <f>IF(O1733=T1733,1,0)</f>
        <v>1</v>
      </c>
      <c r="V1733" s="9">
        <f>IF(OR(M1733=0,U1733=1),0,IF(T1733="GST on Income",ROUND(K1733*0.1,2),ROUND(-K1733*0.1,2)))</f>
        <v>0</v>
      </c>
    </row>
    <row r="1734">
      <c r="A1734" t="inlineStr">
        <is>
          <t>INV-4546-1</t>
        </is>
      </c>
      <c r="B1734" t="inlineStr">
        <is>
          <t>INV-4546</t>
        </is>
      </c>
      <c r="C1734" s="11" t="n">
        <v>46096</v>
      </c>
      <c r="D1734" t="inlineStr">
        <is>
          <t>2026-03</t>
        </is>
      </c>
      <c r="E1734" t="inlineStr">
        <is>
          <t>C0151</t>
        </is>
      </c>
      <c r="F1734" t="inlineStr">
        <is>
          <t>C0040</t>
        </is>
      </c>
      <c r="G1734" t="inlineStr">
        <is>
          <t>Coastline Projects Pty Ltd</t>
        </is>
      </c>
      <c r="H1734" t="inlineStr">
        <is>
          <t>S0089</t>
        </is>
      </c>
      <c r="I1734" t="inlineStr">
        <is>
          <t>Delivery and installation - temporary fencing</t>
        </is>
      </c>
      <c r="J1734" t="n">
        <v>1</v>
      </c>
      <c r="K1734" s="9" t="n">
        <v>165</v>
      </c>
      <c r="L1734" t="inlineStr">
        <is>
          <t>PAID</t>
        </is>
      </c>
      <c r="M1734">
        <f>IF(L1734="VOIDED",0,1)</f>
        <v>1</v>
      </c>
      <c r="N1734" t="n">
        <v>200</v>
      </c>
      <c r="O1734" t="inlineStr">
        <is>
          <t>GST on Income</t>
        </is>
      </c>
      <c r="P1734" t="inlineStr">
        <is>
          <t>R07</t>
        </is>
      </c>
      <c r="Q1734" t="inlineStr">
        <is>
          <t>DEL-FP</t>
        </is>
      </c>
      <c r="R1734">
        <f>IF(OR(Q1734="CONTEXT",Q1734="REVIEW"),"",INDEX('Category Rules'!$D$5:$D$17,MATCH(P1734,'Category Rules'!$A$5:$A$17,0)))</f>
        <v>4020</v>
      </c>
      <c r="S1734" t="str">
        <f>IF(Q1734="CONTEXT","Fencing",IF(Q1734="REVIEW","",INDEX('Category Rules'!$E$5:$E$17,MATCH(P1734,'Category Rules'!$A$5:$A$17,0))))</f>
        <v>Fencing</v>
      </c>
      <c r="T1734" t="str">
        <f>IF(Q1734="DEP","BAS Excluded","GST on Income")</f>
        <v>GST on Income</v>
      </c>
      <c r="U1734">
        <f>IF(O1734=T1734,1,0)</f>
        <v>1</v>
      </c>
      <c r="V1734" s="9">
        <f>IF(OR(M1734=0,U1734=1),0,IF(T1734="GST on Income",ROUND(K1734*0.1,2),ROUND(-K1734*0.1,2)))</f>
        <v>0</v>
      </c>
    </row>
    <row r="1735">
      <c r="A1735" t="inlineStr">
        <is>
          <t>INV-4546-2</t>
        </is>
      </c>
      <c r="B1735" t="inlineStr">
        <is>
          <t>INV-4546</t>
        </is>
      </c>
      <c r="C1735" s="11" t="n">
        <v>46096</v>
      </c>
      <c r="D1735" t="inlineStr">
        <is>
          <t>2026-03</t>
        </is>
      </c>
      <c r="E1735" t="inlineStr">
        <is>
          <t>C0151</t>
        </is>
      </c>
      <c r="F1735" t="inlineStr">
        <is>
          <t>C0040</t>
        </is>
      </c>
      <c r="G1735" t="inlineStr">
        <is>
          <t>Coastline Projects Pty Ltd</t>
        </is>
      </c>
      <c r="H1735" t="inlineStr">
        <is>
          <t>S0089</t>
        </is>
      </c>
      <c r="I1735" t="inlineStr">
        <is>
          <t>Installation labour - 19 panels @ 2.20</t>
        </is>
      </c>
      <c r="J1735" t="n">
        <v>19</v>
      </c>
      <c r="K1735" s="9" t="n">
        <v>41.8</v>
      </c>
      <c r="L1735" t="inlineStr">
        <is>
          <t>PAID</t>
        </is>
      </c>
      <c r="M1735">
        <f>IF(L1735="VOIDED",0,1)</f>
        <v>1</v>
      </c>
      <c r="N1735" t="n">
        <v>200</v>
      </c>
      <c r="O1735" t="inlineStr">
        <is>
          <t>GST on Income</t>
        </is>
      </c>
      <c r="P1735" t="inlineStr">
        <is>
          <t>R07</t>
        </is>
      </c>
      <c r="Q1735" t="inlineStr">
        <is>
          <t>DEL-FP</t>
        </is>
      </c>
      <c r="R1735">
        <f>IF(OR(Q1735="CONTEXT",Q1735="REVIEW"),"",INDEX('Category Rules'!$D$5:$D$17,MATCH(P1735,'Category Rules'!$A$5:$A$17,0)))</f>
        <v>4020</v>
      </c>
      <c r="S1735" t="str">
        <f>IF(Q1735="CONTEXT","Fencing",IF(Q1735="REVIEW","",INDEX('Category Rules'!$E$5:$E$17,MATCH(P1735,'Category Rules'!$A$5:$A$17,0))))</f>
        <v>Fencing</v>
      </c>
      <c r="T1735" t="str">
        <f>IF(Q1735="DEP","BAS Excluded","GST on Income")</f>
        <v>GST on Income</v>
      </c>
      <c r="U1735">
        <f>IF(O1735=T1735,1,0)</f>
        <v>1</v>
      </c>
      <c r="V1735" s="9">
        <f>IF(OR(M1735=0,U1735=1),0,IF(T1735="GST on Income",ROUND(K1735*0.1,2),ROUND(-K1735*0.1,2)))</f>
        <v>0</v>
      </c>
    </row>
    <row r="1736">
      <c r="A1736" t="inlineStr">
        <is>
          <t>INV-4546-3</t>
        </is>
      </c>
      <c r="B1736" t="inlineStr">
        <is>
          <t>INV-4546</t>
        </is>
      </c>
      <c r="C1736" s="11" t="n">
        <v>46096</v>
      </c>
      <c r="D1736" t="inlineStr">
        <is>
          <t>2026-03</t>
        </is>
      </c>
      <c r="E1736" t="inlineStr">
        <is>
          <t>C0151</t>
        </is>
      </c>
      <c r="F1736" t="inlineStr">
        <is>
          <t>C0040</t>
        </is>
      </c>
      <c r="G1736" t="inlineStr">
        <is>
          <t>Coastline Projects Pty Ltd</t>
        </is>
      </c>
      <c r="H1736" t="inlineStr">
        <is>
          <t>S0089</t>
        </is>
      </c>
      <c r="I1736" t="inlineStr">
        <is>
          <t>Security deposit - fence panels (refundable)</t>
        </is>
      </c>
      <c r="J1736" t="n">
        <v>1</v>
      </c>
      <c r="K1736" s="9" t="n">
        <v>150</v>
      </c>
      <c r="L1736" t="inlineStr">
        <is>
          <t>PAID</t>
        </is>
      </c>
      <c r="M1736">
        <f>IF(L1736="VOIDED",0,1)</f>
        <v>1</v>
      </c>
      <c r="N1736" t="n">
        <v>200</v>
      </c>
      <c r="O1736" t="inlineStr">
        <is>
          <t>BAS Excluded</t>
        </is>
      </c>
      <c r="P1736" t="inlineStr">
        <is>
          <t>R01</t>
        </is>
      </c>
      <c r="Q1736" t="inlineStr">
        <is>
          <t>DEP</t>
        </is>
      </c>
      <c r="R1736">
        <f>IF(OR(Q1736="CONTEXT",Q1736="REVIEW"),"",INDEX('Category Rules'!$D$5:$D$17,MATCH(P1736,'Category Rules'!$A$5:$A$17,0)))</f>
        <v>835</v>
      </c>
      <c r="S1736" t="str">
        <f>IF(Q1736="CONTEXT","Fencing",IF(Q1736="REVIEW","",INDEX('Category Rules'!$E$5:$E$17,MATCH(P1736,'Category Rules'!$A$5:$A$17,0))))</f>
        <v>Fencing</v>
      </c>
      <c r="T1736" t="str">
        <f>IF(Q1736="DEP","BAS Excluded","GST on Income")</f>
        <v>BAS Excluded</v>
      </c>
      <c r="U1736">
        <f>IF(O1736=T1736,1,0)</f>
        <v>1</v>
      </c>
      <c r="V1736" s="9">
        <f>IF(OR(M1736=0,U1736=1),0,IF(T1736="GST on Income",ROUND(K1736*0.1,2),ROUND(-K1736*0.1,2)))</f>
        <v>0</v>
      </c>
    </row>
    <row r="1737">
      <c r="A1737" t="inlineStr">
        <is>
          <t>INV-4855-1</t>
        </is>
      </c>
      <c r="B1737" t="inlineStr">
        <is>
          <t>INV-4855</t>
        </is>
      </c>
      <c r="C1737" s="11" t="n">
        <v>46096</v>
      </c>
      <c r="D1737" t="inlineStr">
        <is>
          <t>2026-03</t>
        </is>
      </c>
      <c r="E1737" t="inlineStr">
        <is>
          <t>C0122</t>
        </is>
      </c>
      <c r="F1737" t="inlineStr">
        <is>
          <t>C0122</t>
        </is>
      </c>
      <c r="G1737" t="inlineStr">
        <is>
          <t>Bluegum Construction Pty Ltd</t>
        </is>
      </c>
      <c r="H1737" t="inlineStr">
        <is>
          <t>S0160</t>
        </is>
      </c>
      <c r="I1737" t="inlineStr">
        <is>
          <t>Temporary fence hire 4 wks (15/02/26-14/03/26) - 54 panels</t>
        </is>
      </c>
      <c r="J1737" t="n">
        <v>216</v>
      </c>
      <c r="K1737" s="9" t="n">
        <v>972</v>
      </c>
      <c r="L1737" t="inlineStr">
        <is>
          <t>PAID</t>
        </is>
      </c>
      <c r="M1737">
        <f>IF(L1737="VOIDED",0,1)</f>
        <v>1</v>
      </c>
      <c r="N1737" t="n">
        <v>200</v>
      </c>
      <c r="O1737" t="inlineStr">
        <is>
          <t>GST on Income</t>
        </is>
      </c>
      <c r="P1737" t="inlineStr">
        <is>
          <t>R03</t>
        </is>
      </c>
      <c r="Q1737" t="inlineStr">
        <is>
          <t>HIRE-FP</t>
        </is>
      </c>
      <c r="R1737">
        <f>IF(OR(Q1737="CONTEXT",Q1737="REVIEW"),"",INDEX('Category Rules'!$D$5:$D$17,MATCH(P1737,'Category Rules'!$A$5:$A$17,0)))</f>
        <v>4010</v>
      </c>
      <c r="S1737" t="str">
        <f>IF(Q1737="CONTEXT","Fencing",IF(Q1737="REVIEW","",INDEX('Category Rules'!$E$5:$E$17,MATCH(P1737,'Category Rules'!$A$5:$A$17,0))))</f>
        <v>Fencing</v>
      </c>
      <c r="T1737" t="str">
        <f>IF(Q1737="DEP","BAS Excluded","GST on Income")</f>
        <v>GST on Income</v>
      </c>
      <c r="U1737">
        <f>IF(O1737=T1737,1,0)</f>
        <v>1</v>
      </c>
      <c r="V1737" s="9">
        <f>IF(OR(M1737=0,U1737=1),0,IF(T1737="GST on Income",ROUND(K1737*0.1,2),ROUND(-K1737*0.1,2)))</f>
        <v>0</v>
      </c>
    </row>
    <row r="1738">
      <c r="A1738" t="inlineStr">
        <is>
          <t>INV-4910-1</t>
        </is>
      </c>
      <c r="B1738" t="inlineStr">
        <is>
          <t>INV-4910</t>
        </is>
      </c>
      <c r="C1738" s="11" t="n">
        <v>46096</v>
      </c>
      <c r="D1738" t="inlineStr">
        <is>
          <t>2026-03</t>
        </is>
      </c>
      <c r="E1738" t="inlineStr">
        <is>
          <t>C0033</t>
        </is>
      </c>
      <c r="F1738" t="inlineStr">
        <is>
          <t>C0033</t>
        </is>
      </c>
      <c r="G1738" t="inlineStr">
        <is>
          <t>Granite Projects Pty Ltd</t>
        </is>
      </c>
      <c r="H1738" t="inlineStr">
        <is>
          <t>S0170</t>
        </is>
      </c>
      <c r="I1738" t="inlineStr">
        <is>
          <t>Delivery and installation - temporary fencing</t>
        </is>
      </c>
      <c r="J1738" t="n">
        <v>1</v>
      </c>
      <c r="K1738" s="9" t="n">
        <v>165</v>
      </c>
      <c r="L1738" t="inlineStr">
        <is>
          <t>PAID</t>
        </is>
      </c>
      <c r="M1738">
        <f>IF(L1738="VOIDED",0,1)</f>
        <v>1</v>
      </c>
      <c r="N1738" t="n">
        <v>200</v>
      </c>
      <c r="O1738" t="inlineStr">
        <is>
          <t>GST on Income</t>
        </is>
      </c>
      <c r="P1738" t="inlineStr">
        <is>
          <t>R07</t>
        </is>
      </c>
      <c r="Q1738" t="inlineStr">
        <is>
          <t>DEL-FP</t>
        </is>
      </c>
      <c r="R1738">
        <f>IF(OR(Q1738="CONTEXT",Q1738="REVIEW"),"",INDEX('Category Rules'!$D$5:$D$17,MATCH(P1738,'Category Rules'!$A$5:$A$17,0)))</f>
        <v>4020</v>
      </c>
      <c r="S1738" t="str">
        <f>IF(Q1738="CONTEXT","Fencing",IF(Q1738="REVIEW","",INDEX('Category Rules'!$E$5:$E$17,MATCH(P1738,'Category Rules'!$A$5:$A$17,0))))</f>
        <v>Fencing</v>
      </c>
      <c r="T1738" t="str">
        <f>IF(Q1738="DEP","BAS Excluded","GST on Income")</f>
        <v>GST on Income</v>
      </c>
      <c r="U1738">
        <f>IF(O1738=T1738,1,0)</f>
        <v>1</v>
      </c>
      <c r="V1738" s="9">
        <f>IF(OR(M1738=0,U1738=1),0,IF(T1738="GST on Income",ROUND(K1738*0.1,2),ROUND(-K1738*0.1,2)))</f>
        <v>0</v>
      </c>
    </row>
    <row r="1739">
      <c r="A1739" t="inlineStr">
        <is>
          <t>INV-4910-2</t>
        </is>
      </c>
      <c r="B1739" t="inlineStr">
        <is>
          <t>INV-4910</t>
        </is>
      </c>
      <c r="C1739" s="11" t="n">
        <v>46096</v>
      </c>
      <c r="D1739" t="inlineStr">
        <is>
          <t>2026-03</t>
        </is>
      </c>
      <c r="E1739" t="inlineStr">
        <is>
          <t>C0033</t>
        </is>
      </c>
      <c r="F1739" t="inlineStr">
        <is>
          <t>C0033</t>
        </is>
      </c>
      <c r="G1739" t="inlineStr">
        <is>
          <t>Granite Projects Pty Ltd</t>
        </is>
      </c>
      <c r="H1739" t="inlineStr">
        <is>
          <t>S0170</t>
        </is>
      </c>
      <c r="I1739" t="inlineStr">
        <is>
          <t>Installation labour - 46 panels @ 2.20</t>
        </is>
      </c>
      <c r="J1739" t="n">
        <v>46</v>
      </c>
      <c r="K1739" s="9" t="n">
        <v>101.2</v>
      </c>
      <c r="L1739" t="inlineStr">
        <is>
          <t>PAID</t>
        </is>
      </c>
      <c r="M1739">
        <f>IF(L1739="VOIDED",0,1)</f>
        <v>1</v>
      </c>
      <c r="N1739" t="n">
        <v>200</v>
      </c>
      <c r="O1739" t="inlineStr">
        <is>
          <t>GST on Income</t>
        </is>
      </c>
      <c r="P1739" t="inlineStr">
        <is>
          <t>R07</t>
        </is>
      </c>
      <c r="Q1739" t="inlineStr">
        <is>
          <t>DEL-FP</t>
        </is>
      </c>
      <c r="R1739">
        <f>IF(OR(Q1739="CONTEXT",Q1739="REVIEW"),"",INDEX('Category Rules'!$D$5:$D$17,MATCH(P1739,'Category Rules'!$A$5:$A$17,0)))</f>
        <v>4020</v>
      </c>
      <c r="S1739" t="str">
        <f>IF(Q1739="CONTEXT","Fencing",IF(Q1739="REVIEW","",INDEX('Category Rules'!$E$5:$E$17,MATCH(P1739,'Category Rules'!$A$5:$A$17,0))))</f>
        <v>Fencing</v>
      </c>
      <c r="T1739" t="str">
        <f>IF(Q1739="DEP","BAS Excluded","GST on Income")</f>
        <v>GST on Income</v>
      </c>
      <c r="U1739">
        <f>IF(O1739=T1739,1,0)</f>
        <v>1</v>
      </c>
      <c r="V1739" s="9">
        <f>IF(OR(M1739=0,U1739=1),0,IF(T1739="GST on Income",ROUND(K1739*0.1,2),ROUND(-K1739*0.1,2)))</f>
        <v>0</v>
      </c>
    </row>
    <row r="1740">
      <c r="A1740" t="inlineStr">
        <is>
          <t>INV-5008-1</t>
        </is>
      </c>
      <c r="B1740" t="inlineStr">
        <is>
          <t>INV-5008</t>
        </is>
      </c>
      <c r="C1740" s="11" t="n">
        <v>46096</v>
      </c>
      <c r="D1740" t="inlineStr">
        <is>
          <t>2026-03</t>
        </is>
      </c>
      <c r="E1740" t="inlineStr">
        <is>
          <t>C0072</t>
        </is>
      </c>
      <c r="F1740" t="inlineStr">
        <is>
          <t>C0072</t>
        </is>
      </c>
      <c r="G1740" t="inlineStr">
        <is>
          <t>Kingston City Council</t>
        </is>
      </c>
      <c r="H1740" t="inlineStr">
        <is>
          <t>S0196</t>
        </is>
      </c>
      <c r="I1740" t="inlineStr">
        <is>
          <t>Temporary fence hire 4 wks (15/02/26-14/03/26) - 122 panels</t>
        </is>
      </c>
      <c r="J1740" t="n">
        <v>488</v>
      </c>
      <c r="K1740" s="9" t="n">
        <v>2196</v>
      </c>
      <c r="L1740" t="inlineStr">
        <is>
          <t>PAID</t>
        </is>
      </c>
      <c r="M1740">
        <f>IF(L1740="VOIDED",0,1)</f>
        <v>1</v>
      </c>
      <c r="N1740" t="n">
        <v>200</v>
      </c>
      <c r="O1740" t="inlineStr">
        <is>
          <t>GST on Income</t>
        </is>
      </c>
      <c r="P1740" t="inlineStr">
        <is>
          <t>R03</t>
        </is>
      </c>
      <c r="Q1740" t="inlineStr">
        <is>
          <t>HIRE-FP</t>
        </is>
      </c>
      <c r="R1740">
        <f>IF(OR(Q1740="CONTEXT",Q1740="REVIEW"),"",INDEX('Category Rules'!$D$5:$D$17,MATCH(P1740,'Category Rules'!$A$5:$A$17,0)))</f>
        <v>4010</v>
      </c>
      <c r="S1740" t="str">
        <f>IF(Q1740="CONTEXT","Fencing",IF(Q1740="REVIEW","",INDEX('Category Rules'!$E$5:$E$17,MATCH(P1740,'Category Rules'!$A$5:$A$17,0))))</f>
        <v>Fencing</v>
      </c>
      <c r="T1740" t="str">
        <f>IF(Q1740="DEP","BAS Excluded","GST on Income")</f>
        <v>GST on Income</v>
      </c>
      <c r="U1740">
        <f>IF(O1740=T1740,1,0)</f>
        <v>1</v>
      </c>
      <c r="V1740" s="9">
        <f>IF(OR(M1740=0,U1740=1),0,IF(T1740="GST on Income",ROUND(K1740*0.1,2),ROUND(-K1740*0.1,2)))</f>
        <v>0</v>
      </c>
    </row>
    <row r="1741">
      <c r="A1741" t="inlineStr">
        <is>
          <t>INV-5010-1</t>
        </is>
      </c>
      <c r="B1741" t="inlineStr">
        <is>
          <t>INV-5010</t>
        </is>
      </c>
      <c r="C1741" s="11" t="n">
        <v>46096</v>
      </c>
      <c r="D1741" t="inlineStr">
        <is>
          <t>2026-03</t>
        </is>
      </c>
      <c r="E1741" t="inlineStr">
        <is>
          <t>C0072</t>
        </is>
      </c>
      <c r="F1741" t="inlineStr">
        <is>
          <t>C0072</t>
        </is>
      </c>
      <c r="G1741" t="inlineStr">
        <is>
          <t>Kingston City Council</t>
        </is>
      </c>
      <c r="H1741" t="inlineStr">
        <is>
          <t>S0196</t>
        </is>
      </c>
      <c r="I1741" t="inlineStr">
        <is>
          <t>Collection and dismantle - temporary fencing</t>
        </is>
      </c>
      <c r="J1741" t="n">
        <v>1</v>
      </c>
      <c r="K1741" s="9" t="n">
        <v>165</v>
      </c>
      <c r="L1741" t="inlineStr">
        <is>
          <t>PAID</t>
        </is>
      </c>
      <c r="M1741">
        <f>IF(L1741="VOIDED",0,1)</f>
        <v>1</v>
      </c>
      <c r="N1741" t="n">
        <v>200</v>
      </c>
      <c r="O1741" t="inlineStr">
        <is>
          <t>GST on Income</t>
        </is>
      </c>
      <c r="P1741" t="inlineStr">
        <is>
          <t>R07</t>
        </is>
      </c>
      <c r="Q1741" t="inlineStr">
        <is>
          <t>DEL-FP</t>
        </is>
      </c>
      <c r="R1741">
        <f>IF(OR(Q1741="CONTEXT",Q1741="REVIEW"),"",INDEX('Category Rules'!$D$5:$D$17,MATCH(P1741,'Category Rules'!$A$5:$A$17,0)))</f>
        <v>4020</v>
      </c>
      <c r="S1741" t="str">
        <f>IF(Q1741="CONTEXT","Fencing",IF(Q1741="REVIEW","",INDEX('Category Rules'!$E$5:$E$17,MATCH(P1741,'Category Rules'!$A$5:$A$17,0))))</f>
        <v>Fencing</v>
      </c>
      <c r="T1741" t="str">
        <f>IF(Q1741="DEP","BAS Excluded","GST on Income")</f>
        <v>GST on Income</v>
      </c>
      <c r="U1741">
        <f>IF(O1741=T1741,1,0)</f>
        <v>1</v>
      </c>
      <c r="V1741" s="9">
        <f>IF(OR(M1741=0,U1741=1),0,IF(T1741="GST on Income",ROUND(K1741*0.1,2),ROUND(-K1741*0.1,2)))</f>
        <v>0</v>
      </c>
    </row>
    <row r="1742">
      <c r="A1742" t="inlineStr">
        <is>
          <t>INV-5526-1</t>
        </is>
      </c>
      <c r="B1742" t="inlineStr">
        <is>
          <t>INV-5526</t>
        </is>
      </c>
      <c r="C1742" s="11" t="n">
        <v>46096</v>
      </c>
      <c r="D1742" t="inlineStr">
        <is>
          <t>2026-03</t>
        </is>
      </c>
      <c r="E1742" t="inlineStr">
        <is>
          <t>C0046</t>
        </is>
      </c>
      <c r="F1742" t="inlineStr">
        <is>
          <t>C0046</t>
        </is>
      </c>
      <c r="G1742" t="inlineStr">
        <is>
          <t>Bayside Owners Corporation Services Pty Ltd</t>
        </is>
      </c>
      <c r="H1742" t="inlineStr">
        <is>
          <t>S0338</t>
        </is>
      </c>
      <c r="I1742" t="inlineStr">
        <is>
          <t>Tarp kit hire 3 wks (28/02/26-14/03/26) - 1 kits</t>
        </is>
      </c>
      <c r="J1742" t="n">
        <v>3</v>
      </c>
      <c r="K1742" s="9" t="n">
        <v>105</v>
      </c>
      <c r="L1742" t="inlineStr">
        <is>
          <t>PAID</t>
        </is>
      </c>
      <c r="M1742">
        <f>IF(L1742="VOIDED",0,1)</f>
        <v>1</v>
      </c>
      <c r="N1742" t="n">
        <v>200</v>
      </c>
      <c r="O1742" t="inlineStr">
        <is>
          <t>GST on Income</t>
        </is>
      </c>
      <c r="P1742" t="inlineStr">
        <is>
          <t>R06</t>
        </is>
      </c>
      <c r="Q1742" t="inlineStr">
        <is>
          <t>HIRE-TK</t>
        </is>
      </c>
      <c r="R1742">
        <f>IF(OR(Q1742="CONTEXT",Q1742="REVIEW"),"",INDEX('Category Rules'!$D$5:$D$17,MATCH(P1742,'Category Rules'!$A$5:$A$17,0)))</f>
        <v>4010</v>
      </c>
      <c r="S1742" t="str">
        <f>IF(Q1742="CONTEXT","Make-safe",IF(Q1742="REVIEW","",INDEX('Category Rules'!$E$5:$E$17,MATCH(P1742,'Category Rules'!$A$5:$A$17,0))))</f>
        <v>Make-safe</v>
      </c>
      <c r="T1742" t="str">
        <f>IF(Q1742="DEP","BAS Excluded","GST on Income")</f>
        <v>GST on Income</v>
      </c>
      <c r="U1742">
        <f>IF(O1742=T1742,1,0)</f>
        <v>1</v>
      </c>
      <c r="V1742" s="9">
        <f>IF(OR(M1742=0,U1742=1),0,IF(T1742="GST on Income",ROUND(K1742*0.1,2),ROUND(-K1742*0.1,2)))</f>
        <v>0</v>
      </c>
    </row>
    <row r="1743">
      <c r="A1743" t="inlineStr">
        <is>
          <t>INV-4213-1</t>
        </is>
      </c>
      <c r="B1743" t="inlineStr">
        <is>
          <t>INV-4213</t>
        </is>
      </c>
      <c r="C1743" s="11" t="n">
        <v>46097</v>
      </c>
      <c r="D1743" t="inlineStr">
        <is>
          <t>2026-03</t>
        </is>
      </c>
      <c r="E1743" t="inlineStr">
        <is>
          <t>C0046</t>
        </is>
      </c>
      <c r="F1743" t="inlineStr">
        <is>
          <t>C0046</t>
        </is>
      </c>
      <c r="G1743" t="inlineStr">
        <is>
          <t>Bayside Owners Corporation Services Pty Ltd</t>
        </is>
      </c>
      <c r="H1743" t="inlineStr">
        <is>
          <t>S0021</t>
        </is>
      </c>
      <c r="I1743" t="inlineStr">
        <is>
          <t>Temporary fence hire 1 wks (14/03/26-15/03/26) - 101 panels</t>
        </is>
      </c>
      <c r="J1743" t="n">
        <v>101</v>
      </c>
      <c r="K1743" s="9" t="n">
        <v>454.5</v>
      </c>
      <c r="L1743" t="inlineStr">
        <is>
          <t>PAID</t>
        </is>
      </c>
      <c r="M1743">
        <f>IF(L1743="VOIDED",0,1)</f>
        <v>1</v>
      </c>
      <c r="N1743" t="n">
        <v>200</v>
      </c>
      <c r="O1743" t="inlineStr">
        <is>
          <t>GST on Income</t>
        </is>
      </c>
      <c r="P1743" t="inlineStr">
        <is>
          <t>R03</t>
        </is>
      </c>
      <c r="Q1743" t="inlineStr">
        <is>
          <t>HIRE-FP</t>
        </is>
      </c>
      <c r="R1743">
        <f>IF(OR(Q1743="CONTEXT",Q1743="REVIEW"),"",INDEX('Category Rules'!$D$5:$D$17,MATCH(P1743,'Category Rules'!$A$5:$A$17,0)))</f>
        <v>4010</v>
      </c>
      <c r="S1743" t="str">
        <f>IF(Q1743="CONTEXT","Fencing",IF(Q1743="REVIEW","",INDEX('Category Rules'!$E$5:$E$17,MATCH(P1743,'Category Rules'!$A$5:$A$17,0))))</f>
        <v>Fencing</v>
      </c>
      <c r="T1743" t="str">
        <f>IF(Q1743="DEP","BAS Excluded","GST on Income")</f>
        <v>GST on Income</v>
      </c>
      <c r="U1743">
        <f>IF(O1743=T1743,1,0)</f>
        <v>1</v>
      </c>
      <c r="V1743" s="9">
        <f>IF(OR(M1743=0,U1743=1),0,IF(T1743="GST on Income",ROUND(K1743*0.1,2),ROUND(-K1743*0.1,2)))</f>
        <v>0</v>
      </c>
    </row>
    <row r="1744">
      <c r="A1744" t="inlineStr">
        <is>
          <t>INV-4216-1</t>
        </is>
      </c>
      <c r="B1744" t="inlineStr">
        <is>
          <t>INV-4216</t>
        </is>
      </c>
      <c r="C1744" s="11" t="n">
        <v>46097</v>
      </c>
      <c r="D1744" t="inlineStr">
        <is>
          <t>2026-03</t>
        </is>
      </c>
      <c r="E1744" t="inlineStr">
        <is>
          <t>C0046</t>
        </is>
      </c>
      <c r="F1744" t="inlineStr">
        <is>
          <t>C0046</t>
        </is>
      </c>
      <c r="G1744" t="inlineStr">
        <is>
          <t>Bayside Owners Corporation Services Pty Ltd</t>
        </is>
      </c>
      <c r="H1744" t="inlineStr">
        <is>
          <t>S0021</t>
        </is>
      </c>
      <c r="I1744" t="inlineStr">
        <is>
          <t>Pedestrian barrier hire 1 wks (14/03/26-15/03/26) - 20 barriers</t>
        </is>
      </c>
      <c r="J1744" t="n">
        <v>20</v>
      </c>
      <c r="K1744" s="9" t="n">
        <v>64</v>
      </c>
      <c r="L1744" t="inlineStr">
        <is>
          <t>PAID</t>
        </is>
      </c>
      <c r="M1744">
        <f>IF(L1744="VOIDED",0,1)</f>
        <v>1</v>
      </c>
      <c r="N1744" t="n">
        <v>200</v>
      </c>
      <c r="O1744" t="inlineStr">
        <is>
          <t>GST on Income</t>
        </is>
      </c>
      <c r="P1744" t="inlineStr">
        <is>
          <t>R04</t>
        </is>
      </c>
      <c r="Q1744" t="inlineStr">
        <is>
          <t>HIRE-BR</t>
        </is>
      </c>
      <c r="R1744">
        <f>IF(OR(Q1744="CONTEXT",Q1744="REVIEW"),"",INDEX('Category Rules'!$D$5:$D$17,MATCH(P1744,'Category Rules'!$A$5:$A$17,0)))</f>
        <v>4010</v>
      </c>
      <c r="S1744" t="str">
        <f>IF(Q1744="CONTEXT","Fencing",IF(Q1744="REVIEW","",INDEX('Category Rules'!$E$5:$E$17,MATCH(P1744,'Category Rules'!$A$5:$A$17,0))))</f>
        <v>Fencing</v>
      </c>
      <c r="T1744" t="str">
        <f>IF(Q1744="DEP","BAS Excluded","GST on Income")</f>
        <v>GST on Income</v>
      </c>
      <c r="U1744">
        <f>IF(O1744=T1744,1,0)</f>
        <v>1</v>
      </c>
      <c r="V1744" s="9">
        <f>IF(OR(M1744=0,U1744=1),0,IF(T1744="GST on Income",ROUND(K1744*0.1,2),ROUND(-K1744*0.1,2)))</f>
        <v>0</v>
      </c>
    </row>
    <row r="1745">
      <c r="A1745" t="inlineStr">
        <is>
          <t>INV-4218-1</t>
        </is>
      </c>
      <c r="B1745" t="inlineStr">
        <is>
          <t>INV-4218</t>
        </is>
      </c>
      <c r="C1745" s="11" t="n">
        <v>46097</v>
      </c>
      <c r="D1745" t="inlineStr">
        <is>
          <t>2026-03</t>
        </is>
      </c>
      <c r="E1745" t="inlineStr">
        <is>
          <t>C0046</t>
        </is>
      </c>
      <c r="F1745" t="inlineStr">
        <is>
          <t>C0046</t>
        </is>
      </c>
      <c r="G1745" t="inlineStr">
        <is>
          <t>Bayside Owners Corporation Services Pty Ltd</t>
        </is>
      </c>
      <c r="H1745" t="inlineStr">
        <is>
          <t>S0021</t>
        </is>
      </c>
      <c r="I1745" t="inlineStr">
        <is>
          <t>Collection and dismantle - temporary fencing</t>
        </is>
      </c>
      <c r="J1745" t="n">
        <v>1</v>
      </c>
      <c r="K1745" s="9" t="n">
        <v>165</v>
      </c>
      <c r="L1745" t="inlineStr">
        <is>
          <t>PAID</t>
        </is>
      </c>
      <c r="M1745">
        <f>IF(L1745="VOIDED",0,1)</f>
        <v>1</v>
      </c>
      <c r="N1745" t="n">
        <v>200</v>
      </c>
      <c r="O1745" t="inlineStr">
        <is>
          <t>GST on Income</t>
        </is>
      </c>
      <c r="P1745" t="inlineStr">
        <is>
          <t>R07</t>
        </is>
      </c>
      <c r="Q1745" t="inlineStr">
        <is>
          <t>DEL-FP</t>
        </is>
      </c>
      <c r="R1745">
        <f>IF(OR(Q1745="CONTEXT",Q1745="REVIEW"),"",INDEX('Category Rules'!$D$5:$D$17,MATCH(P1745,'Category Rules'!$A$5:$A$17,0)))</f>
        <v>4020</v>
      </c>
      <c r="S1745" t="str">
        <f>IF(Q1745="CONTEXT","Fencing",IF(Q1745="REVIEW","",INDEX('Category Rules'!$E$5:$E$17,MATCH(P1745,'Category Rules'!$A$5:$A$17,0))))</f>
        <v>Fencing</v>
      </c>
      <c r="T1745" t="str">
        <f>IF(Q1745="DEP","BAS Excluded","GST on Income")</f>
        <v>GST on Income</v>
      </c>
      <c r="U1745">
        <f>IF(O1745=T1745,1,0)</f>
        <v>1</v>
      </c>
      <c r="V1745" s="9">
        <f>IF(OR(M1745=0,U1745=1),0,IF(T1745="GST on Income",ROUND(K1745*0.1,2),ROUND(-K1745*0.1,2)))</f>
        <v>0</v>
      </c>
    </row>
    <row r="1746">
      <c r="A1746" t="inlineStr">
        <is>
          <t>INV-5438-1</t>
        </is>
      </c>
      <c r="B1746" t="inlineStr">
        <is>
          <t>INV-5438</t>
        </is>
      </c>
      <c r="C1746" s="11" t="n">
        <v>46097</v>
      </c>
      <c r="D1746" t="inlineStr">
        <is>
          <t>2026-03</t>
        </is>
      </c>
      <c r="E1746" t="inlineStr">
        <is>
          <t>C0041</t>
        </is>
      </c>
      <c r="F1746" t="inlineStr">
        <is>
          <t>C0041</t>
        </is>
      </c>
      <c r="G1746" t="inlineStr">
        <is>
          <t>Summit Builders Pty Ltd</t>
        </is>
      </c>
      <c r="H1746" t="inlineStr">
        <is>
          <t>S0294</t>
        </is>
      </c>
      <c r="I1746" t="inlineStr">
        <is>
          <t>Scaffold tower hire 3 wks (01/03/26-15/03/26) - 4 towers</t>
        </is>
      </c>
      <c r="J1746" t="n">
        <v>12</v>
      </c>
      <c r="K1746" s="9" t="n">
        <v>1140</v>
      </c>
      <c r="L1746" t="inlineStr">
        <is>
          <t>PAID</t>
        </is>
      </c>
      <c r="M1746">
        <f>IF(L1746="VOIDED",0,1)</f>
        <v>1</v>
      </c>
      <c r="N1746" t="n">
        <v>200</v>
      </c>
      <c r="O1746" t="inlineStr">
        <is>
          <t>GST on Income</t>
        </is>
      </c>
      <c r="P1746" t="inlineStr">
        <is>
          <t>R05</t>
        </is>
      </c>
      <c r="Q1746" t="inlineStr">
        <is>
          <t>HIRE-ST</t>
        </is>
      </c>
      <c r="R1746">
        <f>IF(OR(Q1746="CONTEXT",Q1746="REVIEW"),"",INDEX('Category Rules'!$D$5:$D$17,MATCH(P1746,'Category Rules'!$A$5:$A$17,0)))</f>
        <v>4010</v>
      </c>
      <c r="S1746" t="str">
        <f>IF(Q1746="CONTEXT","Scaffolding",IF(Q1746="REVIEW","",INDEX('Category Rules'!$E$5:$E$17,MATCH(P1746,'Category Rules'!$A$5:$A$17,0))))</f>
        <v>Scaffolding</v>
      </c>
      <c r="T1746" t="str">
        <f>IF(Q1746="DEP","BAS Excluded","GST on Income")</f>
        <v>GST on Income</v>
      </c>
      <c r="U1746">
        <f>IF(O1746=T1746,1,0)</f>
        <v>1</v>
      </c>
      <c r="V1746" s="9">
        <f>IF(OR(M1746=0,U1746=1),0,IF(T1746="GST on Income",ROUND(K1746*0.1,2),ROUND(-K1746*0.1,2)))</f>
        <v>0</v>
      </c>
    </row>
    <row r="1747">
      <c r="A1747" t="inlineStr">
        <is>
          <t>INV-5440-1</t>
        </is>
      </c>
      <c r="B1747" t="inlineStr">
        <is>
          <t>INV-5440</t>
        </is>
      </c>
      <c r="C1747" s="11" t="n">
        <v>46097</v>
      </c>
      <c r="D1747" t="inlineStr">
        <is>
          <t>2026-03</t>
        </is>
      </c>
      <c r="E1747" t="inlineStr">
        <is>
          <t>C0041</t>
        </is>
      </c>
      <c r="F1747" t="inlineStr">
        <is>
          <t>C0041</t>
        </is>
      </c>
      <c r="G1747" t="inlineStr">
        <is>
          <t>Summit Builders Pty Ltd</t>
        </is>
      </c>
      <c r="H1747" t="inlineStr">
        <is>
          <t>S0294</t>
        </is>
      </c>
      <c r="I1747" t="inlineStr">
        <is>
          <t>Scaffold dismantle - 4 tower(s)</t>
        </is>
      </c>
      <c r="J1747" t="n">
        <v>4</v>
      </c>
      <c r="K1747" s="9" t="n">
        <v>1280</v>
      </c>
      <c r="L1747" t="inlineStr">
        <is>
          <t>PAID</t>
        </is>
      </c>
      <c r="M1747">
        <f>IF(L1747="VOIDED",0,1)</f>
        <v>1</v>
      </c>
      <c r="N1747" t="n">
        <v>200</v>
      </c>
      <c r="O1747" t="inlineStr">
        <is>
          <t>GST on Income</t>
        </is>
      </c>
      <c r="P1747" t="inlineStr">
        <is>
          <t>R08</t>
        </is>
      </c>
      <c r="Q1747" t="inlineStr">
        <is>
          <t>LAB-ST</t>
        </is>
      </c>
      <c r="R1747">
        <f>IF(OR(Q1747="CONTEXT",Q1747="REVIEW"),"",INDEX('Category Rules'!$D$5:$D$17,MATCH(P1747,'Category Rules'!$A$5:$A$17,0)))</f>
        <v>4020</v>
      </c>
      <c r="S1747" t="str">
        <f>IF(Q1747="CONTEXT","Scaffolding",IF(Q1747="REVIEW","",INDEX('Category Rules'!$E$5:$E$17,MATCH(P1747,'Category Rules'!$A$5:$A$17,0))))</f>
        <v>Scaffolding</v>
      </c>
      <c r="T1747" t="str">
        <f>IF(Q1747="DEP","BAS Excluded","GST on Income")</f>
        <v>GST on Income</v>
      </c>
      <c r="U1747">
        <f>IF(O1747=T1747,1,0)</f>
        <v>1</v>
      </c>
      <c r="V1747" s="9">
        <f>IF(OR(M1747=0,U1747=1),0,IF(T1747="GST on Income",ROUND(K1747*0.1,2),ROUND(-K1747*0.1,2)))</f>
        <v>0</v>
      </c>
    </row>
    <row r="1748">
      <c r="A1748" t="inlineStr">
        <is>
          <t>INV-5554-1</t>
        </is>
      </c>
      <c r="B1748" t="inlineStr">
        <is>
          <t>INV-5554</t>
        </is>
      </c>
      <c r="C1748" s="11" t="n">
        <v>46097</v>
      </c>
      <c r="D1748" t="inlineStr">
        <is>
          <t>2026-03</t>
        </is>
      </c>
      <c r="E1748" t="inlineStr">
        <is>
          <t>C0142</t>
        </is>
      </c>
      <c r="F1748" t="inlineStr">
        <is>
          <t>C0039</t>
        </is>
      </c>
      <c r="G1748" t="inlineStr">
        <is>
          <t>Coastline Developments Pty Ltd</t>
        </is>
      </c>
      <c r="H1748" t="inlineStr">
        <is>
          <t>S0352</t>
        </is>
      </c>
      <c r="I1748" t="inlineStr">
        <is>
          <t>Roof repair labour - 4 hrs</t>
        </is>
      </c>
      <c r="J1748" t="n">
        <v>4</v>
      </c>
      <c r="K1748" s="9" t="n">
        <v>392</v>
      </c>
      <c r="L1748" t="inlineStr">
        <is>
          <t>PAID</t>
        </is>
      </c>
      <c r="M1748">
        <f>IF(L1748="VOIDED",0,1)</f>
        <v>1</v>
      </c>
      <c r="N1748" t="n">
        <v>200</v>
      </c>
      <c r="O1748" t="inlineStr">
        <is>
          <t>GST on Income</t>
        </is>
      </c>
      <c r="P1748" t="inlineStr">
        <is>
          <t>R10</t>
        </is>
      </c>
      <c r="Q1748" t="inlineStr">
        <is>
          <t>LAB-RF</t>
        </is>
      </c>
      <c r="R1748">
        <f>IF(OR(Q1748="CONTEXT",Q1748="REVIEW"),"",INDEX('Category Rules'!$D$5:$D$17,MATCH(P1748,'Category Rules'!$A$5:$A$17,0)))</f>
        <v>4020</v>
      </c>
      <c r="S1748" t="str">
        <f>IF(Q1748="CONTEXT","Roofing",IF(Q1748="REVIEW","",INDEX('Category Rules'!$E$5:$E$17,MATCH(P1748,'Category Rules'!$A$5:$A$17,0))))</f>
        <v>Roofing</v>
      </c>
      <c r="T1748" t="str">
        <f>IF(Q1748="DEP","BAS Excluded","GST on Income")</f>
        <v>GST on Income</v>
      </c>
      <c r="U1748">
        <f>IF(O1748=T1748,1,0)</f>
        <v>1</v>
      </c>
      <c r="V1748" s="9">
        <f>IF(OR(M1748=0,U1748=1),0,IF(T1748="GST on Income",ROUND(K1748*0.1,2),ROUND(-K1748*0.1,2)))</f>
        <v>0</v>
      </c>
    </row>
    <row r="1749">
      <c r="A1749" t="inlineStr">
        <is>
          <t>INV-5554-2</t>
        </is>
      </c>
      <c r="B1749" t="inlineStr">
        <is>
          <t>INV-5554</t>
        </is>
      </c>
      <c r="C1749" s="11" t="n">
        <v>46097</v>
      </c>
      <c r="D1749" t="inlineStr">
        <is>
          <t>2026-03</t>
        </is>
      </c>
      <c r="E1749" t="inlineStr">
        <is>
          <t>C0142</t>
        </is>
      </c>
      <c r="F1749" t="inlineStr">
        <is>
          <t>C0039</t>
        </is>
      </c>
      <c r="G1749" t="inlineStr">
        <is>
          <t>Coastline Developments Pty Ltd</t>
        </is>
      </c>
      <c r="H1749" t="inlineStr">
        <is>
          <t>S0352</t>
        </is>
      </c>
      <c r="I1749" t="inlineStr">
        <is>
          <t>Materials - Colorbond sheet</t>
        </is>
      </c>
      <c r="J1749" t="n">
        <v>1</v>
      </c>
      <c r="K1749" s="9" t="n">
        <v>1019.2</v>
      </c>
      <c r="L1749" t="inlineStr">
        <is>
          <t>PAID</t>
        </is>
      </c>
      <c r="M1749">
        <f>IF(L1749="VOIDED",0,1)</f>
        <v>1</v>
      </c>
      <c r="N1749" t="n">
        <v>200</v>
      </c>
      <c r="O1749" t="inlineStr">
        <is>
          <t>GST on Income</t>
        </is>
      </c>
      <c r="P1749" t="inlineStr">
        <is>
          <t>R11</t>
        </is>
      </c>
      <c r="Q1749" t="inlineStr">
        <is>
          <t>MAT-RF</t>
        </is>
      </c>
      <c r="R1749">
        <f>IF(OR(Q1749="CONTEXT",Q1749="REVIEW"),"",INDEX('Category Rules'!$D$5:$D$17,MATCH(P1749,'Category Rules'!$A$5:$A$17,0)))</f>
        <v>4030</v>
      </c>
      <c r="S1749" t="str">
        <f>IF(Q1749="CONTEXT","Roofing",IF(Q1749="REVIEW","",INDEX('Category Rules'!$E$5:$E$17,MATCH(P1749,'Category Rules'!$A$5:$A$17,0))))</f>
        <v>Roofing</v>
      </c>
      <c r="T1749" t="str">
        <f>IF(Q1749="DEP","BAS Excluded","GST on Income")</f>
        <v>GST on Income</v>
      </c>
      <c r="U1749">
        <f>IF(O1749=T1749,1,0)</f>
        <v>1</v>
      </c>
      <c r="V1749" s="9">
        <f>IF(OR(M1749=0,U1749=1),0,IF(T1749="GST on Income",ROUND(K1749*0.1,2),ROUND(-K1749*0.1,2)))</f>
        <v>0</v>
      </c>
    </row>
    <row r="1750">
      <c r="A1750" t="inlineStr">
        <is>
          <t>INV-5554-3</t>
        </is>
      </c>
      <c r="B1750" t="inlineStr">
        <is>
          <t>INV-5554</t>
        </is>
      </c>
      <c r="C1750" s="11" t="n">
        <v>46097</v>
      </c>
      <c r="D1750" t="inlineStr">
        <is>
          <t>2026-03</t>
        </is>
      </c>
      <c r="E1750" t="inlineStr">
        <is>
          <t>C0142</t>
        </is>
      </c>
      <c r="F1750" t="inlineStr">
        <is>
          <t>C0039</t>
        </is>
      </c>
      <c r="G1750" t="inlineStr">
        <is>
          <t>Coastline Developments Pty Ltd</t>
        </is>
      </c>
      <c r="H1750" t="inlineStr">
        <is>
          <t>S0352</t>
        </is>
      </c>
      <c r="I1750" t="inlineStr">
        <is>
          <t>Materials - gutter and downpipe</t>
        </is>
      </c>
      <c r="J1750" t="n">
        <v>1</v>
      </c>
      <c r="K1750" s="9" t="n">
        <v>410.26</v>
      </c>
      <c r="L1750" t="inlineStr">
        <is>
          <t>PAID</t>
        </is>
      </c>
      <c r="M1750">
        <f>IF(L1750="VOIDED",0,1)</f>
        <v>1</v>
      </c>
      <c r="N1750" t="n">
        <v>260</v>
      </c>
      <c r="O1750" t="inlineStr">
        <is>
          <t>GST on Income</t>
        </is>
      </c>
      <c r="P1750" t="inlineStr">
        <is>
          <t>R11</t>
        </is>
      </c>
      <c r="Q1750" t="inlineStr">
        <is>
          <t>MAT-RF</t>
        </is>
      </c>
      <c r="R1750">
        <f>IF(OR(Q1750="CONTEXT",Q1750="REVIEW"),"",INDEX('Category Rules'!$D$5:$D$17,MATCH(P1750,'Category Rules'!$A$5:$A$17,0)))</f>
        <v>4030</v>
      </c>
      <c r="S1750" t="str">
        <f>IF(Q1750="CONTEXT","Roofing",IF(Q1750="REVIEW","",INDEX('Category Rules'!$E$5:$E$17,MATCH(P1750,'Category Rules'!$A$5:$A$17,0))))</f>
        <v>Roofing</v>
      </c>
      <c r="T1750" t="str">
        <f>IF(Q1750="DEP","BAS Excluded","GST on Income")</f>
        <v>GST on Income</v>
      </c>
      <c r="U1750">
        <f>IF(O1750=T1750,1,0)</f>
        <v>1</v>
      </c>
      <c r="V1750" s="9">
        <f>IF(OR(M1750=0,U1750=1),0,IF(T1750="GST on Income",ROUND(K1750*0.1,2),ROUND(-K1750*0.1,2)))</f>
        <v>0</v>
      </c>
    </row>
    <row r="1751">
      <c r="A1751" t="inlineStr">
        <is>
          <t>INV-5554-4</t>
        </is>
      </c>
      <c r="B1751" t="inlineStr">
        <is>
          <t>INV-5554</t>
        </is>
      </c>
      <c r="C1751" s="11" t="n">
        <v>46097</v>
      </c>
      <c r="D1751" t="inlineStr">
        <is>
          <t>2026-03</t>
        </is>
      </c>
      <c r="E1751" t="inlineStr">
        <is>
          <t>C0142</t>
        </is>
      </c>
      <c r="F1751" t="inlineStr">
        <is>
          <t>C0039</t>
        </is>
      </c>
      <c r="G1751" t="inlineStr">
        <is>
          <t>Coastline Developments Pty Ltd</t>
        </is>
      </c>
      <c r="H1751" t="inlineStr">
        <is>
          <t>S0352</t>
        </is>
      </c>
      <c r="I1751" t="inlineStr">
        <is>
          <t>Waste removal and tip fees</t>
        </is>
      </c>
      <c r="J1751" t="n">
        <v>1</v>
      </c>
      <c r="K1751" s="9" t="n">
        <v>120</v>
      </c>
      <c r="L1751" t="inlineStr">
        <is>
          <t>PAID</t>
        </is>
      </c>
      <c r="M1751">
        <f>IF(L1751="VOIDED",0,1)</f>
        <v>1</v>
      </c>
      <c r="N1751" t="n">
        <v>200</v>
      </c>
      <c r="O1751" t="inlineStr">
        <is>
          <t>GST Free Income</t>
        </is>
      </c>
      <c r="P1751" t="inlineStr">
        <is>
          <t>R11</t>
        </is>
      </c>
      <c r="Q1751" t="inlineStr">
        <is>
          <t>MAT-RF</t>
        </is>
      </c>
      <c r="R1751">
        <f>IF(OR(Q1751="CONTEXT",Q1751="REVIEW"),"",INDEX('Category Rules'!$D$5:$D$17,MATCH(P1751,'Category Rules'!$A$5:$A$17,0)))</f>
        <v>4030</v>
      </c>
      <c r="S1751" t="str">
        <f>IF(Q1751="CONTEXT","Roofing",IF(Q1751="REVIEW","",INDEX('Category Rules'!$E$5:$E$17,MATCH(P1751,'Category Rules'!$A$5:$A$17,0))))</f>
        <v>Roofing</v>
      </c>
      <c r="T1751" t="str">
        <f>IF(Q1751="DEP","BAS Excluded","GST on Income")</f>
        <v>GST on Income</v>
      </c>
      <c r="U1751">
        <f>IF(O1751=T1751,1,0)</f>
        <v>0</v>
      </c>
      <c r="V1751" s="9">
        <f>IF(OR(M1751=0,U1751=1),0,IF(T1751="GST on Income",ROUND(K1751*0.1,2),ROUND(-K1751*0.1,2)))</f>
        <v>12</v>
      </c>
    </row>
    <row r="1752">
      <c r="A1752" t="inlineStr">
        <is>
          <t>INV-4403-1</t>
        </is>
      </c>
      <c r="B1752" t="inlineStr">
        <is>
          <t>INV-4403</t>
        </is>
      </c>
      <c r="C1752" s="11" t="n">
        <v>46098</v>
      </c>
      <c r="D1752" t="inlineStr">
        <is>
          <t>2026-03</t>
        </is>
      </c>
      <c r="E1752" t="inlineStr">
        <is>
          <t>C0119</t>
        </is>
      </c>
      <c r="F1752" t="inlineStr">
        <is>
          <t>C0119</t>
        </is>
      </c>
      <c r="G1752" t="inlineStr">
        <is>
          <t>Northgate Builders Pty Ltd</t>
        </is>
      </c>
      <c r="H1752" t="inlineStr">
        <is>
          <t>S0062</t>
        </is>
      </c>
      <c r="I1752" t="inlineStr">
        <is>
          <t>Temporary fence hire 4 wks (17/02/26-16/03/26) - 135 panels</t>
        </is>
      </c>
      <c r="J1752" t="n">
        <v>540</v>
      </c>
      <c r="K1752" s="9" t="n">
        <v>2430</v>
      </c>
      <c r="L1752" t="inlineStr">
        <is>
          <t>PAID</t>
        </is>
      </c>
      <c r="M1752">
        <f>IF(L1752="VOIDED",0,1)</f>
        <v>1</v>
      </c>
      <c r="N1752" t="n">
        <v>200</v>
      </c>
      <c r="O1752" t="inlineStr">
        <is>
          <t>GST on Income</t>
        </is>
      </c>
      <c r="P1752" t="inlineStr">
        <is>
          <t>R03</t>
        </is>
      </c>
      <c r="Q1752" t="inlineStr">
        <is>
          <t>HIRE-FP</t>
        </is>
      </c>
      <c r="R1752">
        <f>IF(OR(Q1752="CONTEXT",Q1752="REVIEW"),"",INDEX('Category Rules'!$D$5:$D$17,MATCH(P1752,'Category Rules'!$A$5:$A$17,0)))</f>
        <v>4010</v>
      </c>
      <c r="S1752" t="str">
        <f>IF(Q1752="CONTEXT","Fencing",IF(Q1752="REVIEW","",INDEX('Category Rules'!$E$5:$E$17,MATCH(P1752,'Category Rules'!$A$5:$A$17,0))))</f>
        <v>Fencing</v>
      </c>
      <c r="T1752" t="str">
        <f>IF(Q1752="DEP","BAS Excluded","GST on Income")</f>
        <v>GST on Income</v>
      </c>
      <c r="U1752">
        <f>IF(O1752=T1752,1,0)</f>
        <v>1</v>
      </c>
      <c r="V1752" s="9">
        <f>IF(OR(M1752=0,U1752=1),0,IF(T1752="GST on Income",ROUND(K1752*0.1,2),ROUND(-K1752*0.1,2)))</f>
        <v>0</v>
      </c>
    </row>
    <row r="1753">
      <c r="A1753" t="inlineStr">
        <is>
          <t>INV-4412-1</t>
        </is>
      </c>
      <c r="B1753" t="inlineStr">
        <is>
          <t>INV-4412</t>
        </is>
      </c>
      <c r="C1753" s="11" t="n">
        <v>46098</v>
      </c>
      <c r="D1753" t="inlineStr">
        <is>
          <t>2026-03</t>
        </is>
      </c>
      <c r="E1753" t="inlineStr">
        <is>
          <t>C0119</t>
        </is>
      </c>
      <c r="F1753" t="inlineStr">
        <is>
          <t>C0119</t>
        </is>
      </c>
      <c r="G1753" t="inlineStr">
        <is>
          <t>Northgate Builders Pty Ltd</t>
        </is>
      </c>
      <c r="H1753" t="inlineStr">
        <is>
          <t>S0062</t>
        </is>
      </c>
      <c r="I1753" t="inlineStr">
        <is>
          <t>Pedestrian barrier hire 4 wks (17/02/26-16/03/26) - 19 barriers</t>
        </is>
      </c>
      <c r="J1753" t="n">
        <v>76</v>
      </c>
      <c r="K1753" s="9" t="n">
        <v>243.2</v>
      </c>
      <c r="L1753" t="inlineStr">
        <is>
          <t>PAID</t>
        </is>
      </c>
      <c r="M1753">
        <f>IF(L1753="VOIDED",0,1)</f>
        <v>1</v>
      </c>
      <c r="N1753" t="n">
        <v>200</v>
      </c>
      <c r="O1753" t="inlineStr">
        <is>
          <t>GST on Income</t>
        </is>
      </c>
      <c r="P1753" t="inlineStr">
        <is>
          <t>R04</t>
        </is>
      </c>
      <c r="Q1753" t="inlineStr">
        <is>
          <t>HIRE-BR</t>
        </is>
      </c>
      <c r="R1753">
        <f>IF(OR(Q1753="CONTEXT",Q1753="REVIEW"),"",INDEX('Category Rules'!$D$5:$D$17,MATCH(P1753,'Category Rules'!$A$5:$A$17,0)))</f>
        <v>4010</v>
      </c>
      <c r="S1753" t="str">
        <f>IF(Q1753="CONTEXT","Fencing",IF(Q1753="REVIEW","",INDEX('Category Rules'!$E$5:$E$17,MATCH(P1753,'Category Rules'!$A$5:$A$17,0))))</f>
        <v>Fencing</v>
      </c>
      <c r="T1753" t="str">
        <f>IF(Q1753="DEP","BAS Excluded","GST on Income")</f>
        <v>GST on Income</v>
      </c>
      <c r="U1753">
        <f>IF(O1753=T1753,1,0)</f>
        <v>1</v>
      </c>
      <c r="V1753" s="9">
        <f>IF(OR(M1753=0,U1753=1),0,IF(T1753="GST on Income",ROUND(K1753*0.1,2),ROUND(-K1753*0.1,2)))</f>
        <v>0</v>
      </c>
    </row>
    <row r="1754">
      <c r="A1754" t="inlineStr">
        <is>
          <t>INV-5060-1</t>
        </is>
      </c>
      <c r="B1754" t="inlineStr">
        <is>
          <t>INV-5060</t>
        </is>
      </c>
      <c r="C1754" s="11" t="n">
        <v>46098</v>
      </c>
      <c r="D1754" t="inlineStr">
        <is>
          <t>2026-03</t>
        </is>
      </c>
      <c r="E1754" t="inlineStr">
        <is>
          <t>C0025</t>
        </is>
      </c>
      <c r="F1754" t="inlineStr">
        <is>
          <t>C0025</t>
        </is>
      </c>
      <c r="G1754" t="inlineStr">
        <is>
          <t>Silverleaf Building Group Pty Ltd</t>
        </is>
      </c>
      <c r="H1754" t="inlineStr">
        <is>
          <t>S0205</t>
        </is>
      </c>
      <c r="I1754" t="inlineStr">
        <is>
          <t>Temporary fence hire 4 wks (17/02/26-16/03/26) - 93 panels</t>
        </is>
      </c>
      <c r="J1754" t="n">
        <v>372</v>
      </c>
      <c r="K1754" s="9" t="n">
        <v>1674</v>
      </c>
      <c r="L1754" t="inlineStr">
        <is>
          <t>PAID</t>
        </is>
      </c>
      <c r="M1754">
        <f>IF(L1754="VOIDED",0,1)</f>
        <v>1</v>
      </c>
      <c r="N1754" t="n">
        <v>200</v>
      </c>
      <c r="O1754" t="inlineStr">
        <is>
          <t>GST on Income</t>
        </is>
      </c>
      <c r="P1754" t="inlineStr">
        <is>
          <t>R03</t>
        </is>
      </c>
      <c r="Q1754" t="inlineStr">
        <is>
          <t>HIRE-FP</t>
        </is>
      </c>
      <c r="R1754">
        <f>IF(OR(Q1754="CONTEXT",Q1754="REVIEW"),"",INDEX('Category Rules'!$D$5:$D$17,MATCH(P1754,'Category Rules'!$A$5:$A$17,0)))</f>
        <v>4010</v>
      </c>
      <c r="S1754" t="str">
        <f>IF(Q1754="CONTEXT","Fencing",IF(Q1754="REVIEW","",INDEX('Category Rules'!$E$5:$E$17,MATCH(P1754,'Category Rules'!$A$5:$A$17,0))))</f>
        <v>Fencing</v>
      </c>
      <c r="T1754" t="str">
        <f>IF(Q1754="DEP","BAS Excluded","GST on Income")</f>
        <v>GST on Income</v>
      </c>
      <c r="U1754">
        <f>IF(O1754=T1754,1,0)</f>
        <v>1</v>
      </c>
      <c r="V1754" s="9">
        <f>IF(OR(M1754=0,U1754=1),0,IF(T1754="GST on Income",ROUND(K1754*0.1,2),ROUND(-K1754*0.1,2)))</f>
        <v>0</v>
      </c>
    </row>
    <row r="1755">
      <c r="A1755" t="inlineStr">
        <is>
          <t>INV-5323-1</t>
        </is>
      </c>
      <c r="B1755" t="inlineStr">
        <is>
          <t>INV-5323</t>
        </is>
      </c>
      <c r="C1755" s="11" t="n">
        <v>46098</v>
      </c>
      <c r="D1755" t="inlineStr">
        <is>
          <t>2026-03</t>
        </is>
      </c>
      <c r="E1755" t="inlineStr">
        <is>
          <t>C0019</t>
        </is>
      </c>
      <c r="F1755" t="inlineStr">
        <is>
          <t>C0019</t>
        </is>
      </c>
      <c r="G1755" t="inlineStr">
        <is>
          <t>Metro Developments</t>
        </is>
      </c>
      <c r="H1755" t="inlineStr">
        <is>
          <t>S0265</t>
        </is>
      </c>
      <c r="I1755" t="inlineStr">
        <is>
          <t>Scaffold tower hire 4 wks (17/02/26-16/03/26) - 1 towers</t>
        </is>
      </c>
      <c r="J1755" t="n">
        <v>4</v>
      </c>
      <c r="K1755" s="9" t="n">
        <v>380</v>
      </c>
      <c r="L1755" t="inlineStr">
        <is>
          <t>PAID</t>
        </is>
      </c>
      <c r="M1755">
        <f>IF(L1755="VOIDED",0,1)</f>
        <v>1</v>
      </c>
      <c r="N1755" t="n">
        <v>200</v>
      </c>
      <c r="O1755" t="inlineStr">
        <is>
          <t>GST on Income</t>
        </is>
      </c>
      <c r="P1755" t="inlineStr">
        <is>
          <t>R05</t>
        </is>
      </c>
      <c r="Q1755" t="inlineStr">
        <is>
          <t>HIRE-ST</t>
        </is>
      </c>
      <c r="R1755">
        <f>IF(OR(Q1755="CONTEXT",Q1755="REVIEW"),"",INDEX('Category Rules'!$D$5:$D$17,MATCH(P1755,'Category Rules'!$A$5:$A$17,0)))</f>
        <v>4010</v>
      </c>
      <c r="S1755" t="str">
        <f>IF(Q1755="CONTEXT","Scaffolding",IF(Q1755="REVIEW","",INDEX('Category Rules'!$E$5:$E$17,MATCH(P1755,'Category Rules'!$A$5:$A$17,0))))</f>
        <v>Scaffolding</v>
      </c>
      <c r="T1755" t="str">
        <f>IF(Q1755="DEP","BAS Excluded","GST on Income")</f>
        <v>GST on Income</v>
      </c>
      <c r="U1755">
        <f>IF(O1755=T1755,1,0)</f>
        <v>1</v>
      </c>
      <c r="V1755" s="9">
        <f>IF(OR(M1755=0,U1755=1),0,IF(T1755="GST on Income",ROUND(K1755*0.1,2),ROUND(-K1755*0.1,2)))</f>
        <v>0</v>
      </c>
    </row>
    <row r="1756">
      <c r="A1756" t="inlineStr">
        <is>
          <t>INV-5581-1</t>
        </is>
      </c>
      <c r="B1756" t="inlineStr">
        <is>
          <t>INV-5581</t>
        </is>
      </c>
      <c r="C1756" s="11" t="n">
        <v>46098</v>
      </c>
      <c r="D1756" t="inlineStr">
        <is>
          <t>2026-03</t>
        </is>
      </c>
      <c r="E1756" t="inlineStr">
        <is>
          <t>C0117</t>
        </is>
      </c>
      <c r="F1756" t="inlineStr">
        <is>
          <t>C0117</t>
        </is>
      </c>
      <c r="G1756" t="inlineStr">
        <is>
          <t>Mei Nguyen</t>
        </is>
      </c>
      <c r="H1756" t="inlineStr">
        <is>
          <t>S0370</t>
        </is>
      </c>
      <c r="I1756" t="inlineStr">
        <is>
          <t>Roof repair labour - 12 hrs</t>
        </is>
      </c>
      <c r="J1756" t="n">
        <v>12</v>
      </c>
      <c r="K1756" s="9" t="n">
        <v>1176</v>
      </c>
      <c r="L1756" t="inlineStr">
        <is>
          <t>PAID</t>
        </is>
      </c>
      <c r="M1756">
        <f>IF(L1756="VOIDED",0,1)</f>
        <v>1</v>
      </c>
      <c r="N1756" t="n">
        <v>200</v>
      </c>
      <c r="O1756" t="inlineStr">
        <is>
          <t>GST on Income</t>
        </is>
      </c>
      <c r="P1756" t="inlineStr">
        <is>
          <t>R10</t>
        </is>
      </c>
      <c r="Q1756" t="inlineStr">
        <is>
          <t>LAB-RF</t>
        </is>
      </c>
      <c r="R1756">
        <f>IF(OR(Q1756="CONTEXT",Q1756="REVIEW"),"",INDEX('Category Rules'!$D$5:$D$17,MATCH(P1756,'Category Rules'!$A$5:$A$17,0)))</f>
        <v>4020</v>
      </c>
      <c r="S1756" t="str">
        <f>IF(Q1756="CONTEXT","Roofing",IF(Q1756="REVIEW","",INDEX('Category Rules'!$E$5:$E$17,MATCH(P1756,'Category Rules'!$A$5:$A$17,0))))</f>
        <v>Roofing</v>
      </c>
      <c r="T1756" t="str">
        <f>IF(Q1756="DEP","BAS Excluded","GST on Income")</f>
        <v>GST on Income</v>
      </c>
      <c r="U1756">
        <f>IF(O1756=T1756,1,0)</f>
        <v>1</v>
      </c>
      <c r="V1756" s="9">
        <f>IF(OR(M1756=0,U1756=1),0,IF(T1756="GST on Income",ROUND(K1756*0.1,2),ROUND(-K1756*0.1,2)))</f>
        <v>0</v>
      </c>
    </row>
    <row r="1757">
      <c r="A1757" t="inlineStr">
        <is>
          <t>INV-5581-2</t>
        </is>
      </c>
      <c r="B1757" t="inlineStr">
        <is>
          <t>INV-5581</t>
        </is>
      </c>
      <c r="C1757" s="11" t="n">
        <v>46098</v>
      </c>
      <c r="D1757" t="inlineStr">
        <is>
          <t>2026-03</t>
        </is>
      </c>
      <c r="E1757" t="inlineStr">
        <is>
          <t>C0117</t>
        </is>
      </c>
      <c r="F1757" t="inlineStr">
        <is>
          <t>C0117</t>
        </is>
      </c>
      <c r="G1757" t="inlineStr">
        <is>
          <t>Mei Nguyen</t>
        </is>
      </c>
      <c r="H1757" t="inlineStr">
        <is>
          <t>S0370</t>
        </is>
      </c>
      <c r="I1757" t="inlineStr">
        <is>
          <t>Materials - sealant and fixings</t>
        </is>
      </c>
      <c r="J1757" t="n">
        <v>1</v>
      </c>
      <c r="K1757" s="9" t="n">
        <v>78.67</v>
      </c>
      <c r="L1757" t="inlineStr">
        <is>
          <t>PAID</t>
        </is>
      </c>
      <c r="M1757">
        <f>IF(L1757="VOIDED",0,1)</f>
        <v>1</v>
      </c>
      <c r="N1757" t="n">
        <v>200</v>
      </c>
      <c r="O1757" t="inlineStr">
        <is>
          <t>GST on Income</t>
        </is>
      </c>
      <c r="P1757" t="inlineStr">
        <is>
          <t>R11</t>
        </is>
      </c>
      <c r="Q1757" t="inlineStr">
        <is>
          <t>MAT-RF</t>
        </is>
      </c>
      <c r="R1757">
        <f>IF(OR(Q1757="CONTEXT",Q1757="REVIEW"),"",INDEX('Category Rules'!$D$5:$D$17,MATCH(P1757,'Category Rules'!$A$5:$A$17,0)))</f>
        <v>4030</v>
      </c>
      <c r="S1757" t="str">
        <f>IF(Q1757="CONTEXT","Roofing",IF(Q1757="REVIEW","",INDEX('Category Rules'!$E$5:$E$17,MATCH(P1757,'Category Rules'!$A$5:$A$17,0))))</f>
        <v>Roofing</v>
      </c>
      <c r="T1757" t="str">
        <f>IF(Q1757="DEP","BAS Excluded","GST on Income")</f>
        <v>GST on Income</v>
      </c>
      <c r="U1757">
        <f>IF(O1757=T1757,1,0)</f>
        <v>1</v>
      </c>
      <c r="V1757" s="9">
        <f>IF(OR(M1757=0,U1757=1),0,IF(T1757="GST on Income",ROUND(K1757*0.1,2),ROUND(-K1757*0.1,2)))</f>
        <v>0</v>
      </c>
    </row>
    <row r="1758">
      <c r="A1758" t="inlineStr">
        <is>
          <t>INV-5581-3</t>
        </is>
      </c>
      <c r="B1758" t="inlineStr">
        <is>
          <t>INV-5581</t>
        </is>
      </c>
      <c r="C1758" s="11" t="n">
        <v>46098</v>
      </c>
      <c r="D1758" t="inlineStr">
        <is>
          <t>2026-03</t>
        </is>
      </c>
      <c r="E1758" t="inlineStr">
        <is>
          <t>C0117</t>
        </is>
      </c>
      <c r="F1758" t="inlineStr">
        <is>
          <t>C0117</t>
        </is>
      </c>
      <c r="G1758" t="inlineStr">
        <is>
          <t>Mei Nguyen</t>
        </is>
      </c>
      <c r="H1758" t="inlineStr">
        <is>
          <t>S0370</t>
        </is>
      </c>
      <c r="I1758" t="inlineStr">
        <is>
          <t>Materials - gutter and downpipe</t>
        </is>
      </c>
      <c r="J1758" t="n">
        <v>1</v>
      </c>
      <c r="K1758" s="9" t="n">
        <v>578.04</v>
      </c>
      <c r="L1758" t="inlineStr">
        <is>
          <t>PAID</t>
        </is>
      </c>
      <c r="M1758">
        <f>IF(L1758="VOIDED",0,1)</f>
        <v>1</v>
      </c>
      <c r="N1758" t="n">
        <v>200</v>
      </c>
      <c r="O1758" t="inlineStr">
        <is>
          <t>GST on Income</t>
        </is>
      </c>
      <c r="P1758" t="inlineStr">
        <is>
          <t>R11</t>
        </is>
      </c>
      <c r="Q1758" t="inlineStr">
        <is>
          <t>MAT-RF</t>
        </is>
      </c>
      <c r="R1758">
        <f>IF(OR(Q1758="CONTEXT",Q1758="REVIEW"),"",INDEX('Category Rules'!$D$5:$D$17,MATCH(P1758,'Category Rules'!$A$5:$A$17,0)))</f>
        <v>4030</v>
      </c>
      <c r="S1758" t="str">
        <f>IF(Q1758="CONTEXT","Roofing",IF(Q1758="REVIEW","",INDEX('Category Rules'!$E$5:$E$17,MATCH(P1758,'Category Rules'!$A$5:$A$17,0))))</f>
        <v>Roofing</v>
      </c>
      <c r="T1758" t="str">
        <f>IF(Q1758="DEP","BAS Excluded","GST on Income")</f>
        <v>GST on Income</v>
      </c>
      <c r="U1758">
        <f>IF(O1758=T1758,1,0)</f>
        <v>1</v>
      </c>
      <c r="V1758" s="9">
        <f>IF(OR(M1758=0,U1758=1),0,IF(T1758="GST on Income",ROUND(K1758*0.1,2),ROUND(-K1758*0.1,2)))</f>
        <v>0</v>
      </c>
    </row>
    <row r="1759">
      <c r="A1759" t="inlineStr">
        <is>
          <t>INV-5581-4</t>
        </is>
      </c>
      <c r="B1759" t="inlineStr">
        <is>
          <t>INV-5581</t>
        </is>
      </c>
      <c r="C1759" s="11" t="n">
        <v>46098</v>
      </c>
      <c r="D1759" t="inlineStr">
        <is>
          <t>2026-03</t>
        </is>
      </c>
      <c r="E1759" t="inlineStr">
        <is>
          <t>C0117</t>
        </is>
      </c>
      <c r="F1759" t="inlineStr">
        <is>
          <t>C0117</t>
        </is>
      </c>
      <c r="G1759" t="inlineStr">
        <is>
          <t>Mei Nguyen</t>
        </is>
      </c>
      <c r="H1759" t="inlineStr">
        <is>
          <t>S0370</t>
        </is>
      </c>
      <c r="I1759" t="inlineStr">
        <is>
          <t>Materials - flashing</t>
        </is>
      </c>
      <c r="J1759" t="n">
        <v>1</v>
      </c>
      <c r="K1759" s="9" t="n">
        <v>345.38</v>
      </c>
      <c r="L1759" t="inlineStr">
        <is>
          <t>PAID</t>
        </is>
      </c>
      <c r="M1759">
        <f>IF(L1759="VOIDED",0,1)</f>
        <v>1</v>
      </c>
      <c r="N1759" t="n">
        <v>200</v>
      </c>
      <c r="O1759" t="inlineStr">
        <is>
          <t>GST on Income</t>
        </is>
      </c>
      <c r="P1759" t="inlineStr">
        <is>
          <t>R11</t>
        </is>
      </c>
      <c r="Q1759" t="inlineStr">
        <is>
          <t>MAT-RF</t>
        </is>
      </c>
      <c r="R1759">
        <f>IF(OR(Q1759="CONTEXT",Q1759="REVIEW"),"",INDEX('Category Rules'!$D$5:$D$17,MATCH(P1759,'Category Rules'!$A$5:$A$17,0)))</f>
        <v>4030</v>
      </c>
      <c r="S1759" t="str">
        <f>IF(Q1759="CONTEXT","Roofing",IF(Q1759="REVIEW","",INDEX('Category Rules'!$E$5:$E$17,MATCH(P1759,'Category Rules'!$A$5:$A$17,0))))</f>
        <v>Roofing</v>
      </c>
      <c r="T1759" t="str">
        <f>IF(Q1759="DEP","BAS Excluded","GST on Income")</f>
        <v>GST on Income</v>
      </c>
      <c r="U1759">
        <f>IF(O1759=T1759,1,0)</f>
        <v>1</v>
      </c>
      <c r="V1759" s="9">
        <f>IF(OR(M1759=0,U1759=1),0,IF(T1759="GST on Income",ROUND(K1759*0.1,2),ROUND(-K1759*0.1,2)))</f>
        <v>0</v>
      </c>
    </row>
    <row r="1760">
      <c r="A1760" t="inlineStr">
        <is>
          <t>INV-5727-1</t>
        </is>
      </c>
      <c r="B1760" t="inlineStr">
        <is>
          <t>INV-5727</t>
        </is>
      </c>
      <c r="C1760" s="11" t="n">
        <v>46098</v>
      </c>
      <c r="D1760" t="inlineStr">
        <is>
          <t>2026-03</t>
        </is>
      </c>
      <c r="E1760" t="inlineStr">
        <is>
          <t>C0029</t>
        </is>
      </c>
      <c r="F1760" t="inlineStr">
        <is>
          <t>C0029</t>
        </is>
      </c>
      <c r="G1760" t="inlineStr">
        <is>
          <t>Ironbark Constructions</t>
        </is>
      </c>
      <c r="H1760" t="inlineStr">
        <is>
          <t>S0449</t>
        </is>
      </c>
      <c r="I1760" t="inlineStr">
        <is>
          <t>Tarp kit hire 4 wks (17/02/26-16/03/26) - 1 kits</t>
        </is>
      </c>
      <c r="J1760" t="n">
        <v>4</v>
      </c>
      <c r="K1760" s="9" t="n">
        <v>140</v>
      </c>
      <c r="L1760" t="inlineStr">
        <is>
          <t>PAID</t>
        </is>
      </c>
      <c r="M1760">
        <f>IF(L1760="VOIDED",0,1)</f>
        <v>1</v>
      </c>
      <c r="N1760" t="n">
        <v>200</v>
      </c>
      <c r="O1760" t="inlineStr">
        <is>
          <t>GST on Income</t>
        </is>
      </c>
      <c r="P1760" t="inlineStr">
        <is>
          <t>R06</t>
        </is>
      </c>
      <c r="Q1760" t="inlineStr">
        <is>
          <t>HIRE-TK</t>
        </is>
      </c>
      <c r="R1760">
        <f>IF(OR(Q1760="CONTEXT",Q1760="REVIEW"),"",INDEX('Category Rules'!$D$5:$D$17,MATCH(P1760,'Category Rules'!$A$5:$A$17,0)))</f>
        <v>4010</v>
      </c>
      <c r="S1760" t="str">
        <f>IF(Q1760="CONTEXT","Make-safe",IF(Q1760="REVIEW","",INDEX('Category Rules'!$E$5:$E$17,MATCH(P1760,'Category Rules'!$A$5:$A$17,0))))</f>
        <v>Make-safe</v>
      </c>
      <c r="T1760" t="str">
        <f>IF(Q1760="DEP","BAS Excluded","GST on Income")</f>
        <v>GST on Income</v>
      </c>
      <c r="U1760">
        <f>IF(O1760=T1760,1,0)</f>
        <v>1</v>
      </c>
      <c r="V1760" s="9">
        <f>IF(OR(M1760=0,U1760=1),0,IF(T1760="GST on Income",ROUND(K1760*0.1,2),ROUND(-K1760*0.1,2)))</f>
        <v>0</v>
      </c>
    </row>
    <row r="1761">
      <c r="A1761" t="inlineStr">
        <is>
          <t>INV-4135-1</t>
        </is>
      </c>
      <c r="B1761" t="inlineStr">
        <is>
          <t>INV-4135</t>
        </is>
      </c>
      <c r="C1761" s="11" t="n">
        <v>46099</v>
      </c>
      <c r="D1761" t="inlineStr">
        <is>
          <t>2026-03</t>
        </is>
      </c>
      <c r="E1761" t="inlineStr">
        <is>
          <t>C0133</t>
        </is>
      </c>
      <c r="F1761" t="inlineStr">
        <is>
          <t>C0014</t>
        </is>
      </c>
      <c r="G1761" t="inlineStr">
        <is>
          <t>Riverbend Homes Pty Ltd</t>
        </is>
      </c>
      <c r="H1761" t="inlineStr">
        <is>
          <t>S0008</t>
        </is>
      </c>
      <c r="I1761" t="inlineStr">
        <is>
          <t>Temporary fence hire 4 wks (18/02/26-17/03/26) - 62 panels</t>
        </is>
      </c>
      <c r="J1761" t="n">
        <v>248</v>
      </c>
      <c r="K1761" s="9" t="n">
        <v>1116</v>
      </c>
      <c r="L1761" t="inlineStr">
        <is>
          <t>PAID</t>
        </is>
      </c>
      <c r="M1761">
        <f>IF(L1761="VOIDED",0,1)</f>
        <v>1</v>
      </c>
      <c r="N1761" t="n">
        <v>200</v>
      </c>
      <c r="O1761" t="inlineStr">
        <is>
          <t>GST on Income</t>
        </is>
      </c>
      <c r="P1761" t="inlineStr">
        <is>
          <t>R03</t>
        </is>
      </c>
      <c r="Q1761" t="inlineStr">
        <is>
          <t>HIRE-FP</t>
        </is>
      </c>
      <c r="R1761">
        <f>IF(OR(Q1761="CONTEXT",Q1761="REVIEW"),"",INDEX('Category Rules'!$D$5:$D$17,MATCH(P1761,'Category Rules'!$A$5:$A$17,0)))</f>
        <v>4010</v>
      </c>
      <c r="S1761" t="str">
        <f>IF(Q1761="CONTEXT","Fencing",IF(Q1761="REVIEW","",INDEX('Category Rules'!$E$5:$E$17,MATCH(P1761,'Category Rules'!$A$5:$A$17,0))))</f>
        <v>Fencing</v>
      </c>
      <c r="T1761" t="str">
        <f>IF(Q1761="DEP","BAS Excluded","GST on Income")</f>
        <v>GST on Income</v>
      </c>
      <c r="U1761">
        <f>IF(O1761=T1761,1,0)</f>
        <v>1</v>
      </c>
      <c r="V1761" s="9">
        <f>IF(OR(M1761=0,U1761=1),0,IF(T1761="GST on Income",ROUND(K1761*0.1,2),ROUND(-K1761*0.1,2)))</f>
        <v>0</v>
      </c>
    </row>
    <row r="1762">
      <c r="A1762" t="inlineStr">
        <is>
          <t>INV-4140-1</t>
        </is>
      </c>
      <c r="B1762" t="inlineStr">
        <is>
          <t>INV-4140</t>
        </is>
      </c>
      <c r="C1762" s="11" t="n">
        <v>46099</v>
      </c>
      <c r="D1762" t="inlineStr">
        <is>
          <t>2026-03</t>
        </is>
      </c>
      <c r="E1762" t="inlineStr">
        <is>
          <t>C0014</t>
        </is>
      </c>
      <c r="F1762" t="inlineStr">
        <is>
          <t>C0014</t>
        </is>
      </c>
      <c r="G1762" t="inlineStr">
        <is>
          <t>Riverbend Homes Pty Ltd</t>
        </is>
      </c>
      <c r="H1762" t="inlineStr">
        <is>
          <t>S0008</t>
        </is>
      </c>
      <c r="I1762" t="inlineStr">
        <is>
          <t>Pedestrian barrier hire 4 wks (18/02/26-17/03/26) - 21 barriers</t>
        </is>
      </c>
      <c r="J1762" t="n">
        <v>84</v>
      </c>
      <c r="K1762" s="9" t="n">
        <v>268.8</v>
      </c>
      <c r="L1762" t="inlineStr">
        <is>
          <t>PAID</t>
        </is>
      </c>
      <c r="M1762">
        <f>IF(L1762="VOIDED",0,1)</f>
        <v>1</v>
      </c>
      <c r="N1762" t="n">
        <v>200</v>
      </c>
      <c r="O1762" t="inlineStr">
        <is>
          <t>GST on Income</t>
        </is>
      </c>
      <c r="P1762" t="inlineStr">
        <is>
          <t>R04</t>
        </is>
      </c>
      <c r="Q1762" t="inlineStr">
        <is>
          <t>HIRE-BR</t>
        </is>
      </c>
      <c r="R1762">
        <f>IF(OR(Q1762="CONTEXT",Q1762="REVIEW"),"",INDEX('Category Rules'!$D$5:$D$17,MATCH(P1762,'Category Rules'!$A$5:$A$17,0)))</f>
        <v>4010</v>
      </c>
      <c r="S1762" t="str">
        <f>IF(Q1762="CONTEXT","Fencing",IF(Q1762="REVIEW","",INDEX('Category Rules'!$E$5:$E$17,MATCH(P1762,'Category Rules'!$A$5:$A$17,0))))</f>
        <v>Fencing</v>
      </c>
      <c r="T1762" t="str">
        <f>IF(Q1762="DEP","BAS Excluded","GST on Income")</f>
        <v>GST on Income</v>
      </c>
      <c r="U1762">
        <f>IF(O1762=T1762,1,0)</f>
        <v>1</v>
      </c>
      <c r="V1762" s="9">
        <f>IF(OR(M1762=0,U1762=1),0,IF(T1762="GST on Income",ROUND(K1762*0.1,2),ROUND(-K1762*0.1,2)))</f>
        <v>0</v>
      </c>
    </row>
    <row r="1763">
      <c r="A1763" t="inlineStr">
        <is>
          <t>INV-4259-1</t>
        </is>
      </c>
      <c r="B1763" t="inlineStr">
        <is>
          <t>INV-4259</t>
        </is>
      </c>
      <c r="C1763" s="11" t="n">
        <v>46099</v>
      </c>
      <c r="D1763" t="inlineStr">
        <is>
          <t>2026-03</t>
        </is>
      </c>
      <c r="E1763" t="inlineStr">
        <is>
          <t>C0024</t>
        </is>
      </c>
      <c r="F1763" t="inlineStr">
        <is>
          <t>C0024</t>
        </is>
      </c>
      <c r="G1763" t="inlineStr">
        <is>
          <t>Parkview Homes Pty Ltd</t>
        </is>
      </c>
      <c r="H1763" t="inlineStr">
        <is>
          <t>S0034</t>
        </is>
      </c>
      <c r="I1763" t="inlineStr">
        <is>
          <t>Temporary fence hire 4 wks (18/02/26-17/03/26) - 28 panels</t>
        </is>
      </c>
      <c r="J1763" t="n">
        <v>112</v>
      </c>
      <c r="K1763" s="9" t="n">
        <v>504</v>
      </c>
      <c r="L1763" t="inlineStr">
        <is>
          <t>PAID</t>
        </is>
      </c>
      <c r="M1763">
        <f>IF(L1763="VOIDED",0,1)</f>
        <v>1</v>
      </c>
      <c r="N1763" t="n">
        <v>200</v>
      </c>
      <c r="O1763" t="inlineStr">
        <is>
          <t>GST on Income</t>
        </is>
      </c>
      <c r="P1763" t="inlineStr">
        <is>
          <t>R03</t>
        </is>
      </c>
      <c r="Q1763" t="inlineStr">
        <is>
          <t>HIRE-FP</t>
        </is>
      </c>
      <c r="R1763">
        <f>IF(OR(Q1763="CONTEXT",Q1763="REVIEW"),"",INDEX('Category Rules'!$D$5:$D$17,MATCH(P1763,'Category Rules'!$A$5:$A$17,0)))</f>
        <v>4010</v>
      </c>
      <c r="S1763" t="str">
        <f>IF(Q1763="CONTEXT","Fencing",IF(Q1763="REVIEW","",INDEX('Category Rules'!$E$5:$E$17,MATCH(P1763,'Category Rules'!$A$5:$A$17,0))))</f>
        <v>Fencing</v>
      </c>
      <c r="T1763" t="str">
        <f>IF(Q1763="DEP","BAS Excluded","GST on Income")</f>
        <v>GST on Income</v>
      </c>
      <c r="U1763">
        <f>IF(O1763=T1763,1,0)</f>
        <v>1</v>
      </c>
      <c r="V1763" s="9">
        <f>IF(OR(M1763=0,U1763=1),0,IF(T1763="GST on Income",ROUND(K1763*0.1,2),ROUND(-K1763*0.1,2)))</f>
        <v>0</v>
      </c>
    </row>
    <row r="1764">
      <c r="A1764" t="inlineStr">
        <is>
          <t>INV-4264-1</t>
        </is>
      </c>
      <c r="B1764" t="inlineStr">
        <is>
          <t>INV-4264</t>
        </is>
      </c>
      <c r="C1764" s="11" t="n">
        <v>46099</v>
      </c>
      <c r="D1764" t="inlineStr">
        <is>
          <t>2026-03</t>
        </is>
      </c>
      <c r="E1764" t="inlineStr">
        <is>
          <t>C0024</t>
        </is>
      </c>
      <c r="F1764" t="inlineStr">
        <is>
          <t>C0024</t>
        </is>
      </c>
      <c r="G1764" t="inlineStr">
        <is>
          <t>Parkview Homes Pty Ltd</t>
        </is>
      </c>
      <c r="H1764" t="inlineStr">
        <is>
          <t>S0034</t>
        </is>
      </c>
      <c r="I1764" t="inlineStr">
        <is>
          <t>Pedestrian barrier hire 4 wks (18/02/26-17/03/26) - 16 barriers</t>
        </is>
      </c>
      <c r="J1764" t="n">
        <v>64</v>
      </c>
      <c r="K1764" s="9" t="n">
        <v>204.8</v>
      </c>
      <c r="L1764" t="inlineStr">
        <is>
          <t>PAID</t>
        </is>
      </c>
      <c r="M1764">
        <f>IF(L1764="VOIDED",0,1)</f>
        <v>1</v>
      </c>
      <c r="N1764" t="n">
        <v>200</v>
      </c>
      <c r="O1764" t="inlineStr">
        <is>
          <t>GST on Income</t>
        </is>
      </c>
      <c r="P1764" t="inlineStr">
        <is>
          <t>R04</t>
        </is>
      </c>
      <c r="Q1764" t="inlineStr">
        <is>
          <t>HIRE-BR</t>
        </is>
      </c>
      <c r="R1764">
        <f>IF(OR(Q1764="CONTEXT",Q1764="REVIEW"),"",INDEX('Category Rules'!$D$5:$D$17,MATCH(P1764,'Category Rules'!$A$5:$A$17,0)))</f>
        <v>4010</v>
      </c>
      <c r="S1764" t="str">
        <f>IF(Q1764="CONTEXT","Fencing",IF(Q1764="REVIEW","",INDEX('Category Rules'!$E$5:$E$17,MATCH(P1764,'Category Rules'!$A$5:$A$17,0))))</f>
        <v>Fencing</v>
      </c>
      <c r="T1764" t="str">
        <f>IF(Q1764="DEP","BAS Excluded","GST on Income")</f>
        <v>GST on Income</v>
      </c>
      <c r="U1764">
        <f>IF(O1764=T1764,1,0)</f>
        <v>1</v>
      </c>
      <c r="V1764" s="9">
        <f>IF(OR(M1764=0,U1764=1),0,IF(T1764="GST on Income",ROUND(K1764*0.1,2),ROUND(-K1764*0.1,2)))</f>
        <v>0</v>
      </c>
    </row>
    <row r="1765">
      <c r="A1765" t="inlineStr">
        <is>
          <t>INV-4935-1</t>
        </is>
      </c>
      <c r="B1765" t="inlineStr">
        <is>
          <t>INV-4935</t>
        </is>
      </c>
      <c r="C1765" s="11" t="n">
        <v>46099</v>
      </c>
      <c r="D1765" t="inlineStr">
        <is>
          <t>2026-03</t>
        </is>
      </c>
      <c r="E1765" t="inlineStr">
        <is>
          <t>C0014</t>
        </is>
      </c>
      <c r="F1765" t="inlineStr">
        <is>
          <t>C0014</t>
        </is>
      </c>
      <c r="G1765" t="inlineStr">
        <is>
          <t>Riverbend Homes Pty Ltd</t>
        </is>
      </c>
      <c r="H1765" t="inlineStr">
        <is>
          <t>S0179</t>
        </is>
      </c>
      <c r="I1765" t="inlineStr">
        <is>
          <t>Temporary fence hire 4 wks (18/02/26-17/03/26) - 51 panels</t>
        </is>
      </c>
      <c r="J1765" t="n">
        <v>204</v>
      </c>
      <c r="K1765" s="9" t="n">
        <v>918</v>
      </c>
      <c r="L1765" t="inlineStr">
        <is>
          <t>PAID</t>
        </is>
      </c>
      <c r="M1765">
        <f>IF(L1765="VOIDED",0,1)</f>
        <v>1</v>
      </c>
      <c r="N1765" t="n">
        <v>200</v>
      </c>
      <c r="O1765" t="inlineStr">
        <is>
          <t>GST on Income</t>
        </is>
      </c>
      <c r="P1765" t="inlineStr">
        <is>
          <t>R03</t>
        </is>
      </c>
      <c r="Q1765" t="inlineStr">
        <is>
          <t>HIRE-FP</t>
        </is>
      </c>
      <c r="R1765">
        <f>IF(OR(Q1765="CONTEXT",Q1765="REVIEW"),"",INDEX('Category Rules'!$D$5:$D$17,MATCH(P1765,'Category Rules'!$A$5:$A$17,0)))</f>
        <v>4010</v>
      </c>
      <c r="S1765" t="str">
        <f>IF(Q1765="CONTEXT","Fencing",IF(Q1765="REVIEW","",INDEX('Category Rules'!$E$5:$E$17,MATCH(P1765,'Category Rules'!$A$5:$A$17,0))))</f>
        <v>Fencing</v>
      </c>
      <c r="T1765" t="str">
        <f>IF(Q1765="DEP","BAS Excluded","GST on Income")</f>
        <v>GST on Income</v>
      </c>
      <c r="U1765">
        <f>IF(O1765=T1765,1,0)</f>
        <v>1</v>
      </c>
      <c r="V1765" s="9">
        <f>IF(OR(M1765=0,U1765=1),0,IF(T1765="GST on Income",ROUND(K1765*0.1,2),ROUND(-K1765*0.1,2)))</f>
        <v>0</v>
      </c>
    </row>
    <row r="1766">
      <c r="A1766" t="inlineStr">
        <is>
          <t>INV-4941-1</t>
        </is>
      </c>
      <c r="B1766" t="inlineStr">
        <is>
          <t>INV-4941</t>
        </is>
      </c>
      <c r="C1766" s="11" t="n">
        <v>46099</v>
      </c>
      <c r="D1766" t="inlineStr">
        <is>
          <t>2026-03</t>
        </is>
      </c>
      <c r="E1766" t="inlineStr">
        <is>
          <t>C0014</t>
        </is>
      </c>
      <c r="F1766" t="inlineStr">
        <is>
          <t>C0014</t>
        </is>
      </c>
      <c r="G1766" t="inlineStr">
        <is>
          <t>Riverbend Homes Pty Ltd</t>
        </is>
      </c>
      <c r="H1766" t="inlineStr">
        <is>
          <t>S0179</t>
        </is>
      </c>
      <c r="I1766" t="inlineStr">
        <is>
          <t>Pedestrian barrier hire 4 wks (18/02/26-17/03/26) - 9 barriers</t>
        </is>
      </c>
      <c r="J1766" t="n">
        <v>36</v>
      </c>
      <c r="K1766" s="9" t="n">
        <v>115.2</v>
      </c>
      <c r="L1766" t="inlineStr">
        <is>
          <t>PAID</t>
        </is>
      </c>
      <c r="M1766">
        <f>IF(L1766="VOIDED",0,1)</f>
        <v>1</v>
      </c>
      <c r="N1766" t="n">
        <v>200</v>
      </c>
      <c r="O1766" t="inlineStr">
        <is>
          <t>GST on Income</t>
        </is>
      </c>
      <c r="P1766" t="inlineStr">
        <is>
          <t>R04</t>
        </is>
      </c>
      <c r="Q1766" t="inlineStr">
        <is>
          <t>HIRE-BR</t>
        </is>
      </c>
      <c r="R1766">
        <f>IF(OR(Q1766="CONTEXT",Q1766="REVIEW"),"",INDEX('Category Rules'!$D$5:$D$17,MATCH(P1766,'Category Rules'!$A$5:$A$17,0)))</f>
        <v>4010</v>
      </c>
      <c r="S1766" t="str">
        <f>IF(Q1766="CONTEXT","Fencing",IF(Q1766="REVIEW","",INDEX('Category Rules'!$E$5:$E$17,MATCH(P1766,'Category Rules'!$A$5:$A$17,0))))</f>
        <v>Fencing</v>
      </c>
      <c r="T1766" t="str">
        <f>IF(Q1766="DEP","BAS Excluded","GST on Income")</f>
        <v>GST on Income</v>
      </c>
      <c r="U1766">
        <f>IF(O1766=T1766,1,0)</f>
        <v>1</v>
      </c>
      <c r="V1766" s="9">
        <f>IF(OR(M1766=0,U1766=1),0,IF(T1766="GST on Income",ROUND(K1766*0.1,2),ROUND(-K1766*0.1,2)))</f>
        <v>0</v>
      </c>
    </row>
    <row r="1767">
      <c r="A1767" t="inlineStr">
        <is>
          <t>INV-5825-1</t>
        </is>
      </c>
      <c r="B1767" t="inlineStr">
        <is>
          <t>INV-5825</t>
        </is>
      </c>
      <c r="C1767" s="11" t="n">
        <v>46099</v>
      </c>
      <c r="D1767" t="inlineStr">
        <is>
          <t>2026-03</t>
        </is>
      </c>
      <c r="E1767" t="inlineStr">
        <is>
          <t>C0026</t>
        </is>
      </c>
      <c r="F1767" t="inlineStr">
        <is>
          <t>C0026</t>
        </is>
      </c>
      <c r="G1767" t="inlineStr">
        <is>
          <t>Juniper Constructions</t>
        </is>
      </c>
      <c r="H1767" t="inlineStr">
        <is>
          <t>S0504</t>
        </is>
      </c>
      <c r="I1767" t="inlineStr">
        <is>
          <t>Tarp kit hire 2 wks (10/03/26-17/03/26) - 3 kits</t>
        </is>
      </c>
      <c r="J1767" t="n">
        <v>6</v>
      </c>
      <c r="K1767" s="9" t="n">
        <v>210</v>
      </c>
      <c r="L1767" t="inlineStr">
        <is>
          <t>PAID</t>
        </is>
      </c>
      <c r="M1767">
        <f>IF(L1767="VOIDED",0,1)</f>
        <v>1</v>
      </c>
      <c r="N1767" t="n">
        <v>200</v>
      </c>
      <c r="O1767" t="inlineStr">
        <is>
          <t>GST on Income</t>
        </is>
      </c>
      <c r="P1767" t="inlineStr">
        <is>
          <t>R06</t>
        </is>
      </c>
      <c r="Q1767" t="inlineStr">
        <is>
          <t>HIRE-TK</t>
        </is>
      </c>
      <c r="R1767">
        <f>IF(OR(Q1767="CONTEXT",Q1767="REVIEW"),"",INDEX('Category Rules'!$D$5:$D$17,MATCH(P1767,'Category Rules'!$A$5:$A$17,0)))</f>
        <v>4010</v>
      </c>
      <c r="S1767" t="str">
        <f>IF(Q1767="CONTEXT","Make-safe",IF(Q1767="REVIEW","",INDEX('Category Rules'!$E$5:$E$17,MATCH(P1767,'Category Rules'!$A$5:$A$17,0))))</f>
        <v>Make-safe</v>
      </c>
      <c r="T1767" t="str">
        <f>IF(Q1767="DEP","BAS Excluded","GST on Income")</f>
        <v>GST on Income</v>
      </c>
      <c r="U1767">
        <f>IF(O1767=T1767,1,0)</f>
        <v>1</v>
      </c>
      <c r="V1767" s="9">
        <f>IF(OR(M1767=0,U1767=1),0,IF(T1767="GST on Income",ROUND(K1767*0.1,2),ROUND(-K1767*0.1,2)))</f>
        <v>0</v>
      </c>
    </row>
    <row r="1768">
      <c r="A1768" t="inlineStr">
        <is>
          <t>INV-5907-1</t>
        </is>
      </c>
      <c r="B1768" t="inlineStr">
        <is>
          <t>INV-5907</t>
        </is>
      </c>
      <c r="C1768" s="11" t="n">
        <v>46099</v>
      </c>
      <c r="D1768" t="inlineStr">
        <is>
          <t>2026-03</t>
        </is>
      </c>
      <c r="E1768" t="inlineStr">
        <is>
          <t>C0083</t>
        </is>
      </c>
      <c r="F1768" t="inlineStr">
        <is>
          <t>C0083</t>
        </is>
      </c>
      <c r="G1768" t="inlineStr">
        <is>
          <t>Noah Williams</t>
        </is>
      </c>
      <c r="H1768" t="inlineStr">
        <is>
          <t>S0143</t>
        </is>
      </c>
      <c r="I1768" t="inlineStr">
        <is>
          <t>Fence and make safe package - Job 1607</t>
        </is>
      </c>
      <c r="J1768" t="n">
        <v>1</v>
      </c>
      <c r="K1768" s="9" t="n">
        <v>3704.59</v>
      </c>
      <c r="L1768" t="inlineStr">
        <is>
          <t>PAID</t>
        </is>
      </c>
      <c r="M1768">
        <f>IF(L1768="VOIDED",0,1)</f>
        <v>1</v>
      </c>
      <c r="N1768" t="n">
        <v>200</v>
      </c>
      <c r="O1768" t="inlineStr">
        <is>
          <t>GST on Income</t>
        </is>
      </c>
      <c r="P1768" t="inlineStr">
        <is>
          <t>R00</t>
        </is>
      </c>
      <c r="Q1768" t="inlineStr">
        <is>
          <t>CONTEXT</t>
        </is>
      </c>
      <c r="R1768">
        <f>IF(OR(Q1768="CONTEXT",Q1768="REVIEW"),"",INDEX('Category Rules'!$D$5:$D$17,MATCH(P1768,'Category Rules'!$A$5:$A$17,0)))</f>
      </c>
      <c r="S1768" t="str">
        <f>IF(Q1768="CONTEXT","Fencing",IF(Q1768="REVIEW","",INDEX('Category Rules'!$E$5:$E$17,MATCH(P1768,'Category Rules'!$A$5:$A$17,0))))</f>
        <v>Fencing</v>
      </c>
      <c r="T1768" t="str">
        <f>IF(Q1768="DEP","BAS Excluded","GST on Income")</f>
        <v>GST on Income</v>
      </c>
      <c r="U1768">
        <f>IF(O1768=T1768,1,0)</f>
        <v>1</v>
      </c>
      <c r="V1768" s="9">
        <f>IF(OR(M1768=0,U1768=1),0,IF(T1768="GST on Income",ROUND(K1768*0.1,2),ROUND(-K1768*0.1,2)))</f>
        <v>0</v>
      </c>
    </row>
    <row r="1769">
      <c r="A1769" t="inlineStr">
        <is>
          <t>INV-4836-1</t>
        </is>
      </c>
      <c r="B1769" t="inlineStr">
        <is>
          <t>INV-4836</t>
        </is>
      </c>
      <c r="C1769" s="11" t="n">
        <v>46100</v>
      </c>
      <c r="D1769" t="inlineStr">
        <is>
          <t>2026-03</t>
        </is>
      </c>
      <c r="E1769" t="inlineStr">
        <is>
          <t>C0036</t>
        </is>
      </c>
      <c r="F1769" t="inlineStr">
        <is>
          <t>C0036</t>
        </is>
      </c>
      <c r="G1769" t="inlineStr">
        <is>
          <t>Summit Homes Pty Ltd</t>
        </is>
      </c>
      <c r="H1769" t="inlineStr">
        <is>
          <t>S0158</t>
        </is>
      </c>
      <c r="I1769" t="inlineStr">
        <is>
          <t>Temporary fence hire 4 wks (19/02/26-18/03/26) - 21 panels</t>
        </is>
      </c>
      <c r="J1769" t="n">
        <v>84</v>
      </c>
      <c r="K1769" s="9" t="n">
        <v>378</v>
      </c>
      <c r="L1769" t="inlineStr">
        <is>
          <t>PAID</t>
        </is>
      </c>
      <c r="M1769">
        <f>IF(L1769="VOIDED",0,1)</f>
        <v>1</v>
      </c>
      <c r="N1769" t="n">
        <v>200</v>
      </c>
      <c r="O1769" t="inlineStr">
        <is>
          <t>GST on Income</t>
        </is>
      </c>
      <c r="P1769" t="inlineStr">
        <is>
          <t>R03</t>
        </is>
      </c>
      <c r="Q1769" t="inlineStr">
        <is>
          <t>HIRE-FP</t>
        </is>
      </c>
      <c r="R1769">
        <f>IF(OR(Q1769="CONTEXT",Q1769="REVIEW"),"",INDEX('Category Rules'!$D$5:$D$17,MATCH(P1769,'Category Rules'!$A$5:$A$17,0)))</f>
        <v>4010</v>
      </c>
      <c r="S1769" t="str">
        <f>IF(Q1769="CONTEXT","Fencing",IF(Q1769="REVIEW","",INDEX('Category Rules'!$E$5:$E$17,MATCH(P1769,'Category Rules'!$A$5:$A$17,0))))</f>
        <v>Fencing</v>
      </c>
      <c r="T1769" t="str">
        <f>IF(Q1769="DEP","BAS Excluded","GST on Income")</f>
        <v>GST on Income</v>
      </c>
      <c r="U1769">
        <f>IF(O1769=T1769,1,0)</f>
        <v>1</v>
      </c>
      <c r="V1769" s="9">
        <f>IF(OR(M1769=0,U1769=1),0,IF(T1769="GST on Income",ROUND(K1769*0.1,2),ROUND(-K1769*0.1,2)))</f>
        <v>0</v>
      </c>
    </row>
    <row r="1770">
      <c r="A1770" t="inlineStr">
        <is>
          <t>INV-4841-1</t>
        </is>
      </c>
      <c r="B1770" t="inlineStr">
        <is>
          <t>INV-4841</t>
        </is>
      </c>
      <c r="C1770" s="11" t="n">
        <v>46100</v>
      </c>
      <c r="D1770" t="inlineStr">
        <is>
          <t>2026-03</t>
        </is>
      </c>
      <c r="E1770" t="inlineStr">
        <is>
          <t>C0136</t>
        </is>
      </c>
      <c r="F1770" t="inlineStr">
        <is>
          <t>C0036</t>
        </is>
      </c>
      <c r="G1770" t="inlineStr">
        <is>
          <t>Summit Homes Pty Ltd</t>
        </is>
      </c>
      <c r="H1770" t="inlineStr">
        <is>
          <t>S0158</t>
        </is>
      </c>
      <c r="I1770" t="inlineStr">
        <is>
          <t>Pedestrian barrier hire 4 wks (19/02/26-18/03/26) - 23 barriers</t>
        </is>
      </c>
      <c r="J1770" t="n">
        <v>92</v>
      </c>
      <c r="K1770" s="9" t="n">
        <v>294.4</v>
      </c>
      <c r="L1770" t="inlineStr">
        <is>
          <t>PAID</t>
        </is>
      </c>
      <c r="M1770">
        <f>IF(L1770="VOIDED",0,1)</f>
        <v>1</v>
      </c>
      <c r="N1770" t="n">
        <v>200</v>
      </c>
      <c r="O1770" t="inlineStr">
        <is>
          <t>GST on Income</t>
        </is>
      </c>
      <c r="P1770" t="inlineStr">
        <is>
          <t>R04</t>
        </is>
      </c>
      <c r="Q1770" t="inlineStr">
        <is>
          <t>HIRE-BR</t>
        </is>
      </c>
      <c r="R1770">
        <f>IF(OR(Q1770="CONTEXT",Q1770="REVIEW"),"",INDEX('Category Rules'!$D$5:$D$17,MATCH(P1770,'Category Rules'!$A$5:$A$17,0)))</f>
        <v>4010</v>
      </c>
      <c r="S1770" t="str">
        <f>IF(Q1770="CONTEXT","Fencing",IF(Q1770="REVIEW","",INDEX('Category Rules'!$E$5:$E$17,MATCH(P1770,'Category Rules'!$A$5:$A$17,0))))</f>
        <v>Fencing</v>
      </c>
      <c r="T1770" t="str">
        <f>IF(Q1770="DEP","BAS Excluded","GST on Income")</f>
        <v>GST on Income</v>
      </c>
      <c r="U1770">
        <f>IF(O1770=T1770,1,0)</f>
        <v>1</v>
      </c>
      <c r="V1770" s="9">
        <f>IF(OR(M1770=0,U1770=1),0,IF(T1770="GST on Income",ROUND(K1770*0.1,2),ROUND(-K1770*0.1,2)))</f>
        <v>0</v>
      </c>
    </row>
    <row r="1771">
      <c r="A1771" t="inlineStr">
        <is>
          <t>INV-4738-1</t>
        </is>
      </c>
      <c r="B1771" t="inlineStr">
        <is>
          <t>INV-4738</t>
        </is>
      </c>
      <c r="C1771" s="11" t="n">
        <v>46101</v>
      </c>
      <c r="D1771" t="inlineStr">
        <is>
          <t>2026-03</t>
        </is>
      </c>
      <c r="E1771" t="inlineStr">
        <is>
          <t>C0033</t>
        </is>
      </c>
      <c r="F1771" t="inlineStr">
        <is>
          <t>C0033</t>
        </is>
      </c>
      <c r="G1771" t="inlineStr">
        <is>
          <t>Granite Projects Pty Ltd</t>
        </is>
      </c>
      <c r="H1771" t="inlineStr">
        <is>
          <t>S0133</t>
        </is>
      </c>
      <c r="I1771" t="inlineStr">
        <is>
          <t>Delivery and installation - temporary fencing</t>
        </is>
      </c>
      <c r="J1771" t="n">
        <v>1</v>
      </c>
      <c r="K1771" s="9" t="n">
        <v>165</v>
      </c>
      <c r="L1771" t="inlineStr">
        <is>
          <t>PAID</t>
        </is>
      </c>
      <c r="M1771">
        <f>IF(L1771="VOIDED",0,1)</f>
        <v>1</v>
      </c>
      <c r="N1771" t="n">
        <v>200</v>
      </c>
      <c r="O1771" t="inlineStr">
        <is>
          <t>GST on Income</t>
        </is>
      </c>
      <c r="P1771" t="inlineStr">
        <is>
          <t>R07</t>
        </is>
      </c>
      <c r="Q1771" t="inlineStr">
        <is>
          <t>DEL-FP</t>
        </is>
      </c>
      <c r="R1771">
        <f>IF(OR(Q1771="CONTEXT",Q1771="REVIEW"),"",INDEX('Category Rules'!$D$5:$D$17,MATCH(P1771,'Category Rules'!$A$5:$A$17,0)))</f>
        <v>4020</v>
      </c>
      <c r="S1771" t="str">
        <f>IF(Q1771="CONTEXT","Fencing",IF(Q1771="REVIEW","",INDEX('Category Rules'!$E$5:$E$17,MATCH(P1771,'Category Rules'!$A$5:$A$17,0))))</f>
        <v>Fencing</v>
      </c>
      <c r="T1771" t="str">
        <f>IF(Q1771="DEP","BAS Excluded","GST on Income")</f>
        <v>GST on Income</v>
      </c>
      <c r="U1771">
        <f>IF(O1771=T1771,1,0)</f>
        <v>1</v>
      </c>
      <c r="V1771" s="9">
        <f>IF(OR(M1771=0,U1771=1),0,IF(T1771="GST on Income",ROUND(K1771*0.1,2),ROUND(-K1771*0.1,2)))</f>
        <v>0</v>
      </c>
    </row>
    <row r="1772">
      <c r="A1772" t="inlineStr">
        <is>
          <t>INV-4738-2</t>
        </is>
      </c>
      <c r="B1772" t="inlineStr">
        <is>
          <t>INV-4738</t>
        </is>
      </c>
      <c r="C1772" s="11" t="n">
        <v>46101</v>
      </c>
      <c r="D1772" t="inlineStr">
        <is>
          <t>2026-03</t>
        </is>
      </c>
      <c r="E1772" t="inlineStr">
        <is>
          <t>C0033</t>
        </is>
      </c>
      <c r="F1772" t="inlineStr">
        <is>
          <t>C0033</t>
        </is>
      </c>
      <c r="G1772" t="inlineStr">
        <is>
          <t>Granite Projects Pty Ltd</t>
        </is>
      </c>
      <c r="H1772" t="inlineStr">
        <is>
          <t>S0133</t>
        </is>
      </c>
      <c r="I1772" t="inlineStr">
        <is>
          <t>Installation labour - 140 panels @ 2.20</t>
        </is>
      </c>
      <c r="J1772" t="n">
        <v>140</v>
      </c>
      <c r="K1772" s="9" t="n">
        <v>308</v>
      </c>
      <c r="L1772" t="inlineStr">
        <is>
          <t>PAID</t>
        </is>
      </c>
      <c r="M1772">
        <f>IF(L1772="VOIDED",0,1)</f>
        <v>1</v>
      </c>
      <c r="N1772" t="n">
        <v>200</v>
      </c>
      <c r="O1772" t="inlineStr">
        <is>
          <t>GST on Income</t>
        </is>
      </c>
      <c r="P1772" t="inlineStr">
        <is>
          <t>R07</t>
        </is>
      </c>
      <c r="Q1772" t="inlineStr">
        <is>
          <t>DEL-FP</t>
        </is>
      </c>
      <c r="R1772">
        <f>IF(OR(Q1772="CONTEXT",Q1772="REVIEW"),"",INDEX('Category Rules'!$D$5:$D$17,MATCH(P1772,'Category Rules'!$A$5:$A$17,0)))</f>
        <v>4020</v>
      </c>
      <c r="S1772" t="str">
        <f>IF(Q1772="CONTEXT","Fencing",IF(Q1772="REVIEW","",INDEX('Category Rules'!$E$5:$E$17,MATCH(P1772,'Category Rules'!$A$5:$A$17,0))))</f>
        <v>Fencing</v>
      </c>
      <c r="T1772" t="str">
        <f>IF(Q1772="DEP","BAS Excluded","GST on Income")</f>
        <v>GST on Income</v>
      </c>
      <c r="U1772">
        <f>IF(O1772=T1772,1,0)</f>
        <v>1</v>
      </c>
      <c r="V1772" s="9">
        <f>IF(OR(M1772=0,U1772=1),0,IF(T1772="GST on Income",ROUND(K1772*0.1,2),ROUND(-K1772*0.1,2)))</f>
        <v>0</v>
      </c>
    </row>
    <row r="1773">
      <c r="A1773" t="inlineStr">
        <is>
          <t>INV-4738-3</t>
        </is>
      </c>
      <c r="B1773" t="inlineStr">
        <is>
          <t>INV-4738</t>
        </is>
      </c>
      <c r="C1773" s="11" t="n">
        <v>46101</v>
      </c>
      <c r="D1773" t="inlineStr">
        <is>
          <t>2026-03</t>
        </is>
      </c>
      <c r="E1773" t="inlineStr">
        <is>
          <t>C0033</t>
        </is>
      </c>
      <c r="F1773" t="inlineStr">
        <is>
          <t>C0033</t>
        </is>
      </c>
      <c r="G1773" t="inlineStr">
        <is>
          <t>Granite Projects Pty Ltd</t>
        </is>
      </c>
      <c r="H1773" t="inlineStr">
        <is>
          <t>S0133</t>
        </is>
      </c>
      <c r="I1773" t="inlineStr">
        <is>
          <t>Security deposit - fence panels (refundable)</t>
        </is>
      </c>
      <c r="J1773" t="n">
        <v>1</v>
      </c>
      <c r="K1773" s="9" t="n">
        <v>1120</v>
      </c>
      <c r="L1773" t="inlineStr">
        <is>
          <t>PAID</t>
        </is>
      </c>
      <c r="M1773">
        <f>IF(L1773="VOIDED",0,1)</f>
        <v>1</v>
      </c>
      <c r="N1773" t="n">
        <v>200</v>
      </c>
      <c r="O1773" t="inlineStr">
        <is>
          <t>GST on Income</t>
        </is>
      </c>
      <c r="P1773" t="inlineStr">
        <is>
          <t>R01</t>
        </is>
      </c>
      <c r="Q1773" t="inlineStr">
        <is>
          <t>DEP</t>
        </is>
      </c>
      <c r="R1773">
        <f>IF(OR(Q1773="CONTEXT",Q1773="REVIEW"),"",INDEX('Category Rules'!$D$5:$D$17,MATCH(P1773,'Category Rules'!$A$5:$A$17,0)))</f>
        <v>835</v>
      </c>
      <c r="S1773" t="str">
        <f>IF(Q1773="CONTEXT","Fencing",IF(Q1773="REVIEW","",INDEX('Category Rules'!$E$5:$E$17,MATCH(P1773,'Category Rules'!$A$5:$A$17,0))))</f>
        <v>Fencing</v>
      </c>
      <c r="T1773" t="str">
        <f>IF(Q1773="DEP","BAS Excluded","GST on Income")</f>
        <v>BAS Excluded</v>
      </c>
      <c r="U1773">
        <f>IF(O1773=T1773,1,0)</f>
        <v>0</v>
      </c>
      <c r="V1773" s="9">
        <f>IF(OR(M1773=0,U1773=1),0,IF(T1773="GST on Income",ROUND(K1773*0.1,2),ROUND(-K1773*0.1,2)))</f>
        <v>-112</v>
      </c>
    </row>
    <row r="1774">
      <c r="A1774" t="inlineStr">
        <is>
          <t>INV-4794-1</t>
        </is>
      </c>
      <c r="B1774" t="inlineStr">
        <is>
          <t>INV-4794</t>
        </is>
      </c>
      <c r="C1774" s="11" t="n">
        <v>46101</v>
      </c>
      <c r="D1774" t="inlineStr">
        <is>
          <t>2026-03</t>
        </is>
      </c>
      <c r="E1774" t="inlineStr">
        <is>
          <t>C0024</t>
        </is>
      </c>
      <c r="F1774" t="inlineStr">
        <is>
          <t>C0024</t>
        </is>
      </c>
      <c r="G1774" t="inlineStr">
        <is>
          <t>Parkview Homes Pty Ltd</t>
        </is>
      </c>
      <c r="H1774" t="inlineStr">
        <is>
          <t>S0148</t>
        </is>
      </c>
      <c r="I1774" t="inlineStr">
        <is>
          <t>Temporary fence hire 4 wks (20/02/26-19/03/26) - 155 panels</t>
        </is>
      </c>
      <c r="J1774" t="n">
        <v>620</v>
      </c>
      <c r="K1774" s="9" t="n">
        <v>2790</v>
      </c>
      <c r="L1774" t="inlineStr">
        <is>
          <t>PAID</t>
        </is>
      </c>
      <c r="M1774">
        <f>IF(L1774="VOIDED",0,1)</f>
        <v>1</v>
      </c>
      <c r="N1774" t="n">
        <v>200</v>
      </c>
      <c r="O1774" t="inlineStr">
        <is>
          <t>GST on Income</t>
        </is>
      </c>
      <c r="P1774" t="inlineStr">
        <is>
          <t>R03</t>
        </is>
      </c>
      <c r="Q1774" t="inlineStr">
        <is>
          <t>HIRE-FP</t>
        </is>
      </c>
      <c r="R1774">
        <f>IF(OR(Q1774="CONTEXT",Q1774="REVIEW"),"",INDEX('Category Rules'!$D$5:$D$17,MATCH(P1774,'Category Rules'!$A$5:$A$17,0)))</f>
        <v>4010</v>
      </c>
      <c r="S1774" t="str">
        <f>IF(Q1774="CONTEXT","Fencing",IF(Q1774="REVIEW","",INDEX('Category Rules'!$E$5:$E$17,MATCH(P1774,'Category Rules'!$A$5:$A$17,0))))</f>
        <v>Fencing</v>
      </c>
      <c r="T1774" t="str">
        <f>IF(Q1774="DEP","BAS Excluded","GST on Income")</f>
        <v>GST on Income</v>
      </c>
      <c r="U1774">
        <f>IF(O1774=T1774,1,0)</f>
        <v>1</v>
      </c>
      <c r="V1774" s="9">
        <f>IF(OR(M1774=0,U1774=1),0,IF(T1774="GST on Income",ROUND(K1774*0.1,2),ROUND(-K1774*0.1,2)))</f>
        <v>0</v>
      </c>
    </row>
    <row r="1775">
      <c r="A1775" t="inlineStr">
        <is>
          <t>INV-4936-1</t>
        </is>
      </c>
      <c r="B1775" t="inlineStr">
        <is>
          <t>INV-4936</t>
        </is>
      </c>
      <c r="C1775" s="11" t="n">
        <v>46101</v>
      </c>
      <c r="D1775" t="inlineStr">
        <is>
          <t>2026-03</t>
        </is>
      </c>
      <c r="E1775" t="inlineStr">
        <is>
          <t>C0133</t>
        </is>
      </c>
      <c r="F1775" t="inlineStr">
        <is>
          <t>C0014</t>
        </is>
      </c>
      <c r="G1775" t="inlineStr">
        <is>
          <t>Riverbend Homes Pty Ltd</t>
        </is>
      </c>
      <c r="H1775" t="inlineStr">
        <is>
          <t>S0179</t>
        </is>
      </c>
      <c r="I1775" t="inlineStr">
        <is>
          <t>Temporary fence hire 1 wks (18/03/26-19/03/26) - 51 panels</t>
        </is>
      </c>
      <c r="J1775" t="n">
        <v>51</v>
      </c>
      <c r="K1775" s="9" t="n">
        <v>229.5</v>
      </c>
      <c r="L1775" t="inlineStr">
        <is>
          <t>PAID</t>
        </is>
      </c>
      <c r="M1775">
        <f>IF(L1775="VOIDED",0,1)</f>
        <v>1</v>
      </c>
      <c r="N1775" t="n">
        <v>200</v>
      </c>
      <c r="O1775" t="inlineStr">
        <is>
          <t>GST on Income</t>
        </is>
      </c>
      <c r="P1775" t="inlineStr">
        <is>
          <t>R03</t>
        </is>
      </c>
      <c r="Q1775" t="inlineStr">
        <is>
          <t>HIRE-FP</t>
        </is>
      </c>
      <c r="R1775">
        <f>IF(OR(Q1775="CONTEXT",Q1775="REVIEW"),"",INDEX('Category Rules'!$D$5:$D$17,MATCH(P1775,'Category Rules'!$A$5:$A$17,0)))</f>
        <v>4010</v>
      </c>
      <c r="S1775" t="str">
        <f>IF(Q1775="CONTEXT","Fencing",IF(Q1775="REVIEW","",INDEX('Category Rules'!$E$5:$E$17,MATCH(P1775,'Category Rules'!$A$5:$A$17,0))))</f>
        <v>Fencing</v>
      </c>
      <c r="T1775" t="str">
        <f>IF(Q1775="DEP","BAS Excluded","GST on Income")</f>
        <v>GST on Income</v>
      </c>
      <c r="U1775">
        <f>IF(O1775=T1775,1,0)</f>
        <v>1</v>
      </c>
      <c r="V1775" s="9">
        <f>IF(OR(M1775=0,U1775=1),0,IF(T1775="GST on Income",ROUND(K1775*0.1,2),ROUND(-K1775*0.1,2)))</f>
        <v>0</v>
      </c>
    </row>
    <row r="1776">
      <c r="A1776" t="inlineStr">
        <is>
          <t>INV-4942-1</t>
        </is>
      </c>
      <c r="B1776" t="inlineStr">
        <is>
          <t>INV-4942</t>
        </is>
      </c>
      <c r="C1776" s="11" t="n">
        <v>46101</v>
      </c>
      <c r="D1776" t="inlineStr">
        <is>
          <t>2026-03</t>
        </is>
      </c>
      <c r="E1776" t="inlineStr">
        <is>
          <t>C0014</t>
        </is>
      </c>
      <c r="F1776" t="inlineStr">
        <is>
          <t>C0014</t>
        </is>
      </c>
      <c r="G1776" t="inlineStr">
        <is>
          <t>Riverbend Homes Pty Ltd</t>
        </is>
      </c>
      <c r="H1776" t="inlineStr">
        <is>
          <t>S0179</t>
        </is>
      </c>
      <c r="I1776" t="inlineStr">
        <is>
          <t>Pedestrian barrier hire 1 wks (18/03/26-19/03/26) - 9 barriers</t>
        </is>
      </c>
      <c r="J1776" t="n">
        <v>9</v>
      </c>
      <c r="K1776" s="9" t="n">
        <v>28.8</v>
      </c>
      <c r="L1776" t="inlineStr">
        <is>
          <t>PAID</t>
        </is>
      </c>
      <c r="M1776">
        <f>IF(L1776="VOIDED",0,1)</f>
        <v>1</v>
      </c>
      <c r="N1776" t="n">
        <v>200</v>
      </c>
      <c r="O1776" t="inlineStr">
        <is>
          <t>GST on Income</t>
        </is>
      </c>
      <c r="P1776" t="inlineStr">
        <is>
          <t>R04</t>
        </is>
      </c>
      <c r="Q1776" t="inlineStr">
        <is>
          <t>HIRE-BR</t>
        </is>
      </c>
      <c r="R1776">
        <f>IF(OR(Q1776="CONTEXT",Q1776="REVIEW"),"",INDEX('Category Rules'!$D$5:$D$17,MATCH(P1776,'Category Rules'!$A$5:$A$17,0)))</f>
        <v>4010</v>
      </c>
      <c r="S1776" t="str">
        <f>IF(Q1776="CONTEXT","Fencing",IF(Q1776="REVIEW","",INDEX('Category Rules'!$E$5:$E$17,MATCH(P1776,'Category Rules'!$A$5:$A$17,0))))</f>
        <v>Fencing</v>
      </c>
      <c r="T1776" t="str">
        <f>IF(Q1776="DEP","BAS Excluded","GST on Income")</f>
        <v>GST on Income</v>
      </c>
      <c r="U1776">
        <f>IF(O1776=T1776,1,0)</f>
        <v>1</v>
      </c>
      <c r="V1776" s="9">
        <f>IF(OR(M1776=0,U1776=1),0,IF(T1776="GST on Income",ROUND(K1776*0.1,2),ROUND(-K1776*0.1,2)))</f>
        <v>0</v>
      </c>
    </row>
    <row r="1777">
      <c r="A1777" t="inlineStr">
        <is>
          <t>INV-4944-1</t>
        </is>
      </c>
      <c r="B1777" t="inlineStr">
        <is>
          <t>INV-4944</t>
        </is>
      </c>
      <c r="C1777" s="11" t="n">
        <v>46101</v>
      </c>
      <c r="D1777" t="inlineStr">
        <is>
          <t>2026-03</t>
        </is>
      </c>
      <c r="E1777" t="inlineStr">
        <is>
          <t>C0014</t>
        </is>
      </c>
      <c r="F1777" t="inlineStr">
        <is>
          <t>C0014</t>
        </is>
      </c>
      <c r="G1777" t="inlineStr">
        <is>
          <t>Riverbend Homes Pty Ltd</t>
        </is>
      </c>
      <c r="H1777" t="inlineStr">
        <is>
          <t>S0179</t>
        </is>
      </c>
      <c r="I1777" t="inlineStr">
        <is>
          <t>Collection and dismantle - temporary fencing</t>
        </is>
      </c>
      <c r="J1777" t="n">
        <v>1</v>
      </c>
      <c r="K1777" s="9" t="n">
        <v>165</v>
      </c>
      <c r="L1777" t="inlineStr">
        <is>
          <t>PAID</t>
        </is>
      </c>
      <c r="M1777">
        <f>IF(L1777="VOIDED",0,1)</f>
        <v>1</v>
      </c>
      <c r="N1777" t="n">
        <v>200</v>
      </c>
      <c r="O1777" t="inlineStr">
        <is>
          <t>GST on Income</t>
        </is>
      </c>
      <c r="P1777" t="inlineStr">
        <is>
          <t>R07</t>
        </is>
      </c>
      <c r="Q1777" t="inlineStr">
        <is>
          <t>DEL-FP</t>
        </is>
      </c>
      <c r="R1777">
        <f>IF(OR(Q1777="CONTEXT",Q1777="REVIEW"),"",INDEX('Category Rules'!$D$5:$D$17,MATCH(P1777,'Category Rules'!$A$5:$A$17,0)))</f>
        <v>4020</v>
      </c>
      <c r="S1777" t="str">
        <f>IF(Q1777="CONTEXT","Fencing",IF(Q1777="REVIEW","",INDEX('Category Rules'!$E$5:$E$17,MATCH(P1777,'Category Rules'!$A$5:$A$17,0))))</f>
        <v>Fencing</v>
      </c>
      <c r="T1777" t="str">
        <f>IF(Q1777="DEP","BAS Excluded","GST on Income")</f>
        <v>GST on Income</v>
      </c>
      <c r="U1777">
        <f>IF(O1777=T1777,1,0)</f>
        <v>1</v>
      </c>
      <c r="V1777" s="9">
        <f>IF(OR(M1777=0,U1777=1),0,IF(T1777="GST on Income",ROUND(K1777*0.1,2),ROUND(-K1777*0.1,2)))</f>
        <v>0</v>
      </c>
    </row>
    <row r="1778">
      <c r="A1778" t="inlineStr">
        <is>
          <t>INV-5868-1</t>
        </is>
      </c>
      <c r="B1778" t="inlineStr">
        <is>
          <t>INV-5868</t>
        </is>
      </c>
      <c r="C1778" s="11" t="n">
        <v>46101</v>
      </c>
      <c r="D1778" t="inlineStr">
        <is>
          <t>2026-03</t>
        </is>
      </c>
      <c r="E1778" t="inlineStr">
        <is>
          <t>C0105</t>
        </is>
      </c>
      <c r="F1778" t="inlineStr">
        <is>
          <t>C0105</t>
        </is>
      </c>
      <c r="G1778" t="inlineStr">
        <is>
          <t>Priya Walker</t>
        </is>
      </c>
      <c r="H1778" t="inlineStr">
        <is>
          <t>S0530</t>
        </is>
      </c>
      <c r="I1778" t="inlineStr">
        <is>
          <t>Roof repair labour - 8 hrs</t>
        </is>
      </c>
      <c r="J1778" t="n">
        <v>8</v>
      </c>
      <c r="K1778" s="9" t="n">
        <v>784</v>
      </c>
      <c r="L1778" t="inlineStr">
        <is>
          <t>PAID</t>
        </is>
      </c>
      <c r="M1778">
        <f>IF(L1778="VOIDED",0,1)</f>
        <v>1</v>
      </c>
      <c r="N1778" t="n">
        <v>200</v>
      </c>
      <c r="O1778" t="inlineStr">
        <is>
          <t>GST on Income</t>
        </is>
      </c>
      <c r="P1778" t="inlineStr">
        <is>
          <t>R10</t>
        </is>
      </c>
      <c r="Q1778" t="inlineStr">
        <is>
          <t>LAB-RF</t>
        </is>
      </c>
      <c r="R1778">
        <f>IF(OR(Q1778="CONTEXT",Q1778="REVIEW"),"",INDEX('Category Rules'!$D$5:$D$17,MATCH(P1778,'Category Rules'!$A$5:$A$17,0)))</f>
        <v>4020</v>
      </c>
      <c r="S1778" t="str">
        <f>IF(Q1778="CONTEXT","Roofing",IF(Q1778="REVIEW","",INDEX('Category Rules'!$E$5:$E$17,MATCH(P1778,'Category Rules'!$A$5:$A$17,0))))</f>
        <v>Roofing</v>
      </c>
      <c r="T1778" t="str">
        <f>IF(Q1778="DEP","BAS Excluded","GST on Income")</f>
        <v>GST on Income</v>
      </c>
      <c r="U1778">
        <f>IF(O1778=T1778,1,0)</f>
        <v>1</v>
      </c>
      <c r="V1778" s="9">
        <f>IF(OR(M1778=0,U1778=1),0,IF(T1778="GST on Income",ROUND(K1778*0.1,2),ROUND(-K1778*0.1,2)))</f>
        <v>0</v>
      </c>
    </row>
    <row r="1779">
      <c r="A1779" t="inlineStr">
        <is>
          <t>INV-5868-2</t>
        </is>
      </c>
      <c r="B1779" t="inlineStr">
        <is>
          <t>INV-5868</t>
        </is>
      </c>
      <c r="C1779" s="11" t="n">
        <v>46101</v>
      </c>
      <c r="D1779" t="inlineStr">
        <is>
          <t>2026-03</t>
        </is>
      </c>
      <c r="E1779" t="inlineStr">
        <is>
          <t>C0105</t>
        </is>
      </c>
      <c r="F1779" t="inlineStr">
        <is>
          <t>C0105</t>
        </is>
      </c>
      <c r="G1779" t="inlineStr">
        <is>
          <t>Priya Walker</t>
        </is>
      </c>
      <c r="H1779" t="inlineStr">
        <is>
          <t>S0530</t>
        </is>
      </c>
      <c r="I1779" t="inlineStr">
        <is>
          <t>Materials - gutter and downpipe</t>
        </is>
      </c>
      <c r="J1779" t="n">
        <v>1</v>
      </c>
      <c r="K1779" s="9" t="n">
        <v>179.15</v>
      </c>
      <c r="L1779" t="inlineStr">
        <is>
          <t>PAID</t>
        </is>
      </c>
      <c r="M1779">
        <f>IF(L1779="VOIDED",0,1)</f>
        <v>1</v>
      </c>
      <c r="N1779" t="n">
        <v>200</v>
      </c>
      <c r="O1779" t="inlineStr">
        <is>
          <t>GST on Income</t>
        </is>
      </c>
      <c r="P1779" t="inlineStr">
        <is>
          <t>R11</t>
        </is>
      </c>
      <c r="Q1779" t="inlineStr">
        <is>
          <t>MAT-RF</t>
        </is>
      </c>
      <c r="R1779">
        <f>IF(OR(Q1779="CONTEXT",Q1779="REVIEW"),"",INDEX('Category Rules'!$D$5:$D$17,MATCH(P1779,'Category Rules'!$A$5:$A$17,0)))</f>
        <v>4030</v>
      </c>
      <c r="S1779" t="str">
        <f>IF(Q1779="CONTEXT","Roofing",IF(Q1779="REVIEW","",INDEX('Category Rules'!$E$5:$E$17,MATCH(P1779,'Category Rules'!$A$5:$A$17,0))))</f>
        <v>Roofing</v>
      </c>
      <c r="T1779" t="str">
        <f>IF(Q1779="DEP","BAS Excluded","GST on Income")</f>
        <v>GST on Income</v>
      </c>
      <c r="U1779">
        <f>IF(O1779=T1779,1,0)</f>
        <v>1</v>
      </c>
      <c r="V1779" s="9">
        <f>IF(OR(M1779=0,U1779=1),0,IF(T1779="GST on Income",ROUND(K1779*0.1,2),ROUND(-K1779*0.1,2)))</f>
        <v>0</v>
      </c>
    </row>
    <row r="1780">
      <c r="A1780" t="inlineStr">
        <is>
          <t>INV-5868-3</t>
        </is>
      </c>
      <c r="B1780" t="inlineStr">
        <is>
          <t>INV-5868</t>
        </is>
      </c>
      <c r="C1780" s="11" t="n">
        <v>46101</v>
      </c>
      <c r="D1780" t="inlineStr">
        <is>
          <t>2026-03</t>
        </is>
      </c>
      <c r="E1780" t="inlineStr">
        <is>
          <t>C0105</t>
        </is>
      </c>
      <c r="F1780" t="inlineStr">
        <is>
          <t>C0105</t>
        </is>
      </c>
      <c r="G1780" t="inlineStr">
        <is>
          <t>Priya Walker</t>
        </is>
      </c>
      <c r="H1780" t="inlineStr">
        <is>
          <t>S0530</t>
        </is>
      </c>
      <c r="I1780" t="inlineStr">
        <is>
          <t>Materials - flashing</t>
        </is>
      </c>
      <c r="J1780" t="n">
        <v>1</v>
      </c>
      <c r="K1780" s="9" t="n">
        <v>188.22</v>
      </c>
      <c r="L1780" t="inlineStr">
        <is>
          <t>PAID</t>
        </is>
      </c>
      <c r="M1780">
        <f>IF(L1780="VOIDED",0,1)</f>
        <v>1</v>
      </c>
      <c r="N1780" t="n">
        <v>200</v>
      </c>
      <c r="O1780" t="inlineStr">
        <is>
          <t>GST on Income</t>
        </is>
      </c>
      <c r="P1780" t="inlineStr">
        <is>
          <t>R11</t>
        </is>
      </c>
      <c r="Q1780" t="inlineStr">
        <is>
          <t>MAT-RF</t>
        </is>
      </c>
      <c r="R1780">
        <f>IF(OR(Q1780="CONTEXT",Q1780="REVIEW"),"",INDEX('Category Rules'!$D$5:$D$17,MATCH(P1780,'Category Rules'!$A$5:$A$17,0)))</f>
        <v>4030</v>
      </c>
      <c r="S1780" t="str">
        <f>IF(Q1780="CONTEXT","Roofing",IF(Q1780="REVIEW","",INDEX('Category Rules'!$E$5:$E$17,MATCH(P1780,'Category Rules'!$A$5:$A$17,0))))</f>
        <v>Roofing</v>
      </c>
      <c r="T1780" t="str">
        <f>IF(Q1780="DEP","BAS Excluded","GST on Income")</f>
        <v>GST on Income</v>
      </c>
      <c r="U1780">
        <f>IF(O1780=T1780,1,0)</f>
        <v>1</v>
      </c>
      <c r="V1780" s="9">
        <f>IF(OR(M1780=0,U1780=1),0,IF(T1780="GST on Income",ROUND(K1780*0.1,2),ROUND(-K1780*0.1,2)))</f>
        <v>0</v>
      </c>
    </row>
    <row r="1781">
      <c r="A1781" t="inlineStr">
        <is>
          <t>INV-4335-1</t>
        </is>
      </c>
      <c r="B1781" t="inlineStr">
        <is>
          <t>INV-4335</t>
        </is>
      </c>
      <c r="C1781" s="11" t="n">
        <v>46102</v>
      </c>
      <c r="D1781" t="inlineStr">
        <is>
          <t>2026-03</t>
        </is>
      </c>
      <c r="E1781" t="inlineStr">
        <is>
          <t>C0148</t>
        </is>
      </c>
      <c r="F1781" t="inlineStr">
        <is>
          <t>C0042</t>
        </is>
      </c>
      <c r="G1781" t="inlineStr">
        <is>
          <t>Lakeside Constructions Pty Ltd</t>
        </is>
      </c>
      <c r="H1781" t="inlineStr">
        <is>
          <t>S0049</t>
        </is>
      </c>
      <c r="I1781" t="inlineStr">
        <is>
          <t>Collection and dismantle - temporary fencing</t>
        </is>
      </c>
      <c r="J1781" t="n">
        <v>1</v>
      </c>
      <c r="K1781" s="9" t="n">
        <v>165</v>
      </c>
      <c r="L1781" t="inlineStr">
        <is>
          <t>PAID</t>
        </is>
      </c>
      <c r="M1781">
        <f>IF(L1781="VOIDED",0,1)</f>
        <v>1</v>
      </c>
      <c r="N1781" t="n">
        <v>200</v>
      </c>
      <c r="O1781" t="inlineStr">
        <is>
          <t>GST on Income</t>
        </is>
      </c>
      <c r="P1781" t="inlineStr">
        <is>
          <t>R07</t>
        </is>
      </c>
      <c r="Q1781" t="inlineStr">
        <is>
          <t>DEL-FP</t>
        </is>
      </c>
      <c r="R1781">
        <f>IF(OR(Q1781="CONTEXT",Q1781="REVIEW"),"",INDEX('Category Rules'!$D$5:$D$17,MATCH(P1781,'Category Rules'!$A$5:$A$17,0)))</f>
        <v>4020</v>
      </c>
      <c r="S1781" t="str">
        <f>IF(Q1781="CONTEXT","Fencing",IF(Q1781="REVIEW","",INDEX('Category Rules'!$E$5:$E$17,MATCH(P1781,'Category Rules'!$A$5:$A$17,0))))</f>
        <v>Fencing</v>
      </c>
      <c r="T1781" t="str">
        <f>IF(Q1781="DEP","BAS Excluded","GST on Income")</f>
        <v>GST on Income</v>
      </c>
      <c r="U1781">
        <f>IF(O1781=T1781,1,0)</f>
        <v>1</v>
      </c>
      <c r="V1781" s="9">
        <f>IF(OR(M1781=0,U1781=1),0,IF(T1781="GST on Income",ROUND(K1781*0.1,2),ROUND(-K1781*0.1,2)))</f>
        <v>0</v>
      </c>
    </row>
    <row r="1782">
      <c r="A1782" t="inlineStr">
        <is>
          <t>INV-5886-1</t>
        </is>
      </c>
      <c r="B1782" t="inlineStr">
        <is>
          <t>INV-5886</t>
        </is>
      </c>
      <c r="C1782" s="11" t="n">
        <v>46102</v>
      </c>
      <c r="D1782" t="inlineStr">
        <is>
          <t>2026-03</t>
        </is>
      </c>
      <c r="E1782" t="inlineStr">
        <is>
          <t>C0059</t>
        </is>
      </c>
      <c r="F1782" t="inlineStr">
        <is>
          <t>C0059</t>
        </is>
      </c>
      <c r="G1782" t="inlineStr">
        <is>
          <t>Silverleaf Insurance Repairs Pty Ltd</t>
        </is>
      </c>
      <c r="H1782" t="inlineStr">
        <is>
          <t>S0543</t>
        </is>
      </c>
      <c r="I1782" t="inlineStr">
        <is>
          <t>Make safe call-out</t>
        </is>
      </c>
      <c r="J1782" t="n">
        <v>1</v>
      </c>
      <c r="K1782" s="9" t="n">
        <v>385</v>
      </c>
      <c r="L1782" t="inlineStr">
        <is>
          <t>PAID</t>
        </is>
      </c>
      <c r="M1782">
        <f>IF(L1782="VOIDED",0,1)</f>
        <v>1</v>
      </c>
      <c r="N1782" t="n">
        <v>200</v>
      </c>
      <c r="O1782" t="inlineStr">
        <is>
          <t>GST on Income</t>
        </is>
      </c>
      <c r="P1782" t="inlineStr">
        <is>
          <t>R09</t>
        </is>
      </c>
      <c r="Q1782" t="inlineStr">
        <is>
          <t>MS</t>
        </is>
      </c>
      <c r="R1782">
        <f>IF(OR(Q1782="CONTEXT",Q1782="REVIEW"),"",INDEX('Category Rules'!$D$5:$D$17,MATCH(P1782,'Category Rules'!$A$5:$A$17,0)))</f>
        <v>4020</v>
      </c>
      <c r="S1782" t="str">
        <f>IF(Q1782="CONTEXT","Make-safe",IF(Q1782="REVIEW","",INDEX('Category Rules'!$E$5:$E$17,MATCH(P1782,'Category Rules'!$A$5:$A$17,0))))</f>
        <v>Make-safe</v>
      </c>
      <c r="T1782" t="str">
        <f>IF(Q1782="DEP","BAS Excluded","GST on Income")</f>
        <v>GST on Income</v>
      </c>
      <c r="U1782">
        <f>IF(O1782=T1782,1,0)</f>
        <v>1</v>
      </c>
      <c r="V1782" s="9">
        <f>IF(OR(M1782=0,U1782=1),0,IF(T1782="GST on Income",ROUND(K1782*0.1,2),ROUND(-K1782*0.1,2)))</f>
        <v>0</v>
      </c>
    </row>
    <row r="1783">
      <c r="A1783" t="inlineStr">
        <is>
          <t>INV-5158-1</t>
        </is>
      </c>
      <c r="B1783" t="inlineStr">
        <is>
          <t>INV-5158</t>
        </is>
      </c>
      <c r="C1783" s="11" t="n">
        <v>46103</v>
      </c>
      <c r="D1783" t="inlineStr">
        <is>
          <t>2026-03</t>
        </is>
      </c>
      <c r="E1783" t="inlineStr">
        <is>
          <t>C0018</t>
        </is>
      </c>
      <c r="F1783" t="inlineStr">
        <is>
          <t>C0018</t>
        </is>
      </c>
      <c r="G1783" t="inlineStr">
        <is>
          <t>Wattle Constructions Pty Ltd</t>
        </is>
      </c>
      <c r="H1783" t="inlineStr">
        <is>
          <t>S0228</t>
        </is>
      </c>
      <c r="I1783" t="inlineStr">
        <is>
          <t>Temporary fence hire 4 wks (22/02/26-21/03/26) - 154 panels</t>
        </is>
      </c>
      <c r="J1783" t="n">
        <v>616</v>
      </c>
      <c r="K1783" s="9" t="n">
        <v>2772</v>
      </c>
      <c r="L1783" t="inlineStr">
        <is>
          <t>PAID</t>
        </is>
      </c>
      <c r="M1783">
        <f>IF(L1783="VOIDED",0,1)</f>
        <v>1</v>
      </c>
      <c r="N1783" t="n">
        <v>200</v>
      </c>
      <c r="O1783" t="inlineStr">
        <is>
          <t>GST on Income</t>
        </is>
      </c>
      <c r="P1783" t="inlineStr">
        <is>
          <t>R03</t>
        </is>
      </c>
      <c r="Q1783" t="inlineStr">
        <is>
          <t>HIRE-FP</t>
        </is>
      </c>
      <c r="R1783">
        <f>IF(OR(Q1783="CONTEXT",Q1783="REVIEW"),"",INDEX('Category Rules'!$D$5:$D$17,MATCH(P1783,'Category Rules'!$A$5:$A$17,0)))</f>
        <v>4010</v>
      </c>
      <c r="S1783" t="str">
        <f>IF(Q1783="CONTEXT","Fencing",IF(Q1783="REVIEW","",INDEX('Category Rules'!$E$5:$E$17,MATCH(P1783,'Category Rules'!$A$5:$A$17,0))))</f>
        <v>Fencing</v>
      </c>
      <c r="T1783" t="str">
        <f>IF(Q1783="DEP","BAS Excluded","GST on Income")</f>
        <v>GST on Income</v>
      </c>
      <c r="U1783">
        <f>IF(O1783=T1783,1,0)</f>
        <v>1</v>
      </c>
      <c r="V1783" s="9">
        <f>IF(OR(M1783=0,U1783=1),0,IF(T1783="GST on Income",ROUND(K1783*0.1,2),ROUND(-K1783*0.1,2)))</f>
        <v>0</v>
      </c>
    </row>
    <row r="1784">
      <c r="A1784" t="inlineStr">
        <is>
          <t>INV-5161-1</t>
        </is>
      </c>
      <c r="B1784" t="inlineStr">
        <is>
          <t>INV-5161</t>
        </is>
      </c>
      <c r="C1784" s="11" t="n">
        <v>46103</v>
      </c>
      <c r="D1784" t="inlineStr">
        <is>
          <t>2026-03</t>
        </is>
      </c>
      <c r="E1784" t="inlineStr">
        <is>
          <t>C0018</t>
        </is>
      </c>
      <c r="F1784" t="inlineStr">
        <is>
          <t>C0018</t>
        </is>
      </c>
      <c r="G1784" t="inlineStr">
        <is>
          <t>Wattle Constructions Pty Ltd</t>
        </is>
      </c>
      <c r="H1784" t="inlineStr">
        <is>
          <t>S0228</t>
        </is>
      </c>
      <c r="I1784" t="inlineStr">
        <is>
          <t>Pedestrian barrier hire 4 wks (22/02/26-21/03/26) - 12 barriers</t>
        </is>
      </c>
      <c r="J1784" t="n">
        <v>48</v>
      </c>
      <c r="K1784" s="9" t="n">
        <v>153.6</v>
      </c>
      <c r="L1784" t="inlineStr">
        <is>
          <t>PAID</t>
        </is>
      </c>
      <c r="M1784">
        <f>IF(L1784="VOIDED",0,1)</f>
        <v>1</v>
      </c>
      <c r="N1784" t="n">
        <v>200</v>
      </c>
      <c r="O1784" t="inlineStr">
        <is>
          <t>GST on Income</t>
        </is>
      </c>
      <c r="P1784" t="inlineStr">
        <is>
          <t>R04</t>
        </is>
      </c>
      <c r="Q1784" t="inlineStr">
        <is>
          <t>HIRE-BR</t>
        </is>
      </c>
      <c r="R1784">
        <f>IF(OR(Q1784="CONTEXT",Q1784="REVIEW"),"",INDEX('Category Rules'!$D$5:$D$17,MATCH(P1784,'Category Rules'!$A$5:$A$17,0)))</f>
        <v>4010</v>
      </c>
      <c r="S1784" t="str">
        <f>IF(Q1784="CONTEXT","Fencing",IF(Q1784="REVIEW","",INDEX('Category Rules'!$E$5:$E$17,MATCH(P1784,'Category Rules'!$A$5:$A$17,0))))</f>
        <v>Fencing</v>
      </c>
      <c r="T1784" t="str">
        <f>IF(Q1784="DEP","BAS Excluded","GST on Income")</f>
        <v>GST on Income</v>
      </c>
      <c r="U1784">
        <f>IF(O1784=T1784,1,0)</f>
        <v>1</v>
      </c>
      <c r="V1784" s="9">
        <f>IF(OR(M1784=0,U1784=1),0,IF(T1784="GST on Income",ROUND(K1784*0.1,2),ROUND(-K1784*0.1,2)))</f>
        <v>0</v>
      </c>
    </row>
    <row r="1785">
      <c r="A1785" t="inlineStr">
        <is>
          <t>INV-5177-1</t>
        </is>
      </c>
      <c r="B1785" t="inlineStr">
        <is>
          <t>INV-5177</t>
        </is>
      </c>
      <c r="C1785" s="11" t="n">
        <v>46103</v>
      </c>
      <c r="D1785" t="inlineStr">
        <is>
          <t>2026-03</t>
        </is>
      </c>
      <c r="E1785" t="inlineStr">
        <is>
          <t>C0042</t>
        </is>
      </c>
      <c r="F1785" t="inlineStr">
        <is>
          <t>C0042</t>
        </is>
      </c>
      <c r="G1785" t="inlineStr">
        <is>
          <t>Lakeside Constructions Pty Ltd</t>
        </is>
      </c>
      <c r="H1785" t="inlineStr">
        <is>
          <t>S0231</t>
        </is>
      </c>
      <c r="I1785" t="inlineStr">
        <is>
          <t>Temporary fence hire 4 wks (22/02/26-21/03/26) - 125 panels</t>
        </is>
      </c>
      <c r="J1785" t="n">
        <v>500</v>
      </c>
      <c r="K1785" s="9" t="n">
        <v>2250</v>
      </c>
      <c r="L1785" t="inlineStr">
        <is>
          <t>PAID</t>
        </is>
      </c>
      <c r="M1785">
        <f>IF(L1785="VOIDED",0,1)</f>
        <v>1</v>
      </c>
      <c r="N1785" t="n">
        <v>200</v>
      </c>
      <c r="O1785" t="inlineStr">
        <is>
          <t>GST on Income</t>
        </is>
      </c>
      <c r="P1785" t="inlineStr">
        <is>
          <t>R03</t>
        </is>
      </c>
      <c r="Q1785" t="inlineStr">
        <is>
          <t>HIRE-FP</t>
        </is>
      </c>
      <c r="R1785">
        <f>IF(OR(Q1785="CONTEXT",Q1785="REVIEW"),"",INDEX('Category Rules'!$D$5:$D$17,MATCH(P1785,'Category Rules'!$A$5:$A$17,0)))</f>
        <v>4010</v>
      </c>
      <c r="S1785" t="str">
        <f>IF(Q1785="CONTEXT","Fencing",IF(Q1785="REVIEW","",INDEX('Category Rules'!$E$5:$E$17,MATCH(P1785,'Category Rules'!$A$5:$A$17,0))))</f>
        <v>Fencing</v>
      </c>
      <c r="T1785" t="str">
        <f>IF(Q1785="DEP","BAS Excluded","GST on Income")</f>
        <v>GST on Income</v>
      </c>
      <c r="U1785">
        <f>IF(O1785=T1785,1,0)</f>
        <v>1</v>
      </c>
      <c r="V1785" s="9">
        <f>IF(OR(M1785=0,U1785=1),0,IF(T1785="GST on Income",ROUND(K1785*0.1,2),ROUND(-K1785*0.1,2)))</f>
        <v>0</v>
      </c>
    </row>
    <row r="1786">
      <c r="A1786" t="inlineStr">
        <is>
          <t>INV-5227-1</t>
        </is>
      </c>
      <c r="B1786" t="inlineStr">
        <is>
          <t>INV-5227</t>
        </is>
      </c>
      <c r="C1786" s="11" t="n">
        <v>46103</v>
      </c>
      <c r="D1786" t="inlineStr">
        <is>
          <t>2026-03</t>
        </is>
      </c>
      <c r="E1786" t="inlineStr">
        <is>
          <t>C0010</t>
        </is>
      </c>
      <c r="F1786" t="inlineStr">
        <is>
          <t>C0010</t>
        </is>
      </c>
      <c r="G1786" t="inlineStr">
        <is>
          <t>Eastlink Developments</t>
        </is>
      </c>
      <c r="H1786" t="inlineStr">
        <is>
          <t>S0242</t>
        </is>
      </c>
      <c r="I1786" t="inlineStr">
        <is>
          <t>Scaffold tower hire 3 wks (07/03/26-21/03/26) - 4 towers</t>
        </is>
      </c>
      <c r="J1786" t="n">
        <v>12</v>
      </c>
      <c r="K1786" s="9" t="n">
        <v>1140</v>
      </c>
      <c r="L1786" t="inlineStr">
        <is>
          <t>PAID</t>
        </is>
      </c>
      <c r="M1786">
        <f>IF(L1786="VOIDED",0,1)</f>
        <v>1</v>
      </c>
      <c r="N1786" t="n">
        <v>200</v>
      </c>
      <c r="O1786" t="inlineStr">
        <is>
          <t>GST Free Income</t>
        </is>
      </c>
      <c r="P1786" t="inlineStr">
        <is>
          <t>R05</t>
        </is>
      </c>
      <c r="Q1786" t="inlineStr">
        <is>
          <t>HIRE-ST</t>
        </is>
      </c>
      <c r="R1786">
        <f>IF(OR(Q1786="CONTEXT",Q1786="REVIEW"),"",INDEX('Category Rules'!$D$5:$D$17,MATCH(P1786,'Category Rules'!$A$5:$A$17,0)))</f>
        <v>4010</v>
      </c>
      <c r="S1786" t="str">
        <f>IF(Q1786="CONTEXT","Scaffolding",IF(Q1786="REVIEW","",INDEX('Category Rules'!$E$5:$E$17,MATCH(P1786,'Category Rules'!$A$5:$A$17,0))))</f>
        <v>Scaffolding</v>
      </c>
      <c r="T1786" t="str">
        <f>IF(Q1786="DEP","BAS Excluded","GST on Income")</f>
        <v>GST on Income</v>
      </c>
      <c r="U1786">
        <f>IF(O1786=T1786,1,0)</f>
        <v>0</v>
      </c>
      <c r="V1786" s="9">
        <f>IF(OR(M1786=0,U1786=1),0,IF(T1786="GST on Income",ROUND(K1786*0.1,2),ROUND(-K1786*0.1,2)))</f>
        <v>114</v>
      </c>
    </row>
    <row r="1787">
      <c r="A1787" t="inlineStr">
        <is>
          <t>INV-5229-1</t>
        </is>
      </c>
      <c r="B1787" t="inlineStr">
        <is>
          <t>INV-5229</t>
        </is>
      </c>
      <c r="C1787" s="11" t="n">
        <v>46103</v>
      </c>
      <c r="D1787" t="inlineStr">
        <is>
          <t>2026-03</t>
        </is>
      </c>
      <c r="E1787" t="inlineStr">
        <is>
          <t>C0010</t>
        </is>
      </c>
      <c r="F1787" t="inlineStr">
        <is>
          <t>C0010</t>
        </is>
      </c>
      <c r="G1787" t="inlineStr">
        <is>
          <t>Eastlink Developments</t>
        </is>
      </c>
      <c r="H1787" t="inlineStr">
        <is>
          <t>S0242</t>
        </is>
      </c>
      <c r="I1787" t="inlineStr">
        <is>
          <t>Scaffold dismantle - 4 tower(s)</t>
        </is>
      </c>
      <c r="J1787" t="n">
        <v>4</v>
      </c>
      <c r="K1787" s="9" t="n">
        <v>1280</v>
      </c>
      <c r="L1787" t="inlineStr">
        <is>
          <t>PAID</t>
        </is>
      </c>
      <c r="M1787">
        <f>IF(L1787="VOIDED",0,1)</f>
        <v>1</v>
      </c>
      <c r="N1787" t="n">
        <v>200</v>
      </c>
      <c r="O1787" t="inlineStr">
        <is>
          <t>GST on Income</t>
        </is>
      </c>
      <c r="P1787" t="inlineStr">
        <is>
          <t>R08</t>
        </is>
      </c>
      <c r="Q1787" t="inlineStr">
        <is>
          <t>LAB-ST</t>
        </is>
      </c>
      <c r="R1787">
        <f>IF(OR(Q1787="CONTEXT",Q1787="REVIEW"),"",INDEX('Category Rules'!$D$5:$D$17,MATCH(P1787,'Category Rules'!$A$5:$A$17,0)))</f>
        <v>4020</v>
      </c>
      <c r="S1787" t="str">
        <f>IF(Q1787="CONTEXT","Scaffolding",IF(Q1787="REVIEW","",INDEX('Category Rules'!$E$5:$E$17,MATCH(P1787,'Category Rules'!$A$5:$A$17,0))))</f>
        <v>Scaffolding</v>
      </c>
      <c r="T1787" t="str">
        <f>IF(Q1787="DEP","BAS Excluded","GST on Income")</f>
        <v>GST on Income</v>
      </c>
      <c r="U1787">
        <f>IF(O1787=T1787,1,0)</f>
        <v>1</v>
      </c>
      <c r="V1787" s="9">
        <f>IF(OR(M1787=0,U1787=1),0,IF(T1787="GST on Income",ROUND(K1787*0.1,2),ROUND(-K1787*0.1,2)))</f>
        <v>0</v>
      </c>
    </row>
    <row r="1788">
      <c r="A1788" t="inlineStr">
        <is>
          <t>INV-5388-1</t>
        </is>
      </c>
      <c r="B1788" t="inlineStr">
        <is>
          <t>INV-5388</t>
        </is>
      </c>
      <c r="C1788" s="11" t="n">
        <v>46103</v>
      </c>
      <c r="D1788" t="inlineStr">
        <is>
          <t>2026-03</t>
        </is>
      </c>
      <c r="E1788" t="inlineStr">
        <is>
          <t>C0089</t>
        </is>
      </c>
      <c r="F1788" t="inlineStr">
        <is>
          <t>C0089</t>
        </is>
      </c>
      <c r="G1788" t="inlineStr">
        <is>
          <t>Leo Hughes</t>
        </is>
      </c>
      <c r="H1788" t="inlineStr">
        <is>
          <t>S0280</t>
        </is>
      </c>
      <c r="I1788" t="inlineStr">
        <is>
          <t>Scaffold tower hire 4 wks (22/02/26-21/03/26) - 2 towers</t>
        </is>
      </c>
      <c r="J1788" t="n">
        <v>8</v>
      </c>
      <c r="K1788" s="9" t="n">
        <v>760</v>
      </c>
      <c r="L1788" t="inlineStr">
        <is>
          <t>PAID</t>
        </is>
      </c>
      <c r="M1788">
        <f>IF(L1788="VOIDED",0,1)</f>
        <v>1</v>
      </c>
      <c r="N1788" t="n">
        <v>200</v>
      </c>
      <c r="O1788" t="inlineStr">
        <is>
          <t>GST on Income</t>
        </is>
      </c>
      <c r="P1788" t="inlineStr">
        <is>
          <t>R05</t>
        </is>
      </c>
      <c r="Q1788" t="inlineStr">
        <is>
          <t>HIRE-ST</t>
        </is>
      </c>
      <c r="R1788">
        <f>IF(OR(Q1788="CONTEXT",Q1788="REVIEW"),"",INDEX('Category Rules'!$D$5:$D$17,MATCH(P1788,'Category Rules'!$A$5:$A$17,0)))</f>
        <v>4010</v>
      </c>
      <c r="S1788" t="str">
        <f>IF(Q1788="CONTEXT","Scaffolding",IF(Q1788="REVIEW","",INDEX('Category Rules'!$E$5:$E$17,MATCH(P1788,'Category Rules'!$A$5:$A$17,0))))</f>
        <v>Scaffolding</v>
      </c>
      <c r="T1788" t="str">
        <f>IF(Q1788="DEP","BAS Excluded","GST on Income")</f>
        <v>GST on Income</v>
      </c>
      <c r="U1788">
        <f>IF(O1788=T1788,1,0)</f>
        <v>1</v>
      </c>
      <c r="V1788" s="9">
        <f>IF(OR(M1788=0,U1788=1),0,IF(T1788="GST on Income",ROUND(K1788*0.1,2),ROUND(-K1788*0.1,2)))</f>
        <v>0</v>
      </c>
    </row>
    <row r="1789">
      <c r="A1789" t="inlineStr">
        <is>
          <t>INV-5408-1</t>
        </is>
      </c>
      <c r="B1789" t="inlineStr">
        <is>
          <t>INV-5408</t>
        </is>
      </c>
      <c r="C1789" s="11" t="n">
        <v>46103</v>
      </c>
      <c r="D1789" t="inlineStr">
        <is>
          <t>2026-03</t>
        </is>
      </c>
      <c r="E1789" t="inlineStr">
        <is>
          <t>C0017</t>
        </is>
      </c>
      <c r="F1789" t="inlineStr">
        <is>
          <t>C0017</t>
        </is>
      </c>
      <c r="G1789" t="inlineStr">
        <is>
          <t>Cobalt Developments Pty Ltd</t>
        </is>
      </c>
      <c r="H1789" t="inlineStr">
        <is>
          <t>S0285</t>
        </is>
      </c>
      <c r="I1789" t="inlineStr">
        <is>
          <t>Scaffold erect - 1 tower(s)</t>
        </is>
      </c>
      <c r="J1789" t="n">
        <v>1</v>
      </c>
      <c r="K1789" s="9" t="n">
        <v>420</v>
      </c>
      <c r="L1789" t="inlineStr">
        <is>
          <t>PAID</t>
        </is>
      </c>
      <c r="M1789">
        <f>IF(L1789="VOIDED",0,1)</f>
        <v>1</v>
      </c>
      <c r="N1789" t="n">
        <v>200</v>
      </c>
      <c r="O1789" t="inlineStr">
        <is>
          <t>GST on Income</t>
        </is>
      </c>
      <c r="P1789" t="inlineStr">
        <is>
          <t>R08</t>
        </is>
      </c>
      <c r="Q1789" t="inlineStr">
        <is>
          <t>LAB-ST</t>
        </is>
      </c>
      <c r="R1789">
        <f>IF(OR(Q1789="CONTEXT",Q1789="REVIEW"),"",INDEX('Category Rules'!$D$5:$D$17,MATCH(P1789,'Category Rules'!$A$5:$A$17,0)))</f>
        <v>4020</v>
      </c>
      <c r="S1789" t="str">
        <f>IF(Q1789="CONTEXT","Scaffolding",IF(Q1789="REVIEW","",INDEX('Category Rules'!$E$5:$E$17,MATCH(P1789,'Category Rules'!$A$5:$A$17,0))))</f>
        <v>Scaffolding</v>
      </c>
      <c r="T1789" t="str">
        <f>IF(Q1789="DEP","BAS Excluded","GST on Income")</f>
        <v>GST on Income</v>
      </c>
      <c r="U1789">
        <f>IF(O1789=T1789,1,0)</f>
        <v>1</v>
      </c>
      <c r="V1789" s="9">
        <f>IF(OR(M1789=0,U1789=1),0,IF(T1789="GST on Income",ROUND(K1789*0.1,2),ROUND(-K1789*0.1,2)))</f>
        <v>0</v>
      </c>
    </row>
    <row r="1790">
      <c r="A1790" t="inlineStr">
        <is>
          <t>INV-5786-1</t>
        </is>
      </c>
      <c r="B1790" t="inlineStr">
        <is>
          <t>INV-5786</t>
        </is>
      </c>
      <c r="C1790" s="11" t="n">
        <v>46103</v>
      </c>
      <c r="D1790" t="inlineStr">
        <is>
          <t>2026-03</t>
        </is>
      </c>
      <c r="E1790" t="inlineStr">
        <is>
          <t>C0067</t>
        </is>
      </c>
      <c r="F1790" t="inlineStr">
        <is>
          <t>C0067</t>
        </is>
      </c>
      <c r="G1790" t="inlineStr">
        <is>
          <t>Banksia Claims Services Pty Ltd</t>
        </is>
      </c>
      <c r="H1790" t="inlineStr">
        <is>
          <t>S0483</t>
        </is>
      </c>
      <c r="I1790" t="inlineStr">
        <is>
          <t>Make safe call-out</t>
        </is>
      </c>
      <c r="J1790" t="n">
        <v>1</v>
      </c>
      <c r="K1790" s="9" t="n">
        <v>385</v>
      </c>
      <c r="L1790" t="inlineStr">
        <is>
          <t>PAID</t>
        </is>
      </c>
      <c r="M1790">
        <f>IF(L1790="VOIDED",0,1)</f>
        <v>1</v>
      </c>
      <c r="N1790" t="n">
        <v>200</v>
      </c>
      <c r="O1790" t="inlineStr">
        <is>
          <t>GST on Income</t>
        </is>
      </c>
      <c r="P1790" t="inlineStr">
        <is>
          <t>R09</t>
        </is>
      </c>
      <c r="Q1790" t="inlineStr">
        <is>
          <t>MS</t>
        </is>
      </c>
      <c r="R1790">
        <f>IF(OR(Q1790="CONTEXT",Q1790="REVIEW"),"",INDEX('Category Rules'!$D$5:$D$17,MATCH(P1790,'Category Rules'!$A$5:$A$17,0)))</f>
        <v>4020</v>
      </c>
      <c r="S1790" t="str">
        <f>IF(Q1790="CONTEXT","Make-safe",IF(Q1790="REVIEW","",INDEX('Category Rules'!$E$5:$E$17,MATCH(P1790,'Category Rules'!$A$5:$A$17,0))))</f>
        <v>Make-safe</v>
      </c>
      <c r="T1790" t="str">
        <f>IF(Q1790="DEP","BAS Excluded","GST on Income")</f>
        <v>GST on Income</v>
      </c>
      <c r="U1790">
        <f>IF(O1790=T1790,1,0)</f>
        <v>1</v>
      </c>
      <c r="V1790" s="9">
        <f>IF(OR(M1790=0,U1790=1),0,IF(T1790="GST on Income",ROUND(K1790*0.1,2),ROUND(-K1790*0.1,2)))</f>
        <v>0</v>
      </c>
    </row>
    <row r="1791">
      <c r="A1791" t="inlineStr">
        <is>
          <t>INV-5786-2</t>
        </is>
      </c>
      <c r="B1791" t="inlineStr">
        <is>
          <t>INV-5786</t>
        </is>
      </c>
      <c r="C1791" s="11" t="n">
        <v>46103</v>
      </c>
      <c r="D1791" t="inlineStr">
        <is>
          <t>2026-03</t>
        </is>
      </c>
      <c r="E1791" t="inlineStr">
        <is>
          <t>C0067</t>
        </is>
      </c>
      <c r="F1791" t="inlineStr">
        <is>
          <t>C0067</t>
        </is>
      </c>
      <c r="G1791" t="inlineStr">
        <is>
          <t>Banksia Claims Services Pty Ltd</t>
        </is>
      </c>
      <c r="H1791" t="inlineStr">
        <is>
          <t>S0483</t>
        </is>
      </c>
      <c r="I1791" t="inlineStr">
        <is>
          <t>Tarp supply and install - 2 tarp(s)</t>
        </is>
      </c>
      <c r="J1791" t="n">
        <v>2</v>
      </c>
      <c r="K1791" s="9" t="n">
        <v>480</v>
      </c>
      <c r="L1791" t="inlineStr">
        <is>
          <t>PAID</t>
        </is>
      </c>
      <c r="M1791">
        <f>IF(L1791="VOIDED",0,1)</f>
        <v>1</v>
      </c>
      <c r="N1791" t="n">
        <v>200</v>
      </c>
      <c r="O1791" t="inlineStr">
        <is>
          <t>GST on Income</t>
        </is>
      </c>
      <c r="P1791" t="inlineStr">
        <is>
          <t>R09</t>
        </is>
      </c>
      <c r="Q1791" t="inlineStr">
        <is>
          <t>MS</t>
        </is>
      </c>
      <c r="R1791">
        <f>IF(OR(Q1791="CONTEXT",Q1791="REVIEW"),"",INDEX('Category Rules'!$D$5:$D$17,MATCH(P1791,'Category Rules'!$A$5:$A$17,0)))</f>
        <v>4020</v>
      </c>
      <c r="S1791" t="str">
        <f>IF(Q1791="CONTEXT","Make-safe",IF(Q1791="REVIEW","",INDEX('Category Rules'!$E$5:$E$17,MATCH(P1791,'Category Rules'!$A$5:$A$17,0))))</f>
        <v>Make-safe</v>
      </c>
      <c r="T1791" t="str">
        <f>IF(Q1791="DEP","BAS Excluded","GST on Income")</f>
        <v>GST on Income</v>
      </c>
      <c r="U1791">
        <f>IF(O1791=T1791,1,0)</f>
        <v>1</v>
      </c>
      <c r="V1791" s="9">
        <f>IF(OR(M1791=0,U1791=1),0,IF(T1791="GST on Income",ROUND(K1791*0.1,2),ROUND(-K1791*0.1,2)))</f>
        <v>0</v>
      </c>
    </row>
    <row r="1792">
      <c r="A1792" t="inlineStr">
        <is>
          <t>INV-4588-1</t>
        </is>
      </c>
      <c r="B1792" t="inlineStr">
        <is>
          <t>INV-4588</t>
        </is>
      </c>
      <c r="C1792" s="11" t="n">
        <v>46104</v>
      </c>
      <c r="D1792" t="inlineStr">
        <is>
          <t>2026-03</t>
        </is>
      </c>
      <c r="E1792" t="inlineStr">
        <is>
          <t>C0022</t>
        </is>
      </c>
      <c r="F1792" t="inlineStr">
        <is>
          <t>C0022</t>
        </is>
      </c>
      <c r="G1792" t="inlineStr">
        <is>
          <t>Highpoint Projects</t>
        </is>
      </c>
      <c r="H1792" t="inlineStr">
        <is>
          <t>S0099</t>
        </is>
      </c>
      <c r="I1792" t="inlineStr">
        <is>
          <t>Temporary fence hire 4 wks (23/02/26-22/03/26) - 70 panels</t>
        </is>
      </c>
      <c r="J1792" t="n">
        <v>280</v>
      </c>
      <c r="K1792" s="9" t="n">
        <v>1260</v>
      </c>
      <c r="L1792" t="inlineStr">
        <is>
          <t>PAID</t>
        </is>
      </c>
      <c r="M1792">
        <f>IF(L1792="VOIDED",0,1)</f>
        <v>1</v>
      </c>
      <c r="N1792" t="n">
        <v>200</v>
      </c>
      <c r="O1792" t="inlineStr">
        <is>
          <t>GST on Income</t>
        </is>
      </c>
      <c r="P1792" t="inlineStr">
        <is>
          <t>R03</t>
        </is>
      </c>
      <c r="Q1792" t="inlineStr">
        <is>
          <t>HIRE-FP</t>
        </is>
      </c>
      <c r="R1792">
        <f>IF(OR(Q1792="CONTEXT",Q1792="REVIEW"),"",INDEX('Category Rules'!$D$5:$D$17,MATCH(P1792,'Category Rules'!$A$5:$A$17,0)))</f>
        <v>4010</v>
      </c>
      <c r="S1792" t="str">
        <f>IF(Q1792="CONTEXT","Fencing",IF(Q1792="REVIEW","",INDEX('Category Rules'!$E$5:$E$17,MATCH(P1792,'Category Rules'!$A$5:$A$17,0))))</f>
        <v>Fencing</v>
      </c>
      <c r="T1792" t="str">
        <f>IF(Q1792="DEP","BAS Excluded","GST on Income")</f>
        <v>GST on Income</v>
      </c>
      <c r="U1792">
        <f>IF(O1792=T1792,1,0)</f>
        <v>1</v>
      </c>
      <c r="V1792" s="9">
        <f>IF(OR(M1792=0,U1792=1),0,IF(T1792="GST on Income",ROUND(K1792*0.1,2),ROUND(-K1792*0.1,2)))</f>
        <v>0</v>
      </c>
    </row>
    <row r="1793">
      <c r="A1793" t="inlineStr">
        <is>
          <t>INV-4593-1</t>
        </is>
      </c>
      <c r="B1793" t="inlineStr">
        <is>
          <t>INV-4593</t>
        </is>
      </c>
      <c r="C1793" s="11" t="n">
        <v>46104</v>
      </c>
      <c r="D1793" t="inlineStr">
        <is>
          <t>2026-03</t>
        </is>
      </c>
      <c r="E1793" t="inlineStr">
        <is>
          <t>C0022</t>
        </is>
      </c>
      <c r="F1793" t="inlineStr">
        <is>
          <t>C0022</t>
        </is>
      </c>
      <c r="G1793" t="inlineStr">
        <is>
          <t>Highpoint Projects</t>
        </is>
      </c>
      <c r="H1793" t="inlineStr">
        <is>
          <t>S0099</t>
        </is>
      </c>
      <c r="I1793" t="inlineStr">
        <is>
          <t>Pedestrian barrier hire 4 wks (23/02/26-22/03/26) - 10 barriers</t>
        </is>
      </c>
      <c r="J1793" t="n">
        <v>40</v>
      </c>
      <c r="K1793" s="9" t="n">
        <v>128</v>
      </c>
      <c r="L1793" t="inlineStr">
        <is>
          <t>PAID</t>
        </is>
      </c>
      <c r="M1793">
        <f>IF(L1793="VOIDED",0,1)</f>
        <v>1</v>
      </c>
      <c r="N1793" t="n">
        <v>260</v>
      </c>
      <c r="O1793" t="inlineStr">
        <is>
          <t>GST on Income</t>
        </is>
      </c>
      <c r="P1793" t="inlineStr">
        <is>
          <t>R04</t>
        </is>
      </c>
      <c r="Q1793" t="inlineStr">
        <is>
          <t>HIRE-BR</t>
        </is>
      </c>
      <c r="R1793">
        <f>IF(OR(Q1793="CONTEXT",Q1793="REVIEW"),"",INDEX('Category Rules'!$D$5:$D$17,MATCH(P1793,'Category Rules'!$A$5:$A$17,0)))</f>
        <v>4010</v>
      </c>
      <c r="S1793" t="str">
        <f>IF(Q1793="CONTEXT","Fencing",IF(Q1793="REVIEW","",INDEX('Category Rules'!$E$5:$E$17,MATCH(P1793,'Category Rules'!$A$5:$A$17,0))))</f>
        <v>Fencing</v>
      </c>
      <c r="T1793" t="str">
        <f>IF(Q1793="DEP","BAS Excluded","GST on Income")</f>
        <v>GST on Income</v>
      </c>
      <c r="U1793">
        <f>IF(O1793=T1793,1,0)</f>
        <v>1</v>
      </c>
      <c r="V1793" s="9">
        <f>IF(OR(M1793=0,U1793=1),0,IF(T1793="GST on Income",ROUND(K1793*0.1,2),ROUND(-K1793*0.1,2)))</f>
        <v>0</v>
      </c>
    </row>
    <row r="1794">
      <c r="A1794" t="inlineStr">
        <is>
          <t>INV-5389-1</t>
        </is>
      </c>
      <c r="B1794" t="inlineStr">
        <is>
          <t>INV-5389</t>
        </is>
      </c>
      <c r="C1794" s="11" t="n">
        <v>46104</v>
      </c>
      <c r="D1794" t="inlineStr">
        <is>
          <t>2026-03</t>
        </is>
      </c>
      <c r="E1794" t="inlineStr">
        <is>
          <t>C0089</t>
        </is>
      </c>
      <c r="F1794" t="inlineStr">
        <is>
          <t>C0089</t>
        </is>
      </c>
      <c r="G1794" t="inlineStr">
        <is>
          <t>Leo Hughes</t>
        </is>
      </c>
      <c r="H1794" t="inlineStr">
        <is>
          <t>S0280</t>
        </is>
      </c>
      <c r="I1794" t="inlineStr">
        <is>
          <t>Scaffold tower hire 1 wks (22/03/26-22/03/26) - 2 towers</t>
        </is>
      </c>
      <c r="J1794" t="n">
        <v>2</v>
      </c>
      <c r="K1794" s="9" t="n">
        <v>190</v>
      </c>
      <c r="L1794" t="inlineStr">
        <is>
          <t>PAID</t>
        </is>
      </c>
      <c r="M1794">
        <f>IF(L1794="VOIDED",0,1)</f>
        <v>1</v>
      </c>
      <c r="N1794" t="n">
        <v>200</v>
      </c>
      <c r="O1794" t="inlineStr">
        <is>
          <t>GST on Income</t>
        </is>
      </c>
      <c r="P1794" t="inlineStr">
        <is>
          <t>R05</t>
        </is>
      </c>
      <c r="Q1794" t="inlineStr">
        <is>
          <t>HIRE-ST</t>
        </is>
      </c>
      <c r="R1794">
        <f>IF(OR(Q1794="CONTEXT",Q1794="REVIEW"),"",INDEX('Category Rules'!$D$5:$D$17,MATCH(P1794,'Category Rules'!$A$5:$A$17,0)))</f>
        <v>4010</v>
      </c>
      <c r="S1794" t="str">
        <f>IF(Q1794="CONTEXT","Scaffolding",IF(Q1794="REVIEW","",INDEX('Category Rules'!$E$5:$E$17,MATCH(P1794,'Category Rules'!$A$5:$A$17,0))))</f>
        <v>Scaffolding</v>
      </c>
      <c r="T1794" t="str">
        <f>IF(Q1794="DEP","BAS Excluded","GST on Income")</f>
        <v>GST on Income</v>
      </c>
      <c r="U1794">
        <f>IF(O1794=T1794,1,0)</f>
        <v>1</v>
      </c>
      <c r="V1794" s="9">
        <f>IF(OR(M1794=0,U1794=1),0,IF(T1794="GST on Income",ROUND(K1794*0.1,2),ROUND(-K1794*0.1,2)))</f>
        <v>0</v>
      </c>
    </row>
    <row r="1795">
      <c r="A1795" t="inlineStr">
        <is>
          <t>INV-5391-1</t>
        </is>
      </c>
      <c r="B1795" t="inlineStr">
        <is>
          <t>INV-5391</t>
        </is>
      </c>
      <c r="C1795" s="11" t="n">
        <v>46104</v>
      </c>
      <c r="D1795" t="inlineStr">
        <is>
          <t>2026-03</t>
        </is>
      </c>
      <c r="E1795" t="inlineStr">
        <is>
          <t>C0089</t>
        </is>
      </c>
      <c r="F1795" t="inlineStr">
        <is>
          <t>C0089</t>
        </is>
      </c>
      <c r="G1795" t="inlineStr">
        <is>
          <t>Leo Hughes</t>
        </is>
      </c>
      <c r="H1795" t="inlineStr">
        <is>
          <t>S0280</t>
        </is>
      </c>
      <c r="I1795" t="inlineStr">
        <is>
          <t>Scaffold dismantle - 2 tower(s)</t>
        </is>
      </c>
      <c r="J1795" t="n">
        <v>2</v>
      </c>
      <c r="K1795" s="9" t="n">
        <v>640</v>
      </c>
      <c r="L1795" t="inlineStr">
        <is>
          <t>PAID</t>
        </is>
      </c>
      <c r="M1795">
        <f>IF(L1795="VOIDED",0,1)</f>
        <v>1</v>
      </c>
      <c r="N1795" t="n">
        <v>200</v>
      </c>
      <c r="O1795" t="inlineStr">
        <is>
          <t>GST on Income</t>
        </is>
      </c>
      <c r="P1795" t="inlineStr">
        <is>
          <t>R08</t>
        </is>
      </c>
      <c r="Q1795" t="inlineStr">
        <is>
          <t>LAB-ST</t>
        </is>
      </c>
      <c r="R1795">
        <f>IF(OR(Q1795="CONTEXT",Q1795="REVIEW"),"",INDEX('Category Rules'!$D$5:$D$17,MATCH(P1795,'Category Rules'!$A$5:$A$17,0)))</f>
        <v>4020</v>
      </c>
      <c r="S1795" t="str">
        <f>IF(Q1795="CONTEXT","Scaffolding",IF(Q1795="REVIEW","",INDEX('Category Rules'!$E$5:$E$17,MATCH(P1795,'Category Rules'!$A$5:$A$17,0))))</f>
        <v>Scaffolding</v>
      </c>
      <c r="T1795" t="str">
        <f>IF(Q1795="DEP","BAS Excluded","GST on Income")</f>
        <v>GST on Income</v>
      </c>
      <c r="U1795">
        <f>IF(O1795=T1795,1,0)</f>
        <v>1</v>
      </c>
      <c r="V1795" s="9">
        <f>IF(OR(M1795=0,U1795=1),0,IF(T1795="GST on Income",ROUND(K1795*0.1,2),ROUND(-K1795*0.1,2)))</f>
        <v>0</v>
      </c>
    </row>
    <row r="1796">
      <c r="A1796" t="inlineStr">
        <is>
          <t>INV-5036-1</t>
        </is>
      </c>
      <c r="B1796" t="inlineStr">
        <is>
          <t>INV-5036</t>
        </is>
      </c>
      <c r="C1796" s="11" t="n">
        <v>46105</v>
      </c>
      <c r="D1796" t="inlineStr">
        <is>
          <t>2026-03</t>
        </is>
      </c>
      <c r="E1796" t="inlineStr">
        <is>
          <t>C0071</t>
        </is>
      </c>
      <c r="F1796" t="inlineStr">
        <is>
          <t>C0071</t>
        </is>
      </c>
      <c r="G1796" t="inlineStr">
        <is>
          <t>Maribyrnong City Council</t>
        </is>
      </c>
      <c r="H1796" t="inlineStr">
        <is>
          <t>S0202</t>
        </is>
      </c>
      <c r="I1796" t="inlineStr">
        <is>
          <t>Temporary fence hire 4 wks (24/02/26-23/03/26) - 42 panels</t>
        </is>
      </c>
      <c r="J1796" t="n">
        <v>168</v>
      </c>
      <c r="K1796" s="9" t="n">
        <v>756</v>
      </c>
      <c r="L1796" t="inlineStr">
        <is>
          <t>PAID</t>
        </is>
      </c>
      <c r="M1796">
        <f>IF(L1796="VOIDED",0,1)</f>
        <v>1</v>
      </c>
      <c r="N1796" t="n">
        <v>200</v>
      </c>
      <c r="O1796" t="inlineStr">
        <is>
          <t>GST on Income</t>
        </is>
      </c>
      <c r="P1796" t="inlineStr">
        <is>
          <t>R03</t>
        </is>
      </c>
      <c r="Q1796" t="inlineStr">
        <is>
          <t>HIRE-FP</t>
        </is>
      </c>
      <c r="R1796">
        <f>IF(OR(Q1796="CONTEXT",Q1796="REVIEW"),"",INDEX('Category Rules'!$D$5:$D$17,MATCH(P1796,'Category Rules'!$A$5:$A$17,0)))</f>
        <v>4010</v>
      </c>
      <c r="S1796" t="str">
        <f>IF(Q1796="CONTEXT","Fencing",IF(Q1796="REVIEW","",INDEX('Category Rules'!$E$5:$E$17,MATCH(P1796,'Category Rules'!$A$5:$A$17,0))))</f>
        <v>Fencing</v>
      </c>
      <c r="T1796" t="str">
        <f>IF(Q1796="DEP","BAS Excluded","GST on Income")</f>
        <v>GST on Income</v>
      </c>
      <c r="U1796">
        <f>IF(O1796=T1796,1,0)</f>
        <v>1</v>
      </c>
      <c r="V1796" s="9">
        <f>IF(OR(M1796=0,U1796=1),0,IF(T1796="GST on Income",ROUND(K1796*0.1,2),ROUND(-K1796*0.1,2)))</f>
        <v>0</v>
      </c>
    </row>
    <row r="1797">
      <c r="A1797" t="inlineStr">
        <is>
          <t>INV-5040-1</t>
        </is>
      </c>
      <c r="B1797" t="inlineStr">
        <is>
          <t>INV-5040</t>
        </is>
      </c>
      <c r="C1797" s="11" t="n">
        <v>46105</v>
      </c>
      <c r="D1797" t="inlineStr">
        <is>
          <t>2026-03</t>
        </is>
      </c>
      <c r="E1797" t="inlineStr">
        <is>
          <t>C0071</t>
        </is>
      </c>
      <c r="F1797" t="inlineStr">
        <is>
          <t>C0071</t>
        </is>
      </c>
      <c r="G1797" t="inlineStr">
        <is>
          <t>Maribyrnong City Council</t>
        </is>
      </c>
      <c r="H1797" t="inlineStr">
        <is>
          <t>S0202</t>
        </is>
      </c>
      <c r="I1797" t="inlineStr">
        <is>
          <t>Pedestrian barrier hire 4 wks (24/02/26-23/03/26) - 18 barriers</t>
        </is>
      </c>
      <c r="J1797" t="n">
        <v>72</v>
      </c>
      <c r="K1797" s="9" t="n">
        <v>230.4</v>
      </c>
      <c r="L1797" t="inlineStr">
        <is>
          <t>PAID</t>
        </is>
      </c>
      <c r="M1797">
        <f>IF(L1797="VOIDED",0,1)</f>
        <v>1</v>
      </c>
      <c r="N1797" t="n">
        <v>200</v>
      </c>
      <c r="O1797" t="inlineStr">
        <is>
          <t>GST on Income</t>
        </is>
      </c>
      <c r="P1797" t="inlineStr">
        <is>
          <t>R04</t>
        </is>
      </c>
      <c r="Q1797" t="inlineStr">
        <is>
          <t>HIRE-BR</t>
        </is>
      </c>
      <c r="R1797">
        <f>IF(OR(Q1797="CONTEXT",Q1797="REVIEW"),"",INDEX('Category Rules'!$D$5:$D$17,MATCH(P1797,'Category Rules'!$A$5:$A$17,0)))</f>
        <v>4010</v>
      </c>
      <c r="S1797" t="str">
        <f>IF(Q1797="CONTEXT","Fencing",IF(Q1797="REVIEW","",INDEX('Category Rules'!$E$5:$E$17,MATCH(P1797,'Category Rules'!$A$5:$A$17,0))))</f>
        <v>Fencing</v>
      </c>
      <c r="T1797" t="str">
        <f>IF(Q1797="DEP","BAS Excluded","GST on Income")</f>
        <v>GST on Income</v>
      </c>
      <c r="U1797">
        <f>IF(O1797=T1797,1,0)</f>
        <v>1</v>
      </c>
      <c r="V1797" s="9">
        <f>IF(OR(M1797=0,U1797=1),0,IF(T1797="GST on Income",ROUND(K1797*0.1,2),ROUND(-K1797*0.1,2)))</f>
        <v>0</v>
      </c>
    </row>
    <row r="1798">
      <c r="A1798" t="inlineStr">
        <is>
          <t>INV-5053-1</t>
        </is>
      </c>
      <c r="B1798" t="inlineStr">
        <is>
          <t>INV-5053</t>
        </is>
      </c>
      <c r="C1798" s="11" t="n">
        <v>46105</v>
      </c>
      <c r="D1798" t="inlineStr">
        <is>
          <t>2026-03</t>
        </is>
      </c>
      <c r="E1798" t="inlineStr">
        <is>
          <t>C0024</t>
        </is>
      </c>
      <c r="F1798" t="inlineStr">
        <is>
          <t>C0024</t>
        </is>
      </c>
      <c r="G1798" t="inlineStr">
        <is>
          <t>Parkview Homes Pty Ltd</t>
        </is>
      </c>
      <c r="H1798" t="inlineStr">
        <is>
          <t>S0204</t>
        </is>
      </c>
      <c r="I1798" t="inlineStr">
        <is>
          <t>Delivery and installation - temporary fencing</t>
        </is>
      </c>
      <c r="J1798" t="n">
        <v>1</v>
      </c>
      <c r="K1798" s="9" t="n">
        <v>165</v>
      </c>
      <c r="L1798" t="inlineStr">
        <is>
          <t>PAID</t>
        </is>
      </c>
      <c r="M1798">
        <f>IF(L1798="VOIDED",0,1)</f>
        <v>1</v>
      </c>
      <c r="N1798" t="n">
        <v>200</v>
      </c>
      <c r="O1798" t="inlineStr">
        <is>
          <t>GST on Income</t>
        </is>
      </c>
      <c r="P1798" t="inlineStr">
        <is>
          <t>R07</t>
        </is>
      </c>
      <c r="Q1798" t="inlineStr">
        <is>
          <t>DEL-FP</t>
        </is>
      </c>
      <c r="R1798">
        <f>IF(OR(Q1798="CONTEXT",Q1798="REVIEW"),"",INDEX('Category Rules'!$D$5:$D$17,MATCH(P1798,'Category Rules'!$A$5:$A$17,0)))</f>
        <v>4020</v>
      </c>
      <c r="S1798" t="str">
        <f>IF(Q1798="CONTEXT","Fencing",IF(Q1798="REVIEW","",INDEX('Category Rules'!$E$5:$E$17,MATCH(P1798,'Category Rules'!$A$5:$A$17,0))))</f>
        <v>Fencing</v>
      </c>
      <c r="T1798" t="str">
        <f>IF(Q1798="DEP","BAS Excluded","GST on Income")</f>
        <v>GST on Income</v>
      </c>
      <c r="U1798">
        <f>IF(O1798=T1798,1,0)</f>
        <v>1</v>
      </c>
      <c r="V1798" s="9">
        <f>IF(OR(M1798=0,U1798=1),0,IF(T1798="GST on Income",ROUND(K1798*0.1,2),ROUND(-K1798*0.1,2)))</f>
        <v>0</v>
      </c>
    </row>
    <row r="1799">
      <c r="A1799" t="inlineStr">
        <is>
          <t>INV-5053-2</t>
        </is>
      </c>
      <c r="B1799" t="inlineStr">
        <is>
          <t>INV-5053</t>
        </is>
      </c>
      <c r="C1799" s="11" t="n">
        <v>46105</v>
      </c>
      <c r="D1799" t="inlineStr">
        <is>
          <t>2026-03</t>
        </is>
      </c>
      <c r="E1799" t="inlineStr">
        <is>
          <t>C0024</t>
        </is>
      </c>
      <c r="F1799" t="inlineStr">
        <is>
          <t>C0024</t>
        </is>
      </c>
      <c r="G1799" t="inlineStr">
        <is>
          <t>Parkview Homes Pty Ltd</t>
        </is>
      </c>
      <c r="H1799" t="inlineStr">
        <is>
          <t>S0204</t>
        </is>
      </c>
      <c r="I1799" t="inlineStr">
        <is>
          <t>Installation labour - 148 panels @ 2.20</t>
        </is>
      </c>
      <c r="J1799" t="n">
        <v>148</v>
      </c>
      <c r="K1799" s="9" t="n">
        <v>325.6</v>
      </c>
      <c r="L1799" t="inlineStr">
        <is>
          <t>PAID</t>
        </is>
      </c>
      <c r="M1799">
        <f>IF(L1799="VOIDED",0,1)</f>
        <v>1</v>
      </c>
      <c r="N1799" t="n">
        <v>200</v>
      </c>
      <c r="O1799" t="inlineStr">
        <is>
          <t>GST on Income</t>
        </is>
      </c>
      <c r="P1799" t="inlineStr">
        <is>
          <t>R07</t>
        </is>
      </c>
      <c r="Q1799" t="inlineStr">
        <is>
          <t>DEL-FP</t>
        </is>
      </c>
      <c r="R1799">
        <f>IF(OR(Q1799="CONTEXT",Q1799="REVIEW"),"",INDEX('Category Rules'!$D$5:$D$17,MATCH(P1799,'Category Rules'!$A$5:$A$17,0)))</f>
        <v>4020</v>
      </c>
      <c r="S1799" t="str">
        <f>IF(Q1799="CONTEXT","Fencing",IF(Q1799="REVIEW","",INDEX('Category Rules'!$E$5:$E$17,MATCH(P1799,'Category Rules'!$A$5:$A$17,0))))</f>
        <v>Fencing</v>
      </c>
      <c r="T1799" t="str">
        <f>IF(Q1799="DEP","BAS Excluded","GST on Income")</f>
        <v>GST on Income</v>
      </c>
      <c r="U1799">
        <f>IF(O1799=T1799,1,0)</f>
        <v>1</v>
      </c>
      <c r="V1799" s="9">
        <f>IF(OR(M1799=0,U1799=1),0,IF(T1799="GST on Income",ROUND(K1799*0.1,2),ROUND(-K1799*0.1,2)))</f>
        <v>0</v>
      </c>
    </row>
    <row r="1800">
      <c r="A1800" t="inlineStr">
        <is>
          <t>INV-5238-1</t>
        </is>
      </c>
      <c r="B1800" t="inlineStr">
        <is>
          <t>INV-5238</t>
        </is>
      </c>
      <c r="C1800" s="11" t="n">
        <v>46105</v>
      </c>
      <c r="D1800" t="inlineStr">
        <is>
          <t>2026-03</t>
        </is>
      </c>
      <c r="E1800" t="inlineStr">
        <is>
          <t>C0105</t>
        </is>
      </c>
      <c r="F1800" t="inlineStr">
        <is>
          <t>C0105</t>
        </is>
      </c>
      <c r="G1800" t="inlineStr">
        <is>
          <t>Priya Walker</t>
        </is>
      </c>
      <c r="H1800" t="inlineStr">
        <is>
          <t>S0245</t>
        </is>
      </c>
      <c r="I1800" t="inlineStr">
        <is>
          <t>Scaffold tower hire 4 wks (24/02/26-23/03/26) - 4 towers</t>
        </is>
      </c>
      <c r="J1800" t="n">
        <v>16</v>
      </c>
      <c r="K1800" s="9" t="n">
        <v>1520</v>
      </c>
      <c r="L1800" t="inlineStr">
        <is>
          <t>PAID</t>
        </is>
      </c>
      <c r="M1800">
        <f>IF(L1800="VOIDED",0,1)</f>
        <v>1</v>
      </c>
      <c r="N1800" t="n">
        <v>200</v>
      </c>
      <c r="O1800" t="inlineStr">
        <is>
          <t>GST on Income</t>
        </is>
      </c>
      <c r="P1800" t="inlineStr">
        <is>
          <t>R05</t>
        </is>
      </c>
      <c r="Q1800" t="inlineStr">
        <is>
          <t>HIRE-ST</t>
        </is>
      </c>
      <c r="R1800">
        <f>IF(OR(Q1800="CONTEXT",Q1800="REVIEW"),"",INDEX('Category Rules'!$D$5:$D$17,MATCH(P1800,'Category Rules'!$A$5:$A$17,0)))</f>
        <v>4010</v>
      </c>
      <c r="S1800" t="str">
        <f>IF(Q1800="CONTEXT","Scaffolding",IF(Q1800="REVIEW","",INDEX('Category Rules'!$E$5:$E$17,MATCH(P1800,'Category Rules'!$A$5:$A$17,0))))</f>
        <v>Scaffolding</v>
      </c>
      <c r="T1800" t="str">
        <f>IF(Q1800="DEP","BAS Excluded","GST on Income")</f>
        <v>GST on Income</v>
      </c>
      <c r="U1800">
        <f>IF(O1800=T1800,1,0)</f>
        <v>1</v>
      </c>
      <c r="V1800" s="9">
        <f>IF(OR(M1800=0,U1800=1),0,IF(T1800="GST on Income",ROUND(K1800*0.1,2),ROUND(-K1800*0.1,2)))</f>
        <v>0</v>
      </c>
    </row>
    <row r="1801">
      <c r="A1801" t="inlineStr">
        <is>
          <t>INV-5331-1</t>
        </is>
      </c>
      <c r="B1801" t="inlineStr">
        <is>
          <t>INV-5331</t>
        </is>
      </c>
      <c r="C1801" s="11" t="n">
        <v>46105</v>
      </c>
      <c r="D1801" t="inlineStr">
        <is>
          <t>2026-03</t>
        </is>
      </c>
      <c r="E1801" t="inlineStr">
        <is>
          <t>C0038</t>
        </is>
      </c>
      <c r="F1801" t="inlineStr">
        <is>
          <t>C0038</t>
        </is>
      </c>
      <c r="G1801" t="inlineStr">
        <is>
          <t>Cobalt Constructions Pty Ltd</t>
        </is>
      </c>
      <c r="H1801" t="inlineStr">
        <is>
          <t>S0266</t>
        </is>
      </c>
      <c r="I1801" t="inlineStr">
        <is>
          <t>Scaffold erect - 4 tower(s)</t>
        </is>
      </c>
      <c r="J1801" t="n">
        <v>4</v>
      </c>
      <c r="K1801" s="9" t="n">
        <v>1680</v>
      </c>
      <c r="L1801" t="inlineStr">
        <is>
          <t>PAID</t>
        </is>
      </c>
      <c r="M1801">
        <f>IF(L1801="VOIDED",0,1)</f>
        <v>1</v>
      </c>
      <c r="N1801" t="n">
        <v>200</v>
      </c>
      <c r="O1801" t="inlineStr">
        <is>
          <t>GST on Income</t>
        </is>
      </c>
      <c r="P1801" t="inlineStr">
        <is>
          <t>R08</t>
        </is>
      </c>
      <c r="Q1801" t="inlineStr">
        <is>
          <t>LAB-ST</t>
        </is>
      </c>
      <c r="R1801">
        <f>IF(OR(Q1801="CONTEXT",Q1801="REVIEW"),"",INDEX('Category Rules'!$D$5:$D$17,MATCH(P1801,'Category Rules'!$A$5:$A$17,0)))</f>
        <v>4020</v>
      </c>
      <c r="S1801" t="str">
        <f>IF(Q1801="CONTEXT","Scaffolding",IF(Q1801="REVIEW","",INDEX('Category Rules'!$E$5:$E$17,MATCH(P1801,'Category Rules'!$A$5:$A$17,0))))</f>
        <v>Scaffolding</v>
      </c>
      <c r="T1801" t="str">
        <f>IF(Q1801="DEP","BAS Excluded","GST on Income")</f>
        <v>GST on Income</v>
      </c>
      <c r="U1801">
        <f>IF(O1801=T1801,1,0)</f>
        <v>1</v>
      </c>
      <c r="V1801" s="9">
        <f>IF(OR(M1801=0,U1801=1),0,IF(T1801="GST on Income",ROUND(K1801*0.1,2),ROUND(-K1801*0.1,2)))</f>
        <v>0</v>
      </c>
    </row>
    <row r="1802">
      <c r="A1802" t="inlineStr">
        <is>
          <t>INV-5464-1</t>
        </is>
      </c>
      <c r="B1802" t="inlineStr">
        <is>
          <t>INV-5464</t>
        </is>
      </c>
      <c r="C1802" s="11" t="n">
        <v>46105</v>
      </c>
      <c r="D1802" t="inlineStr">
        <is>
          <t>2026-03</t>
        </is>
      </c>
      <c r="E1802" t="inlineStr">
        <is>
          <t>C0092</t>
        </is>
      </c>
      <c r="F1802" t="inlineStr">
        <is>
          <t>C0092</t>
        </is>
      </c>
      <c r="G1802" t="inlineStr">
        <is>
          <t>Leo Jones</t>
        </is>
      </c>
      <c r="H1802" t="inlineStr">
        <is>
          <t>S0303</t>
        </is>
      </c>
      <c r="I1802" t="inlineStr">
        <is>
          <t>Make safe call-out</t>
        </is>
      </c>
      <c r="J1802" t="n">
        <v>1</v>
      </c>
      <c r="K1802" s="9" t="n">
        <v>385</v>
      </c>
      <c r="L1802" t="inlineStr">
        <is>
          <t>PAID</t>
        </is>
      </c>
      <c r="M1802">
        <f>IF(L1802="VOIDED",0,1)</f>
        <v>1</v>
      </c>
      <c r="N1802" t="n">
        <v>200</v>
      </c>
      <c r="O1802" t="inlineStr">
        <is>
          <t>GST on Income</t>
        </is>
      </c>
      <c r="P1802" t="inlineStr">
        <is>
          <t>R09</t>
        </is>
      </c>
      <c r="Q1802" t="inlineStr">
        <is>
          <t>MS</t>
        </is>
      </c>
      <c r="R1802">
        <f>IF(OR(Q1802="CONTEXT",Q1802="REVIEW"),"",INDEX('Category Rules'!$D$5:$D$17,MATCH(P1802,'Category Rules'!$A$5:$A$17,0)))</f>
        <v>4020</v>
      </c>
      <c r="S1802" t="str">
        <f>IF(Q1802="CONTEXT","Make-safe",IF(Q1802="REVIEW","",INDEX('Category Rules'!$E$5:$E$17,MATCH(P1802,'Category Rules'!$A$5:$A$17,0))))</f>
        <v>Make-safe</v>
      </c>
      <c r="T1802" t="str">
        <f>IF(Q1802="DEP","BAS Excluded","GST on Income")</f>
        <v>GST on Income</v>
      </c>
      <c r="U1802">
        <f>IF(O1802=T1802,1,0)</f>
        <v>1</v>
      </c>
      <c r="V1802" s="9">
        <f>IF(OR(M1802=0,U1802=1),0,IF(T1802="GST on Income",ROUND(K1802*0.1,2),ROUND(-K1802*0.1,2)))</f>
        <v>0</v>
      </c>
    </row>
    <row r="1803">
      <c r="A1803" t="inlineStr">
        <is>
          <t>INV-5464-2</t>
        </is>
      </c>
      <c r="B1803" t="inlineStr">
        <is>
          <t>INV-5464</t>
        </is>
      </c>
      <c r="C1803" s="11" t="n">
        <v>46105</v>
      </c>
      <c r="D1803" t="inlineStr">
        <is>
          <t>2026-03</t>
        </is>
      </c>
      <c r="E1803" t="inlineStr">
        <is>
          <t>C0092</t>
        </is>
      </c>
      <c r="F1803" t="inlineStr">
        <is>
          <t>C0092</t>
        </is>
      </c>
      <c r="G1803" t="inlineStr">
        <is>
          <t>Leo Jones</t>
        </is>
      </c>
      <c r="H1803" t="inlineStr">
        <is>
          <t>S0303</t>
        </is>
      </c>
      <c r="I1803" t="inlineStr">
        <is>
          <t>Tarp supply and install - 3 tarp(s)</t>
        </is>
      </c>
      <c r="J1803" t="n">
        <v>3</v>
      </c>
      <c r="K1803" s="9" t="n">
        <v>720</v>
      </c>
      <c r="L1803" t="inlineStr">
        <is>
          <t>PAID</t>
        </is>
      </c>
      <c r="M1803">
        <f>IF(L1803="VOIDED",0,1)</f>
        <v>1</v>
      </c>
      <c r="N1803" t="n">
        <v>200</v>
      </c>
      <c r="O1803" t="inlineStr">
        <is>
          <t>GST on Income</t>
        </is>
      </c>
      <c r="P1803" t="inlineStr">
        <is>
          <t>R09</t>
        </is>
      </c>
      <c r="Q1803" t="inlineStr">
        <is>
          <t>MS</t>
        </is>
      </c>
      <c r="R1803">
        <f>IF(OR(Q1803="CONTEXT",Q1803="REVIEW"),"",INDEX('Category Rules'!$D$5:$D$17,MATCH(P1803,'Category Rules'!$A$5:$A$17,0)))</f>
        <v>4020</v>
      </c>
      <c r="S1803" t="str">
        <f>IF(Q1803="CONTEXT","Make-safe",IF(Q1803="REVIEW","",INDEX('Category Rules'!$E$5:$E$17,MATCH(P1803,'Category Rules'!$A$5:$A$17,0))))</f>
        <v>Make-safe</v>
      </c>
      <c r="T1803" t="str">
        <f>IF(Q1803="DEP","BAS Excluded","GST on Income")</f>
        <v>GST on Income</v>
      </c>
      <c r="U1803">
        <f>IF(O1803=T1803,1,0)</f>
        <v>1</v>
      </c>
      <c r="V1803" s="9">
        <f>IF(OR(M1803=0,U1803=1),0,IF(T1803="GST on Income",ROUND(K1803*0.1,2),ROUND(-K1803*0.1,2)))</f>
        <v>0</v>
      </c>
    </row>
    <row r="1804">
      <c r="A1804" t="inlineStr">
        <is>
          <t>INV-5528-1</t>
        </is>
      </c>
      <c r="B1804" t="inlineStr">
        <is>
          <t>INV-5528</t>
        </is>
      </c>
      <c r="C1804" s="11" t="n">
        <v>46105</v>
      </c>
      <c r="D1804" t="inlineStr">
        <is>
          <t>2026-03</t>
        </is>
      </c>
      <c r="E1804" t="inlineStr">
        <is>
          <t>C0046</t>
        </is>
      </c>
      <c r="F1804" t="inlineStr">
        <is>
          <t>C0046</t>
        </is>
      </c>
      <c r="G1804" t="inlineStr">
        <is>
          <t>Bayside Owners Corporation Services Pty Ltd</t>
        </is>
      </c>
      <c r="H1804" t="inlineStr">
        <is>
          <t>S0338</t>
        </is>
      </c>
      <c r="I1804" t="inlineStr">
        <is>
          <t>Roof repair labour - 8 hrs</t>
        </is>
      </c>
      <c r="J1804" t="n">
        <v>8</v>
      </c>
      <c r="K1804" s="9" t="n">
        <v>784</v>
      </c>
      <c r="L1804" t="inlineStr">
        <is>
          <t>PAID</t>
        </is>
      </c>
      <c r="M1804">
        <f>IF(L1804="VOIDED",0,1)</f>
        <v>1</v>
      </c>
      <c r="N1804" t="n">
        <v>200</v>
      </c>
      <c r="O1804" t="inlineStr">
        <is>
          <t>BAS Excluded</t>
        </is>
      </c>
      <c r="P1804" t="inlineStr">
        <is>
          <t>R10</t>
        </is>
      </c>
      <c r="Q1804" t="inlineStr">
        <is>
          <t>LAB-RF</t>
        </is>
      </c>
      <c r="R1804">
        <f>IF(OR(Q1804="CONTEXT",Q1804="REVIEW"),"",INDEX('Category Rules'!$D$5:$D$17,MATCH(P1804,'Category Rules'!$A$5:$A$17,0)))</f>
        <v>4020</v>
      </c>
      <c r="S1804" t="str">
        <f>IF(Q1804="CONTEXT","Roofing",IF(Q1804="REVIEW","",INDEX('Category Rules'!$E$5:$E$17,MATCH(P1804,'Category Rules'!$A$5:$A$17,0))))</f>
        <v>Roofing</v>
      </c>
      <c r="T1804" t="str">
        <f>IF(Q1804="DEP","BAS Excluded","GST on Income")</f>
        <v>GST on Income</v>
      </c>
      <c r="U1804">
        <f>IF(O1804=T1804,1,0)</f>
        <v>0</v>
      </c>
      <c r="V1804" s="9">
        <f>IF(OR(M1804=0,U1804=1),0,IF(T1804="GST on Income",ROUND(K1804*0.1,2),ROUND(-K1804*0.1,2)))</f>
        <v>78.4</v>
      </c>
    </row>
    <row r="1805">
      <c r="A1805" t="inlineStr">
        <is>
          <t>INV-5528-2</t>
        </is>
      </c>
      <c r="B1805" t="inlineStr">
        <is>
          <t>INV-5528</t>
        </is>
      </c>
      <c r="C1805" s="11" t="n">
        <v>46105</v>
      </c>
      <c r="D1805" t="inlineStr">
        <is>
          <t>2026-03</t>
        </is>
      </c>
      <c r="E1805" t="inlineStr">
        <is>
          <t>C0046</t>
        </is>
      </c>
      <c r="F1805" t="inlineStr">
        <is>
          <t>C0046</t>
        </is>
      </c>
      <c r="G1805" t="inlineStr">
        <is>
          <t>Bayside Owners Corporation Services Pty Ltd</t>
        </is>
      </c>
      <c r="H1805" t="inlineStr">
        <is>
          <t>S0338</t>
        </is>
      </c>
      <c r="I1805" t="inlineStr">
        <is>
          <t>Materials - ridge capping</t>
        </is>
      </c>
      <c r="J1805" t="n">
        <v>1</v>
      </c>
      <c r="K1805" s="9" t="n">
        <v>1039.9</v>
      </c>
      <c r="L1805" t="inlineStr">
        <is>
          <t>PAID</t>
        </is>
      </c>
      <c r="M1805">
        <f>IF(L1805="VOIDED",0,1)</f>
        <v>1</v>
      </c>
      <c r="N1805" t="n">
        <v>200</v>
      </c>
      <c r="O1805" t="inlineStr">
        <is>
          <t>BAS Excluded</t>
        </is>
      </c>
      <c r="P1805" t="inlineStr">
        <is>
          <t>R11</t>
        </is>
      </c>
      <c r="Q1805" t="inlineStr">
        <is>
          <t>MAT-RF</t>
        </is>
      </c>
      <c r="R1805">
        <f>IF(OR(Q1805="CONTEXT",Q1805="REVIEW"),"",INDEX('Category Rules'!$D$5:$D$17,MATCH(P1805,'Category Rules'!$A$5:$A$17,0)))</f>
        <v>4030</v>
      </c>
      <c r="S1805" t="str">
        <f>IF(Q1805="CONTEXT","Roofing",IF(Q1805="REVIEW","",INDEX('Category Rules'!$E$5:$E$17,MATCH(P1805,'Category Rules'!$A$5:$A$17,0))))</f>
        <v>Roofing</v>
      </c>
      <c r="T1805" t="str">
        <f>IF(Q1805="DEP","BAS Excluded","GST on Income")</f>
        <v>GST on Income</v>
      </c>
      <c r="U1805">
        <f>IF(O1805=T1805,1,0)</f>
        <v>0</v>
      </c>
      <c r="V1805" s="9">
        <f>IF(OR(M1805=0,U1805=1),0,IF(T1805="GST on Income",ROUND(K1805*0.1,2),ROUND(-K1805*0.1,2)))</f>
        <v>103.99</v>
      </c>
    </row>
    <row r="1806">
      <c r="A1806" t="inlineStr">
        <is>
          <t>INV-5528-3</t>
        </is>
      </c>
      <c r="B1806" t="inlineStr">
        <is>
          <t>INV-5528</t>
        </is>
      </c>
      <c r="C1806" s="11" t="n">
        <v>46105</v>
      </c>
      <c r="D1806" t="inlineStr">
        <is>
          <t>2026-03</t>
        </is>
      </c>
      <c r="E1806" t="inlineStr">
        <is>
          <t>C0046</t>
        </is>
      </c>
      <c r="F1806" t="inlineStr">
        <is>
          <t>C0046</t>
        </is>
      </c>
      <c r="G1806" t="inlineStr">
        <is>
          <t>Bayside Owners Corporation Services Pty Ltd</t>
        </is>
      </c>
      <c r="H1806" t="inlineStr">
        <is>
          <t>S0338</t>
        </is>
      </c>
      <c r="I1806" t="inlineStr">
        <is>
          <t>Materials - Colorbond sheet</t>
        </is>
      </c>
      <c r="J1806" t="n">
        <v>1</v>
      </c>
      <c r="K1806" s="9" t="n">
        <v>907.71</v>
      </c>
      <c r="L1806" t="inlineStr">
        <is>
          <t>PAID</t>
        </is>
      </c>
      <c r="M1806">
        <f>IF(L1806="VOIDED",0,1)</f>
        <v>1</v>
      </c>
      <c r="N1806" t="n">
        <v>200</v>
      </c>
      <c r="O1806" t="inlineStr">
        <is>
          <t>GST on Income</t>
        </is>
      </c>
      <c r="P1806" t="inlineStr">
        <is>
          <t>R11</t>
        </is>
      </c>
      <c r="Q1806" t="inlineStr">
        <is>
          <t>MAT-RF</t>
        </is>
      </c>
      <c r="R1806">
        <f>IF(OR(Q1806="CONTEXT",Q1806="REVIEW"),"",INDEX('Category Rules'!$D$5:$D$17,MATCH(P1806,'Category Rules'!$A$5:$A$17,0)))</f>
        <v>4030</v>
      </c>
      <c r="S1806" t="str">
        <f>IF(Q1806="CONTEXT","Roofing",IF(Q1806="REVIEW","",INDEX('Category Rules'!$E$5:$E$17,MATCH(P1806,'Category Rules'!$A$5:$A$17,0))))</f>
        <v>Roofing</v>
      </c>
      <c r="T1806" t="str">
        <f>IF(Q1806="DEP","BAS Excluded","GST on Income")</f>
        <v>GST on Income</v>
      </c>
      <c r="U1806">
        <f>IF(O1806=T1806,1,0)</f>
        <v>1</v>
      </c>
      <c r="V1806" s="9">
        <f>IF(OR(M1806=0,U1806=1),0,IF(T1806="GST on Income",ROUND(K1806*0.1,2),ROUND(-K1806*0.1,2)))</f>
        <v>0</v>
      </c>
    </row>
    <row r="1807">
      <c r="A1807" t="inlineStr">
        <is>
          <t>INV-4107-1</t>
        </is>
      </c>
      <c r="B1807" t="inlineStr">
        <is>
          <t>INV-4107</t>
        </is>
      </c>
      <c r="C1807" s="11" t="n">
        <v>46106</v>
      </c>
      <c r="D1807" t="inlineStr">
        <is>
          <t>2026-03</t>
        </is>
      </c>
      <c r="E1807" t="inlineStr">
        <is>
          <t>C0120</t>
        </is>
      </c>
      <c r="F1807" t="inlineStr">
        <is>
          <t>C0120</t>
        </is>
      </c>
      <c r="G1807" t="inlineStr">
        <is>
          <t>Northgate Building Group</t>
        </is>
      </c>
      <c r="H1807" t="inlineStr">
        <is>
          <t>S0001</t>
        </is>
      </c>
      <c r="I1807" t="inlineStr">
        <is>
          <t>Temporary fence hire 2 wks (11/03/26-24/03/26) - 101 panels</t>
        </is>
      </c>
      <c r="J1807" t="n">
        <v>202</v>
      </c>
      <c r="K1807" s="9" t="n">
        <v>909</v>
      </c>
      <c r="L1807" t="inlineStr">
        <is>
          <t>PAID</t>
        </is>
      </c>
      <c r="M1807">
        <f>IF(L1807="VOIDED",0,1)</f>
        <v>1</v>
      </c>
      <c r="N1807" t="n">
        <v>200</v>
      </c>
      <c r="O1807" t="inlineStr">
        <is>
          <t>GST on Income</t>
        </is>
      </c>
      <c r="P1807" t="inlineStr">
        <is>
          <t>R03</t>
        </is>
      </c>
      <c r="Q1807" t="inlineStr">
        <is>
          <t>HIRE-FP</t>
        </is>
      </c>
      <c r="R1807">
        <f>IF(OR(Q1807="CONTEXT",Q1807="REVIEW"),"",INDEX('Category Rules'!$D$5:$D$17,MATCH(P1807,'Category Rules'!$A$5:$A$17,0)))</f>
        <v>4010</v>
      </c>
      <c r="S1807" t="str">
        <f>IF(Q1807="CONTEXT","Fencing",IF(Q1807="REVIEW","",INDEX('Category Rules'!$E$5:$E$17,MATCH(P1807,'Category Rules'!$A$5:$A$17,0))))</f>
        <v>Fencing</v>
      </c>
      <c r="T1807" t="str">
        <f>IF(Q1807="DEP","BAS Excluded","GST on Income")</f>
        <v>GST on Income</v>
      </c>
      <c r="U1807">
        <f>IF(O1807=T1807,1,0)</f>
        <v>1</v>
      </c>
      <c r="V1807" s="9">
        <f>IF(OR(M1807=0,U1807=1),0,IF(T1807="GST on Income",ROUND(K1807*0.1,2),ROUND(-K1807*0.1,2)))</f>
        <v>0</v>
      </c>
    </row>
    <row r="1808">
      <c r="A1808" t="inlineStr">
        <is>
          <t>INV-4109-1</t>
        </is>
      </c>
      <c r="B1808" t="inlineStr">
        <is>
          <t>INV-4109</t>
        </is>
      </c>
      <c r="C1808" s="11" t="n">
        <v>46106</v>
      </c>
      <c r="D1808" t="inlineStr">
        <is>
          <t>2026-03</t>
        </is>
      </c>
      <c r="E1808" t="inlineStr">
        <is>
          <t>C0120</t>
        </is>
      </c>
      <c r="F1808" t="inlineStr">
        <is>
          <t>C0120</t>
        </is>
      </c>
      <c r="G1808" t="inlineStr">
        <is>
          <t>Northgate Building Group</t>
        </is>
      </c>
      <c r="H1808" t="inlineStr">
        <is>
          <t>S0001</t>
        </is>
      </c>
      <c r="I1808" t="inlineStr">
        <is>
          <t>Collection and dismantle - temporary fencing</t>
        </is>
      </c>
      <c r="J1808" t="n">
        <v>1</v>
      </c>
      <c r="K1808" s="9" t="n">
        <v>165</v>
      </c>
      <c r="L1808" t="inlineStr">
        <is>
          <t>PAID</t>
        </is>
      </c>
      <c r="M1808">
        <f>IF(L1808="VOIDED",0,1)</f>
        <v>1</v>
      </c>
      <c r="N1808" t="n">
        <v>200</v>
      </c>
      <c r="O1808" t="inlineStr">
        <is>
          <t>GST on Income</t>
        </is>
      </c>
      <c r="P1808" t="inlineStr">
        <is>
          <t>R07</t>
        </is>
      </c>
      <c r="Q1808" t="inlineStr">
        <is>
          <t>DEL-FP</t>
        </is>
      </c>
      <c r="R1808">
        <f>IF(OR(Q1808="CONTEXT",Q1808="REVIEW"),"",INDEX('Category Rules'!$D$5:$D$17,MATCH(P1808,'Category Rules'!$A$5:$A$17,0)))</f>
        <v>4020</v>
      </c>
      <c r="S1808" t="str">
        <f>IF(Q1808="CONTEXT","Fencing",IF(Q1808="REVIEW","",INDEX('Category Rules'!$E$5:$E$17,MATCH(P1808,'Category Rules'!$A$5:$A$17,0))))</f>
        <v>Fencing</v>
      </c>
      <c r="T1808" t="str">
        <f>IF(Q1808="DEP","BAS Excluded","GST on Income")</f>
        <v>GST on Income</v>
      </c>
      <c r="U1808">
        <f>IF(O1808=T1808,1,0)</f>
        <v>1</v>
      </c>
      <c r="V1808" s="9">
        <f>IF(OR(M1808=0,U1808=1),0,IF(T1808="GST on Income",ROUND(K1808*0.1,2),ROUND(-K1808*0.1,2)))</f>
        <v>0</v>
      </c>
    </row>
    <row r="1809">
      <c r="A1809" t="inlineStr">
        <is>
          <t>INV-4162-1</t>
        </is>
      </c>
      <c r="B1809" t="inlineStr">
        <is>
          <t>INV-4162</t>
        </is>
      </c>
      <c r="C1809" s="11" t="n">
        <v>46106</v>
      </c>
      <c r="D1809" t="inlineStr">
        <is>
          <t>2026-03</t>
        </is>
      </c>
      <c r="E1809" t="inlineStr">
        <is>
          <t>C0015</t>
        </is>
      </c>
      <c r="F1809" t="inlineStr">
        <is>
          <t>C0015</t>
        </is>
      </c>
      <c r="G1809" t="inlineStr">
        <is>
          <t>Bluegum Building Group</t>
        </is>
      </c>
      <c r="H1809" t="inlineStr">
        <is>
          <t>S0011</t>
        </is>
      </c>
      <c r="I1809" t="inlineStr">
        <is>
          <t>Temporary fence hire 2 wks (11/03/26-24/03/26) - 96 panels</t>
        </is>
      </c>
      <c r="J1809" t="n">
        <v>192</v>
      </c>
      <c r="K1809" s="9" t="n">
        <v>864</v>
      </c>
      <c r="L1809" t="inlineStr">
        <is>
          <t>PAID</t>
        </is>
      </c>
      <c r="M1809">
        <f>IF(L1809="VOIDED",0,1)</f>
        <v>1</v>
      </c>
      <c r="N1809" t="n">
        <v>200</v>
      </c>
      <c r="O1809" t="inlineStr">
        <is>
          <t>GST on Income</t>
        </is>
      </c>
      <c r="P1809" t="inlineStr">
        <is>
          <t>R03</t>
        </is>
      </c>
      <c r="Q1809" t="inlineStr">
        <is>
          <t>HIRE-FP</t>
        </is>
      </c>
      <c r="R1809">
        <f>IF(OR(Q1809="CONTEXT",Q1809="REVIEW"),"",INDEX('Category Rules'!$D$5:$D$17,MATCH(P1809,'Category Rules'!$A$5:$A$17,0)))</f>
        <v>4010</v>
      </c>
      <c r="S1809" t="str">
        <f>IF(Q1809="CONTEXT","Fencing",IF(Q1809="REVIEW","",INDEX('Category Rules'!$E$5:$E$17,MATCH(P1809,'Category Rules'!$A$5:$A$17,0))))</f>
        <v>Fencing</v>
      </c>
      <c r="T1809" t="str">
        <f>IF(Q1809="DEP","BAS Excluded","GST on Income")</f>
        <v>GST on Income</v>
      </c>
      <c r="U1809">
        <f>IF(O1809=T1809,1,0)</f>
        <v>1</v>
      </c>
      <c r="V1809" s="9">
        <f>IF(OR(M1809=0,U1809=1),0,IF(T1809="GST on Income",ROUND(K1809*0.1,2),ROUND(-K1809*0.1,2)))</f>
        <v>0</v>
      </c>
    </row>
    <row r="1810">
      <c r="A1810" t="inlineStr">
        <is>
          <t>INV-4164-1</t>
        </is>
      </c>
      <c r="B1810" t="inlineStr">
        <is>
          <t>INV-4164</t>
        </is>
      </c>
      <c r="C1810" s="11" t="n">
        <v>46106</v>
      </c>
      <c r="D1810" t="inlineStr">
        <is>
          <t>2026-03</t>
        </is>
      </c>
      <c r="E1810" t="inlineStr">
        <is>
          <t>C0015</t>
        </is>
      </c>
      <c r="F1810" t="inlineStr">
        <is>
          <t>C0015</t>
        </is>
      </c>
      <c r="G1810" t="inlineStr">
        <is>
          <t>Bluegum Building Group</t>
        </is>
      </c>
      <c r="H1810" t="inlineStr">
        <is>
          <t>S0011</t>
        </is>
      </c>
      <c r="I1810" t="inlineStr">
        <is>
          <t>Collection and dismantle - temporary fencing</t>
        </is>
      </c>
      <c r="J1810" t="n">
        <v>1</v>
      </c>
      <c r="K1810" s="9" t="n">
        <v>165</v>
      </c>
      <c r="L1810" t="inlineStr">
        <is>
          <t>PAID</t>
        </is>
      </c>
      <c r="M1810">
        <f>IF(L1810="VOIDED",0,1)</f>
        <v>1</v>
      </c>
      <c r="N1810" t="n">
        <v>200</v>
      </c>
      <c r="O1810" t="inlineStr">
        <is>
          <t>GST on Income</t>
        </is>
      </c>
      <c r="P1810" t="inlineStr">
        <is>
          <t>R07</t>
        </is>
      </c>
      <c r="Q1810" t="inlineStr">
        <is>
          <t>DEL-FP</t>
        </is>
      </c>
      <c r="R1810">
        <f>IF(OR(Q1810="CONTEXT",Q1810="REVIEW"),"",INDEX('Category Rules'!$D$5:$D$17,MATCH(P1810,'Category Rules'!$A$5:$A$17,0)))</f>
        <v>4020</v>
      </c>
      <c r="S1810" t="str">
        <f>IF(Q1810="CONTEXT","Fencing",IF(Q1810="REVIEW","",INDEX('Category Rules'!$E$5:$E$17,MATCH(P1810,'Category Rules'!$A$5:$A$17,0))))</f>
        <v>Fencing</v>
      </c>
      <c r="T1810" t="str">
        <f>IF(Q1810="DEP","BAS Excluded","GST on Income")</f>
        <v>GST on Income</v>
      </c>
      <c r="U1810">
        <f>IF(O1810=T1810,1,0)</f>
        <v>1</v>
      </c>
      <c r="V1810" s="9">
        <f>IF(OR(M1810=0,U1810=1),0,IF(T1810="GST on Income",ROUND(K1810*0.1,2),ROUND(-K1810*0.1,2)))</f>
        <v>0</v>
      </c>
    </row>
    <row r="1811">
      <c r="A1811" t="inlineStr">
        <is>
          <t>INV-4498-1</t>
        </is>
      </c>
      <c r="B1811" t="inlineStr">
        <is>
          <t>INV-4498</t>
        </is>
      </c>
      <c r="C1811" s="11" t="n">
        <v>46106</v>
      </c>
      <c r="D1811" t="inlineStr">
        <is>
          <t>2026-03</t>
        </is>
      </c>
      <c r="E1811" t="inlineStr">
        <is>
          <t>C0070</t>
        </is>
      </c>
      <c r="F1811" t="inlineStr">
        <is>
          <t>C0070</t>
        </is>
      </c>
      <c r="G1811" t="inlineStr">
        <is>
          <t>Banyule City Council</t>
        </is>
      </c>
      <c r="H1811" t="inlineStr">
        <is>
          <t>S0082</t>
        </is>
      </c>
      <c r="I1811" t="inlineStr">
        <is>
          <t>Temporary fence hire 3 wks (10/03/26-24/03/26) - 158 panels</t>
        </is>
      </c>
      <c r="J1811" t="n">
        <v>474</v>
      </c>
      <c r="K1811" s="9" t="n">
        <v>2133</v>
      </c>
      <c r="L1811" t="inlineStr">
        <is>
          <t>PAID</t>
        </is>
      </c>
      <c r="M1811">
        <f>IF(L1811="VOIDED",0,1)</f>
        <v>1</v>
      </c>
      <c r="N1811" t="n">
        <v>260</v>
      </c>
      <c r="O1811" t="inlineStr">
        <is>
          <t>GST on Income</t>
        </is>
      </c>
      <c r="P1811" t="inlineStr">
        <is>
          <t>R03</t>
        </is>
      </c>
      <c r="Q1811" t="inlineStr">
        <is>
          <t>HIRE-FP</t>
        </is>
      </c>
      <c r="R1811">
        <f>IF(OR(Q1811="CONTEXT",Q1811="REVIEW"),"",INDEX('Category Rules'!$D$5:$D$17,MATCH(P1811,'Category Rules'!$A$5:$A$17,0)))</f>
        <v>4010</v>
      </c>
      <c r="S1811" t="str">
        <f>IF(Q1811="CONTEXT","Fencing",IF(Q1811="REVIEW","",INDEX('Category Rules'!$E$5:$E$17,MATCH(P1811,'Category Rules'!$A$5:$A$17,0))))</f>
        <v>Fencing</v>
      </c>
      <c r="T1811" t="str">
        <f>IF(Q1811="DEP","BAS Excluded","GST on Income")</f>
        <v>GST on Income</v>
      </c>
      <c r="U1811">
        <f>IF(O1811=T1811,1,0)</f>
        <v>1</v>
      </c>
      <c r="V1811" s="9">
        <f>IF(OR(M1811=0,U1811=1),0,IF(T1811="GST on Income",ROUND(K1811*0.1,2),ROUND(-K1811*0.1,2)))</f>
        <v>0</v>
      </c>
    </row>
    <row r="1812">
      <c r="A1812" t="inlineStr">
        <is>
          <t>INV-4500-1</t>
        </is>
      </c>
      <c r="B1812" t="inlineStr">
        <is>
          <t>INV-4500</t>
        </is>
      </c>
      <c r="C1812" s="11" t="n">
        <v>46106</v>
      </c>
      <c r="D1812" t="inlineStr">
        <is>
          <t>2026-03</t>
        </is>
      </c>
      <c r="E1812" t="inlineStr">
        <is>
          <t>C0070</t>
        </is>
      </c>
      <c r="F1812" t="inlineStr">
        <is>
          <t>C0070</t>
        </is>
      </c>
      <c r="G1812" t="inlineStr">
        <is>
          <t>Banyule City Council</t>
        </is>
      </c>
      <c r="H1812" t="inlineStr">
        <is>
          <t>S0082</t>
        </is>
      </c>
      <c r="I1812" t="inlineStr">
        <is>
          <t>Collection and dismantle - temporary fencing</t>
        </is>
      </c>
      <c r="J1812" t="n">
        <v>1</v>
      </c>
      <c r="K1812" s="9" t="n">
        <v>165</v>
      </c>
      <c r="L1812" t="inlineStr">
        <is>
          <t>PAID</t>
        </is>
      </c>
      <c r="M1812">
        <f>IF(L1812="VOIDED",0,1)</f>
        <v>1</v>
      </c>
      <c r="N1812" t="n">
        <v>200</v>
      </c>
      <c r="O1812" t="inlineStr">
        <is>
          <t>GST on Income</t>
        </is>
      </c>
      <c r="P1812" t="inlineStr">
        <is>
          <t>R07</t>
        </is>
      </c>
      <c r="Q1812" t="inlineStr">
        <is>
          <t>DEL-FP</t>
        </is>
      </c>
      <c r="R1812">
        <f>IF(OR(Q1812="CONTEXT",Q1812="REVIEW"),"",INDEX('Category Rules'!$D$5:$D$17,MATCH(P1812,'Category Rules'!$A$5:$A$17,0)))</f>
        <v>4020</v>
      </c>
      <c r="S1812" t="str">
        <f>IF(Q1812="CONTEXT","Fencing",IF(Q1812="REVIEW","",INDEX('Category Rules'!$E$5:$E$17,MATCH(P1812,'Category Rules'!$A$5:$A$17,0))))</f>
        <v>Fencing</v>
      </c>
      <c r="T1812" t="str">
        <f>IF(Q1812="DEP","BAS Excluded","GST on Income")</f>
        <v>GST on Income</v>
      </c>
      <c r="U1812">
        <f>IF(O1812=T1812,1,0)</f>
        <v>1</v>
      </c>
      <c r="V1812" s="9">
        <f>IF(OR(M1812=0,U1812=1),0,IF(T1812="GST on Income",ROUND(K1812*0.1,2),ROUND(-K1812*0.1,2)))</f>
        <v>0</v>
      </c>
    </row>
    <row r="1813">
      <c r="A1813" t="inlineStr">
        <is>
          <t>INV-4603-1</t>
        </is>
      </c>
      <c r="B1813" t="inlineStr">
        <is>
          <t>INV-4603</t>
        </is>
      </c>
      <c r="C1813" s="11" t="n">
        <v>46106</v>
      </c>
      <c r="D1813" t="inlineStr">
        <is>
          <t>2026-03</t>
        </is>
      </c>
      <c r="E1813" t="inlineStr">
        <is>
          <t>C0027</t>
        </is>
      </c>
      <c r="F1813" t="inlineStr">
        <is>
          <t>C0027</t>
        </is>
      </c>
      <c r="G1813" t="inlineStr">
        <is>
          <t>Metro Projects Pty Ltd</t>
        </is>
      </c>
      <c r="H1813" t="inlineStr">
        <is>
          <t>S0100</t>
        </is>
      </c>
      <c r="I1813" t="inlineStr">
        <is>
          <t>Pedestrian barrier hire 4 wks (25/02/26-24/03/26) - 14 barriers</t>
        </is>
      </c>
      <c r="J1813" t="n">
        <v>56</v>
      </c>
      <c r="K1813" s="9" t="n">
        <v>179.2</v>
      </c>
      <c r="L1813" t="inlineStr">
        <is>
          <t>PAID</t>
        </is>
      </c>
      <c r="M1813">
        <f>IF(L1813="VOIDED",0,1)</f>
        <v>1</v>
      </c>
      <c r="N1813" t="n">
        <v>200</v>
      </c>
      <c r="O1813" t="inlineStr">
        <is>
          <t>GST on Income</t>
        </is>
      </c>
      <c r="P1813" t="inlineStr">
        <is>
          <t>R04</t>
        </is>
      </c>
      <c r="Q1813" t="inlineStr">
        <is>
          <t>HIRE-BR</t>
        </is>
      </c>
      <c r="R1813">
        <f>IF(OR(Q1813="CONTEXT",Q1813="REVIEW"),"",INDEX('Category Rules'!$D$5:$D$17,MATCH(P1813,'Category Rules'!$A$5:$A$17,0)))</f>
        <v>4010</v>
      </c>
      <c r="S1813" t="str">
        <f>IF(Q1813="CONTEXT","Fencing",IF(Q1813="REVIEW","",INDEX('Category Rules'!$E$5:$E$17,MATCH(P1813,'Category Rules'!$A$5:$A$17,0))))</f>
        <v>Fencing</v>
      </c>
      <c r="T1813" t="str">
        <f>IF(Q1813="DEP","BAS Excluded","GST on Income")</f>
        <v>GST on Income</v>
      </c>
      <c r="U1813">
        <f>IF(O1813=T1813,1,0)</f>
        <v>1</v>
      </c>
      <c r="V1813" s="9">
        <f>IF(OR(M1813=0,U1813=1),0,IF(T1813="GST on Income",ROUND(K1813*0.1,2),ROUND(-K1813*0.1,2)))</f>
        <v>0</v>
      </c>
    </row>
    <row r="1814">
      <c r="A1814" t="inlineStr">
        <is>
          <t>INV-4822-1</t>
        </is>
      </c>
      <c r="B1814" t="inlineStr">
        <is>
          <t>INV-4822</t>
        </is>
      </c>
      <c r="C1814" s="11" t="n">
        <v>46106</v>
      </c>
      <c r="D1814" t="inlineStr">
        <is>
          <t>2026-03</t>
        </is>
      </c>
      <c r="E1814" t="inlineStr">
        <is>
          <t>C0024</t>
        </is>
      </c>
      <c r="F1814" t="inlineStr">
        <is>
          <t>C0024</t>
        </is>
      </c>
      <c r="G1814" t="inlineStr">
        <is>
          <t>Parkview Homes Pty Ltd</t>
        </is>
      </c>
      <c r="H1814" t="inlineStr">
        <is>
          <t>S0155</t>
        </is>
      </c>
      <c r="I1814" t="inlineStr">
        <is>
          <t>Delivery and installation - temporary fencing</t>
        </is>
      </c>
      <c r="J1814" t="n">
        <v>1</v>
      </c>
      <c r="K1814" s="9" t="n">
        <v>165</v>
      </c>
      <c r="L1814" t="inlineStr">
        <is>
          <t>PAID</t>
        </is>
      </c>
      <c r="M1814">
        <f>IF(L1814="VOIDED",0,1)</f>
        <v>1</v>
      </c>
      <c r="N1814" t="n">
        <v>200</v>
      </c>
      <c r="O1814" t="inlineStr">
        <is>
          <t>GST on Income</t>
        </is>
      </c>
      <c r="P1814" t="inlineStr">
        <is>
          <t>R07</t>
        </is>
      </c>
      <c r="Q1814" t="inlineStr">
        <is>
          <t>DEL-FP</t>
        </is>
      </c>
      <c r="R1814">
        <f>IF(OR(Q1814="CONTEXT",Q1814="REVIEW"),"",INDEX('Category Rules'!$D$5:$D$17,MATCH(P1814,'Category Rules'!$A$5:$A$17,0)))</f>
        <v>4020</v>
      </c>
      <c r="S1814" t="str">
        <f>IF(Q1814="CONTEXT","Fencing",IF(Q1814="REVIEW","",INDEX('Category Rules'!$E$5:$E$17,MATCH(P1814,'Category Rules'!$A$5:$A$17,0))))</f>
        <v>Fencing</v>
      </c>
      <c r="T1814" t="str">
        <f>IF(Q1814="DEP","BAS Excluded","GST on Income")</f>
        <v>GST on Income</v>
      </c>
      <c r="U1814">
        <f>IF(O1814=T1814,1,0)</f>
        <v>1</v>
      </c>
      <c r="V1814" s="9">
        <f>IF(OR(M1814=0,U1814=1),0,IF(T1814="GST on Income",ROUND(K1814*0.1,2),ROUND(-K1814*0.1,2)))</f>
        <v>0</v>
      </c>
    </row>
    <row r="1815">
      <c r="A1815" t="inlineStr">
        <is>
          <t>INV-4822-2</t>
        </is>
      </c>
      <c r="B1815" t="inlineStr">
        <is>
          <t>INV-4822</t>
        </is>
      </c>
      <c r="C1815" s="11" t="n">
        <v>46106</v>
      </c>
      <c r="D1815" t="inlineStr">
        <is>
          <t>2026-03</t>
        </is>
      </c>
      <c r="E1815" t="inlineStr">
        <is>
          <t>C0024</t>
        </is>
      </c>
      <c r="F1815" t="inlineStr">
        <is>
          <t>C0024</t>
        </is>
      </c>
      <c r="G1815" t="inlineStr">
        <is>
          <t>Parkview Homes Pty Ltd</t>
        </is>
      </c>
      <c r="H1815" t="inlineStr">
        <is>
          <t>S0155</t>
        </is>
      </c>
      <c r="I1815" t="inlineStr">
        <is>
          <t>Installation labour - 42 panels @ 2.20</t>
        </is>
      </c>
      <c r="J1815" t="n">
        <v>42</v>
      </c>
      <c r="K1815" s="9" t="n">
        <v>92.40000000000001</v>
      </c>
      <c r="L1815" t="inlineStr">
        <is>
          <t>PAID</t>
        </is>
      </c>
      <c r="M1815">
        <f>IF(L1815="VOIDED",0,1)</f>
        <v>1</v>
      </c>
      <c r="N1815" t="n">
        <v>200</v>
      </c>
      <c r="O1815" t="inlineStr">
        <is>
          <t>GST on Income</t>
        </is>
      </c>
      <c r="P1815" t="inlineStr">
        <is>
          <t>R07</t>
        </is>
      </c>
      <c r="Q1815" t="inlineStr">
        <is>
          <t>DEL-FP</t>
        </is>
      </c>
      <c r="R1815">
        <f>IF(OR(Q1815="CONTEXT",Q1815="REVIEW"),"",INDEX('Category Rules'!$D$5:$D$17,MATCH(P1815,'Category Rules'!$A$5:$A$17,0)))</f>
        <v>4020</v>
      </c>
      <c r="S1815" t="str">
        <f>IF(Q1815="CONTEXT","Fencing",IF(Q1815="REVIEW","",INDEX('Category Rules'!$E$5:$E$17,MATCH(P1815,'Category Rules'!$A$5:$A$17,0))))</f>
        <v>Fencing</v>
      </c>
      <c r="T1815" t="str">
        <f>IF(Q1815="DEP","BAS Excluded","GST on Income")</f>
        <v>GST on Income</v>
      </c>
      <c r="U1815">
        <f>IF(O1815=T1815,1,0)</f>
        <v>1</v>
      </c>
      <c r="V1815" s="9">
        <f>IF(OR(M1815=0,U1815=1),0,IF(T1815="GST on Income",ROUND(K1815*0.1,2),ROUND(-K1815*0.1,2)))</f>
        <v>0</v>
      </c>
    </row>
    <row r="1816">
      <c r="A1816" t="inlineStr">
        <is>
          <t>INV-5239-1</t>
        </is>
      </c>
      <c r="B1816" t="inlineStr">
        <is>
          <t>INV-5239</t>
        </is>
      </c>
      <c r="C1816" s="11" t="n">
        <v>46106</v>
      </c>
      <c r="D1816" t="inlineStr">
        <is>
          <t>2026-03</t>
        </is>
      </c>
      <c r="E1816" t="inlineStr">
        <is>
          <t>C0105</t>
        </is>
      </c>
      <c r="F1816" t="inlineStr">
        <is>
          <t>C0105</t>
        </is>
      </c>
      <c r="G1816" t="inlineStr">
        <is>
          <t>Priya Walker</t>
        </is>
      </c>
      <c r="H1816" t="inlineStr">
        <is>
          <t>S0245</t>
        </is>
      </c>
      <c r="I1816" t="inlineStr">
        <is>
          <t>Scaffold tower hire 1 wks (24/03/26-24/03/26) - 4 towers</t>
        </is>
      </c>
      <c r="J1816" t="n">
        <v>4</v>
      </c>
      <c r="K1816" s="9" t="n">
        <v>380</v>
      </c>
      <c r="L1816" t="inlineStr">
        <is>
          <t>PAID</t>
        </is>
      </c>
      <c r="M1816">
        <f>IF(L1816="VOIDED",0,1)</f>
        <v>1</v>
      </c>
      <c r="N1816" t="n">
        <v>200</v>
      </c>
      <c r="O1816" t="inlineStr">
        <is>
          <t>GST on Income</t>
        </is>
      </c>
      <c r="P1816" t="inlineStr">
        <is>
          <t>R05</t>
        </is>
      </c>
      <c r="Q1816" t="inlineStr">
        <is>
          <t>HIRE-ST</t>
        </is>
      </c>
      <c r="R1816">
        <f>IF(OR(Q1816="CONTEXT",Q1816="REVIEW"),"",INDEX('Category Rules'!$D$5:$D$17,MATCH(P1816,'Category Rules'!$A$5:$A$17,0)))</f>
        <v>4010</v>
      </c>
      <c r="S1816" t="str">
        <f>IF(Q1816="CONTEXT","Scaffolding",IF(Q1816="REVIEW","",INDEX('Category Rules'!$E$5:$E$17,MATCH(P1816,'Category Rules'!$A$5:$A$17,0))))</f>
        <v>Scaffolding</v>
      </c>
      <c r="T1816" t="str">
        <f>IF(Q1816="DEP","BAS Excluded","GST on Income")</f>
        <v>GST on Income</v>
      </c>
      <c r="U1816">
        <f>IF(O1816=T1816,1,0)</f>
        <v>1</v>
      </c>
      <c r="V1816" s="9">
        <f>IF(OR(M1816=0,U1816=1),0,IF(T1816="GST on Income",ROUND(K1816*0.1,2),ROUND(-K1816*0.1,2)))</f>
        <v>0</v>
      </c>
    </row>
    <row r="1817">
      <c r="A1817" t="inlineStr">
        <is>
          <t>INV-5241-1</t>
        </is>
      </c>
      <c r="B1817" t="inlineStr">
        <is>
          <t>INV-5241</t>
        </is>
      </c>
      <c r="C1817" s="11" t="n">
        <v>46106</v>
      </c>
      <c r="D1817" t="inlineStr">
        <is>
          <t>2026-03</t>
        </is>
      </c>
      <c r="E1817" t="inlineStr">
        <is>
          <t>C0105</t>
        </is>
      </c>
      <c r="F1817" t="inlineStr">
        <is>
          <t>C0105</t>
        </is>
      </c>
      <c r="G1817" t="inlineStr">
        <is>
          <t>Priya Walker</t>
        </is>
      </c>
      <c r="H1817" t="inlineStr">
        <is>
          <t>S0245</t>
        </is>
      </c>
      <c r="I1817" t="inlineStr">
        <is>
          <t>Scaffold dismantle - 4 tower(s)</t>
        </is>
      </c>
      <c r="J1817" t="n">
        <v>4</v>
      </c>
      <c r="K1817" s="9" t="n">
        <v>1280</v>
      </c>
      <c r="L1817" t="inlineStr">
        <is>
          <t>PAID</t>
        </is>
      </c>
      <c r="M1817">
        <f>IF(L1817="VOIDED",0,1)</f>
        <v>1</v>
      </c>
      <c r="N1817" t="n">
        <v>200</v>
      </c>
      <c r="O1817" t="inlineStr">
        <is>
          <t>GST on Income</t>
        </is>
      </c>
      <c r="P1817" t="inlineStr">
        <is>
          <t>R08</t>
        </is>
      </c>
      <c r="Q1817" t="inlineStr">
        <is>
          <t>LAB-ST</t>
        </is>
      </c>
      <c r="R1817">
        <f>IF(OR(Q1817="CONTEXT",Q1817="REVIEW"),"",INDEX('Category Rules'!$D$5:$D$17,MATCH(P1817,'Category Rules'!$A$5:$A$17,0)))</f>
        <v>4020</v>
      </c>
      <c r="S1817" t="str">
        <f>IF(Q1817="CONTEXT","Scaffolding",IF(Q1817="REVIEW","",INDEX('Category Rules'!$E$5:$E$17,MATCH(P1817,'Category Rules'!$A$5:$A$17,0))))</f>
        <v>Scaffolding</v>
      </c>
      <c r="T1817" t="str">
        <f>IF(Q1817="DEP","BAS Excluded","GST on Income")</f>
        <v>GST on Income</v>
      </c>
      <c r="U1817">
        <f>IF(O1817=T1817,1,0)</f>
        <v>1</v>
      </c>
      <c r="V1817" s="9">
        <f>IF(OR(M1817=0,U1817=1),0,IF(T1817="GST on Income",ROUND(K1817*0.1,2),ROUND(-K1817*0.1,2)))</f>
        <v>0</v>
      </c>
    </row>
    <row r="1818">
      <c r="A1818" t="inlineStr">
        <is>
          <t>INV-5924-1</t>
        </is>
      </c>
      <c r="B1818" t="inlineStr">
        <is>
          <t>INV-5924</t>
        </is>
      </c>
      <c r="C1818" s="11" t="n">
        <v>46106</v>
      </c>
      <c r="D1818" t="inlineStr">
        <is>
          <t>2026-03</t>
        </is>
      </c>
      <c r="E1818" t="inlineStr">
        <is>
          <t>C0012</t>
        </is>
      </c>
      <c r="F1818" t="inlineStr">
        <is>
          <t>C0012</t>
        </is>
      </c>
      <c r="G1818" t="inlineStr">
        <is>
          <t>Kestrel Constructions Pty Ltd</t>
        </is>
      </c>
      <c r="H1818" t="inlineStr"/>
      <c r="I1818" t="inlineStr">
        <is>
          <t>Fence and make safe package - Job 2214</t>
        </is>
      </c>
      <c r="J1818" t="n">
        <v>1</v>
      </c>
      <c r="K1818" s="9" t="n">
        <v>927.28</v>
      </c>
      <c r="L1818" t="inlineStr">
        <is>
          <t>PAID</t>
        </is>
      </c>
      <c r="M1818">
        <f>IF(L1818="VOIDED",0,1)</f>
        <v>1</v>
      </c>
      <c r="N1818" t="n">
        <v>200</v>
      </c>
      <c r="O1818" t="inlineStr">
        <is>
          <t>GST on Income</t>
        </is>
      </c>
      <c r="P1818" t="inlineStr">
        <is>
          <t>R00</t>
        </is>
      </c>
      <c r="Q1818" t="inlineStr">
        <is>
          <t>REVIEW</t>
        </is>
      </c>
      <c r="R1818">
        <f>IF(OR(Q1818="CONTEXT",Q1818="REVIEW"),"",INDEX('Category Rules'!$D$5:$D$17,MATCH(P1818,'Category Rules'!$A$5:$A$17,0)))</f>
      </c>
      <c r="S1818">
        <f>IF(Q1818="CONTEXT","",IF(Q1818="REVIEW","",INDEX('Category Rules'!$E$5:$E$17,MATCH(P1818,'Category Rules'!$A$5:$A$17,0))))</f>
      </c>
      <c r="T1818" t="str">
        <f>IF(Q1818="DEP","BAS Excluded","GST on Income")</f>
        <v>GST on Income</v>
      </c>
      <c r="U1818">
        <f>IF(O1818=T1818,1,0)</f>
        <v>1</v>
      </c>
      <c r="V1818" s="9">
        <f>IF(OR(M1818=0,U1818=1),0,IF(T1818="GST on Income",ROUND(K1818*0.1,2),ROUND(-K1818*0.1,2)))</f>
        <v>0</v>
      </c>
    </row>
    <row r="1819">
      <c r="A1819" t="inlineStr">
        <is>
          <t>INV-4481-1</t>
        </is>
      </c>
      <c r="B1819" t="inlineStr">
        <is>
          <t>INV-4481</t>
        </is>
      </c>
      <c r="C1819" s="11" t="n">
        <v>46107</v>
      </c>
      <c r="D1819" t="inlineStr">
        <is>
          <t>2026-03</t>
        </is>
      </c>
      <c r="E1819" t="inlineStr">
        <is>
          <t>C0038</t>
        </is>
      </c>
      <c r="F1819" t="inlineStr">
        <is>
          <t>C0038</t>
        </is>
      </c>
      <c r="G1819" t="inlineStr">
        <is>
          <t>Cobalt Constructions Pty Ltd</t>
        </is>
      </c>
      <c r="H1819" t="inlineStr">
        <is>
          <t>S0078</t>
        </is>
      </c>
      <c r="I1819" t="inlineStr">
        <is>
          <t>Delivery and installation - temporary fencing</t>
        </is>
      </c>
      <c r="J1819" t="n">
        <v>1</v>
      </c>
      <c r="K1819" s="9" t="n">
        <v>165</v>
      </c>
      <c r="L1819" t="inlineStr">
        <is>
          <t>PAID</t>
        </is>
      </c>
      <c r="M1819">
        <f>IF(L1819="VOIDED",0,1)</f>
        <v>1</v>
      </c>
      <c r="N1819" t="n">
        <v>200</v>
      </c>
      <c r="O1819" t="inlineStr">
        <is>
          <t>GST on Income</t>
        </is>
      </c>
      <c r="P1819" t="inlineStr">
        <is>
          <t>R07</t>
        </is>
      </c>
      <c r="Q1819" t="inlineStr">
        <is>
          <t>DEL-FP</t>
        </is>
      </c>
      <c r="R1819">
        <f>IF(OR(Q1819="CONTEXT",Q1819="REVIEW"),"",INDEX('Category Rules'!$D$5:$D$17,MATCH(P1819,'Category Rules'!$A$5:$A$17,0)))</f>
        <v>4020</v>
      </c>
      <c r="S1819" t="str">
        <f>IF(Q1819="CONTEXT","Fencing",IF(Q1819="REVIEW","",INDEX('Category Rules'!$E$5:$E$17,MATCH(P1819,'Category Rules'!$A$5:$A$17,0))))</f>
        <v>Fencing</v>
      </c>
      <c r="T1819" t="str">
        <f>IF(Q1819="DEP","BAS Excluded","GST on Income")</f>
        <v>GST on Income</v>
      </c>
      <c r="U1819">
        <f>IF(O1819=T1819,1,0)</f>
        <v>1</v>
      </c>
      <c r="V1819" s="9">
        <f>IF(OR(M1819=0,U1819=1),0,IF(T1819="GST on Income",ROUND(K1819*0.1,2),ROUND(-K1819*0.1,2)))</f>
        <v>0</v>
      </c>
    </row>
    <row r="1820">
      <c r="A1820" t="inlineStr">
        <is>
          <t>INV-4481-2</t>
        </is>
      </c>
      <c r="B1820" t="inlineStr">
        <is>
          <t>INV-4481</t>
        </is>
      </c>
      <c r="C1820" s="11" t="n">
        <v>46107</v>
      </c>
      <c r="D1820" t="inlineStr">
        <is>
          <t>2026-03</t>
        </is>
      </c>
      <c r="E1820" t="inlineStr">
        <is>
          <t>C0038</t>
        </is>
      </c>
      <c r="F1820" t="inlineStr">
        <is>
          <t>C0038</t>
        </is>
      </c>
      <c r="G1820" t="inlineStr">
        <is>
          <t>Cobalt Constructions Pty Ltd</t>
        </is>
      </c>
      <c r="H1820" t="inlineStr">
        <is>
          <t>S0078</t>
        </is>
      </c>
      <c r="I1820" t="inlineStr">
        <is>
          <t>Installation labour - 145 panels @ 2.20</t>
        </is>
      </c>
      <c r="J1820" t="n">
        <v>145</v>
      </c>
      <c r="K1820" s="9" t="n">
        <v>319</v>
      </c>
      <c r="L1820" t="inlineStr">
        <is>
          <t>PAID</t>
        </is>
      </c>
      <c r="M1820">
        <f>IF(L1820="VOIDED",0,1)</f>
        <v>1</v>
      </c>
      <c r="N1820" t="n">
        <v>200</v>
      </c>
      <c r="O1820" t="inlineStr">
        <is>
          <t>GST on Income</t>
        </is>
      </c>
      <c r="P1820" t="inlineStr">
        <is>
          <t>R07</t>
        </is>
      </c>
      <c r="Q1820" t="inlineStr">
        <is>
          <t>DEL-FP</t>
        </is>
      </c>
      <c r="R1820">
        <f>IF(OR(Q1820="CONTEXT",Q1820="REVIEW"),"",INDEX('Category Rules'!$D$5:$D$17,MATCH(P1820,'Category Rules'!$A$5:$A$17,0)))</f>
        <v>4020</v>
      </c>
      <c r="S1820" t="str">
        <f>IF(Q1820="CONTEXT","Fencing",IF(Q1820="REVIEW","",INDEX('Category Rules'!$E$5:$E$17,MATCH(P1820,'Category Rules'!$A$5:$A$17,0))))</f>
        <v>Fencing</v>
      </c>
      <c r="T1820" t="str">
        <f>IF(Q1820="DEP","BAS Excluded","GST on Income")</f>
        <v>GST on Income</v>
      </c>
      <c r="U1820">
        <f>IF(O1820=T1820,1,0)</f>
        <v>1</v>
      </c>
      <c r="V1820" s="9">
        <f>IF(OR(M1820=0,U1820=1),0,IF(T1820="GST on Income",ROUND(K1820*0.1,2),ROUND(-K1820*0.1,2)))</f>
        <v>0</v>
      </c>
    </row>
    <row r="1821">
      <c r="A1821" t="inlineStr">
        <is>
          <t>INV-4540-1</t>
        </is>
      </c>
      <c r="B1821" t="inlineStr">
        <is>
          <t>INV-4540</t>
        </is>
      </c>
      <c r="C1821" s="11" t="n">
        <v>46107</v>
      </c>
      <c r="D1821" t="inlineStr">
        <is>
          <t>2026-03</t>
        </is>
      </c>
      <c r="E1821" t="inlineStr">
        <is>
          <t>C0073</t>
        </is>
      </c>
      <c r="F1821" t="inlineStr">
        <is>
          <t>C0073</t>
        </is>
      </c>
      <c r="G1821" t="inlineStr">
        <is>
          <t>Juniper Festivals</t>
        </is>
      </c>
      <c r="H1821" t="inlineStr">
        <is>
          <t>S0088</t>
        </is>
      </c>
      <c r="I1821" t="inlineStr">
        <is>
          <t>Delivery and installation - temporary fencing</t>
        </is>
      </c>
      <c r="J1821" t="n">
        <v>1</v>
      </c>
      <c r="K1821" s="9" t="n">
        <v>165</v>
      </c>
      <c r="L1821" t="inlineStr">
        <is>
          <t>PAID</t>
        </is>
      </c>
      <c r="M1821">
        <f>IF(L1821="VOIDED",0,1)</f>
        <v>1</v>
      </c>
      <c r="N1821" t="n">
        <v>200</v>
      </c>
      <c r="O1821" t="inlineStr">
        <is>
          <t>GST on Income</t>
        </is>
      </c>
      <c r="P1821" t="inlineStr">
        <is>
          <t>R07</t>
        </is>
      </c>
      <c r="Q1821" t="inlineStr">
        <is>
          <t>DEL-FP</t>
        </is>
      </c>
      <c r="R1821">
        <f>IF(OR(Q1821="CONTEXT",Q1821="REVIEW"),"",INDEX('Category Rules'!$D$5:$D$17,MATCH(P1821,'Category Rules'!$A$5:$A$17,0)))</f>
        <v>4020</v>
      </c>
      <c r="S1821" t="str">
        <f>IF(Q1821="CONTEXT","Fencing",IF(Q1821="REVIEW","",INDEX('Category Rules'!$E$5:$E$17,MATCH(P1821,'Category Rules'!$A$5:$A$17,0))))</f>
        <v>Fencing</v>
      </c>
      <c r="T1821" t="str">
        <f>IF(Q1821="DEP","BAS Excluded","GST on Income")</f>
        <v>GST on Income</v>
      </c>
      <c r="U1821">
        <f>IF(O1821=T1821,1,0)</f>
        <v>1</v>
      </c>
      <c r="V1821" s="9">
        <f>IF(OR(M1821=0,U1821=1),0,IF(T1821="GST on Income",ROUND(K1821*0.1,2),ROUND(-K1821*0.1,2)))</f>
        <v>0</v>
      </c>
    </row>
    <row r="1822">
      <c r="A1822" t="inlineStr">
        <is>
          <t>INV-4540-2</t>
        </is>
      </c>
      <c r="B1822" t="inlineStr">
        <is>
          <t>INV-4540</t>
        </is>
      </c>
      <c r="C1822" s="11" t="n">
        <v>46107</v>
      </c>
      <c r="D1822" t="inlineStr">
        <is>
          <t>2026-03</t>
        </is>
      </c>
      <c r="E1822" t="inlineStr">
        <is>
          <t>C0073</t>
        </is>
      </c>
      <c r="F1822" t="inlineStr">
        <is>
          <t>C0073</t>
        </is>
      </c>
      <c r="G1822" t="inlineStr">
        <is>
          <t>Juniper Festivals</t>
        </is>
      </c>
      <c r="H1822" t="inlineStr">
        <is>
          <t>S0088</t>
        </is>
      </c>
      <c r="I1822" t="inlineStr">
        <is>
          <t>Installation labour - 44 panels @ 2.20</t>
        </is>
      </c>
      <c r="J1822" t="n">
        <v>44</v>
      </c>
      <c r="K1822" s="9" t="n">
        <v>96.8</v>
      </c>
      <c r="L1822" t="inlineStr">
        <is>
          <t>PAID</t>
        </is>
      </c>
      <c r="M1822">
        <f>IF(L1822="VOIDED",0,1)</f>
        <v>1</v>
      </c>
      <c r="N1822" t="n">
        <v>200</v>
      </c>
      <c r="O1822" t="inlineStr">
        <is>
          <t>GST on Income</t>
        </is>
      </c>
      <c r="P1822" t="inlineStr">
        <is>
          <t>R07</t>
        </is>
      </c>
      <c r="Q1822" t="inlineStr">
        <is>
          <t>DEL-FP</t>
        </is>
      </c>
      <c r="R1822">
        <f>IF(OR(Q1822="CONTEXT",Q1822="REVIEW"),"",INDEX('Category Rules'!$D$5:$D$17,MATCH(P1822,'Category Rules'!$A$5:$A$17,0)))</f>
        <v>4020</v>
      </c>
      <c r="S1822" t="str">
        <f>IF(Q1822="CONTEXT","Fencing",IF(Q1822="REVIEW","",INDEX('Category Rules'!$E$5:$E$17,MATCH(P1822,'Category Rules'!$A$5:$A$17,0))))</f>
        <v>Fencing</v>
      </c>
      <c r="T1822" t="str">
        <f>IF(Q1822="DEP","BAS Excluded","GST on Income")</f>
        <v>GST on Income</v>
      </c>
      <c r="U1822">
        <f>IF(O1822=T1822,1,0)</f>
        <v>1</v>
      </c>
      <c r="V1822" s="9">
        <f>IF(OR(M1822=0,U1822=1),0,IF(T1822="GST on Income",ROUND(K1822*0.1,2),ROUND(-K1822*0.1,2)))</f>
        <v>0</v>
      </c>
    </row>
    <row r="1823">
      <c r="A1823" t="inlineStr">
        <is>
          <t>INV-4867-1</t>
        </is>
      </c>
      <c r="B1823" t="inlineStr">
        <is>
          <t>INV-4867</t>
        </is>
      </c>
      <c r="C1823" s="11" t="n">
        <v>46107</v>
      </c>
      <c r="D1823" t="inlineStr">
        <is>
          <t>2026-03</t>
        </is>
      </c>
      <c r="E1823" t="inlineStr">
        <is>
          <t>C0022</t>
        </is>
      </c>
      <c r="F1823" t="inlineStr">
        <is>
          <t>C0022</t>
        </is>
      </c>
      <c r="G1823" t="inlineStr">
        <is>
          <t>Highpoint Projects</t>
        </is>
      </c>
      <c r="H1823" t="inlineStr">
        <is>
          <t>S0162</t>
        </is>
      </c>
      <c r="I1823" t="inlineStr">
        <is>
          <t>Temporary fence hire 4 wks (26/02/26-25/03/26) - 39 panels</t>
        </is>
      </c>
      <c r="J1823" t="n">
        <v>156</v>
      </c>
      <c r="K1823" s="9" t="n">
        <v>702</v>
      </c>
      <c r="L1823" t="inlineStr">
        <is>
          <t>PAID</t>
        </is>
      </c>
      <c r="M1823">
        <f>IF(L1823="VOIDED",0,1)</f>
        <v>1</v>
      </c>
      <c r="N1823" t="n">
        <v>200</v>
      </c>
      <c r="O1823" t="inlineStr">
        <is>
          <t>GST on Income</t>
        </is>
      </c>
      <c r="P1823" t="inlineStr">
        <is>
          <t>R03</t>
        </is>
      </c>
      <c r="Q1823" t="inlineStr">
        <is>
          <t>HIRE-FP</t>
        </is>
      </c>
      <c r="R1823">
        <f>IF(OR(Q1823="CONTEXT",Q1823="REVIEW"),"",INDEX('Category Rules'!$D$5:$D$17,MATCH(P1823,'Category Rules'!$A$5:$A$17,0)))</f>
        <v>4010</v>
      </c>
      <c r="S1823" t="str">
        <f>IF(Q1823="CONTEXT","Fencing",IF(Q1823="REVIEW","",INDEX('Category Rules'!$E$5:$E$17,MATCH(P1823,'Category Rules'!$A$5:$A$17,0))))</f>
        <v>Fencing</v>
      </c>
      <c r="T1823" t="str">
        <f>IF(Q1823="DEP","BAS Excluded","GST on Income")</f>
        <v>GST on Income</v>
      </c>
      <c r="U1823">
        <f>IF(O1823=T1823,1,0)</f>
        <v>1</v>
      </c>
      <c r="V1823" s="9">
        <f>IF(OR(M1823=0,U1823=1),0,IF(T1823="GST on Income",ROUND(K1823*0.1,2),ROUND(-K1823*0.1,2)))</f>
        <v>0</v>
      </c>
    </row>
    <row r="1824">
      <c r="A1824" t="inlineStr">
        <is>
          <t>INV-5592-1</t>
        </is>
      </c>
      <c r="B1824" t="inlineStr">
        <is>
          <t>INV-5592</t>
        </is>
      </c>
      <c r="C1824" s="11" t="n">
        <v>46107</v>
      </c>
      <c r="D1824" t="inlineStr">
        <is>
          <t>2026-03</t>
        </is>
      </c>
      <c r="E1824" t="inlineStr">
        <is>
          <t>C0066</t>
        </is>
      </c>
      <c r="F1824" t="inlineStr">
        <is>
          <t>C0066</t>
        </is>
      </c>
      <c r="G1824" t="inlineStr">
        <is>
          <t>Northgate Insurance Repairs</t>
        </is>
      </c>
      <c r="H1824" t="inlineStr">
        <is>
          <t>S0376</t>
        </is>
      </c>
      <c r="I1824" t="inlineStr">
        <is>
          <t>Make safe call-out</t>
        </is>
      </c>
      <c r="J1824" t="n">
        <v>1</v>
      </c>
      <c r="K1824" s="9" t="n">
        <v>385</v>
      </c>
      <c r="L1824" t="inlineStr">
        <is>
          <t>PAID</t>
        </is>
      </c>
      <c r="M1824">
        <f>IF(L1824="VOIDED",0,1)</f>
        <v>1</v>
      </c>
      <c r="N1824" t="n">
        <v>200</v>
      </c>
      <c r="O1824" t="inlineStr">
        <is>
          <t>GST on Income</t>
        </is>
      </c>
      <c r="P1824" t="inlineStr">
        <is>
          <t>R09</t>
        </is>
      </c>
      <c r="Q1824" t="inlineStr">
        <is>
          <t>MS</t>
        </is>
      </c>
      <c r="R1824">
        <f>IF(OR(Q1824="CONTEXT",Q1824="REVIEW"),"",INDEX('Category Rules'!$D$5:$D$17,MATCH(P1824,'Category Rules'!$A$5:$A$17,0)))</f>
        <v>4020</v>
      </c>
      <c r="S1824" t="str">
        <f>IF(Q1824="CONTEXT","Make-safe",IF(Q1824="REVIEW","",INDEX('Category Rules'!$E$5:$E$17,MATCH(P1824,'Category Rules'!$A$5:$A$17,0))))</f>
        <v>Make-safe</v>
      </c>
      <c r="T1824" t="str">
        <f>IF(Q1824="DEP","BAS Excluded","GST on Income")</f>
        <v>GST on Income</v>
      </c>
      <c r="U1824">
        <f>IF(O1824=T1824,1,0)</f>
        <v>1</v>
      </c>
      <c r="V1824" s="9">
        <f>IF(OR(M1824=0,U1824=1),0,IF(T1824="GST on Income",ROUND(K1824*0.1,2),ROUND(-K1824*0.1,2)))</f>
        <v>0</v>
      </c>
    </row>
    <row r="1825">
      <c r="A1825" t="inlineStr">
        <is>
          <t>INV-5592-2</t>
        </is>
      </c>
      <c r="B1825" t="inlineStr">
        <is>
          <t>INV-5592</t>
        </is>
      </c>
      <c r="C1825" s="11" t="n">
        <v>46107</v>
      </c>
      <c r="D1825" t="inlineStr">
        <is>
          <t>2026-03</t>
        </is>
      </c>
      <c r="E1825" t="inlineStr">
        <is>
          <t>C0066</t>
        </is>
      </c>
      <c r="F1825" t="inlineStr">
        <is>
          <t>C0066</t>
        </is>
      </c>
      <c r="G1825" t="inlineStr">
        <is>
          <t>Northgate Insurance Repairs</t>
        </is>
      </c>
      <c r="H1825" t="inlineStr">
        <is>
          <t>S0376</t>
        </is>
      </c>
      <c r="I1825" t="inlineStr">
        <is>
          <t>Tarp supply and install - 1 tarp(s)</t>
        </is>
      </c>
      <c r="J1825" t="n">
        <v>1</v>
      </c>
      <c r="K1825" s="9" t="n">
        <v>240</v>
      </c>
      <c r="L1825" t="inlineStr">
        <is>
          <t>PAID</t>
        </is>
      </c>
      <c r="M1825">
        <f>IF(L1825="VOIDED",0,1)</f>
        <v>1</v>
      </c>
      <c r="N1825" t="n">
        <v>200</v>
      </c>
      <c r="O1825" t="inlineStr">
        <is>
          <t>GST on Income</t>
        </is>
      </c>
      <c r="P1825" t="inlineStr">
        <is>
          <t>R09</t>
        </is>
      </c>
      <c r="Q1825" t="inlineStr">
        <is>
          <t>MS</t>
        </is>
      </c>
      <c r="R1825">
        <f>IF(OR(Q1825="CONTEXT",Q1825="REVIEW"),"",INDEX('Category Rules'!$D$5:$D$17,MATCH(P1825,'Category Rules'!$A$5:$A$17,0)))</f>
        <v>4020</v>
      </c>
      <c r="S1825" t="str">
        <f>IF(Q1825="CONTEXT","Make-safe",IF(Q1825="REVIEW","",INDEX('Category Rules'!$E$5:$E$17,MATCH(P1825,'Category Rules'!$A$5:$A$17,0))))</f>
        <v>Make-safe</v>
      </c>
      <c r="T1825" t="str">
        <f>IF(Q1825="DEP","BAS Excluded","GST on Income")</f>
        <v>GST on Income</v>
      </c>
      <c r="U1825">
        <f>IF(O1825=T1825,1,0)</f>
        <v>1</v>
      </c>
      <c r="V1825" s="9">
        <f>IF(OR(M1825=0,U1825=1),0,IF(T1825="GST on Income",ROUND(K1825*0.1,2),ROUND(-K1825*0.1,2)))</f>
        <v>0</v>
      </c>
    </row>
    <row r="1826">
      <c r="A1826" t="inlineStr">
        <is>
          <t>INV-5266-1</t>
        </is>
      </c>
      <c r="B1826" t="inlineStr">
        <is>
          <t>INV-5266</t>
        </is>
      </c>
      <c r="C1826" s="11" t="n">
        <v>46108</v>
      </c>
      <c r="D1826" t="inlineStr">
        <is>
          <t>2026-03</t>
        </is>
      </c>
      <c r="E1826" t="inlineStr">
        <is>
          <t>C0044</t>
        </is>
      </c>
      <c r="F1826" t="inlineStr">
        <is>
          <t>C0044</t>
        </is>
      </c>
      <c r="G1826" t="inlineStr">
        <is>
          <t>Granite Constructions</t>
        </is>
      </c>
      <c r="H1826" t="inlineStr">
        <is>
          <t>S0251</t>
        </is>
      </c>
      <c r="I1826" t="inlineStr">
        <is>
          <t>Scaffold tower hire 4 wks (27/02/26-26/03/26) - 1 towers</t>
        </is>
      </c>
      <c r="J1826" t="n">
        <v>4</v>
      </c>
      <c r="K1826" s="9" t="n">
        <v>380</v>
      </c>
      <c r="L1826" t="inlineStr">
        <is>
          <t>PAID</t>
        </is>
      </c>
      <c r="M1826">
        <f>IF(L1826="VOIDED",0,1)</f>
        <v>1</v>
      </c>
      <c r="N1826" t="n">
        <v>200</v>
      </c>
      <c r="O1826" t="inlineStr">
        <is>
          <t>GST on Income</t>
        </is>
      </c>
      <c r="P1826" t="inlineStr">
        <is>
          <t>R05</t>
        </is>
      </c>
      <c r="Q1826" t="inlineStr">
        <is>
          <t>HIRE-ST</t>
        </is>
      </c>
      <c r="R1826">
        <f>IF(OR(Q1826="CONTEXT",Q1826="REVIEW"),"",INDEX('Category Rules'!$D$5:$D$17,MATCH(P1826,'Category Rules'!$A$5:$A$17,0)))</f>
        <v>4010</v>
      </c>
      <c r="S1826" t="str">
        <f>IF(Q1826="CONTEXT","Scaffolding",IF(Q1826="REVIEW","",INDEX('Category Rules'!$E$5:$E$17,MATCH(P1826,'Category Rules'!$A$5:$A$17,0))))</f>
        <v>Scaffolding</v>
      </c>
      <c r="T1826" t="str">
        <f>IF(Q1826="DEP","BAS Excluded","GST on Income")</f>
        <v>GST on Income</v>
      </c>
      <c r="U1826">
        <f>IF(O1826=T1826,1,0)</f>
        <v>1</v>
      </c>
      <c r="V1826" s="9">
        <f>IF(OR(M1826=0,U1826=1),0,IF(T1826="GST on Income",ROUND(K1826*0.1,2),ROUND(-K1826*0.1,2)))</f>
        <v>0</v>
      </c>
    </row>
    <row r="1827">
      <c r="A1827" t="inlineStr">
        <is>
          <t>INV-5666-1</t>
        </is>
      </c>
      <c r="B1827" t="inlineStr">
        <is>
          <t>INV-5666</t>
        </is>
      </c>
      <c r="C1827" s="11" t="n">
        <v>46108</v>
      </c>
      <c r="D1827" t="inlineStr">
        <is>
          <t>2026-03</t>
        </is>
      </c>
      <c r="E1827" t="inlineStr">
        <is>
          <t>C0121</t>
        </is>
      </c>
      <c r="F1827" t="inlineStr">
        <is>
          <t>C0121</t>
        </is>
      </c>
      <c r="G1827" t="inlineStr">
        <is>
          <t>Bluegum Constructions</t>
        </is>
      </c>
      <c r="H1827" t="inlineStr">
        <is>
          <t>S0415</t>
        </is>
      </c>
      <c r="I1827" t="inlineStr">
        <is>
          <t>Emergency make safe call-out - after hours</t>
        </is>
      </c>
      <c r="J1827" t="n">
        <v>1</v>
      </c>
      <c r="K1827" s="9" t="n">
        <v>560</v>
      </c>
      <c r="L1827" t="inlineStr">
        <is>
          <t>PAID</t>
        </is>
      </c>
      <c r="M1827">
        <f>IF(L1827="VOIDED",0,1)</f>
        <v>1</v>
      </c>
      <c r="N1827" t="n">
        <v>200</v>
      </c>
      <c r="O1827" t="inlineStr">
        <is>
          <t>GST on Income</t>
        </is>
      </c>
      <c r="P1827" t="inlineStr">
        <is>
          <t>R09</t>
        </is>
      </c>
      <c r="Q1827" t="inlineStr">
        <is>
          <t>MS</t>
        </is>
      </c>
      <c r="R1827">
        <f>IF(OR(Q1827="CONTEXT",Q1827="REVIEW"),"",INDEX('Category Rules'!$D$5:$D$17,MATCH(P1827,'Category Rules'!$A$5:$A$17,0)))</f>
        <v>4020</v>
      </c>
      <c r="S1827" t="str">
        <f>IF(Q1827="CONTEXT","Make-safe",IF(Q1827="REVIEW","",INDEX('Category Rules'!$E$5:$E$17,MATCH(P1827,'Category Rules'!$A$5:$A$17,0))))</f>
        <v>Make-safe</v>
      </c>
      <c r="T1827" t="str">
        <f>IF(Q1827="DEP","BAS Excluded","GST on Income")</f>
        <v>GST on Income</v>
      </c>
      <c r="U1827">
        <f>IF(O1827=T1827,1,0)</f>
        <v>1</v>
      </c>
      <c r="V1827" s="9">
        <f>IF(OR(M1827=0,U1827=1),0,IF(T1827="GST on Income",ROUND(K1827*0.1,2),ROUND(-K1827*0.1,2)))</f>
        <v>0</v>
      </c>
    </row>
    <row r="1828">
      <c r="A1828" t="inlineStr">
        <is>
          <t>INV-5666-2</t>
        </is>
      </c>
      <c r="B1828" t="inlineStr">
        <is>
          <t>INV-5666</t>
        </is>
      </c>
      <c r="C1828" s="11" t="n">
        <v>46108</v>
      </c>
      <c r="D1828" t="inlineStr">
        <is>
          <t>2026-03</t>
        </is>
      </c>
      <c r="E1828" t="inlineStr">
        <is>
          <t>C0121</t>
        </is>
      </c>
      <c r="F1828" t="inlineStr">
        <is>
          <t>C0121</t>
        </is>
      </c>
      <c r="G1828" t="inlineStr">
        <is>
          <t>Bluegum Constructions</t>
        </is>
      </c>
      <c r="H1828" t="inlineStr">
        <is>
          <t>S0415</t>
        </is>
      </c>
      <c r="I1828" t="inlineStr">
        <is>
          <t>Tarp supply and install - 2 tarp(s)</t>
        </is>
      </c>
      <c r="J1828" t="n">
        <v>2</v>
      </c>
      <c r="K1828" s="9" t="n">
        <v>480</v>
      </c>
      <c r="L1828" t="inlineStr">
        <is>
          <t>PAID</t>
        </is>
      </c>
      <c r="M1828">
        <f>IF(L1828="VOIDED",0,1)</f>
        <v>1</v>
      </c>
      <c r="N1828" t="n">
        <v>200</v>
      </c>
      <c r="O1828" t="inlineStr">
        <is>
          <t>GST on Income</t>
        </is>
      </c>
      <c r="P1828" t="inlineStr">
        <is>
          <t>R09</t>
        </is>
      </c>
      <c r="Q1828" t="inlineStr">
        <is>
          <t>MS</t>
        </is>
      </c>
      <c r="R1828">
        <f>IF(OR(Q1828="CONTEXT",Q1828="REVIEW"),"",INDEX('Category Rules'!$D$5:$D$17,MATCH(P1828,'Category Rules'!$A$5:$A$17,0)))</f>
        <v>4020</v>
      </c>
      <c r="S1828" t="str">
        <f>IF(Q1828="CONTEXT","Make-safe",IF(Q1828="REVIEW","",INDEX('Category Rules'!$E$5:$E$17,MATCH(P1828,'Category Rules'!$A$5:$A$17,0))))</f>
        <v>Make-safe</v>
      </c>
      <c r="T1828" t="str">
        <f>IF(Q1828="DEP","BAS Excluded","GST on Income")</f>
        <v>GST on Income</v>
      </c>
      <c r="U1828">
        <f>IF(O1828=T1828,1,0)</f>
        <v>1</v>
      </c>
      <c r="V1828" s="9">
        <f>IF(OR(M1828=0,U1828=1),0,IF(T1828="GST on Income",ROUND(K1828*0.1,2),ROUND(-K1828*0.1,2)))</f>
        <v>0</v>
      </c>
    </row>
    <row r="1829">
      <c r="A1829" t="inlineStr">
        <is>
          <t>INV-5710-1</t>
        </is>
      </c>
      <c r="B1829" t="inlineStr">
        <is>
          <t>INV-5710</t>
        </is>
      </c>
      <c r="C1829" s="11" t="n">
        <v>46108</v>
      </c>
      <c r="D1829" t="inlineStr">
        <is>
          <t>2026-03</t>
        </is>
      </c>
      <c r="E1829" t="inlineStr">
        <is>
          <t>C0133</t>
        </is>
      </c>
      <c r="F1829" t="inlineStr">
        <is>
          <t>C0014</t>
        </is>
      </c>
      <c r="G1829" t="inlineStr">
        <is>
          <t>Riverbend Homes Pty Ltd</t>
        </is>
      </c>
      <c r="H1829" t="inlineStr">
        <is>
          <t>S0440</t>
        </is>
      </c>
      <c r="I1829" t="inlineStr">
        <is>
          <t>Make safe call-out</t>
        </is>
      </c>
      <c r="J1829" t="n">
        <v>1</v>
      </c>
      <c r="K1829" s="9" t="n">
        <v>385</v>
      </c>
      <c r="L1829" t="inlineStr">
        <is>
          <t>PAID</t>
        </is>
      </c>
      <c r="M1829">
        <f>IF(L1829="VOIDED",0,1)</f>
        <v>1</v>
      </c>
      <c r="N1829" t="n">
        <v>200</v>
      </c>
      <c r="O1829" t="inlineStr">
        <is>
          <t>GST on Income</t>
        </is>
      </c>
      <c r="P1829" t="inlineStr">
        <is>
          <t>R09</t>
        </is>
      </c>
      <c r="Q1829" t="inlineStr">
        <is>
          <t>MS</t>
        </is>
      </c>
      <c r="R1829">
        <f>IF(OR(Q1829="CONTEXT",Q1829="REVIEW"),"",INDEX('Category Rules'!$D$5:$D$17,MATCH(P1829,'Category Rules'!$A$5:$A$17,0)))</f>
        <v>4020</v>
      </c>
      <c r="S1829" t="str">
        <f>IF(Q1829="CONTEXT","Make-safe",IF(Q1829="REVIEW","",INDEX('Category Rules'!$E$5:$E$17,MATCH(P1829,'Category Rules'!$A$5:$A$17,0))))</f>
        <v>Make-safe</v>
      </c>
      <c r="T1829" t="str">
        <f>IF(Q1829="DEP","BAS Excluded","GST on Income")</f>
        <v>GST on Income</v>
      </c>
      <c r="U1829">
        <f>IF(O1829=T1829,1,0)</f>
        <v>1</v>
      </c>
      <c r="V1829" s="9">
        <f>IF(OR(M1829=0,U1829=1),0,IF(T1829="GST on Income",ROUND(K1829*0.1,2),ROUND(-K1829*0.1,2)))</f>
        <v>0</v>
      </c>
    </row>
    <row r="1830">
      <c r="A1830" t="inlineStr">
        <is>
          <t>INV-5710-2</t>
        </is>
      </c>
      <c r="B1830" t="inlineStr">
        <is>
          <t>INV-5710</t>
        </is>
      </c>
      <c r="C1830" s="11" t="n">
        <v>46108</v>
      </c>
      <c r="D1830" t="inlineStr">
        <is>
          <t>2026-03</t>
        </is>
      </c>
      <c r="E1830" t="inlineStr">
        <is>
          <t>C0133</t>
        </is>
      </c>
      <c r="F1830" t="inlineStr">
        <is>
          <t>C0014</t>
        </is>
      </c>
      <c r="G1830" t="inlineStr">
        <is>
          <t>Riverbend Homes Pty Ltd</t>
        </is>
      </c>
      <c r="H1830" t="inlineStr">
        <is>
          <t>S0440</t>
        </is>
      </c>
      <c r="I1830" t="inlineStr">
        <is>
          <t>Tarp supply and install - 2 tarp(s)</t>
        </is>
      </c>
      <c r="J1830" t="n">
        <v>2</v>
      </c>
      <c r="K1830" s="9" t="n">
        <v>480</v>
      </c>
      <c r="L1830" t="inlineStr">
        <is>
          <t>PAID</t>
        </is>
      </c>
      <c r="M1830">
        <f>IF(L1830="VOIDED",0,1)</f>
        <v>1</v>
      </c>
      <c r="N1830" t="n">
        <v>200</v>
      </c>
      <c r="O1830" t="inlineStr">
        <is>
          <t>GST on Income</t>
        </is>
      </c>
      <c r="P1830" t="inlineStr">
        <is>
          <t>R09</t>
        </is>
      </c>
      <c r="Q1830" t="inlineStr">
        <is>
          <t>MS</t>
        </is>
      </c>
      <c r="R1830">
        <f>IF(OR(Q1830="CONTEXT",Q1830="REVIEW"),"",INDEX('Category Rules'!$D$5:$D$17,MATCH(P1830,'Category Rules'!$A$5:$A$17,0)))</f>
        <v>4020</v>
      </c>
      <c r="S1830" t="str">
        <f>IF(Q1830="CONTEXT","Make-safe",IF(Q1830="REVIEW","",INDEX('Category Rules'!$E$5:$E$17,MATCH(P1830,'Category Rules'!$A$5:$A$17,0))))</f>
        <v>Make-safe</v>
      </c>
      <c r="T1830" t="str">
        <f>IF(Q1830="DEP","BAS Excluded","GST on Income")</f>
        <v>GST on Income</v>
      </c>
      <c r="U1830">
        <f>IF(O1830=T1830,1,0)</f>
        <v>1</v>
      </c>
      <c r="V1830" s="9">
        <f>IF(OR(M1830=0,U1830=1),0,IF(T1830="GST on Income",ROUND(K1830*0.1,2),ROUND(-K1830*0.1,2)))</f>
        <v>0</v>
      </c>
    </row>
    <row r="1831">
      <c r="A1831" t="inlineStr">
        <is>
          <t>INV-4379-1</t>
        </is>
      </c>
      <c r="B1831" t="inlineStr">
        <is>
          <t>INV-4379</t>
        </is>
      </c>
      <c r="C1831" s="11" t="n">
        <v>46109</v>
      </c>
      <c r="D1831" t="inlineStr">
        <is>
          <t>2026-03</t>
        </is>
      </c>
      <c r="E1831" t="inlineStr">
        <is>
          <t>C0022</t>
        </is>
      </c>
      <c r="F1831" t="inlineStr">
        <is>
          <t>C0022</t>
        </is>
      </c>
      <c r="G1831" t="inlineStr">
        <is>
          <t>Highpoint Projects</t>
        </is>
      </c>
      <c r="H1831" t="inlineStr">
        <is>
          <t>S0057</t>
        </is>
      </c>
      <c r="I1831" t="inlineStr">
        <is>
          <t>Temporary fence hire 4 wks (28/02/26-27/03/26) - 133 panels</t>
        </is>
      </c>
      <c r="J1831" t="n">
        <v>532</v>
      </c>
      <c r="K1831" s="9" t="n">
        <v>2394</v>
      </c>
      <c r="L1831" t="inlineStr">
        <is>
          <t>PAID</t>
        </is>
      </c>
      <c r="M1831">
        <f>IF(L1831="VOIDED",0,1)</f>
        <v>1</v>
      </c>
      <c r="N1831" t="n">
        <v>200</v>
      </c>
      <c r="O1831" t="inlineStr">
        <is>
          <t>GST on Income</t>
        </is>
      </c>
      <c r="P1831" t="inlineStr">
        <is>
          <t>R03</t>
        </is>
      </c>
      <c r="Q1831" t="inlineStr">
        <is>
          <t>HIRE-FP</t>
        </is>
      </c>
      <c r="R1831">
        <f>IF(OR(Q1831="CONTEXT",Q1831="REVIEW"),"",INDEX('Category Rules'!$D$5:$D$17,MATCH(P1831,'Category Rules'!$A$5:$A$17,0)))</f>
        <v>4010</v>
      </c>
      <c r="S1831" t="str">
        <f>IF(Q1831="CONTEXT","Fencing",IF(Q1831="REVIEW","",INDEX('Category Rules'!$E$5:$E$17,MATCH(P1831,'Category Rules'!$A$5:$A$17,0))))</f>
        <v>Fencing</v>
      </c>
      <c r="T1831" t="str">
        <f>IF(Q1831="DEP","BAS Excluded","GST on Income")</f>
        <v>GST on Income</v>
      </c>
      <c r="U1831">
        <f>IF(O1831=T1831,1,0)</f>
        <v>1</v>
      </c>
      <c r="V1831" s="9">
        <f>IF(OR(M1831=0,U1831=1),0,IF(T1831="GST on Income",ROUND(K1831*0.1,2),ROUND(-K1831*0.1,2)))</f>
        <v>0</v>
      </c>
    </row>
    <row r="1832">
      <c r="A1832" t="inlineStr">
        <is>
          <t>INV-4453-1</t>
        </is>
      </c>
      <c r="B1832" t="inlineStr">
        <is>
          <t>INV-4453</t>
        </is>
      </c>
      <c r="C1832" s="11" t="n">
        <v>46109</v>
      </c>
      <c r="D1832" t="inlineStr">
        <is>
          <t>2026-03</t>
        </is>
      </c>
      <c r="E1832" t="inlineStr">
        <is>
          <t>C0077</t>
        </is>
      </c>
      <c r="F1832" t="inlineStr">
        <is>
          <t>C0077</t>
        </is>
      </c>
      <c r="G1832" t="inlineStr">
        <is>
          <t>Corner Events Pty Ltd</t>
        </is>
      </c>
      <c r="H1832" t="inlineStr">
        <is>
          <t>S0071</t>
        </is>
      </c>
      <c r="I1832" t="inlineStr">
        <is>
          <t>Delivery and installation - temporary fencing</t>
        </is>
      </c>
      <c r="J1832" t="n">
        <v>1</v>
      </c>
      <c r="K1832" s="9" t="n">
        <v>165</v>
      </c>
      <c r="L1832" t="inlineStr">
        <is>
          <t>PAID</t>
        </is>
      </c>
      <c r="M1832">
        <f>IF(L1832="VOIDED",0,1)</f>
        <v>1</v>
      </c>
      <c r="N1832" t="n">
        <v>200</v>
      </c>
      <c r="O1832" t="inlineStr">
        <is>
          <t>GST on Income</t>
        </is>
      </c>
      <c r="P1832" t="inlineStr">
        <is>
          <t>R07</t>
        </is>
      </c>
      <c r="Q1832" t="inlineStr">
        <is>
          <t>DEL-FP</t>
        </is>
      </c>
      <c r="R1832">
        <f>IF(OR(Q1832="CONTEXT",Q1832="REVIEW"),"",INDEX('Category Rules'!$D$5:$D$17,MATCH(P1832,'Category Rules'!$A$5:$A$17,0)))</f>
        <v>4020</v>
      </c>
      <c r="S1832" t="str">
        <f>IF(Q1832="CONTEXT","Fencing",IF(Q1832="REVIEW","",INDEX('Category Rules'!$E$5:$E$17,MATCH(P1832,'Category Rules'!$A$5:$A$17,0))))</f>
        <v>Fencing</v>
      </c>
      <c r="T1832" t="str">
        <f>IF(Q1832="DEP","BAS Excluded","GST on Income")</f>
        <v>GST on Income</v>
      </c>
      <c r="U1832">
        <f>IF(O1832=T1832,1,0)</f>
        <v>1</v>
      </c>
      <c r="V1832" s="9">
        <f>IF(OR(M1832=0,U1832=1),0,IF(T1832="GST on Income",ROUND(K1832*0.1,2),ROUND(-K1832*0.1,2)))</f>
        <v>0</v>
      </c>
    </row>
    <row r="1833">
      <c r="A1833" t="inlineStr">
        <is>
          <t>INV-4453-2</t>
        </is>
      </c>
      <c r="B1833" t="inlineStr">
        <is>
          <t>INV-4453</t>
        </is>
      </c>
      <c r="C1833" s="11" t="n">
        <v>46109</v>
      </c>
      <c r="D1833" t="inlineStr">
        <is>
          <t>2026-03</t>
        </is>
      </c>
      <c r="E1833" t="inlineStr">
        <is>
          <t>C0077</t>
        </is>
      </c>
      <c r="F1833" t="inlineStr">
        <is>
          <t>C0077</t>
        </is>
      </c>
      <c r="G1833" t="inlineStr">
        <is>
          <t>Corner Events Pty Ltd</t>
        </is>
      </c>
      <c r="H1833" t="inlineStr">
        <is>
          <t>S0071</t>
        </is>
      </c>
      <c r="I1833" t="inlineStr">
        <is>
          <t>Installation labour - 82 panels @ 2.20</t>
        </is>
      </c>
      <c r="J1833" t="n">
        <v>82</v>
      </c>
      <c r="K1833" s="9" t="n">
        <v>180.4</v>
      </c>
      <c r="L1833" t="inlineStr">
        <is>
          <t>PAID</t>
        </is>
      </c>
      <c r="M1833">
        <f>IF(L1833="VOIDED",0,1)</f>
        <v>1</v>
      </c>
      <c r="N1833" t="n">
        <v>200</v>
      </c>
      <c r="O1833" t="inlineStr">
        <is>
          <t>GST on Income</t>
        </is>
      </c>
      <c r="P1833" t="inlineStr">
        <is>
          <t>R07</t>
        </is>
      </c>
      <c r="Q1833" t="inlineStr">
        <is>
          <t>DEL-FP</t>
        </is>
      </c>
      <c r="R1833">
        <f>IF(OR(Q1833="CONTEXT",Q1833="REVIEW"),"",INDEX('Category Rules'!$D$5:$D$17,MATCH(P1833,'Category Rules'!$A$5:$A$17,0)))</f>
        <v>4020</v>
      </c>
      <c r="S1833" t="str">
        <f>IF(Q1833="CONTEXT","Fencing",IF(Q1833="REVIEW","",INDEX('Category Rules'!$E$5:$E$17,MATCH(P1833,'Category Rules'!$A$5:$A$17,0))))</f>
        <v>Fencing</v>
      </c>
      <c r="T1833" t="str">
        <f>IF(Q1833="DEP","BAS Excluded","GST on Income")</f>
        <v>GST on Income</v>
      </c>
      <c r="U1833">
        <f>IF(O1833=T1833,1,0)</f>
        <v>1</v>
      </c>
      <c r="V1833" s="9">
        <f>IF(OR(M1833=0,U1833=1),0,IF(T1833="GST on Income",ROUND(K1833*0.1,2),ROUND(-K1833*0.1,2)))</f>
        <v>0</v>
      </c>
    </row>
    <row r="1834">
      <c r="A1834" t="inlineStr">
        <is>
          <t>INV-4884-1</t>
        </is>
      </c>
      <c r="B1834" t="inlineStr">
        <is>
          <t>INV-4884</t>
        </is>
      </c>
      <c r="C1834" s="11" t="n">
        <v>46109</v>
      </c>
      <c r="D1834" t="inlineStr">
        <is>
          <t>2026-03</t>
        </is>
      </c>
      <c r="E1834" t="inlineStr">
        <is>
          <t>C0119</t>
        </is>
      </c>
      <c r="F1834" t="inlineStr">
        <is>
          <t>C0119</t>
        </is>
      </c>
      <c r="G1834" t="inlineStr">
        <is>
          <t>Northgate Builders Pty Ltd</t>
        </is>
      </c>
      <c r="H1834" t="inlineStr">
        <is>
          <t>S0165</t>
        </is>
      </c>
      <c r="I1834" t="inlineStr">
        <is>
          <t>Temporary fence hire 4 wks (28/02/26-27/03/26) - 140 panels</t>
        </is>
      </c>
      <c r="J1834" t="n">
        <v>560</v>
      </c>
      <c r="K1834" s="9" t="n">
        <v>2520</v>
      </c>
      <c r="L1834" t="inlineStr">
        <is>
          <t>PAID</t>
        </is>
      </c>
      <c r="M1834">
        <f>IF(L1834="VOIDED",0,1)</f>
        <v>1</v>
      </c>
      <c r="N1834" t="n">
        <v>200</v>
      </c>
      <c r="O1834" t="inlineStr">
        <is>
          <t>GST on Income</t>
        </is>
      </c>
      <c r="P1834" t="inlineStr">
        <is>
          <t>R03</t>
        </is>
      </c>
      <c r="Q1834" t="inlineStr">
        <is>
          <t>HIRE-FP</t>
        </is>
      </c>
      <c r="R1834">
        <f>IF(OR(Q1834="CONTEXT",Q1834="REVIEW"),"",INDEX('Category Rules'!$D$5:$D$17,MATCH(P1834,'Category Rules'!$A$5:$A$17,0)))</f>
        <v>4010</v>
      </c>
      <c r="S1834" t="str">
        <f>IF(Q1834="CONTEXT","Fencing",IF(Q1834="REVIEW","",INDEX('Category Rules'!$E$5:$E$17,MATCH(P1834,'Category Rules'!$A$5:$A$17,0))))</f>
        <v>Fencing</v>
      </c>
      <c r="T1834" t="str">
        <f>IF(Q1834="DEP","BAS Excluded","GST on Income")</f>
        <v>GST on Income</v>
      </c>
      <c r="U1834">
        <f>IF(O1834=T1834,1,0)</f>
        <v>1</v>
      </c>
      <c r="V1834" s="9">
        <f>IF(OR(M1834=0,U1834=1),0,IF(T1834="GST on Income",ROUND(K1834*0.1,2),ROUND(-K1834*0.1,2)))</f>
        <v>0</v>
      </c>
    </row>
    <row r="1835">
      <c r="A1835" t="inlineStr">
        <is>
          <t>INV-5169-1</t>
        </is>
      </c>
      <c r="B1835" t="inlineStr">
        <is>
          <t>INV-5169</t>
        </is>
      </c>
      <c r="C1835" s="11" t="n">
        <v>46109</v>
      </c>
      <c r="D1835" t="inlineStr">
        <is>
          <t>2026-03</t>
        </is>
      </c>
      <c r="E1835" t="inlineStr">
        <is>
          <t>C0136</t>
        </is>
      </c>
      <c r="F1835" t="inlineStr">
        <is>
          <t>C0036</t>
        </is>
      </c>
      <c r="G1835" t="inlineStr">
        <is>
          <t>Summit Homes Pty Ltd</t>
        </is>
      </c>
      <c r="H1835" t="inlineStr">
        <is>
          <t>S0230</t>
        </is>
      </c>
      <c r="I1835" t="inlineStr">
        <is>
          <t>Delivery and installation - temporary fencing</t>
        </is>
      </c>
      <c r="J1835" t="n">
        <v>1</v>
      </c>
      <c r="K1835" s="9" t="n">
        <v>165</v>
      </c>
      <c r="L1835" t="inlineStr">
        <is>
          <t>PAID</t>
        </is>
      </c>
      <c r="M1835">
        <f>IF(L1835="VOIDED",0,1)</f>
        <v>1</v>
      </c>
      <c r="N1835" t="n">
        <v>200</v>
      </c>
      <c r="O1835" t="inlineStr">
        <is>
          <t>GST on Income</t>
        </is>
      </c>
      <c r="P1835" t="inlineStr">
        <is>
          <t>R07</t>
        </is>
      </c>
      <c r="Q1835" t="inlineStr">
        <is>
          <t>DEL-FP</t>
        </is>
      </c>
      <c r="R1835">
        <f>IF(OR(Q1835="CONTEXT",Q1835="REVIEW"),"",INDEX('Category Rules'!$D$5:$D$17,MATCH(P1835,'Category Rules'!$A$5:$A$17,0)))</f>
        <v>4020</v>
      </c>
      <c r="S1835" t="str">
        <f>IF(Q1835="CONTEXT","Fencing",IF(Q1835="REVIEW","",INDEX('Category Rules'!$E$5:$E$17,MATCH(P1835,'Category Rules'!$A$5:$A$17,0))))</f>
        <v>Fencing</v>
      </c>
      <c r="T1835" t="str">
        <f>IF(Q1835="DEP","BAS Excluded","GST on Income")</f>
        <v>GST on Income</v>
      </c>
      <c r="U1835">
        <f>IF(O1835=T1835,1,0)</f>
        <v>1</v>
      </c>
      <c r="V1835" s="9">
        <f>IF(OR(M1835=0,U1835=1),0,IF(T1835="GST on Income",ROUND(K1835*0.1,2),ROUND(-K1835*0.1,2)))</f>
        <v>0</v>
      </c>
    </row>
    <row r="1836">
      <c r="A1836" t="inlineStr">
        <is>
          <t>INV-5169-2</t>
        </is>
      </c>
      <c r="B1836" t="inlineStr">
        <is>
          <t>INV-5169</t>
        </is>
      </c>
      <c r="C1836" s="11" t="n">
        <v>46109</v>
      </c>
      <c r="D1836" t="inlineStr">
        <is>
          <t>2026-03</t>
        </is>
      </c>
      <c r="E1836" t="inlineStr">
        <is>
          <t>C0136</t>
        </is>
      </c>
      <c r="F1836" t="inlineStr">
        <is>
          <t>C0036</t>
        </is>
      </c>
      <c r="G1836" t="inlineStr">
        <is>
          <t>Summit Homes Pty Ltd</t>
        </is>
      </c>
      <c r="H1836" t="inlineStr">
        <is>
          <t>S0230</t>
        </is>
      </c>
      <c r="I1836" t="inlineStr">
        <is>
          <t>Installation labour - 75 panels @ 2.20</t>
        </is>
      </c>
      <c r="J1836" t="n">
        <v>75</v>
      </c>
      <c r="K1836" s="9" t="n">
        <v>165</v>
      </c>
      <c r="L1836" t="inlineStr">
        <is>
          <t>PAID</t>
        </is>
      </c>
      <c r="M1836">
        <f>IF(L1836="VOIDED",0,1)</f>
        <v>1</v>
      </c>
      <c r="N1836" t="n">
        <v>200</v>
      </c>
      <c r="O1836" t="inlineStr">
        <is>
          <t>GST on Income</t>
        </is>
      </c>
      <c r="P1836" t="inlineStr">
        <is>
          <t>R07</t>
        </is>
      </c>
      <c r="Q1836" t="inlineStr">
        <is>
          <t>DEL-FP</t>
        </is>
      </c>
      <c r="R1836">
        <f>IF(OR(Q1836="CONTEXT",Q1836="REVIEW"),"",INDEX('Category Rules'!$D$5:$D$17,MATCH(P1836,'Category Rules'!$A$5:$A$17,0)))</f>
        <v>4020</v>
      </c>
      <c r="S1836" t="str">
        <f>IF(Q1836="CONTEXT","Fencing",IF(Q1836="REVIEW","",INDEX('Category Rules'!$E$5:$E$17,MATCH(P1836,'Category Rules'!$A$5:$A$17,0))))</f>
        <v>Fencing</v>
      </c>
      <c r="T1836" t="str">
        <f>IF(Q1836="DEP","BAS Excluded","GST on Income")</f>
        <v>GST on Income</v>
      </c>
      <c r="U1836">
        <f>IF(O1836=T1836,1,0)</f>
        <v>1</v>
      </c>
      <c r="V1836" s="9">
        <f>IF(OR(M1836=0,U1836=1),0,IF(T1836="GST on Income",ROUND(K1836*0.1,2),ROUND(-K1836*0.1,2)))</f>
        <v>0</v>
      </c>
    </row>
    <row r="1837">
      <c r="A1837" t="inlineStr">
        <is>
          <t>INV-5267-1</t>
        </is>
      </c>
      <c r="B1837" t="inlineStr">
        <is>
          <t>INV-5267</t>
        </is>
      </c>
      <c r="C1837" s="11" t="n">
        <v>46109</v>
      </c>
      <c r="D1837" t="inlineStr">
        <is>
          <t>2026-03</t>
        </is>
      </c>
      <c r="E1837" t="inlineStr">
        <is>
          <t>C0044</t>
        </is>
      </c>
      <c r="F1837" t="inlineStr">
        <is>
          <t>C0044</t>
        </is>
      </c>
      <c r="G1837" t="inlineStr">
        <is>
          <t>Granite Constructions</t>
        </is>
      </c>
      <c r="H1837" t="inlineStr">
        <is>
          <t>S0251</t>
        </is>
      </c>
      <c r="I1837" t="inlineStr">
        <is>
          <t>Scaffold tower hire 1 wks (27/03/26-27/03/26) - 1 towers</t>
        </is>
      </c>
      <c r="J1837" t="n">
        <v>1</v>
      </c>
      <c r="K1837" s="9" t="n">
        <v>95</v>
      </c>
      <c r="L1837" t="inlineStr">
        <is>
          <t>PAID</t>
        </is>
      </c>
      <c r="M1837">
        <f>IF(L1837="VOIDED",0,1)</f>
        <v>1</v>
      </c>
      <c r="N1837" t="n">
        <v>200</v>
      </c>
      <c r="O1837" t="inlineStr">
        <is>
          <t>GST on Income</t>
        </is>
      </c>
      <c r="P1837" t="inlineStr">
        <is>
          <t>R05</t>
        </is>
      </c>
      <c r="Q1837" t="inlineStr">
        <is>
          <t>HIRE-ST</t>
        </is>
      </c>
      <c r="R1837">
        <f>IF(OR(Q1837="CONTEXT",Q1837="REVIEW"),"",INDEX('Category Rules'!$D$5:$D$17,MATCH(P1837,'Category Rules'!$A$5:$A$17,0)))</f>
        <v>4010</v>
      </c>
      <c r="S1837" t="str">
        <f>IF(Q1837="CONTEXT","Scaffolding",IF(Q1837="REVIEW","",INDEX('Category Rules'!$E$5:$E$17,MATCH(P1837,'Category Rules'!$A$5:$A$17,0))))</f>
        <v>Scaffolding</v>
      </c>
      <c r="T1837" t="str">
        <f>IF(Q1837="DEP","BAS Excluded","GST on Income")</f>
        <v>GST on Income</v>
      </c>
      <c r="U1837">
        <f>IF(O1837=T1837,1,0)</f>
        <v>1</v>
      </c>
      <c r="V1837" s="9">
        <f>IF(OR(M1837=0,U1837=1),0,IF(T1837="GST on Income",ROUND(K1837*0.1,2),ROUND(-K1837*0.1,2)))</f>
        <v>0</v>
      </c>
    </row>
    <row r="1838">
      <c r="A1838" t="inlineStr">
        <is>
          <t>INV-5269-1</t>
        </is>
      </c>
      <c r="B1838" t="inlineStr">
        <is>
          <t>INV-5269</t>
        </is>
      </c>
      <c r="C1838" s="11" t="n">
        <v>46109</v>
      </c>
      <c r="D1838" t="inlineStr">
        <is>
          <t>2026-03</t>
        </is>
      </c>
      <c r="E1838" t="inlineStr">
        <is>
          <t>C0044</t>
        </is>
      </c>
      <c r="F1838" t="inlineStr">
        <is>
          <t>C0044</t>
        </is>
      </c>
      <c r="G1838" t="inlineStr">
        <is>
          <t>Granite Constructions</t>
        </is>
      </c>
      <c r="H1838" t="inlineStr">
        <is>
          <t>S0251</t>
        </is>
      </c>
      <c r="I1838" t="inlineStr">
        <is>
          <t>Scaffold dismantle - 1 tower(s)</t>
        </is>
      </c>
      <c r="J1838" t="n">
        <v>1</v>
      </c>
      <c r="K1838" s="9" t="n">
        <v>320</v>
      </c>
      <c r="L1838" t="inlineStr">
        <is>
          <t>PAID</t>
        </is>
      </c>
      <c r="M1838">
        <f>IF(L1838="VOIDED",0,1)</f>
        <v>1</v>
      </c>
      <c r="N1838" t="n">
        <v>200</v>
      </c>
      <c r="O1838" t="inlineStr">
        <is>
          <t>GST on Income</t>
        </is>
      </c>
      <c r="P1838" t="inlineStr">
        <is>
          <t>R08</t>
        </is>
      </c>
      <c r="Q1838" t="inlineStr">
        <is>
          <t>LAB-ST</t>
        </is>
      </c>
      <c r="R1838">
        <f>IF(OR(Q1838="CONTEXT",Q1838="REVIEW"),"",INDEX('Category Rules'!$D$5:$D$17,MATCH(P1838,'Category Rules'!$A$5:$A$17,0)))</f>
        <v>4020</v>
      </c>
      <c r="S1838" t="str">
        <f>IF(Q1838="CONTEXT","Scaffolding",IF(Q1838="REVIEW","",INDEX('Category Rules'!$E$5:$E$17,MATCH(P1838,'Category Rules'!$A$5:$A$17,0))))</f>
        <v>Scaffolding</v>
      </c>
      <c r="T1838" t="str">
        <f>IF(Q1838="DEP","BAS Excluded","GST on Income")</f>
        <v>GST on Income</v>
      </c>
      <c r="U1838">
        <f>IF(O1838=T1838,1,0)</f>
        <v>1</v>
      </c>
      <c r="V1838" s="9">
        <f>IF(OR(M1838=0,U1838=1),0,IF(T1838="GST on Income",ROUND(K1838*0.1,2),ROUND(-K1838*0.1,2)))</f>
        <v>0</v>
      </c>
    </row>
    <row r="1839">
      <c r="A1839" t="inlineStr">
        <is>
          <t>INV-4123-1</t>
        </is>
      </c>
      <c r="B1839" t="inlineStr">
        <is>
          <t>INV-4123</t>
        </is>
      </c>
      <c r="C1839" s="11" t="n">
        <v>46110</v>
      </c>
      <c r="D1839" t="inlineStr">
        <is>
          <t>2026-03</t>
        </is>
      </c>
      <c r="E1839" t="inlineStr">
        <is>
          <t>C0121</t>
        </is>
      </c>
      <c r="F1839" t="inlineStr">
        <is>
          <t>C0121</t>
        </is>
      </c>
      <c r="G1839" t="inlineStr">
        <is>
          <t>Bluegum Constructions</t>
        </is>
      </c>
      <c r="H1839" t="inlineStr">
        <is>
          <t>S0005</t>
        </is>
      </c>
      <c r="I1839" t="inlineStr">
        <is>
          <t>Delivery and installation - temporary fencing</t>
        </is>
      </c>
      <c r="J1839" t="n">
        <v>1</v>
      </c>
      <c r="K1839" s="9" t="n">
        <v>165</v>
      </c>
      <c r="L1839" t="inlineStr">
        <is>
          <t>PAID</t>
        </is>
      </c>
      <c r="M1839">
        <f>IF(L1839="VOIDED",0,1)</f>
        <v>1</v>
      </c>
      <c r="N1839" t="n">
        <v>200</v>
      </c>
      <c r="O1839" t="inlineStr">
        <is>
          <t>GST on Income</t>
        </is>
      </c>
      <c r="P1839" t="inlineStr">
        <is>
          <t>R07</t>
        </is>
      </c>
      <c r="Q1839" t="inlineStr">
        <is>
          <t>DEL-FP</t>
        </is>
      </c>
      <c r="R1839">
        <f>IF(OR(Q1839="CONTEXT",Q1839="REVIEW"),"",INDEX('Category Rules'!$D$5:$D$17,MATCH(P1839,'Category Rules'!$A$5:$A$17,0)))</f>
        <v>4020</v>
      </c>
      <c r="S1839" t="str">
        <f>IF(Q1839="CONTEXT","Fencing",IF(Q1839="REVIEW","",INDEX('Category Rules'!$E$5:$E$17,MATCH(P1839,'Category Rules'!$A$5:$A$17,0))))</f>
        <v>Fencing</v>
      </c>
      <c r="T1839" t="str">
        <f>IF(Q1839="DEP","BAS Excluded","GST on Income")</f>
        <v>GST on Income</v>
      </c>
      <c r="U1839">
        <f>IF(O1839=T1839,1,0)</f>
        <v>1</v>
      </c>
      <c r="V1839" s="9">
        <f>IF(OR(M1839=0,U1839=1),0,IF(T1839="GST on Income",ROUND(K1839*0.1,2),ROUND(-K1839*0.1,2)))</f>
        <v>0</v>
      </c>
    </row>
    <row r="1840">
      <c r="A1840" t="inlineStr">
        <is>
          <t>INV-4123-2</t>
        </is>
      </c>
      <c r="B1840" t="inlineStr">
        <is>
          <t>INV-4123</t>
        </is>
      </c>
      <c r="C1840" s="11" t="n">
        <v>46110</v>
      </c>
      <c r="D1840" t="inlineStr">
        <is>
          <t>2026-03</t>
        </is>
      </c>
      <c r="E1840" t="inlineStr">
        <is>
          <t>C0121</t>
        </is>
      </c>
      <c r="F1840" t="inlineStr">
        <is>
          <t>C0121</t>
        </is>
      </c>
      <c r="G1840" t="inlineStr">
        <is>
          <t>Bluegum Constructions</t>
        </is>
      </c>
      <c r="H1840" t="inlineStr">
        <is>
          <t>S0005</t>
        </is>
      </c>
      <c r="I1840" t="inlineStr">
        <is>
          <t>Installation labour - 53 panels @ 2.20</t>
        </is>
      </c>
      <c r="J1840" t="n">
        <v>53</v>
      </c>
      <c r="K1840" s="9" t="n">
        <v>116.6</v>
      </c>
      <c r="L1840" t="inlineStr">
        <is>
          <t>PAID</t>
        </is>
      </c>
      <c r="M1840">
        <f>IF(L1840="VOIDED",0,1)</f>
        <v>1</v>
      </c>
      <c r="N1840" t="n">
        <v>200</v>
      </c>
      <c r="O1840" t="inlineStr">
        <is>
          <t>GST on Income</t>
        </is>
      </c>
      <c r="P1840" t="inlineStr">
        <is>
          <t>R07</t>
        </is>
      </c>
      <c r="Q1840" t="inlineStr">
        <is>
          <t>DEL-FP</t>
        </is>
      </c>
      <c r="R1840">
        <f>IF(OR(Q1840="CONTEXT",Q1840="REVIEW"),"",INDEX('Category Rules'!$D$5:$D$17,MATCH(P1840,'Category Rules'!$A$5:$A$17,0)))</f>
        <v>4020</v>
      </c>
      <c r="S1840" t="str">
        <f>IF(Q1840="CONTEXT","Fencing",IF(Q1840="REVIEW","",INDEX('Category Rules'!$E$5:$E$17,MATCH(P1840,'Category Rules'!$A$5:$A$17,0))))</f>
        <v>Fencing</v>
      </c>
      <c r="T1840" t="str">
        <f>IF(Q1840="DEP","BAS Excluded","GST on Income")</f>
        <v>GST on Income</v>
      </c>
      <c r="U1840">
        <f>IF(O1840=T1840,1,0)</f>
        <v>1</v>
      </c>
      <c r="V1840" s="9">
        <f>IF(OR(M1840=0,U1840=1),0,IF(T1840="GST on Income",ROUND(K1840*0.1,2),ROUND(-K1840*0.1,2)))</f>
        <v>0</v>
      </c>
    </row>
    <row r="1841">
      <c r="A1841" t="inlineStr">
        <is>
          <t>INV-4174-1</t>
        </is>
      </c>
      <c r="B1841" t="inlineStr">
        <is>
          <t>INV-4174</t>
        </is>
      </c>
      <c r="C1841" s="11" t="n">
        <v>46110</v>
      </c>
      <c r="D1841" t="inlineStr">
        <is>
          <t>2026-03</t>
        </is>
      </c>
      <c r="E1841" t="inlineStr">
        <is>
          <t>C0141</t>
        </is>
      </c>
      <c r="F1841" t="inlineStr">
        <is>
          <t>C0028</t>
        </is>
      </c>
      <c r="G1841" t="inlineStr">
        <is>
          <t>Banksia Homes</t>
        </is>
      </c>
      <c r="H1841" t="inlineStr">
        <is>
          <t>S0014</t>
        </is>
      </c>
      <c r="I1841" t="inlineStr">
        <is>
          <t>Temporary fence hire 4 wks (01/03/26-28/03/26) - 30 panels</t>
        </is>
      </c>
      <c r="J1841" t="n">
        <v>120</v>
      </c>
      <c r="K1841" s="9" t="n">
        <v>540</v>
      </c>
      <c r="L1841" t="inlineStr">
        <is>
          <t>PAID</t>
        </is>
      </c>
      <c r="M1841">
        <f>IF(L1841="VOIDED",0,1)</f>
        <v>1</v>
      </c>
      <c r="N1841" t="n">
        <v>200</v>
      </c>
      <c r="O1841" t="inlineStr">
        <is>
          <t>GST on Income</t>
        </is>
      </c>
      <c r="P1841" t="inlineStr">
        <is>
          <t>R03</t>
        </is>
      </c>
      <c r="Q1841" t="inlineStr">
        <is>
          <t>HIRE-FP</t>
        </is>
      </c>
      <c r="R1841">
        <f>IF(OR(Q1841="CONTEXT",Q1841="REVIEW"),"",INDEX('Category Rules'!$D$5:$D$17,MATCH(P1841,'Category Rules'!$A$5:$A$17,0)))</f>
        <v>4010</v>
      </c>
      <c r="S1841" t="str">
        <f>IF(Q1841="CONTEXT","Fencing",IF(Q1841="REVIEW","",INDEX('Category Rules'!$E$5:$E$17,MATCH(P1841,'Category Rules'!$A$5:$A$17,0))))</f>
        <v>Fencing</v>
      </c>
      <c r="T1841" t="str">
        <f>IF(Q1841="DEP","BAS Excluded","GST on Income")</f>
        <v>GST on Income</v>
      </c>
      <c r="U1841">
        <f>IF(O1841=T1841,1,0)</f>
        <v>1</v>
      </c>
      <c r="V1841" s="9">
        <f>IF(OR(M1841=0,U1841=1),0,IF(T1841="GST on Income",ROUND(K1841*0.1,2),ROUND(-K1841*0.1,2)))</f>
        <v>0</v>
      </c>
    </row>
    <row r="1842">
      <c r="A1842" t="inlineStr">
        <is>
          <t>INV-4178-1</t>
        </is>
      </c>
      <c r="B1842" t="inlineStr">
        <is>
          <t>INV-4178</t>
        </is>
      </c>
      <c r="C1842" s="11" t="n">
        <v>46110</v>
      </c>
      <c r="D1842" t="inlineStr">
        <is>
          <t>2026-03</t>
        </is>
      </c>
      <c r="E1842" t="inlineStr">
        <is>
          <t>C0028</t>
        </is>
      </c>
      <c r="F1842" t="inlineStr">
        <is>
          <t>C0028</t>
        </is>
      </c>
      <c r="G1842" t="inlineStr">
        <is>
          <t>Banksia Homes</t>
        </is>
      </c>
      <c r="H1842" t="inlineStr">
        <is>
          <t>S0014</t>
        </is>
      </c>
      <c r="I1842" t="inlineStr">
        <is>
          <t>Pedestrian barrier hire 4 wks (01/03/26-28/03/26) - 14 barriers</t>
        </is>
      </c>
      <c r="J1842" t="n">
        <v>56</v>
      </c>
      <c r="K1842" s="9" t="n">
        <v>179.2</v>
      </c>
      <c r="L1842" t="inlineStr">
        <is>
          <t>PAID</t>
        </is>
      </c>
      <c r="M1842">
        <f>IF(L1842="VOIDED",0,1)</f>
        <v>1</v>
      </c>
      <c r="N1842" t="n">
        <v>200</v>
      </c>
      <c r="O1842" t="inlineStr">
        <is>
          <t>GST on Income</t>
        </is>
      </c>
      <c r="P1842" t="inlineStr">
        <is>
          <t>R04</t>
        </is>
      </c>
      <c r="Q1842" t="inlineStr">
        <is>
          <t>HIRE-BR</t>
        </is>
      </c>
      <c r="R1842">
        <f>IF(OR(Q1842="CONTEXT",Q1842="REVIEW"),"",INDEX('Category Rules'!$D$5:$D$17,MATCH(P1842,'Category Rules'!$A$5:$A$17,0)))</f>
        <v>4010</v>
      </c>
      <c r="S1842" t="str">
        <f>IF(Q1842="CONTEXT","Fencing",IF(Q1842="REVIEW","",INDEX('Category Rules'!$E$5:$E$17,MATCH(P1842,'Category Rules'!$A$5:$A$17,0))))</f>
        <v>Fencing</v>
      </c>
      <c r="T1842" t="str">
        <f>IF(Q1842="DEP","BAS Excluded","GST on Income")</f>
        <v>GST on Income</v>
      </c>
      <c r="U1842">
        <f>IF(O1842=T1842,1,0)</f>
        <v>1</v>
      </c>
      <c r="V1842" s="9">
        <f>IF(OR(M1842=0,U1842=1),0,IF(T1842="GST on Income",ROUND(K1842*0.1,2),ROUND(-K1842*0.1,2)))</f>
        <v>0</v>
      </c>
    </row>
    <row r="1843">
      <c r="A1843" t="inlineStr">
        <is>
          <t>INV-4183-1</t>
        </is>
      </c>
      <c r="B1843" t="inlineStr">
        <is>
          <t>INV-4183</t>
        </is>
      </c>
      <c r="C1843" s="11" t="n">
        <v>46110</v>
      </c>
      <c r="D1843" t="inlineStr">
        <is>
          <t>2026-03</t>
        </is>
      </c>
      <c r="E1843" t="inlineStr">
        <is>
          <t>C0017</t>
        </is>
      </c>
      <c r="F1843" t="inlineStr">
        <is>
          <t>C0017</t>
        </is>
      </c>
      <c r="G1843" t="inlineStr">
        <is>
          <t>Cobalt Developments Pty Ltd</t>
        </is>
      </c>
      <c r="H1843" t="inlineStr">
        <is>
          <t>S0016</t>
        </is>
      </c>
      <c r="I1843" t="inlineStr">
        <is>
          <t>Temporary fence hire 4 wks (01/03/26-28/03/26) - 49 panels</t>
        </is>
      </c>
      <c r="J1843" t="n">
        <v>196</v>
      </c>
      <c r="K1843" s="9" t="n">
        <v>882</v>
      </c>
      <c r="L1843" t="inlineStr">
        <is>
          <t>PAID</t>
        </is>
      </c>
      <c r="M1843">
        <f>IF(L1843="VOIDED",0,1)</f>
        <v>1</v>
      </c>
      <c r="N1843" t="n">
        <v>200</v>
      </c>
      <c r="O1843" t="inlineStr">
        <is>
          <t>GST on Income</t>
        </is>
      </c>
      <c r="P1843" t="inlineStr">
        <is>
          <t>R03</t>
        </is>
      </c>
      <c r="Q1843" t="inlineStr">
        <is>
          <t>HIRE-FP</t>
        </is>
      </c>
      <c r="R1843">
        <f>IF(OR(Q1843="CONTEXT",Q1843="REVIEW"),"",INDEX('Category Rules'!$D$5:$D$17,MATCH(P1843,'Category Rules'!$A$5:$A$17,0)))</f>
        <v>4010</v>
      </c>
      <c r="S1843" t="str">
        <f>IF(Q1843="CONTEXT","Fencing",IF(Q1843="REVIEW","",INDEX('Category Rules'!$E$5:$E$17,MATCH(P1843,'Category Rules'!$A$5:$A$17,0))))</f>
        <v>Fencing</v>
      </c>
      <c r="T1843" t="str">
        <f>IF(Q1843="DEP","BAS Excluded","GST on Income")</f>
        <v>GST on Income</v>
      </c>
      <c r="U1843">
        <f>IF(O1843=T1843,1,0)</f>
        <v>1</v>
      </c>
      <c r="V1843" s="9">
        <f>IF(OR(M1843=0,U1843=1),0,IF(T1843="GST on Income",ROUND(K1843*0.1,2),ROUND(-K1843*0.1,2)))</f>
        <v>0</v>
      </c>
    </row>
    <row r="1844">
      <c r="A1844" t="inlineStr">
        <is>
          <t>INV-4187-1</t>
        </is>
      </c>
      <c r="B1844" t="inlineStr">
        <is>
          <t>INV-4187</t>
        </is>
      </c>
      <c r="C1844" s="11" t="n">
        <v>46110</v>
      </c>
      <c r="D1844" t="inlineStr">
        <is>
          <t>2026-03</t>
        </is>
      </c>
      <c r="E1844" t="inlineStr">
        <is>
          <t>C0017</t>
        </is>
      </c>
      <c r="F1844" t="inlineStr">
        <is>
          <t>C0017</t>
        </is>
      </c>
      <c r="G1844" t="inlineStr">
        <is>
          <t>Cobalt Developments Pty Ltd</t>
        </is>
      </c>
      <c r="H1844" t="inlineStr">
        <is>
          <t>S0016</t>
        </is>
      </c>
      <c r="I1844" t="inlineStr">
        <is>
          <t>Pedestrian barrier hire 4 wks (01/03/26-28/03/26) - 13 barriers</t>
        </is>
      </c>
      <c r="J1844" t="n">
        <v>52</v>
      </c>
      <c r="K1844" s="9" t="n">
        <v>166.4</v>
      </c>
      <c r="L1844" t="inlineStr">
        <is>
          <t>PAID</t>
        </is>
      </c>
      <c r="M1844">
        <f>IF(L1844="VOIDED",0,1)</f>
        <v>1</v>
      </c>
      <c r="N1844" t="n">
        <v>200</v>
      </c>
      <c r="O1844" t="inlineStr">
        <is>
          <t>GST on Income</t>
        </is>
      </c>
      <c r="P1844" t="inlineStr">
        <is>
          <t>R04</t>
        </is>
      </c>
      <c r="Q1844" t="inlineStr">
        <is>
          <t>HIRE-BR</t>
        </is>
      </c>
      <c r="R1844">
        <f>IF(OR(Q1844="CONTEXT",Q1844="REVIEW"),"",INDEX('Category Rules'!$D$5:$D$17,MATCH(P1844,'Category Rules'!$A$5:$A$17,0)))</f>
        <v>4010</v>
      </c>
      <c r="S1844" t="str">
        <f>IF(Q1844="CONTEXT","Fencing",IF(Q1844="REVIEW","",INDEX('Category Rules'!$E$5:$E$17,MATCH(P1844,'Category Rules'!$A$5:$A$17,0))))</f>
        <v>Fencing</v>
      </c>
      <c r="T1844" t="str">
        <f>IF(Q1844="DEP","BAS Excluded","GST on Income")</f>
        <v>GST on Income</v>
      </c>
      <c r="U1844">
        <f>IF(O1844=T1844,1,0)</f>
        <v>1</v>
      </c>
      <c r="V1844" s="9">
        <f>IF(OR(M1844=0,U1844=1),0,IF(T1844="GST on Income",ROUND(K1844*0.1,2),ROUND(-K1844*0.1,2)))</f>
        <v>0</v>
      </c>
    </row>
    <row r="1845">
      <c r="A1845" t="inlineStr">
        <is>
          <t>INV-4473-1</t>
        </is>
      </c>
      <c r="B1845" t="inlineStr">
        <is>
          <t>INV-4473</t>
        </is>
      </c>
      <c r="C1845" s="11" t="n">
        <v>46110</v>
      </c>
      <c r="D1845" t="inlineStr">
        <is>
          <t>2026-03</t>
        </is>
      </c>
      <c r="E1845" t="inlineStr">
        <is>
          <t>C0017</t>
        </is>
      </c>
      <c r="F1845" t="inlineStr">
        <is>
          <t>C0017</t>
        </is>
      </c>
      <c r="G1845" t="inlineStr">
        <is>
          <t>Cobalt Developments Pty Ltd</t>
        </is>
      </c>
      <c r="H1845" t="inlineStr">
        <is>
          <t>S0077</t>
        </is>
      </c>
      <c r="I1845" t="inlineStr">
        <is>
          <t>Temporary fence hire 4 wks (01/03/26-28/03/26) - 33 panels</t>
        </is>
      </c>
      <c r="J1845" t="n">
        <v>132</v>
      </c>
      <c r="K1845" s="9" t="n">
        <v>594</v>
      </c>
      <c r="L1845" t="inlineStr">
        <is>
          <t>PAID</t>
        </is>
      </c>
      <c r="M1845">
        <f>IF(L1845="VOIDED",0,1)</f>
        <v>1</v>
      </c>
      <c r="N1845" t="n">
        <v>200</v>
      </c>
      <c r="O1845" t="inlineStr">
        <is>
          <t>GST on Income</t>
        </is>
      </c>
      <c r="P1845" t="inlineStr">
        <is>
          <t>R03</t>
        </is>
      </c>
      <c r="Q1845" t="inlineStr">
        <is>
          <t>HIRE-FP</t>
        </is>
      </c>
      <c r="R1845">
        <f>IF(OR(Q1845="CONTEXT",Q1845="REVIEW"),"",INDEX('Category Rules'!$D$5:$D$17,MATCH(P1845,'Category Rules'!$A$5:$A$17,0)))</f>
        <v>4010</v>
      </c>
      <c r="S1845" t="str">
        <f>IF(Q1845="CONTEXT","Fencing",IF(Q1845="REVIEW","",INDEX('Category Rules'!$E$5:$E$17,MATCH(P1845,'Category Rules'!$A$5:$A$17,0))))</f>
        <v>Fencing</v>
      </c>
      <c r="T1845" t="str">
        <f>IF(Q1845="DEP","BAS Excluded","GST on Income")</f>
        <v>GST on Income</v>
      </c>
      <c r="U1845">
        <f>IF(O1845=T1845,1,0)</f>
        <v>1</v>
      </c>
      <c r="V1845" s="9">
        <f>IF(OR(M1845=0,U1845=1),0,IF(T1845="GST on Income",ROUND(K1845*0.1,2),ROUND(-K1845*0.1,2)))</f>
        <v>0</v>
      </c>
    </row>
    <row r="1846">
      <c r="A1846" t="inlineStr">
        <is>
          <t>INV-4475-1</t>
        </is>
      </c>
      <c r="B1846" t="inlineStr">
        <is>
          <t>INV-4475</t>
        </is>
      </c>
      <c r="C1846" s="11" t="n">
        <v>46110</v>
      </c>
      <c r="D1846" t="inlineStr">
        <is>
          <t>2026-03</t>
        </is>
      </c>
      <c r="E1846" t="inlineStr">
        <is>
          <t>C0017</t>
        </is>
      </c>
      <c r="F1846" t="inlineStr">
        <is>
          <t>C0017</t>
        </is>
      </c>
      <c r="G1846" t="inlineStr">
        <is>
          <t>Cobalt Developments Pty Ltd</t>
        </is>
      </c>
      <c r="H1846" t="inlineStr">
        <is>
          <t>S0077</t>
        </is>
      </c>
      <c r="I1846" t="inlineStr">
        <is>
          <t>Pedestrian barrier hire 4 wks (01/03/26-28/03/26) - 14 barriers</t>
        </is>
      </c>
      <c r="J1846" t="n">
        <v>56</v>
      </c>
      <c r="K1846" s="9" t="n">
        <v>179.2</v>
      </c>
      <c r="L1846" t="inlineStr">
        <is>
          <t>PAID</t>
        </is>
      </c>
      <c r="M1846">
        <f>IF(L1846="VOIDED",0,1)</f>
        <v>1</v>
      </c>
      <c r="N1846" t="n">
        <v>200</v>
      </c>
      <c r="O1846" t="inlineStr">
        <is>
          <t>GST on Income</t>
        </is>
      </c>
      <c r="P1846" t="inlineStr">
        <is>
          <t>R04</t>
        </is>
      </c>
      <c r="Q1846" t="inlineStr">
        <is>
          <t>HIRE-BR</t>
        </is>
      </c>
      <c r="R1846">
        <f>IF(OR(Q1846="CONTEXT",Q1846="REVIEW"),"",INDEX('Category Rules'!$D$5:$D$17,MATCH(P1846,'Category Rules'!$A$5:$A$17,0)))</f>
        <v>4010</v>
      </c>
      <c r="S1846" t="str">
        <f>IF(Q1846="CONTEXT","Fencing",IF(Q1846="REVIEW","",INDEX('Category Rules'!$E$5:$E$17,MATCH(P1846,'Category Rules'!$A$5:$A$17,0))))</f>
        <v>Fencing</v>
      </c>
      <c r="T1846" t="str">
        <f>IF(Q1846="DEP","BAS Excluded","GST on Income")</f>
        <v>GST on Income</v>
      </c>
      <c r="U1846">
        <f>IF(O1846=T1846,1,0)</f>
        <v>1</v>
      </c>
      <c r="V1846" s="9">
        <f>IF(OR(M1846=0,U1846=1),0,IF(T1846="GST on Income",ROUND(K1846*0.1,2),ROUND(-K1846*0.1,2)))</f>
        <v>0</v>
      </c>
    </row>
    <row r="1847">
      <c r="A1847" t="inlineStr">
        <is>
          <t>INV-5845-1</t>
        </is>
      </c>
      <c r="B1847" t="inlineStr">
        <is>
          <t>INV-5845</t>
        </is>
      </c>
      <c r="C1847" s="11" t="n">
        <v>46110</v>
      </c>
      <c r="D1847" t="inlineStr">
        <is>
          <t>2026-03</t>
        </is>
      </c>
      <c r="E1847" t="inlineStr">
        <is>
          <t>C0137</t>
        </is>
      </c>
      <c r="F1847" t="inlineStr">
        <is>
          <t>C0062</t>
        </is>
      </c>
      <c r="G1847" t="inlineStr">
        <is>
          <t>Wattle Insurance Repairs Pty Ltd</t>
        </is>
      </c>
      <c r="H1847" t="inlineStr">
        <is>
          <t>S0517</t>
        </is>
      </c>
      <c r="I1847" t="inlineStr">
        <is>
          <t>Roof repair labour - 12 hrs</t>
        </is>
      </c>
      <c r="J1847" t="n">
        <v>12</v>
      </c>
      <c r="K1847" s="9" t="n">
        <v>1176</v>
      </c>
      <c r="L1847" t="inlineStr">
        <is>
          <t>PAID</t>
        </is>
      </c>
      <c r="M1847">
        <f>IF(L1847="VOIDED",0,1)</f>
        <v>1</v>
      </c>
      <c r="N1847" t="n">
        <v>200</v>
      </c>
      <c r="O1847" t="inlineStr">
        <is>
          <t>GST on Income</t>
        </is>
      </c>
      <c r="P1847" t="inlineStr">
        <is>
          <t>R10</t>
        </is>
      </c>
      <c r="Q1847" t="inlineStr">
        <is>
          <t>LAB-RF</t>
        </is>
      </c>
      <c r="R1847">
        <f>IF(OR(Q1847="CONTEXT",Q1847="REVIEW"),"",INDEX('Category Rules'!$D$5:$D$17,MATCH(P1847,'Category Rules'!$A$5:$A$17,0)))</f>
        <v>4020</v>
      </c>
      <c r="S1847" t="str">
        <f>IF(Q1847="CONTEXT","Roofing",IF(Q1847="REVIEW","",INDEX('Category Rules'!$E$5:$E$17,MATCH(P1847,'Category Rules'!$A$5:$A$17,0))))</f>
        <v>Roofing</v>
      </c>
      <c r="T1847" t="str">
        <f>IF(Q1847="DEP","BAS Excluded","GST on Income")</f>
        <v>GST on Income</v>
      </c>
      <c r="U1847">
        <f>IF(O1847=T1847,1,0)</f>
        <v>1</v>
      </c>
      <c r="V1847" s="9">
        <f>IF(OR(M1847=0,U1847=1),0,IF(T1847="GST on Income",ROUND(K1847*0.1,2),ROUND(-K1847*0.1,2)))</f>
        <v>0</v>
      </c>
    </row>
    <row r="1848">
      <c r="A1848" t="inlineStr">
        <is>
          <t>INV-5845-2</t>
        </is>
      </c>
      <c r="B1848" t="inlineStr">
        <is>
          <t>INV-5845</t>
        </is>
      </c>
      <c r="C1848" s="11" t="n">
        <v>46110</v>
      </c>
      <c r="D1848" t="inlineStr">
        <is>
          <t>2026-03</t>
        </is>
      </c>
      <c r="E1848" t="inlineStr">
        <is>
          <t>C0137</t>
        </is>
      </c>
      <c r="F1848" t="inlineStr">
        <is>
          <t>C0062</t>
        </is>
      </c>
      <c r="G1848" t="inlineStr">
        <is>
          <t>Wattle Insurance Repairs Pty Ltd</t>
        </is>
      </c>
      <c r="H1848" t="inlineStr">
        <is>
          <t>S0517</t>
        </is>
      </c>
      <c r="I1848" t="inlineStr">
        <is>
          <t>Materials - flashing</t>
        </is>
      </c>
      <c r="J1848" t="n">
        <v>1</v>
      </c>
      <c r="K1848" s="9" t="n">
        <v>1065.17</v>
      </c>
      <c r="L1848" t="inlineStr">
        <is>
          <t>PAID</t>
        </is>
      </c>
      <c r="M1848">
        <f>IF(L1848="VOIDED",0,1)</f>
        <v>1</v>
      </c>
      <c r="N1848" t="n">
        <v>200</v>
      </c>
      <c r="O1848" t="inlineStr">
        <is>
          <t>GST on Income</t>
        </is>
      </c>
      <c r="P1848" t="inlineStr">
        <is>
          <t>R11</t>
        </is>
      </c>
      <c r="Q1848" t="inlineStr">
        <is>
          <t>MAT-RF</t>
        </is>
      </c>
      <c r="R1848">
        <f>IF(OR(Q1848="CONTEXT",Q1848="REVIEW"),"",INDEX('Category Rules'!$D$5:$D$17,MATCH(P1848,'Category Rules'!$A$5:$A$17,0)))</f>
        <v>4030</v>
      </c>
      <c r="S1848" t="str">
        <f>IF(Q1848="CONTEXT","Roofing",IF(Q1848="REVIEW","",INDEX('Category Rules'!$E$5:$E$17,MATCH(P1848,'Category Rules'!$A$5:$A$17,0))))</f>
        <v>Roofing</v>
      </c>
      <c r="T1848" t="str">
        <f>IF(Q1848="DEP","BAS Excluded","GST on Income")</f>
        <v>GST on Income</v>
      </c>
      <c r="U1848">
        <f>IF(O1848=T1848,1,0)</f>
        <v>1</v>
      </c>
      <c r="V1848" s="9">
        <f>IF(OR(M1848=0,U1848=1),0,IF(T1848="GST on Income",ROUND(K1848*0.1,2),ROUND(-K1848*0.1,2)))</f>
        <v>0</v>
      </c>
    </row>
    <row r="1849">
      <c r="A1849" t="inlineStr">
        <is>
          <t>INV-5845-3</t>
        </is>
      </c>
      <c r="B1849" t="inlineStr">
        <is>
          <t>INV-5845</t>
        </is>
      </c>
      <c r="C1849" s="11" t="n">
        <v>46110</v>
      </c>
      <c r="D1849" t="inlineStr">
        <is>
          <t>2026-03</t>
        </is>
      </c>
      <c r="E1849" t="inlineStr">
        <is>
          <t>C0137</t>
        </is>
      </c>
      <c r="F1849" t="inlineStr">
        <is>
          <t>C0062</t>
        </is>
      </c>
      <c r="G1849" t="inlineStr">
        <is>
          <t>Wattle Insurance Repairs Pty Ltd</t>
        </is>
      </c>
      <c r="H1849" t="inlineStr">
        <is>
          <t>S0517</t>
        </is>
      </c>
      <c r="I1849" t="inlineStr">
        <is>
          <t>Materials - gutter and downpipe</t>
        </is>
      </c>
      <c r="J1849" t="n">
        <v>1</v>
      </c>
      <c r="K1849" s="9" t="n">
        <v>262.32</v>
      </c>
      <c r="L1849" t="inlineStr">
        <is>
          <t>PAID</t>
        </is>
      </c>
      <c r="M1849">
        <f>IF(L1849="VOIDED",0,1)</f>
        <v>1</v>
      </c>
      <c r="N1849" t="n">
        <v>200</v>
      </c>
      <c r="O1849" t="inlineStr">
        <is>
          <t>GST on Income</t>
        </is>
      </c>
      <c r="P1849" t="inlineStr">
        <is>
          <t>R11</t>
        </is>
      </c>
      <c r="Q1849" t="inlineStr">
        <is>
          <t>MAT-RF</t>
        </is>
      </c>
      <c r="R1849">
        <f>IF(OR(Q1849="CONTEXT",Q1849="REVIEW"),"",INDEX('Category Rules'!$D$5:$D$17,MATCH(P1849,'Category Rules'!$A$5:$A$17,0)))</f>
        <v>4030</v>
      </c>
      <c r="S1849" t="str">
        <f>IF(Q1849="CONTEXT","Roofing",IF(Q1849="REVIEW","",INDEX('Category Rules'!$E$5:$E$17,MATCH(P1849,'Category Rules'!$A$5:$A$17,0))))</f>
        <v>Roofing</v>
      </c>
      <c r="T1849" t="str">
        <f>IF(Q1849="DEP","BAS Excluded","GST on Income")</f>
        <v>GST on Income</v>
      </c>
      <c r="U1849">
        <f>IF(O1849=T1849,1,0)</f>
        <v>1</v>
      </c>
      <c r="V1849" s="9">
        <f>IF(OR(M1849=0,U1849=1),0,IF(T1849="GST on Income",ROUND(K1849*0.1,2),ROUND(-K1849*0.1,2)))</f>
        <v>0</v>
      </c>
    </row>
    <row r="1850">
      <c r="A1850" t="inlineStr">
        <is>
          <t>INV-5845-4</t>
        </is>
      </c>
      <c r="B1850" t="inlineStr">
        <is>
          <t>INV-5845</t>
        </is>
      </c>
      <c r="C1850" s="11" t="n">
        <v>46110</v>
      </c>
      <c r="D1850" t="inlineStr">
        <is>
          <t>2026-03</t>
        </is>
      </c>
      <c r="E1850" t="inlineStr">
        <is>
          <t>C0137</t>
        </is>
      </c>
      <c r="F1850" t="inlineStr">
        <is>
          <t>C0062</t>
        </is>
      </c>
      <c r="G1850" t="inlineStr">
        <is>
          <t>Wattle Insurance Repairs Pty Ltd</t>
        </is>
      </c>
      <c r="H1850" t="inlineStr">
        <is>
          <t>S0517</t>
        </is>
      </c>
      <c r="I1850" t="inlineStr">
        <is>
          <t>Waste removal and tip fees</t>
        </is>
      </c>
      <c r="J1850" t="n">
        <v>1</v>
      </c>
      <c r="K1850" s="9" t="n">
        <v>120</v>
      </c>
      <c r="L1850" t="inlineStr">
        <is>
          <t>PAID</t>
        </is>
      </c>
      <c r="M1850">
        <f>IF(L1850="VOIDED",0,1)</f>
        <v>1</v>
      </c>
      <c r="N1850" t="n">
        <v>200</v>
      </c>
      <c r="O1850" t="inlineStr">
        <is>
          <t>GST on Income</t>
        </is>
      </c>
      <c r="P1850" t="inlineStr">
        <is>
          <t>R11</t>
        </is>
      </c>
      <c r="Q1850" t="inlineStr">
        <is>
          <t>MAT-RF</t>
        </is>
      </c>
      <c r="R1850">
        <f>IF(OR(Q1850="CONTEXT",Q1850="REVIEW"),"",INDEX('Category Rules'!$D$5:$D$17,MATCH(P1850,'Category Rules'!$A$5:$A$17,0)))</f>
        <v>4030</v>
      </c>
      <c r="S1850" t="str">
        <f>IF(Q1850="CONTEXT","Roofing",IF(Q1850="REVIEW","",INDEX('Category Rules'!$E$5:$E$17,MATCH(P1850,'Category Rules'!$A$5:$A$17,0))))</f>
        <v>Roofing</v>
      </c>
      <c r="T1850" t="str">
        <f>IF(Q1850="DEP","BAS Excluded","GST on Income")</f>
        <v>GST on Income</v>
      </c>
      <c r="U1850">
        <f>IF(O1850=T1850,1,0)</f>
        <v>1</v>
      </c>
      <c r="V1850" s="9">
        <f>IF(OR(M1850=0,U1850=1),0,IF(T1850="GST on Income",ROUND(K1850*0.1,2),ROUND(-K1850*0.1,2)))</f>
        <v>0</v>
      </c>
    </row>
    <row r="1851">
      <c r="A1851" t="inlineStr">
        <is>
          <t>INV-5926-1</t>
        </is>
      </c>
      <c r="B1851" t="inlineStr">
        <is>
          <t>INV-5926</t>
        </is>
      </c>
      <c r="C1851" s="11" t="n">
        <v>46110</v>
      </c>
      <c r="D1851" t="inlineStr">
        <is>
          <t>2026-03</t>
        </is>
      </c>
      <c r="E1851" t="inlineStr">
        <is>
          <t>C0052</t>
        </is>
      </c>
      <c r="F1851" t="inlineStr">
        <is>
          <t>C0052</t>
        </is>
      </c>
      <c r="G1851" t="inlineStr">
        <is>
          <t>Bluegum Body Corporate Pty Ltd</t>
        </is>
      </c>
      <c r="H1851" t="inlineStr"/>
      <c r="I1851" t="inlineStr">
        <is>
          <t>Job 2058 - progress claim</t>
        </is>
      </c>
      <c r="J1851" t="n">
        <v>1</v>
      </c>
      <c r="K1851" s="9" t="n">
        <v>1388.47</v>
      </c>
      <c r="L1851" t="inlineStr">
        <is>
          <t>PAID</t>
        </is>
      </c>
      <c r="M1851">
        <f>IF(L1851="VOIDED",0,1)</f>
        <v>1</v>
      </c>
      <c r="N1851" t="n">
        <v>200</v>
      </c>
      <c r="O1851" t="inlineStr">
        <is>
          <t>GST on Income</t>
        </is>
      </c>
      <c r="P1851" t="inlineStr">
        <is>
          <t>--</t>
        </is>
      </c>
      <c r="Q1851" t="inlineStr">
        <is>
          <t>REVIEW</t>
        </is>
      </c>
      <c r="R1851">
        <f>IF(OR(Q1851="CONTEXT",Q1851="REVIEW"),"",INDEX('Category Rules'!$D$5:$D$17,MATCH(P1851,'Category Rules'!$A$5:$A$17,0)))</f>
      </c>
      <c r="S1851">
        <f>IF(Q1851="CONTEXT","",IF(Q1851="REVIEW","",INDEX('Category Rules'!$E$5:$E$17,MATCH(P1851,'Category Rules'!$A$5:$A$17,0))))</f>
      </c>
      <c r="T1851" t="str">
        <f>IF(Q1851="DEP","BAS Excluded","GST on Income")</f>
        <v>GST on Income</v>
      </c>
      <c r="U1851">
        <f>IF(O1851=T1851,1,0)</f>
        <v>1</v>
      </c>
      <c r="V1851" s="9">
        <f>IF(OR(M1851=0,U1851=1),0,IF(T1851="GST on Income",ROUND(K1851*0.1,2),ROUND(-K1851*0.1,2)))</f>
        <v>0</v>
      </c>
    </row>
    <row r="1852">
      <c r="A1852" t="inlineStr">
        <is>
          <t>INV-4204-1</t>
        </is>
      </c>
      <c r="B1852" t="inlineStr">
        <is>
          <t>INV-4204</t>
        </is>
      </c>
      <c r="C1852" s="11" t="n">
        <v>46111</v>
      </c>
      <c r="D1852" t="inlineStr">
        <is>
          <t>2026-03</t>
        </is>
      </c>
      <c r="E1852" t="inlineStr">
        <is>
          <t>C0106</t>
        </is>
      </c>
      <c r="F1852" t="inlineStr">
        <is>
          <t>C0106</t>
        </is>
      </c>
      <c r="G1852" t="inlineStr">
        <is>
          <t>Ella Wilson</t>
        </is>
      </c>
      <c r="H1852" t="inlineStr">
        <is>
          <t>S0019</t>
        </is>
      </c>
      <c r="I1852" t="inlineStr">
        <is>
          <t>Temporary fence hire 4 wks (02/03/26-29/03/26) - 81 panels</t>
        </is>
      </c>
      <c r="J1852" t="n">
        <v>324</v>
      </c>
      <c r="K1852" s="9" t="n">
        <v>1458</v>
      </c>
      <c r="L1852" t="inlineStr">
        <is>
          <t>PAID</t>
        </is>
      </c>
      <c r="M1852">
        <f>IF(L1852="VOIDED",0,1)</f>
        <v>1</v>
      </c>
      <c r="N1852" t="n">
        <v>200</v>
      </c>
      <c r="O1852" t="inlineStr">
        <is>
          <t>GST on Income</t>
        </is>
      </c>
      <c r="P1852" t="inlineStr">
        <is>
          <t>R03</t>
        </is>
      </c>
      <c r="Q1852" t="inlineStr">
        <is>
          <t>HIRE-FP</t>
        </is>
      </c>
      <c r="R1852">
        <f>IF(OR(Q1852="CONTEXT",Q1852="REVIEW"),"",INDEX('Category Rules'!$D$5:$D$17,MATCH(P1852,'Category Rules'!$A$5:$A$17,0)))</f>
        <v>4010</v>
      </c>
      <c r="S1852" t="str">
        <f>IF(Q1852="CONTEXT","Fencing",IF(Q1852="REVIEW","",INDEX('Category Rules'!$E$5:$E$17,MATCH(P1852,'Category Rules'!$A$5:$A$17,0))))</f>
        <v>Fencing</v>
      </c>
      <c r="T1852" t="str">
        <f>IF(Q1852="DEP","BAS Excluded","GST on Income")</f>
        <v>GST on Income</v>
      </c>
      <c r="U1852">
        <f>IF(O1852=T1852,1,0)</f>
        <v>1</v>
      </c>
      <c r="V1852" s="9">
        <f>IF(OR(M1852=0,U1852=1),0,IF(T1852="GST on Income",ROUND(K1852*0.1,2),ROUND(-K1852*0.1,2)))</f>
        <v>0</v>
      </c>
    </row>
    <row r="1853">
      <c r="A1853" t="inlineStr">
        <is>
          <t>INV-4306-1</t>
        </is>
      </c>
      <c r="B1853" t="inlineStr">
        <is>
          <t>INV-4306</t>
        </is>
      </c>
      <c r="C1853" s="11" t="n">
        <v>46111</v>
      </c>
      <c r="D1853" t="inlineStr">
        <is>
          <t>2026-03</t>
        </is>
      </c>
      <c r="E1853" t="inlineStr">
        <is>
          <t>C0083</t>
        </is>
      </c>
      <c r="F1853" t="inlineStr">
        <is>
          <t>C0083</t>
        </is>
      </c>
      <c r="G1853" t="inlineStr">
        <is>
          <t>Noah Williams</t>
        </is>
      </c>
      <c r="H1853" t="inlineStr">
        <is>
          <t>S0042</t>
        </is>
      </c>
      <c r="I1853" t="inlineStr">
        <is>
          <t>Temporary fence hire 4 wks (02/03/26-29/03/26) - 81 panels</t>
        </is>
      </c>
      <c r="J1853" t="n">
        <v>324</v>
      </c>
      <c r="K1853" s="9" t="n">
        <v>1458</v>
      </c>
      <c r="L1853" t="inlineStr">
        <is>
          <t>PAID</t>
        </is>
      </c>
      <c r="M1853">
        <f>IF(L1853="VOIDED",0,1)</f>
        <v>1</v>
      </c>
      <c r="N1853" t="n">
        <v>200</v>
      </c>
      <c r="O1853" t="inlineStr">
        <is>
          <t>GST on Income</t>
        </is>
      </c>
      <c r="P1853" t="inlineStr">
        <is>
          <t>R03</t>
        </is>
      </c>
      <c r="Q1853" t="inlineStr">
        <is>
          <t>HIRE-FP</t>
        </is>
      </c>
      <c r="R1853">
        <f>IF(OR(Q1853="CONTEXT",Q1853="REVIEW"),"",INDEX('Category Rules'!$D$5:$D$17,MATCH(P1853,'Category Rules'!$A$5:$A$17,0)))</f>
        <v>4010</v>
      </c>
      <c r="S1853" t="str">
        <f>IF(Q1853="CONTEXT","Fencing",IF(Q1853="REVIEW","",INDEX('Category Rules'!$E$5:$E$17,MATCH(P1853,'Category Rules'!$A$5:$A$17,0))))</f>
        <v>Fencing</v>
      </c>
      <c r="T1853" t="str">
        <f>IF(Q1853="DEP","BAS Excluded","GST on Income")</f>
        <v>GST on Income</v>
      </c>
      <c r="U1853">
        <f>IF(O1853=T1853,1,0)</f>
        <v>1</v>
      </c>
      <c r="V1853" s="9">
        <f>IF(OR(M1853=0,U1853=1),0,IF(T1853="GST on Income",ROUND(K1853*0.1,2),ROUND(-K1853*0.1,2)))</f>
        <v>0</v>
      </c>
    </row>
    <row r="1854">
      <c r="A1854" t="inlineStr">
        <is>
          <t>INV-4339-1</t>
        </is>
      </c>
      <c r="B1854" t="inlineStr">
        <is>
          <t>INV-4339</t>
        </is>
      </c>
      <c r="C1854" s="11" t="n">
        <v>46111</v>
      </c>
      <c r="D1854" t="inlineStr">
        <is>
          <t>2026-03</t>
        </is>
      </c>
      <c r="E1854" t="inlineStr">
        <is>
          <t>C0022</t>
        </is>
      </c>
      <c r="F1854" t="inlineStr">
        <is>
          <t>C0022</t>
        </is>
      </c>
      <c r="G1854" t="inlineStr">
        <is>
          <t>Highpoint Projects</t>
        </is>
      </c>
      <c r="H1854" t="inlineStr">
        <is>
          <t>S0050</t>
        </is>
      </c>
      <c r="I1854" t="inlineStr">
        <is>
          <t>Delivery and installation - temporary fencing</t>
        </is>
      </c>
      <c r="J1854" t="n">
        <v>1</v>
      </c>
      <c r="K1854" s="9" t="n">
        <v>165</v>
      </c>
      <c r="L1854" t="inlineStr">
        <is>
          <t>PAID</t>
        </is>
      </c>
      <c r="M1854">
        <f>IF(L1854="VOIDED",0,1)</f>
        <v>1</v>
      </c>
      <c r="N1854" t="n">
        <v>200</v>
      </c>
      <c r="O1854" t="inlineStr">
        <is>
          <t>GST on Income</t>
        </is>
      </c>
      <c r="P1854" t="inlineStr">
        <is>
          <t>R07</t>
        </is>
      </c>
      <c r="Q1854" t="inlineStr">
        <is>
          <t>DEL-FP</t>
        </is>
      </c>
      <c r="R1854">
        <f>IF(OR(Q1854="CONTEXT",Q1854="REVIEW"),"",INDEX('Category Rules'!$D$5:$D$17,MATCH(P1854,'Category Rules'!$A$5:$A$17,0)))</f>
        <v>4020</v>
      </c>
      <c r="S1854" t="str">
        <f>IF(Q1854="CONTEXT","Fencing",IF(Q1854="REVIEW","",INDEX('Category Rules'!$E$5:$E$17,MATCH(P1854,'Category Rules'!$A$5:$A$17,0))))</f>
        <v>Fencing</v>
      </c>
      <c r="T1854" t="str">
        <f>IF(Q1854="DEP","BAS Excluded","GST on Income")</f>
        <v>GST on Income</v>
      </c>
      <c r="U1854">
        <f>IF(O1854=T1854,1,0)</f>
        <v>1</v>
      </c>
      <c r="V1854" s="9">
        <f>IF(OR(M1854=0,U1854=1),0,IF(T1854="GST on Income",ROUND(K1854*0.1,2),ROUND(-K1854*0.1,2)))</f>
        <v>0</v>
      </c>
    </row>
    <row r="1855">
      <c r="A1855" t="inlineStr">
        <is>
          <t>INV-4339-2</t>
        </is>
      </c>
      <c r="B1855" t="inlineStr">
        <is>
          <t>INV-4339</t>
        </is>
      </c>
      <c r="C1855" s="11" t="n">
        <v>46111</v>
      </c>
      <c r="D1855" t="inlineStr">
        <is>
          <t>2026-03</t>
        </is>
      </c>
      <c r="E1855" t="inlineStr">
        <is>
          <t>C0022</t>
        </is>
      </c>
      <c r="F1855" t="inlineStr">
        <is>
          <t>C0022</t>
        </is>
      </c>
      <c r="G1855" t="inlineStr">
        <is>
          <t>Highpoint Projects</t>
        </is>
      </c>
      <c r="H1855" t="inlineStr">
        <is>
          <t>S0050</t>
        </is>
      </c>
      <c r="I1855" t="inlineStr">
        <is>
          <t>Installation labour - 26 panels @ 2.20</t>
        </is>
      </c>
      <c r="J1855" t="n">
        <v>26</v>
      </c>
      <c r="K1855" s="9" t="n">
        <v>57.2</v>
      </c>
      <c r="L1855" t="inlineStr">
        <is>
          <t>PAID</t>
        </is>
      </c>
      <c r="M1855">
        <f>IF(L1855="VOIDED",0,1)</f>
        <v>1</v>
      </c>
      <c r="N1855" t="n">
        <v>200</v>
      </c>
      <c r="O1855" t="inlineStr">
        <is>
          <t>GST on Income</t>
        </is>
      </c>
      <c r="P1855" t="inlineStr">
        <is>
          <t>R07</t>
        </is>
      </c>
      <c r="Q1855" t="inlineStr">
        <is>
          <t>DEL-FP</t>
        </is>
      </c>
      <c r="R1855">
        <f>IF(OR(Q1855="CONTEXT",Q1855="REVIEW"),"",INDEX('Category Rules'!$D$5:$D$17,MATCH(P1855,'Category Rules'!$A$5:$A$17,0)))</f>
        <v>4020</v>
      </c>
      <c r="S1855" t="str">
        <f>IF(Q1855="CONTEXT","Fencing",IF(Q1855="REVIEW","",INDEX('Category Rules'!$E$5:$E$17,MATCH(P1855,'Category Rules'!$A$5:$A$17,0))))</f>
        <v>Fencing</v>
      </c>
      <c r="T1855" t="str">
        <f>IF(Q1855="DEP","BAS Excluded","GST on Income")</f>
        <v>GST on Income</v>
      </c>
      <c r="U1855">
        <f>IF(O1855=T1855,1,0)</f>
        <v>1</v>
      </c>
      <c r="V1855" s="9">
        <f>IF(OR(M1855=0,U1855=1),0,IF(T1855="GST on Income",ROUND(K1855*0.1,2),ROUND(-K1855*0.1,2)))</f>
        <v>0</v>
      </c>
    </row>
    <row r="1856">
      <c r="A1856" t="inlineStr">
        <is>
          <t>INV-4899-1</t>
        </is>
      </c>
      <c r="B1856" t="inlineStr">
        <is>
          <t>INV-4899</t>
        </is>
      </c>
      <c r="C1856" s="11" t="n">
        <v>46111</v>
      </c>
      <c r="D1856" t="inlineStr">
        <is>
          <t>2026-03</t>
        </is>
      </c>
      <c r="E1856" t="inlineStr">
        <is>
          <t>C0011</t>
        </is>
      </c>
      <c r="F1856" t="inlineStr">
        <is>
          <t>C0011</t>
        </is>
      </c>
      <c r="G1856" t="inlineStr">
        <is>
          <t>Wattle Homes Pty Ltd</t>
        </is>
      </c>
      <c r="H1856" t="inlineStr">
        <is>
          <t>S0169</t>
        </is>
      </c>
      <c r="I1856" t="inlineStr">
        <is>
          <t>Temporary fence hire 4 wks (02/03/26-29/03/26) - 29 panels</t>
        </is>
      </c>
      <c r="J1856" t="n">
        <v>116</v>
      </c>
      <c r="K1856" s="9" t="n">
        <v>522</v>
      </c>
      <c r="L1856" t="inlineStr">
        <is>
          <t>PAID</t>
        </is>
      </c>
      <c r="M1856">
        <f>IF(L1856="VOIDED",0,1)</f>
        <v>1</v>
      </c>
      <c r="N1856" t="n">
        <v>200</v>
      </c>
      <c r="O1856" t="inlineStr">
        <is>
          <t>GST on Income</t>
        </is>
      </c>
      <c r="P1856" t="inlineStr">
        <is>
          <t>R03</t>
        </is>
      </c>
      <c r="Q1856" t="inlineStr">
        <is>
          <t>HIRE-FP</t>
        </is>
      </c>
      <c r="R1856">
        <f>IF(OR(Q1856="CONTEXT",Q1856="REVIEW"),"",INDEX('Category Rules'!$D$5:$D$17,MATCH(P1856,'Category Rules'!$A$5:$A$17,0)))</f>
        <v>4010</v>
      </c>
      <c r="S1856" t="str">
        <f>IF(Q1856="CONTEXT","Fencing",IF(Q1856="REVIEW","",INDEX('Category Rules'!$E$5:$E$17,MATCH(P1856,'Category Rules'!$A$5:$A$17,0))))</f>
        <v>Fencing</v>
      </c>
      <c r="T1856" t="str">
        <f>IF(Q1856="DEP","BAS Excluded","GST on Income")</f>
        <v>GST on Income</v>
      </c>
      <c r="U1856">
        <f>IF(O1856=T1856,1,0)</f>
        <v>1</v>
      </c>
      <c r="V1856" s="9">
        <f>IF(OR(M1856=0,U1856=1),0,IF(T1856="GST on Income",ROUND(K1856*0.1,2),ROUND(-K1856*0.1,2)))</f>
        <v>0</v>
      </c>
    </row>
    <row r="1857">
      <c r="A1857" t="inlineStr">
        <is>
          <t>INV-4904-1</t>
        </is>
      </c>
      <c r="B1857" t="inlineStr">
        <is>
          <t>INV-4904</t>
        </is>
      </c>
      <c r="C1857" s="11" t="n">
        <v>46111</v>
      </c>
      <c r="D1857" t="inlineStr">
        <is>
          <t>2026-03</t>
        </is>
      </c>
      <c r="E1857" t="inlineStr">
        <is>
          <t>C0011</t>
        </is>
      </c>
      <c r="F1857" t="inlineStr">
        <is>
          <t>C0011</t>
        </is>
      </c>
      <c r="G1857" t="inlineStr">
        <is>
          <t>Wattle Homes Pty Ltd</t>
        </is>
      </c>
      <c r="H1857" t="inlineStr">
        <is>
          <t>S0169</t>
        </is>
      </c>
      <c r="I1857" t="inlineStr">
        <is>
          <t>Pedestrian barrier hire 4 wks (02/03/26-29/03/26) - 16 barriers</t>
        </is>
      </c>
      <c r="J1857" t="n">
        <v>64</v>
      </c>
      <c r="K1857" s="9" t="n">
        <v>204.8</v>
      </c>
      <c r="L1857" t="inlineStr">
        <is>
          <t>PAID</t>
        </is>
      </c>
      <c r="M1857">
        <f>IF(L1857="VOIDED",0,1)</f>
        <v>1</v>
      </c>
      <c r="N1857" t="n">
        <v>200</v>
      </c>
      <c r="O1857" t="inlineStr">
        <is>
          <t>GST on Income</t>
        </is>
      </c>
      <c r="P1857" t="inlineStr">
        <is>
          <t>R04</t>
        </is>
      </c>
      <c r="Q1857" t="inlineStr">
        <is>
          <t>HIRE-BR</t>
        </is>
      </c>
      <c r="R1857">
        <f>IF(OR(Q1857="CONTEXT",Q1857="REVIEW"),"",INDEX('Category Rules'!$D$5:$D$17,MATCH(P1857,'Category Rules'!$A$5:$A$17,0)))</f>
        <v>4010</v>
      </c>
      <c r="S1857" t="str">
        <f>IF(Q1857="CONTEXT","Fencing",IF(Q1857="REVIEW","",INDEX('Category Rules'!$E$5:$E$17,MATCH(P1857,'Category Rules'!$A$5:$A$17,0))))</f>
        <v>Fencing</v>
      </c>
      <c r="T1857" t="str">
        <f>IF(Q1857="DEP","BAS Excluded","GST on Income")</f>
        <v>GST on Income</v>
      </c>
      <c r="U1857">
        <f>IF(O1857=T1857,1,0)</f>
        <v>1</v>
      </c>
      <c r="V1857" s="9">
        <f>IF(OR(M1857=0,U1857=1),0,IF(T1857="GST on Income",ROUND(K1857*0.1,2),ROUND(-K1857*0.1,2)))</f>
        <v>0</v>
      </c>
    </row>
    <row r="1858">
      <c r="A1858" t="inlineStr">
        <is>
          <t>INV-5045-1</t>
        </is>
      </c>
      <c r="B1858" t="inlineStr">
        <is>
          <t>INV-5045</t>
        </is>
      </c>
      <c r="C1858" s="11" t="n">
        <v>46111</v>
      </c>
      <c r="D1858" t="inlineStr">
        <is>
          <t>2026-03</t>
        </is>
      </c>
      <c r="E1858" t="inlineStr">
        <is>
          <t>C0103</t>
        </is>
      </c>
      <c r="F1858" t="inlineStr">
        <is>
          <t>C0103</t>
        </is>
      </c>
      <c r="G1858" t="inlineStr">
        <is>
          <t>Grace Martin</t>
        </is>
      </c>
      <c r="H1858" t="inlineStr">
        <is>
          <t>S0203</t>
        </is>
      </c>
      <c r="I1858" t="inlineStr">
        <is>
          <t>Temporary fence hire 4 wks (02/03/26-29/03/26) - 28 panels</t>
        </is>
      </c>
      <c r="J1858" t="n">
        <v>112</v>
      </c>
      <c r="K1858" s="9" t="n">
        <v>504</v>
      </c>
      <c r="L1858" t="inlineStr">
        <is>
          <t>VOIDED</t>
        </is>
      </c>
      <c r="M1858">
        <f>IF(L1858="VOIDED",0,1)</f>
        <v>0</v>
      </c>
      <c r="N1858" t="n">
        <v>200</v>
      </c>
      <c r="O1858" t="inlineStr">
        <is>
          <t>GST on Income</t>
        </is>
      </c>
      <c r="P1858" t="inlineStr">
        <is>
          <t>R03</t>
        </is>
      </c>
      <c r="Q1858" t="inlineStr">
        <is>
          <t>HIRE-FP</t>
        </is>
      </c>
      <c r="R1858">
        <f>IF(OR(Q1858="CONTEXT",Q1858="REVIEW"),"",INDEX('Category Rules'!$D$5:$D$17,MATCH(P1858,'Category Rules'!$A$5:$A$17,0)))</f>
        <v>4010</v>
      </c>
      <c r="S1858" t="str">
        <f>IF(Q1858="CONTEXT","Fencing",IF(Q1858="REVIEW","",INDEX('Category Rules'!$E$5:$E$17,MATCH(P1858,'Category Rules'!$A$5:$A$17,0))))</f>
        <v>Fencing</v>
      </c>
      <c r="T1858" t="str">
        <f>IF(Q1858="DEP","BAS Excluded","GST on Income")</f>
        <v>GST on Income</v>
      </c>
      <c r="U1858">
        <f>IF(O1858=T1858,1,0)</f>
        <v>1</v>
      </c>
      <c r="V1858" s="9">
        <f>IF(OR(M1858=0,U1858=1),0,IF(T1858="GST on Income",ROUND(K1858*0.1,2),ROUND(-K1858*0.1,2)))</f>
        <v>0</v>
      </c>
    </row>
    <row r="1859">
      <c r="A1859" t="inlineStr">
        <is>
          <t>INV-5061-1</t>
        </is>
      </c>
      <c r="B1859" t="inlineStr">
        <is>
          <t>INV-5061</t>
        </is>
      </c>
      <c r="C1859" s="11" t="n">
        <v>46111</v>
      </c>
      <c r="D1859" t="inlineStr">
        <is>
          <t>2026-03</t>
        </is>
      </c>
      <c r="E1859" t="inlineStr">
        <is>
          <t>C0025</t>
        </is>
      </c>
      <c r="F1859" t="inlineStr">
        <is>
          <t>C0025</t>
        </is>
      </c>
      <c r="G1859" t="inlineStr">
        <is>
          <t>Silverleaf Building Group Pty Ltd</t>
        </is>
      </c>
      <c r="H1859" t="inlineStr">
        <is>
          <t>S0205</t>
        </is>
      </c>
      <c r="I1859" t="inlineStr">
        <is>
          <t>Temporary fence hire 2 wks (17/03/26-29/03/26) - 93 panels</t>
        </is>
      </c>
      <c r="J1859" t="n">
        <v>186</v>
      </c>
      <c r="K1859" s="9" t="n">
        <v>837</v>
      </c>
      <c r="L1859" t="inlineStr">
        <is>
          <t>PAID</t>
        </is>
      </c>
      <c r="M1859">
        <f>IF(L1859="VOIDED",0,1)</f>
        <v>1</v>
      </c>
      <c r="N1859" t="n">
        <v>200</v>
      </c>
      <c r="O1859" t="inlineStr">
        <is>
          <t>GST on Income</t>
        </is>
      </c>
      <c r="P1859" t="inlineStr">
        <is>
          <t>R03</t>
        </is>
      </c>
      <c r="Q1859" t="inlineStr">
        <is>
          <t>HIRE-FP</t>
        </is>
      </c>
      <c r="R1859">
        <f>IF(OR(Q1859="CONTEXT",Q1859="REVIEW"),"",INDEX('Category Rules'!$D$5:$D$17,MATCH(P1859,'Category Rules'!$A$5:$A$17,0)))</f>
        <v>4010</v>
      </c>
      <c r="S1859" t="str">
        <f>IF(Q1859="CONTEXT","Fencing",IF(Q1859="REVIEW","",INDEX('Category Rules'!$E$5:$E$17,MATCH(P1859,'Category Rules'!$A$5:$A$17,0))))</f>
        <v>Fencing</v>
      </c>
      <c r="T1859" t="str">
        <f>IF(Q1859="DEP","BAS Excluded","GST on Income")</f>
        <v>GST on Income</v>
      </c>
      <c r="U1859">
        <f>IF(O1859=T1859,1,0)</f>
        <v>1</v>
      </c>
      <c r="V1859" s="9">
        <f>IF(OR(M1859=0,U1859=1),0,IF(T1859="GST on Income",ROUND(K1859*0.1,2),ROUND(-K1859*0.1,2)))</f>
        <v>0</v>
      </c>
    </row>
    <row r="1860">
      <c r="A1860" t="inlineStr">
        <is>
          <t>INV-5063-1</t>
        </is>
      </c>
      <c r="B1860" t="inlineStr">
        <is>
          <t>INV-5063</t>
        </is>
      </c>
      <c r="C1860" s="11" t="n">
        <v>46111</v>
      </c>
      <c r="D1860" t="inlineStr">
        <is>
          <t>2026-03</t>
        </is>
      </c>
      <c r="E1860" t="inlineStr">
        <is>
          <t>C0025</t>
        </is>
      </c>
      <c r="F1860" t="inlineStr">
        <is>
          <t>C0025</t>
        </is>
      </c>
      <c r="G1860" t="inlineStr">
        <is>
          <t>Silverleaf Building Group Pty Ltd</t>
        </is>
      </c>
      <c r="H1860" t="inlineStr">
        <is>
          <t>S0205</t>
        </is>
      </c>
      <c r="I1860" t="inlineStr">
        <is>
          <t>Collection and dismantle - temporary fencing</t>
        </is>
      </c>
      <c r="J1860" t="n">
        <v>1</v>
      </c>
      <c r="K1860" s="9" t="n">
        <v>165</v>
      </c>
      <c r="L1860" t="inlineStr">
        <is>
          <t>PAID</t>
        </is>
      </c>
      <c r="M1860">
        <f>IF(L1860="VOIDED",0,1)</f>
        <v>1</v>
      </c>
      <c r="N1860" t="n">
        <v>200</v>
      </c>
      <c r="O1860" t="inlineStr">
        <is>
          <t>GST on Income</t>
        </is>
      </c>
      <c r="P1860" t="inlineStr">
        <is>
          <t>R07</t>
        </is>
      </c>
      <c r="Q1860" t="inlineStr">
        <is>
          <t>DEL-FP</t>
        </is>
      </c>
      <c r="R1860">
        <f>IF(OR(Q1860="CONTEXT",Q1860="REVIEW"),"",INDEX('Category Rules'!$D$5:$D$17,MATCH(P1860,'Category Rules'!$A$5:$A$17,0)))</f>
        <v>4020</v>
      </c>
      <c r="S1860" t="str">
        <f>IF(Q1860="CONTEXT","Fencing",IF(Q1860="REVIEW","",INDEX('Category Rules'!$E$5:$E$17,MATCH(P1860,'Category Rules'!$A$5:$A$17,0))))</f>
        <v>Fencing</v>
      </c>
      <c r="T1860" t="str">
        <f>IF(Q1860="DEP","BAS Excluded","GST on Income")</f>
        <v>GST on Income</v>
      </c>
      <c r="U1860">
        <f>IF(O1860=T1860,1,0)</f>
        <v>1</v>
      </c>
      <c r="V1860" s="9">
        <f>IF(OR(M1860=0,U1860=1),0,IF(T1860="GST on Income",ROUND(K1860*0.1,2),ROUND(-K1860*0.1,2)))</f>
        <v>0</v>
      </c>
    </row>
    <row r="1861">
      <c r="A1861" t="inlineStr">
        <is>
          <t>INV-5785-1</t>
        </is>
      </c>
      <c r="B1861" t="inlineStr">
        <is>
          <t>INV-5785</t>
        </is>
      </c>
      <c r="C1861" s="11" t="n">
        <v>46111</v>
      </c>
      <c r="D1861" t="inlineStr">
        <is>
          <t>2026-03</t>
        </is>
      </c>
      <c r="E1861" t="inlineStr">
        <is>
          <t>C0067</t>
        </is>
      </c>
      <c r="F1861" t="inlineStr">
        <is>
          <t>C0067</t>
        </is>
      </c>
      <c r="G1861" t="inlineStr">
        <is>
          <t>Banksia Claims Services Pty Ltd</t>
        </is>
      </c>
      <c r="H1861" t="inlineStr">
        <is>
          <t>S0483</t>
        </is>
      </c>
      <c r="I1861" t="inlineStr">
        <is>
          <t>Tarp kit hire 2 wks (22/03/26-29/03/26) - 2 kits</t>
        </is>
      </c>
      <c r="J1861" t="n">
        <v>4</v>
      </c>
      <c r="K1861" s="9" t="n">
        <v>140</v>
      </c>
      <c r="L1861" t="inlineStr">
        <is>
          <t>PAID</t>
        </is>
      </c>
      <c r="M1861">
        <f>IF(L1861="VOIDED",0,1)</f>
        <v>1</v>
      </c>
      <c r="N1861" t="n">
        <v>200</v>
      </c>
      <c r="O1861" t="inlineStr">
        <is>
          <t>GST on Income</t>
        </is>
      </c>
      <c r="P1861" t="inlineStr">
        <is>
          <t>R06</t>
        </is>
      </c>
      <c r="Q1861" t="inlineStr">
        <is>
          <t>HIRE-TK</t>
        </is>
      </c>
      <c r="R1861">
        <f>IF(OR(Q1861="CONTEXT",Q1861="REVIEW"),"",INDEX('Category Rules'!$D$5:$D$17,MATCH(P1861,'Category Rules'!$A$5:$A$17,0)))</f>
        <v>4010</v>
      </c>
      <c r="S1861" t="str">
        <f>IF(Q1861="CONTEXT","Make-safe",IF(Q1861="REVIEW","",INDEX('Category Rules'!$E$5:$E$17,MATCH(P1861,'Category Rules'!$A$5:$A$17,0))))</f>
        <v>Make-safe</v>
      </c>
      <c r="T1861" t="str">
        <f>IF(Q1861="DEP","BAS Excluded","GST on Income")</f>
        <v>GST on Income</v>
      </c>
      <c r="U1861">
        <f>IF(O1861=T1861,1,0)</f>
        <v>1</v>
      </c>
      <c r="V1861" s="9">
        <f>IF(OR(M1861=0,U1861=1),0,IF(T1861="GST on Income",ROUND(K1861*0.1,2),ROUND(-K1861*0.1,2)))</f>
        <v>0</v>
      </c>
    </row>
    <row r="1862">
      <c r="A1862" t="inlineStr">
        <is>
          <t>INV-4909-1</t>
        </is>
      </c>
      <c r="B1862" t="inlineStr">
        <is>
          <t>INV-4909</t>
        </is>
      </c>
      <c r="C1862" s="11" t="n">
        <v>46112</v>
      </c>
      <c r="D1862" t="inlineStr">
        <is>
          <t>2026-03</t>
        </is>
      </c>
      <c r="E1862" t="inlineStr">
        <is>
          <t>C0033</t>
        </is>
      </c>
      <c r="F1862" t="inlineStr">
        <is>
          <t>C0033</t>
        </is>
      </c>
      <c r="G1862" t="inlineStr">
        <is>
          <t>Granite Projects Pty Ltd</t>
        </is>
      </c>
      <c r="H1862" t="inlineStr">
        <is>
          <t>S0170</t>
        </is>
      </c>
      <c r="I1862" t="inlineStr">
        <is>
          <t>Temporary fence hire 3 wks (15/03/26-30/03/26) - 46 panels</t>
        </is>
      </c>
      <c r="J1862" t="n">
        <v>138</v>
      </c>
      <c r="K1862" s="9" t="n">
        <v>621</v>
      </c>
      <c r="L1862" t="inlineStr">
        <is>
          <t>PAID</t>
        </is>
      </c>
      <c r="M1862">
        <f>IF(L1862="VOIDED",0,1)</f>
        <v>1</v>
      </c>
      <c r="N1862" t="n">
        <v>200</v>
      </c>
      <c r="O1862" t="inlineStr">
        <is>
          <t>GST on Income</t>
        </is>
      </c>
      <c r="P1862" t="inlineStr">
        <is>
          <t>R03</t>
        </is>
      </c>
      <c r="Q1862" t="inlineStr">
        <is>
          <t>HIRE-FP</t>
        </is>
      </c>
      <c r="R1862">
        <f>IF(OR(Q1862="CONTEXT",Q1862="REVIEW"),"",INDEX('Category Rules'!$D$5:$D$17,MATCH(P1862,'Category Rules'!$A$5:$A$17,0)))</f>
        <v>4010</v>
      </c>
      <c r="S1862" t="str">
        <f>IF(Q1862="CONTEXT","Fencing",IF(Q1862="REVIEW","",INDEX('Category Rules'!$E$5:$E$17,MATCH(P1862,'Category Rules'!$A$5:$A$17,0))))</f>
        <v>Fencing</v>
      </c>
      <c r="T1862" t="str">
        <f>IF(Q1862="DEP","BAS Excluded","GST on Income")</f>
        <v>GST on Income</v>
      </c>
      <c r="U1862">
        <f>IF(O1862=T1862,1,0)</f>
        <v>1</v>
      </c>
      <c r="V1862" s="9">
        <f>IF(OR(M1862=0,U1862=1),0,IF(T1862="GST on Income",ROUND(K1862*0.1,2),ROUND(-K1862*0.1,2)))</f>
        <v>0</v>
      </c>
    </row>
    <row r="1863">
      <c r="A1863" t="inlineStr">
        <is>
          <t>INV-4911-1</t>
        </is>
      </c>
      <c r="B1863" t="inlineStr">
        <is>
          <t>INV-4911</t>
        </is>
      </c>
      <c r="C1863" s="11" t="n">
        <v>46112</v>
      </c>
      <c r="D1863" t="inlineStr">
        <is>
          <t>2026-03</t>
        </is>
      </c>
      <c r="E1863" t="inlineStr">
        <is>
          <t>C0033</t>
        </is>
      </c>
      <c r="F1863" t="inlineStr">
        <is>
          <t>C0033</t>
        </is>
      </c>
      <c r="G1863" t="inlineStr">
        <is>
          <t>Granite Projects Pty Ltd</t>
        </is>
      </c>
      <c r="H1863" t="inlineStr">
        <is>
          <t>S0170</t>
        </is>
      </c>
      <c r="I1863" t="inlineStr">
        <is>
          <t>Collection and dismantle - temporary fencing</t>
        </is>
      </c>
      <c r="J1863" t="n">
        <v>1</v>
      </c>
      <c r="K1863" s="9" t="n">
        <v>165</v>
      </c>
      <c r="L1863" t="inlineStr">
        <is>
          <t>PAID</t>
        </is>
      </c>
      <c r="M1863">
        <f>IF(L1863="VOIDED",0,1)</f>
        <v>1</v>
      </c>
      <c r="N1863" t="n">
        <v>200</v>
      </c>
      <c r="O1863" t="inlineStr">
        <is>
          <t>GST on Income</t>
        </is>
      </c>
      <c r="P1863" t="inlineStr">
        <is>
          <t>R07</t>
        </is>
      </c>
      <c r="Q1863" t="inlineStr">
        <is>
          <t>DEL-FP</t>
        </is>
      </c>
      <c r="R1863">
        <f>IF(OR(Q1863="CONTEXT",Q1863="REVIEW"),"",INDEX('Category Rules'!$D$5:$D$17,MATCH(P1863,'Category Rules'!$A$5:$A$17,0)))</f>
        <v>4020</v>
      </c>
      <c r="S1863" t="str">
        <f>IF(Q1863="CONTEXT","Fencing",IF(Q1863="REVIEW","",INDEX('Category Rules'!$E$5:$E$17,MATCH(P1863,'Category Rules'!$A$5:$A$17,0))))</f>
        <v>Fencing</v>
      </c>
      <c r="T1863" t="str">
        <f>IF(Q1863="DEP","BAS Excluded","GST on Income")</f>
        <v>GST on Income</v>
      </c>
      <c r="U1863">
        <f>IF(O1863=T1863,1,0)</f>
        <v>1</v>
      </c>
      <c r="V1863" s="9">
        <f>IF(OR(M1863=0,U1863=1),0,IF(T1863="GST on Income",ROUND(K1863*0.1,2),ROUND(-K1863*0.1,2)))</f>
        <v>0</v>
      </c>
    </row>
    <row r="1864">
      <c r="A1864" t="inlineStr">
        <is>
          <t>INV-5384-1</t>
        </is>
      </c>
      <c r="B1864" t="inlineStr">
        <is>
          <t>INV-5384</t>
        </is>
      </c>
      <c r="C1864" s="11" t="n">
        <v>46112</v>
      </c>
      <c r="D1864" t="inlineStr">
        <is>
          <t>2026-03</t>
        </is>
      </c>
      <c r="E1864" t="inlineStr">
        <is>
          <t>C0049</t>
        </is>
      </c>
      <c r="F1864" t="inlineStr">
        <is>
          <t>C0049</t>
        </is>
      </c>
      <c r="G1864" t="inlineStr">
        <is>
          <t>Fairway Body Corporate Pty Ltd</t>
        </is>
      </c>
      <c r="H1864" t="inlineStr">
        <is>
          <t>S0279</t>
        </is>
      </c>
      <c r="I1864" t="inlineStr">
        <is>
          <t>Scaffold tower hire 4 wks (03/03/26-30/03/26) - 2 towers</t>
        </is>
      </c>
      <c r="J1864" t="n">
        <v>8</v>
      </c>
      <c r="K1864" s="9" t="n">
        <v>760</v>
      </c>
      <c r="L1864" t="inlineStr">
        <is>
          <t>PAID</t>
        </is>
      </c>
      <c r="M1864">
        <f>IF(L1864="VOIDED",0,1)</f>
        <v>1</v>
      </c>
      <c r="N1864" t="n">
        <v>260</v>
      </c>
      <c r="O1864" t="inlineStr">
        <is>
          <t>GST on Income</t>
        </is>
      </c>
      <c r="P1864" t="inlineStr">
        <is>
          <t>R05</t>
        </is>
      </c>
      <c r="Q1864" t="inlineStr">
        <is>
          <t>HIRE-ST</t>
        </is>
      </c>
      <c r="R1864">
        <f>IF(OR(Q1864="CONTEXT",Q1864="REVIEW"),"",INDEX('Category Rules'!$D$5:$D$17,MATCH(P1864,'Category Rules'!$A$5:$A$17,0)))</f>
        <v>4010</v>
      </c>
      <c r="S1864" t="str">
        <f>IF(Q1864="CONTEXT","Scaffolding",IF(Q1864="REVIEW","",INDEX('Category Rules'!$E$5:$E$17,MATCH(P1864,'Category Rules'!$A$5:$A$17,0))))</f>
        <v>Scaffolding</v>
      </c>
      <c r="T1864" t="str">
        <f>IF(Q1864="DEP","BAS Excluded","GST on Income")</f>
        <v>GST on Income</v>
      </c>
      <c r="U1864">
        <f>IF(O1864=T1864,1,0)</f>
        <v>1</v>
      </c>
      <c r="V1864" s="9">
        <f>IF(OR(M1864=0,U1864=1),0,IF(T1864="GST on Income",ROUND(K1864*0.1,2),ROUND(-K1864*0.1,2)))</f>
        <v>0</v>
      </c>
    </row>
    <row r="1865">
      <c r="A1865" t="inlineStr">
        <is>
          <t>INV-5836-1</t>
        </is>
      </c>
      <c r="B1865" t="inlineStr">
        <is>
          <t>INV-5836</t>
        </is>
      </c>
      <c r="C1865" s="11" t="n">
        <v>46112</v>
      </c>
      <c r="D1865" t="inlineStr">
        <is>
          <t>2026-03</t>
        </is>
      </c>
      <c r="E1865" t="inlineStr">
        <is>
          <t>C0067</t>
        </is>
      </c>
      <c r="F1865" t="inlineStr">
        <is>
          <t>C0067</t>
        </is>
      </c>
      <c r="G1865" t="inlineStr">
        <is>
          <t>Banksia Claims Services Pty Ltd</t>
        </is>
      </c>
      <c r="H1865" t="inlineStr">
        <is>
          <t>S0511</t>
        </is>
      </c>
      <c r="I1865" t="inlineStr">
        <is>
          <t>Roof repair labour - 8 hrs</t>
        </is>
      </c>
      <c r="J1865" t="n">
        <v>8</v>
      </c>
      <c r="K1865" s="9" t="n">
        <v>784</v>
      </c>
      <c r="L1865" t="inlineStr">
        <is>
          <t>PAID</t>
        </is>
      </c>
      <c r="M1865">
        <f>IF(L1865="VOIDED",0,1)</f>
        <v>1</v>
      </c>
      <c r="N1865" t="n">
        <v>200</v>
      </c>
      <c r="O1865" t="inlineStr">
        <is>
          <t>GST on Income</t>
        </is>
      </c>
      <c r="P1865" t="inlineStr">
        <is>
          <t>R10</t>
        </is>
      </c>
      <c r="Q1865" t="inlineStr">
        <is>
          <t>LAB-RF</t>
        </is>
      </c>
      <c r="R1865">
        <f>IF(OR(Q1865="CONTEXT",Q1865="REVIEW"),"",INDEX('Category Rules'!$D$5:$D$17,MATCH(P1865,'Category Rules'!$A$5:$A$17,0)))</f>
        <v>4020</v>
      </c>
      <c r="S1865" t="str">
        <f>IF(Q1865="CONTEXT","Roofing",IF(Q1865="REVIEW","",INDEX('Category Rules'!$E$5:$E$17,MATCH(P1865,'Category Rules'!$A$5:$A$17,0))))</f>
        <v>Roofing</v>
      </c>
      <c r="T1865" t="str">
        <f>IF(Q1865="DEP","BAS Excluded","GST on Income")</f>
        <v>GST on Income</v>
      </c>
      <c r="U1865">
        <f>IF(O1865=T1865,1,0)</f>
        <v>1</v>
      </c>
      <c r="V1865" s="9">
        <f>IF(OR(M1865=0,U1865=1),0,IF(T1865="GST on Income",ROUND(K1865*0.1,2),ROUND(-K1865*0.1,2)))</f>
        <v>0</v>
      </c>
    </row>
    <row r="1866">
      <c r="A1866" t="inlineStr">
        <is>
          <t>INV-5836-2</t>
        </is>
      </c>
      <c r="B1866" t="inlineStr">
        <is>
          <t>INV-5836</t>
        </is>
      </c>
      <c r="C1866" s="11" t="n">
        <v>46112</v>
      </c>
      <c r="D1866" t="inlineStr">
        <is>
          <t>2026-03</t>
        </is>
      </c>
      <c r="E1866" t="inlineStr">
        <is>
          <t>C0067</t>
        </is>
      </c>
      <c r="F1866" t="inlineStr">
        <is>
          <t>C0067</t>
        </is>
      </c>
      <c r="G1866" t="inlineStr">
        <is>
          <t>Banksia Claims Services Pty Ltd</t>
        </is>
      </c>
      <c r="H1866" t="inlineStr">
        <is>
          <t>S0511</t>
        </is>
      </c>
      <c r="I1866" t="inlineStr">
        <is>
          <t>Materials - gutter and downpipe</t>
        </is>
      </c>
      <c r="J1866" t="n">
        <v>1</v>
      </c>
      <c r="K1866" s="9" t="n">
        <v>660.65</v>
      </c>
      <c r="L1866" t="inlineStr">
        <is>
          <t>PAID</t>
        </is>
      </c>
      <c r="M1866">
        <f>IF(L1866="VOIDED",0,1)</f>
        <v>1</v>
      </c>
      <c r="N1866" t="n">
        <v>200</v>
      </c>
      <c r="O1866" t="inlineStr">
        <is>
          <t>GST on Income</t>
        </is>
      </c>
      <c r="P1866" t="inlineStr">
        <is>
          <t>R11</t>
        </is>
      </c>
      <c r="Q1866" t="inlineStr">
        <is>
          <t>MAT-RF</t>
        </is>
      </c>
      <c r="R1866">
        <f>IF(OR(Q1866="CONTEXT",Q1866="REVIEW"),"",INDEX('Category Rules'!$D$5:$D$17,MATCH(P1866,'Category Rules'!$A$5:$A$17,0)))</f>
        <v>4030</v>
      </c>
      <c r="S1866" t="str">
        <f>IF(Q1866="CONTEXT","Roofing",IF(Q1866="REVIEW","",INDEX('Category Rules'!$E$5:$E$17,MATCH(P1866,'Category Rules'!$A$5:$A$17,0))))</f>
        <v>Roofing</v>
      </c>
      <c r="T1866" t="str">
        <f>IF(Q1866="DEP","BAS Excluded","GST on Income")</f>
        <v>GST on Income</v>
      </c>
      <c r="U1866">
        <f>IF(O1866=T1866,1,0)</f>
        <v>1</v>
      </c>
      <c r="V1866" s="9">
        <f>IF(OR(M1866=0,U1866=1),0,IF(T1866="GST on Income",ROUND(K1866*0.1,2),ROUND(-K1866*0.1,2)))</f>
        <v>0</v>
      </c>
    </row>
    <row r="1867">
      <c r="A1867" t="inlineStr">
        <is>
          <t>INV-5836-3</t>
        </is>
      </c>
      <c r="B1867" t="inlineStr">
        <is>
          <t>INV-5836</t>
        </is>
      </c>
      <c r="C1867" s="11" t="n">
        <v>46112</v>
      </c>
      <c r="D1867" t="inlineStr">
        <is>
          <t>2026-03</t>
        </is>
      </c>
      <c r="E1867" t="inlineStr">
        <is>
          <t>C0067</t>
        </is>
      </c>
      <c r="F1867" t="inlineStr">
        <is>
          <t>C0067</t>
        </is>
      </c>
      <c r="G1867" t="inlineStr">
        <is>
          <t>Banksia Claims Services Pty Ltd</t>
        </is>
      </c>
      <c r="H1867" t="inlineStr">
        <is>
          <t>S0511</t>
        </is>
      </c>
      <c r="I1867" t="inlineStr">
        <is>
          <t>Materials - flashing</t>
        </is>
      </c>
      <c r="J1867" t="n">
        <v>1</v>
      </c>
      <c r="K1867" s="9" t="n">
        <v>387.53</v>
      </c>
      <c r="L1867" t="inlineStr">
        <is>
          <t>PAID</t>
        </is>
      </c>
      <c r="M1867">
        <f>IF(L1867="VOIDED",0,1)</f>
        <v>1</v>
      </c>
      <c r="N1867" t="n">
        <v>200</v>
      </c>
      <c r="O1867" t="inlineStr">
        <is>
          <t>GST on Income</t>
        </is>
      </c>
      <c r="P1867" t="inlineStr">
        <is>
          <t>R11</t>
        </is>
      </c>
      <c r="Q1867" t="inlineStr">
        <is>
          <t>MAT-RF</t>
        </is>
      </c>
      <c r="R1867">
        <f>IF(OR(Q1867="CONTEXT",Q1867="REVIEW"),"",INDEX('Category Rules'!$D$5:$D$17,MATCH(P1867,'Category Rules'!$A$5:$A$17,0)))</f>
        <v>4030</v>
      </c>
      <c r="S1867" t="str">
        <f>IF(Q1867="CONTEXT","Roofing",IF(Q1867="REVIEW","",INDEX('Category Rules'!$E$5:$E$17,MATCH(P1867,'Category Rules'!$A$5:$A$17,0))))</f>
        <v>Roofing</v>
      </c>
      <c r="T1867" t="str">
        <f>IF(Q1867="DEP","BAS Excluded","GST on Income")</f>
        <v>GST on Income</v>
      </c>
      <c r="U1867">
        <f>IF(O1867=T1867,1,0)</f>
        <v>1</v>
      </c>
      <c r="V1867" s="9">
        <f>IF(OR(M1867=0,U1867=1),0,IF(T1867="GST on Income",ROUND(K1867*0.1,2),ROUND(-K1867*0.1,2)))</f>
        <v>0</v>
      </c>
    </row>
    <row r="1868">
      <c r="A1868" t="inlineStr">
        <is>
          <t>INV-5836-4</t>
        </is>
      </c>
      <c r="B1868" t="inlineStr">
        <is>
          <t>INV-5836</t>
        </is>
      </c>
      <c r="C1868" s="11" t="n">
        <v>46112</v>
      </c>
      <c r="D1868" t="inlineStr">
        <is>
          <t>2026-03</t>
        </is>
      </c>
      <c r="E1868" t="inlineStr">
        <is>
          <t>C0067</t>
        </is>
      </c>
      <c r="F1868" t="inlineStr">
        <is>
          <t>C0067</t>
        </is>
      </c>
      <c r="G1868" t="inlineStr">
        <is>
          <t>Banksia Claims Services Pty Ltd</t>
        </is>
      </c>
      <c r="H1868" t="inlineStr">
        <is>
          <t>S0511</t>
        </is>
      </c>
      <c r="I1868" t="inlineStr">
        <is>
          <t>Materials - sealant and fixings</t>
        </is>
      </c>
      <c r="J1868" t="n">
        <v>1</v>
      </c>
      <c r="K1868" s="9" t="n">
        <v>504.3</v>
      </c>
      <c r="L1868" t="inlineStr">
        <is>
          <t>PAID</t>
        </is>
      </c>
      <c r="M1868">
        <f>IF(L1868="VOIDED",0,1)</f>
        <v>1</v>
      </c>
      <c r="N1868" t="n">
        <v>200</v>
      </c>
      <c r="O1868" t="inlineStr">
        <is>
          <t>GST on Income</t>
        </is>
      </c>
      <c r="P1868" t="inlineStr">
        <is>
          <t>R11</t>
        </is>
      </c>
      <c r="Q1868" t="inlineStr">
        <is>
          <t>MAT-RF</t>
        </is>
      </c>
      <c r="R1868">
        <f>IF(OR(Q1868="CONTEXT",Q1868="REVIEW"),"",INDEX('Category Rules'!$D$5:$D$17,MATCH(P1868,'Category Rules'!$A$5:$A$17,0)))</f>
        <v>4030</v>
      </c>
      <c r="S1868" t="str">
        <f>IF(Q1868="CONTEXT","Roofing",IF(Q1868="REVIEW","",INDEX('Category Rules'!$E$5:$E$17,MATCH(P1868,'Category Rules'!$A$5:$A$17,0))))</f>
        <v>Roofing</v>
      </c>
      <c r="T1868" t="str">
        <f>IF(Q1868="DEP","BAS Excluded","GST on Income")</f>
        <v>GST on Income</v>
      </c>
      <c r="U1868">
        <f>IF(O1868=T1868,1,0)</f>
        <v>1</v>
      </c>
      <c r="V1868" s="9">
        <f>IF(OR(M1868=0,U1868=1),0,IF(T1868="GST on Income",ROUND(K1868*0.1,2),ROUND(-K1868*0.1,2)))</f>
        <v>0</v>
      </c>
    </row>
    <row r="1869">
      <c r="A1869" t="inlineStr">
        <is>
          <t>CN-5948-1</t>
        </is>
      </c>
      <c r="B1869" t="inlineStr">
        <is>
          <t>CN-5948</t>
        </is>
      </c>
      <c r="C1869" s="11" t="n">
        <v>46113</v>
      </c>
      <c r="D1869" t="inlineStr">
        <is>
          <t>2026-04</t>
        </is>
      </c>
      <c r="E1869" t="inlineStr">
        <is>
          <t>C0017</t>
        </is>
      </c>
      <c r="F1869" t="inlineStr">
        <is>
          <t>C0017</t>
        </is>
      </c>
      <c r="G1869" t="inlineStr">
        <is>
          <t>Cobalt Developments Pty Ltd</t>
        </is>
      </c>
      <c r="H1869" t="inlineStr">
        <is>
          <t>S0144</t>
        </is>
      </c>
      <c r="I1869" t="inlineStr">
        <is>
          <t>Credit - temporary fence hire overcharge</t>
        </is>
      </c>
      <c r="J1869" t="n">
        <v>1</v>
      </c>
      <c r="K1869" s="9" t="n">
        <v>-574.2</v>
      </c>
      <c r="L1869" t="inlineStr">
        <is>
          <t>PAID</t>
        </is>
      </c>
      <c r="M1869">
        <f>IF(L1869="VOIDED",0,1)</f>
        <v>1</v>
      </c>
      <c r="N1869" t="n">
        <v>200</v>
      </c>
      <c r="O1869" t="inlineStr">
        <is>
          <t>GST on Income</t>
        </is>
      </c>
      <c r="P1869" t="inlineStr">
        <is>
          <t>R03</t>
        </is>
      </c>
      <c r="Q1869" t="inlineStr">
        <is>
          <t>HIRE-FP</t>
        </is>
      </c>
      <c r="R1869">
        <f>IF(OR(Q1869="CONTEXT",Q1869="REVIEW"),"",INDEX('Category Rules'!$D$5:$D$17,MATCH(P1869,'Category Rules'!$A$5:$A$17,0)))</f>
        <v>4010</v>
      </c>
      <c r="S1869" t="str">
        <f>IF(Q1869="CONTEXT","Fencing",IF(Q1869="REVIEW","",INDEX('Category Rules'!$E$5:$E$17,MATCH(P1869,'Category Rules'!$A$5:$A$17,0))))</f>
        <v>Fencing</v>
      </c>
      <c r="T1869" t="str">
        <f>IF(Q1869="DEP","BAS Excluded","GST on Income")</f>
        <v>GST on Income</v>
      </c>
      <c r="U1869">
        <f>IF(O1869=T1869,1,0)</f>
        <v>1</v>
      </c>
      <c r="V1869" s="9">
        <f>IF(OR(M1869=0,U1869=1),0,IF(T1869="GST on Income",ROUND(K1869*0.1,2),ROUND(-K1869*0.1,2)))</f>
        <v>0</v>
      </c>
    </row>
    <row r="1870">
      <c r="A1870" t="inlineStr">
        <is>
          <t>INV-4821-1</t>
        </is>
      </c>
      <c r="B1870" t="inlineStr">
        <is>
          <t>INV-4821</t>
        </is>
      </c>
      <c r="C1870" s="11" t="n">
        <v>46113</v>
      </c>
      <c r="D1870" t="inlineStr">
        <is>
          <t>2026-04</t>
        </is>
      </c>
      <c r="E1870" t="inlineStr">
        <is>
          <t>C0024</t>
        </is>
      </c>
      <c r="F1870" t="inlineStr">
        <is>
          <t>C0024</t>
        </is>
      </c>
      <c r="G1870" t="inlineStr">
        <is>
          <t>Parkview Homes Pty Ltd</t>
        </is>
      </c>
      <c r="H1870" t="inlineStr">
        <is>
          <t>S0155</t>
        </is>
      </c>
      <c r="I1870" t="inlineStr">
        <is>
          <t>Temporary fence hire 1 wks (25/03/26-31/03/26) - 42 panels</t>
        </is>
      </c>
      <c r="J1870" t="n">
        <v>42</v>
      </c>
      <c r="K1870" s="9" t="n">
        <v>189</v>
      </c>
      <c r="L1870" t="inlineStr">
        <is>
          <t>PAID</t>
        </is>
      </c>
      <c r="M1870">
        <f>IF(L1870="VOIDED",0,1)</f>
        <v>1</v>
      </c>
      <c r="N1870" t="n">
        <v>200</v>
      </c>
      <c r="O1870" t="inlineStr">
        <is>
          <t>GST on Income</t>
        </is>
      </c>
      <c r="P1870" t="inlineStr">
        <is>
          <t>R03</t>
        </is>
      </c>
      <c r="Q1870" t="inlineStr">
        <is>
          <t>HIRE-FP</t>
        </is>
      </c>
      <c r="R1870">
        <f>IF(OR(Q1870="CONTEXT",Q1870="REVIEW"),"",INDEX('Category Rules'!$D$5:$D$17,MATCH(P1870,'Category Rules'!$A$5:$A$17,0)))</f>
        <v>4010</v>
      </c>
      <c r="S1870" t="str">
        <f>IF(Q1870="CONTEXT","Fencing",IF(Q1870="REVIEW","",INDEX('Category Rules'!$E$5:$E$17,MATCH(P1870,'Category Rules'!$A$5:$A$17,0))))</f>
        <v>Fencing</v>
      </c>
      <c r="T1870" t="str">
        <f>IF(Q1870="DEP","BAS Excluded","GST on Income")</f>
        <v>GST on Income</v>
      </c>
      <c r="U1870">
        <f>IF(O1870=T1870,1,0)</f>
        <v>1</v>
      </c>
      <c r="V1870" s="9">
        <f>IF(OR(M1870=0,U1870=1),0,IF(T1870="GST on Income",ROUND(K1870*0.1,2),ROUND(-K1870*0.1,2)))</f>
        <v>0</v>
      </c>
    </row>
    <row r="1871">
      <c r="A1871" t="inlineStr">
        <is>
          <t>INV-4823-1</t>
        </is>
      </c>
      <c r="B1871" t="inlineStr">
        <is>
          <t>INV-4823</t>
        </is>
      </c>
      <c r="C1871" s="11" t="n">
        <v>46113</v>
      </c>
      <c r="D1871" t="inlineStr">
        <is>
          <t>2026-04</t>
        </is>
      </c>
      <c r="E1871" t="inlineStr">
        <is>
          <t>C0024</t>
        </is>
      </c>
      <c r="F1871" t="inlineStr">
        <is>
          <t>C0024</t>
        </is>
      </c>
      <c r="G1871" t="inlineStr">
        <is>
          <t>Parkview Homes Pty Ltd</t>
        </is>
      </c>
      <c r="H1871" t="inlineStr">
        <is>
          <t>S0155</t>
        </is>
      </c>
      <c r="I1871" t="inlineStr">
        <is>
          <t>Collection and dismantle - temporary fencing</t>
        </is>
      </c>
      <c r="J1871" t="n">
        <v>1</v>
      </c>
      <c r="K1871" s="9" t="n">
        <v>165</v>
      </c>
      <c r="L1871" t="inlineStr">
        <is>
          <t>PAID</t>
        </is>
      </c>
      <c r="M1871">
        <f>IF(L1871="VOIDED",0,1)</f>
        <v>1</v>
      </c>
      <c r="N1871" t="n">
        <v>200</v>
      </c>
      <c r="O1871" t="inlineStr">
        <is>
          <t>GST on Income</t>
        </is>
      </c>
      <c r="P1871" t="inlineStr">
        <is>
          <t>R07</t>
        </is>
      </c>
      <c r="Q1871" t="inlineStr">
        <is>
          <t>DEL-FP</t>
        </is>
      </c>
      <c r="R1871">
        <f>IF(OR(Q1871="CONTEXT",Q1871="REVIEW"),"",INDEX('Category Rules'!$D$5:$D$17,MATCH(P1871,'Category Rules'!$A$5:$A$17,0)))</f>
        <v>4020</v>
      </c>
      <c r="S1871" t="str">
        <f>IF(Q1871="CONTEXT","Fencing",IF(Q1871="REVIEW","",INDEX('Category Rules'!$E$5:$E$17,MATCH(P1871,'Category Rules'!$A$5:$A$17,0))))</f>
        <v>Fencing</v>
      </c>
      <c r="T1871" t="str">
        <f>IF(Q1871="DEP","BAS Excluded","GST on Income")</f>
        <v>GST on Income</v>
      </c>
      <c r="U1871">
        <f>IF(O1871=T1871,1,0)</f>
        <v>1</v>
      </c>
      <c r="V1871" s="9">
        <f>IF(OR(M1871=0,U1871=1),0,IF(T1871="GST on Income",ROUND(K1871*0.1,2),ROUND(-K1871*0.1,2)))</f>
        <v>0</v>
      </c>
    </row>
    <row r="1872">
      <c r="A1872" t="inlineStr">
        <is>
          <t>INV-4823-2</t>
        </is>
      </c>
      <c r="B1872" t="inlineStr">
        <is>
          <t>INV-4823</t>
        </is>
      </c>
      <c r="C1872" s="11" t="n">
        <v>46113</v>
      </c>
      <c r="D1872" t="inlineStr">
        <is>
          <t>2026-04</t>
        </is>
      </c>
      <c r="E1872" t="inlineStr">
        <is>
          <t>C0024</t>
        </is>
      </c>
      <c r="F1872" t="inlineStr">
        <is>
          <t>C0024</t>
        </is>
      </c>
      <c r="G1872" t="inlineStr">
        <is>
          <t>Parkview Homes Pty Ltd</t>
        </is>
      </c>
      <c r="H1872" t="inlineStr">
        <is>
          <t>S0155</t>
        </is>
      </c>
      <c r="I1872" t="inlineStr">
        <is>
          <t>Lost/damaged panels charged - 1 @ 145.00</t>
        </is>
      </c>
      <c r="J1872" t="n">
        <v>1</v>
      </c>
      <c r="K1872" s="9" t="n">
        <v>145</v>
      </c>
      <c r="L1872" t="inlineStr">
        <is>
          <t>PAID</t>
        </is>
      </c>
      <c r="M1872">
        <f>IF(L1872="VOIDED",0,1)</f>
        <v>1</v>
      </c>
      <c r="N1872" t="n">
        <v>200</v>
      </c>
      <c r="O1872" t="inlineStr">
        <is>
          <t>GST on Income</t>
        </is>
      </c>
      <c r="P1872" t="inlineStr">
        <is>
          <t>R02</t>
        </is>
      </c>
      <c r="Q1872" t="inlineStr">
        <is>
          <t>LOSS</t>
        </is>
      </c>
      <c r="R1872">
        <f>IF(OR(Q1872="CONTEXT",Q1872="REVIEW"),"",INDEX('Category Rules'!$D$5:$D$17,MATCH(P1872,'Category Rules'!$A$5:$A$17,0)))</f>
        <v>4040</v>
      </c>
      <c r="S1872" t="str">
        <f>IF(Q1872="CONTEXT","Fencing",IF(Q1872="REVIEW","",INDEX('Category Rules'!$E$5:$E$17,MATCH(P1872,'Category Rules'!$A$5:$A$17,0))))</f>
        <v>Fencing</v>
      </c>
      <c r="T1872" t="str">
        <f>IF(Q1872="DEP","BAS Excluded","GST on Income")</f>
        <v>GST on Income</v>
      </c>
      <c r="U1872">
        <f>IF(O1872=T1872,1,0)</f>
        <v>1</v>
      </c>
      <c r="V1872" s="9">
        <f>IF(OR(M1872=0,U1872=1),0,IF(T1872="GST on Income",ROUND(K1872*0.1,2),ROUND(-K1872*0.1,2)))</f>
        <v>0</v>
      </c>
    </row>
    <row r="1873">
      <c r="A1873" t="inlineStr">
        <is>
          <t>INV-5026-1</t>
        </is>
      </c>
      <c r="B1873" t="inlineStr">
        <is>
          <t>INV-5026</t>
        </is>
      </c>
      <c r="C1873" s="11" t="n">
        <v>46113</v>
      </c>
      <c r="D1873" t="inlineStr">
        <is>
          <t>2026-04</t>
        </is>
      </c>
      <c r="E1873" t="inlineStr">
        <is>
          <t>C0043</t>
        </is>
      </c>
      <c r="F1873" t="inlineStr">
        <is>
          <t>C0043</t>
        </is>
      </c>
      <c r="G1873" t="inlineStr">
        <is>
          <t>Banksia Projects Pty Ltd</t>
        </is>
      </c>
      <c r="H1873" t="inlineStr">
        <is>
          <t>S0200</t>
        </is>
      </c>
      <c r="I1873" t="inlineStr">
        <is>
          <t>Temporary fence hire 4 wks (04/03/26-31/03/26) - 116 panels</t>
        </is>
      </c>
      <c r="J1873" t="n">
        <v>464</v>
      </c>
      <c r="K1873" s="9" t="n">
        <v>2088</v>
      </c>
      <c r="L1873" t="inlineStr">
        <is>
          <t>PAID</t>
        </is>
      </c>
      <c r="M1873">
        <f>IF(L1873="VOIDED",0,1)</f>
        <v>1</v>
      </c>
      <c r="N1873" t="n">
        <v>200</v>
      </c>
      <c r="O1873" t="inlineStr">
        <is>
          <t>GST on Income</t>
        </is>
      </c>
      <c r="P1873" t="inlineStr">
        <is>
          <t>R03</t>
        </is>
      </c>
      <c r="Q1873" t="inlineStr">
        <is>
          <t>HIRE-FP</t>
        </is>
      </c>
      <c r="R1873">
        <f>IF(OR(Q1873="CONTEXT",Q1873="REVIEW"),"",INDEX('Category Rules'!$D$5:$D$17,MATCH(P1873,'Category Rules'!$A$5:$A$17,0)))</f>
        <v>4010</v>
      </c>
      <c r="S1873" t="str">
        <f>IF(Q1873="CONTEXT","Fencing",IF(Q1873="REVIEW","",INDEX('Category Rules'!$E$5:$E$17,MATCH(P1873,'Category Rules'!$A$5:$A$17,0))))</f>
        <v>Fencing</v>
      </c>
      <c r="T1873" t="str">
        <f>IF(Q1873="DEP","BAS Excluded","GST on Income")</f>
        <v>GST on Income</v>
      </c>
      <c r="U1873">
        <f>IF(O1873=T1873,1,0)</f>
        <v>1</v>
      </c>
      <c r="V1873" s="9">
        <f>IF(OR(M1873=0,U1873=1),0,IF(T1873="GST on Income",ROUND(K1873*0.1,2),ROUND(-K1873*0.1,2)))</f>
        <v>0</v>
      </c>
    </row>
    <row r="1874">
      <c r="A1874" t="inlineStr">
        <is>
          <t>INV-5385-1</t>
        </is>
      </c>
      <c r="B1874" t="inlineStr">
        <is>
          <t>INV-5385</t>
        </is>
      </c>
      <c r="C1874" s="11" t="n">
        <v>46113</v>
      </c>
      <c r="D1874" t="inlineStr">
        <is>
          <t>2026-04</t>
        </is>
      </c>
      <c r="E1874" t="inlineStr">
        <is>
          <t>C0049</t>
        </is>
      </c>
      <c r="F1874" t="inlineStr">
        <is>
          <t>C0049</t>
        </is>
      </c>
      <c r="G1874" t="inlineStr">
        <is>
          <t>Fairway Body Corporate Pty Ltd</t>
        </is>
      </c>
      <c r="H1874" t="inlineStr">
        <is>
          <t>S0279</t>
        </is>
      </c>
      <c r="I1874" t="inlineStr">
        <is>
          <t>Scaffold tower hire 1 wks (31/03/26-31/03/26) - 2 towers</t>
        </is>
      </c>
      <c r="J1874" t="n">
        <v>2</v>
      </c>
      <c r="K1874" s="9" t="n">
        <v>190</v>
      </c>
      <c r="L1874" t="inlineStr">
        <is>
          <t>PAID</t>
        </is>
      </c>
      <c r="M1874">
        <f>IF(L1874="VOIDED",0,1)</f>
        <v>1</v>
      </c>
      <c r="N1874" t="n">
        <v>200</v>
      </c>
      <c r="O1874" t="inlineStr">
        <is>
          <t>GST on Income</t>
        </is>
      </c>
      <c r="P1874" t="inlineStr">
        <is>
          <t>R05</t>
        </is>
      </c>
      <c r="Q1874" t="inlineStr">
        <is>
          <t>HIRE-ST</t>
        </is>
      </c>
      <c r="R1874">
        <f>IF(OR(Q1874="CONTEXT",Q1874="REVIEW"),"",INDEX('Category Rules'!$D$5:$D$17,MATCH(P1874,'Category Rules'!$A$5:$A$17,0)))</f>
        <v>4010</v>
      </c>
      <c r="S1874" t="str">
        <f>IF(Q1874="CONTEXT","Scaffolding",IF(Q1874="REVIEW","",INDEX('Category Rules'!$E$5:$E$17,MATCH(P1874,'Category Rules'!$A$5:$A$17,0))))</f>
        <v>Scaffolding</v>
      </c>
      <c r="T1874" t="str">
        <f>IF(Q1874="DEP","BAS Excluded","GST on Income")</f>
        <v>GST on Income</v>
      </c>
      <c r="U1874">
        <f>IF(O1874=T1874,1,0)</f>
        <v>1</v>
      </c>
      <c r="V1874" s="9">
        <f>IF(OR(M1874=0,U1874=1),0,IF(T1874="GST on Income",ROUND(K1874*0.1,2),ROUND(-K1874*0.1,2)))</f>
        <v>0</v>
      </c>
    </row>
    <row r="1875">
      <c r="A1875" t="inlineStr">
        <is>
          <t>INV-5387-1</t>
        </is>
      </c>
      <c r="B1875" t="inlineStr">
        <is>
          <t>INV-5387</t>
        </is>
      </c>
      <c r="C1875" s="11" t="n">
        <v>46113</v>
      </c>
      <c r="D1875" t="inlineStr">
        <is>
          <t>2026-04</t>
        </is>
      </c>
      <c r="E1875" t="inlineStr">
        <is>
          <t>C0049</t>
        </is>
      </c>
      <c r="F1875" t="inlineStr">
        <is>
          <t>C0049</t>
        </is>
      </c>
      <c r="G1875" t="inlineStr">
        <is>
          <t>Fairway Body Corporate Pty Ltd</t>
        </is>
      </c>
      <c r="H1875" t="inlineStr">
        <is>
          <t>S0279</t>
        </is>
      </c>
      <c r="I1875" t="inlineStr">
        <is>
          <t>Scaffold dismantle - 2 tower(s)</t>
        </is>
      </c>
      <c r="J1875" t="n">
        <v>2</v>
      </c>
      <c r="K1875" s="9" t="n">
        <v>640</v>
      </c>
      <c r="L1875" t="inlineStr">
        <is>
          <t>PAID</t>
        </is>
      </c>
      <c r="M1875">
        <f>IF(L1875="VOIDED",0,1)</f>
        <v>1</v>
      </c>
      <c r="N1875" t="n">
        <v>200</v>
      </c>
      <c r="O1875" t="inlineStr">
        <is>
          <t>GST on Income</t>
        </is>
      </c>
      <c r="P1875" t="inlineStr">
        <is>
          <t>R08</t>
        </is>
      </c>
      <c r="Q1875" t="inlineStr">
        <is>
          <t>LAB-ST</t>
        </is>
      </c>
      <c r="R1875">
        <f>IF(OR(Q1875="CONTEXT",Q1875="REVIEW"),"",INDEX('Category Rules'!$D$5:$D$17,MATCH(P1875,'Category Rules'!$A$5:$A$17,0)))</f>
        <v>4020</v>
      </c>
      <c r="S1875" t="str">
        <f>IF(Q1875="CONTEXT","Scaffolding",IF(Q1875="REVIEW","",INDEX('Category Rules'!$E$5:$E$17,MATCH(P1875,'Category Rules'!$A$5:$A$17,0))))</f>
        <v>Scaffolding</v>
      </c>
      <c r="T1875" t="str">
        <f>IF(Q1875="DEP","BAS Excluded","GST on Income")</f>
        <v>GST on Income</v>
      </c>
      <c r="U1875">
        <f>IF(O1875=T1875,1,0)</f>
        <v>1</v>
      </c>
      <c r="V1875" s="9">
        <f>IF(OR(M1875=0,U1875=1),0,IF(T1875="GST on Income",ROUND(K1875*0.1,2),ROUND(-K1875*0.1,2)))</f>
        <v>0</v>
      </c>
    </row>
    <row r="1876">
      <c r="A1876" t="inlineStr">
        <is>
          <t>INV-5446-1</t>
        </is>
      </c>
      <c r="B1876" t="inlineStr">
        <is>
          <t>INV-5446</t>
        </is>
      </c>
      <c r="C1876" s="11" t="n">
        <v>46113</v>
      </c>
      <c r="D1876" t="inlineStr">
        <is>
          <t>2026-04</t>
        </is>
      </c>
      <c r="E1876" t="inlineStr">
        <is>
          <t>C0024</t>
        </is>
      </c>
      <c r="F1876" t="inlineStr">
        <is>
          <t>C0024</t>
        </is>
      </c>
      <c r="G1876" t="inlineStr">
        <is>
          <t>Parkview Homes Pty Ltd</t>
        </is>
      </c>
      <c r="H1876" t="inlineStr">
        <is>
          <t>S0296</t>
        </is>
      </c>
      <c r="I1876" t="inlineStr">
        <is>
          <t>Scaffold erect - 2 tower(s)</t>
        </is>
      </c>
      <c r="J1876" t="n">
        <v>2</v>
      </c>
      <c r="K1876" s="9" t="n">
        <v>840</v>
      </c>
      <c r="L1876" t="inlineStr">
        <is>
          <t>PAID</t>
        </is>
      </c>
      <c r="M1876">
        <f>IF(L1876="VOIDED",0,1)</f>
        <v>1</v>
      </c>
      <c r="N1876" t="n">
        <v>200</v>
      </c>
      <c r="O1876" t="inlineStr">
        <is>
          <t>GST on Income</t>
        </is>
      </c>
      <c r="P1876" t="inlineStr">
        <is>
          <t>R08</t>
        </is>
      </c>
      <c r="Q1876" t="inlineStr">
        <is>
          <t>LAB-ST</t>
        </is>
      </c>
      <c r="R1876">
        <f>IF(OR(Q1876="CONTEXT",Q1876="REVIEW"),"",INDEX('Category Rules'!$D$5:$D$17,MATCH(P1876,'Category Rules'!$A$5:$A$17,0)))</f>
        <v>4020</v>
      </c>
      <c r="S1876" t="str">
        <f>IF(Q1876="CONTEXT","Scaffolding",IF(Q1876="REVIEW","",INDEX('Category Rules'!$E$5:$E$17,MATCH(P1876,'Category Rules'!$A$5:$A$17,0))))</f>
        <v>Scaffolding</v>
      </c>
      <c r="T1876" t="str">
        <f>IF(Q1876="DEP","BAS Excluded","GST on Income")</f>
        <v>GST on Income</v>
      </c>
      <c r="U1876">
        <f>IF(O1876=T1876,1,0)</f>
        <v>1</v>
      </c>
      <c r="V1876" s="9">
        <f>IF(OR(M1876=0,U1876=1),0,IF(T1876="GST on Income",ROUND(K1876*0.1,2),ROUND(-K1876*0.1,2)))</f>
        <v>0</v>
      </c>
    </row>
    <row r="1877">
      <c r="A1877" t="inlineStr">
        <is>
          <t>INV-5728-1</t>
        </is>
      </c>
      <c r="B1877" t="inlineStr">
        <is>
          <t>INV-5728</t>
        </is>
      </c>
      <c r="C1877" s="11" t="n">
        <v>46113</v>
      </c>
      <c r="D1877" t="inlineStr">
        <is>
          <t>2026-04</t>
        </is>
      </c>
      <c r="E1877" t="inlineStr">
        <is>
          <t>C0029</t>
        </is>
      </c>
      <c r="F1877" t="inlineStr">
        <is>
          <t>C0029</t>
        </is>
      </c>
      <c r="G1877" t="inlineStr">
        <is>
          <t>Ironbark Constructions</t>
        </is>
      </c>
      <c r="H1877" t="inlineStr">
        <is>
          <t>S0449</t>
        </is>
      </c>
      <c r="I1877" t="inlineStr">
        <is>
          <t>Tarp kit hire 3 wks (17/03/26-31/03/26) - 1 kits</t>
        </is>
      </c>
      <c r="J1877" t="n">
        <v>3</v>
      </c>
      <c r="K1877" s="9" t="n">
        <v>105</v>
      </c>
      <c r="L1877" t="inlineStr">
        <is>
          <t>PAID</t>
        </is>
      </c>
      <c r="M1877">
        <f>IF(L1877="VOIDED",0,1)</f>
        <v>1</v>
      </c>
      <c r="N1877" t="n">
        <v>200</v>
      </c>
      <c r="O1877" t="inlineStr">
        <is>
          <t>GST on Income</t>
        </is>
      </c>
      <c r="P1877" t="inlineStr">
        <is>
          <t>R06</t>
        </is>
      </c>
      <c r="Q1877" t="inlineStr">
        <is>
          <t>HIRE-TK</t>
        </is>
      </c>
      <c r="R1877">
        <f>IF(OR(Q1877="CONTEXT",Q1877="REVIEW"),"",INDEX('Category Rules'!$D$5:$D$17,MATCH(P1877,'Category Rules'!$A$5:$A$17,0)))</f>
        <v>4010</v>
      </c>
      <c r="S1877" t="str">
        <f>IF(Q1877="CONTEXT","Make-safe",IF(Q1877="REVIEW","",INDEX('Category Rules'!$E$5:$E$17,MATCH(P1877,'Category Rules'!$A$5:$A$17,0))))</f>
        <v>Make-safe</v>
      </c>
      <c r="T1877" t="str">
        <f>IF(Q1877="DEP","BAS Excluded","GST on Income")</f>
        <v>GST on Income</v>
      </c>
      <c r="U1877">
        <f>IF(O1877=T1877,1,0)</f>
        <v>1</v>
      </c>
      <c r="V1877" s="9">
        <f>IF(OR(M1877=0,U1877=1),0,IF(T1877="GST on Income",ROUND(K1877*0.1,2),ROUND(-K1877*0.1,2)))</f>
        <v>0</v>
      </c>
    </row>
    <row r="1878">
      <c r="A1878" t="inlineStr">
        <is>
          <t>INV-4355-1</t>
        </is>
      </c>
      <c r="B1878" t="inlineStr">
        <is>
          <t>INV-4355</t>
        </is>
      </c>
      <c r="C1878" s="11" t="n">
        <v>46114</v>
      </c>
      <c r="D1878" t="inlineStr">
        <is>
          <t>2026-04</t>
        </is>
      </c>
      <c r="E1878" t="inlineStr">
        <is>
          <t>C0001</t>
        </is>
      </c>
      <c r="F1878" t="inlineStr">
        <is>
          <t>C0001</t>
        </is>
      </c>
      <c r="G1878" t="inlineStr">
        <is>
          <t>Parkview Projects Pty Ltd</t>
        </is>
      </c>
      <c r="H1878" t="inlineStr">
        <is>
          <t>S0053</t>
        </is>
      </c>
      <c r="I1878" t="inlineStr">
        <is>
          <t>Temporary fence hire 4 wks (05/03/26-01/04/26) - 143 panels</t>
        </is>
      </c>
      <c r="J1878" t="n">
        <v>572</v>
      </c>
      <c r="K1878" s="9" t="n">
        <v>2574</v>
      </c>
      <c r="L1878" t="inlineStr">
        <is>
          <t>PAID</t>
        </is>
      </c>
      <c r="M1878">
        <f>IF(L1878="VOIDED",0,1)</f>
        <v>1</v>
      </c>
      <c r="N1878" t="n">
        <v>200</v>
      </c>
      <c r="O1878" t="inlineStr">
        <is>
          <t>GST on Income</t>
        </is>
      </c>
      <c r="P1878" t="inlineStr">
        <is>
          <t>R03</t>
        </is>
      </c>
      <c r="Q1878" t="inlineStr">
        <is>
          <t>HIRE-FP</t>
        </is>
      </c>
      <c r="R1878">
        <f>IF(OR(Q1878="CONTEXT",Q1878="REVIEW"),"",INDEX('Category Rules'!$D$5:$D$17,MATCH(P1878,'Category Rules'!$A$5:$A$17,0)))</f>
        <v>4010</v>
      </c>
      <c r="S1878" t="str">
        <f>IF(Q1878="CONTEXT","Fencing",IF(Q1878="REVIEW","",INDEX('Category Rules'!$E$5:$E$17,MATCH(P1878,'Category Rules'!$A$5:$A$17,0))))</f>
        <v>Fencing</v>
      </c>
      <c r="T1878" t="str">
        <f>IF(Q1878="DEP","BAS Excluded","GST on Income")</f>
        <v>GST on Income</v>
      </c>
      <c r="U1878">
        <f>IF(O1878=T1878,1,0)</f>
        <v>1</v>
      </c>
      <c r="V1878" s="9">
        <f>IF(OR(M1878=0,U1878=1),0,IF(T1878="GST on Income",ROUND(K1878*0.1,2),ROUND(-K1878*0.1,2)))</f>
        <v>0</v>
      </c>
    </row>
    <row r="1879">
      <c r="A1879" t="inlineStr">
        <is>
          <t>INV-4562-1</t>
        </is>
      </c>
      <c r="B1879" t="inlineStr">
        <is>
          <t>INV-4562</t>
        </is>
      </c>
      <c r="C1879" s="11" t="n">
        <v>46114</v>
      </c>
      <c r="D1879" t="inlineStr">
        <is>
          <t>2026-04</t>
        </is>
      </c>
      <c r="E1879" t="inlineStr">
        <is>
          <t>C0141</t>
        </is>
      </c>
      <c r="F1879" t="inlineStr">
        <is>
          <t>C0028</t>
        </is>
      </c>
      <c r="G1879" t="inlineStr">
        <is>
          <t>Banksia Homes</t>
        </is>
      </c>
      <c r="H1879" t="inlineStr">
        <is>
          <t>S0092</t>
        </is>
      </c>
      <c r="I1879" t="inlineStr">
        <is>
          <t>Delivery and installation - temporary fencing</t>
        </is>
      </c>
      <c r="J1879" t="n">
        <v>1</v>
      </c>
      <c r="K1879" s="9" t="n">
        <v>165</v>
      </c>
      <c r="L1879" t="inlineStr">
        <is>
          <t>PAID</t>
        </is>
      </c>
      <c r="M1879">
        <f>IF(L1879="VOIDED",0,1)</f>
        <v>1</v>
      </c>
      <c r="N1879" t="n">
        <v>200</v>
      </c>
      <c r="O1879" t="inlineStr">
        <is>
          <t>GST on Income</t>
        </is>
      </c>
      <c r="P1879" t="inlineStr">
        <is>
          <t>R07</t>
        </is>
      </c>
      <c r="Q1879" t="inlineStr">
        <is>
          <t>DEL-FP</t>
        </is>
      </c>
      <c r="R1879">
        <f>IF(OR(Q1879="CONTEXT",Q1879="REVIEW"),"",INDEX('Category Rules'!$D$5:$D$17,MATCH(P1879,'Category Rules'!$A$5:$A$17,0)))</f>
        <v>4020</v>
      </c>
      <c r="S1879" t="str">
        <f>IF(Q1879="CONTEXT","Fencing",IF(Q1879="REVIEW","",INDEX('Category Rules'!$E$5:$E$17,MATCH(P1879,'Category Rules'!$A$5:$A$17,0))))</f>
        <v>Fencing</v>
      </c>
      <c r="T1879" t="str">
        <f>IF(Q1879="DEP","BAS Excluded","GST on Income")</f>
        <v>GST on Income</v>
      </c>
      <c r="U1879">
        <f>IF(O1879=T1879,1,0)</f>
        <v>1</v>
      </c>
      <c r="V1879" s="9">
        <f>IF(OR(M1879=0,U1879=1),0,IF(T1879="GST on Income",ROUND(K1879*0.1,2),ROUND(-K1879*0.1,2)))</f>
        <v>0</v>
      </c>
    </row>
    <row r="1880">
      <c r="A1880" t="inlineStr">
        <is>
          <t>INV-4562-2</t>
        </is>
      </c>
      <c r="B1880" t="inlineStr">
        <is>
          <t>INV-4562</t>
        </is>
      </c>
      <c r="C1880" s="11" t="n">
        <v>46114</v>
      </c>
      <c r="D1880" t="inlineStr">
        <is>
          <t>2026-04</t>
        </is>
      </c>
      <c r="E1880" t="inlineStr">
        <is>
          <t>C0141</t>
        </is>
      </c>
      <c r="F1880" t="inlineStr">
        <is>
          <t>C0028</t>
        </is>
      </c>
      <c r="G1880" t="inlineStr">
        <is>
          <t>Banksia Homes</t>
        </is>
      </c>
      <c r="H1880" t="inlineStr">
        <is>
          <t>S0092</t>
        </is>
      </c>
      <c r="I1880" t="inlineStr">
        <is>
          <t>Installation labour - 104 panels @ 2.20</t>
        </is>
      </c>
      <c r="J1880" t="n">
        <v>104</v>
      </c>
      <c r="K1880" s="9" t="n">
        <v>228.8</v>
      </c>
      <c r="L1880" t="inlineStr">
        <is>
          <t>PAID</t>
        </is>
      </c>
      <c r="M1880">
        <f>IF(L1880="VOIDED",0,1)</f>
        <v>1</v>
      </c>
      <c r="N1880" t="n">
        <v>200</v>
      </c>
      <c r="O1880" t="inlineStr">
        <is>
          <t>GST on Income</t>
        </is>
      </c>
      <c r="P1880" t="inlineStr">
        <is>
          <t>R07</t>
        </is>
      </c>
      <c r="Q1880" t="inlineStr">
        <is>
          <t>DEL-FP</t>
        </is>
      </c>
      <c r="R1880">
        <f>IF(OR(Q1880="CONTEXT",Q1880="REVIEW"),"",INDEX('Category Rules'!$D$5:$D$17,MATCH(P1880,'Category Rules'!$A$5:$A$17,0)))</f>
        <v>4020</v>
      </c>
      <c r="S1880" t="str">
        <f>IF(Q1880="CONTEXT","Fencing",IF(Q1880="REVIEW","",INDEX('Category Rules'!$E$5:$E$17,MATCH(P1880,'Category Rules'!$A$5:$A$17,0))))</f>
        <v>Fencing</v>
      </c>
      <c r="T1880" t="str">
        <f>IF(Q1880="DEP","BAS Excluded","GST on Income")</f>
        <v>GST on Income</v>
      </c>
      <c r="U1880">
        <f>IF(O1880=T1880,1,0)</f>
        <v>1</v>
      </c>
      <c r="V1880" s="9">
        <f>IF(OR(M1880=0,U1880=1),0,IF(T1880="GST on Income",ROUND(K1880*0.1,2),ROUND(-K1880*0.1,2)))</f>
        <v>0</v>
      </c>
    </row>
    <row r="1881">
      <c r="A1881" t="inlineStr">
        <is>
          <t>INV-5426-1</t>
        </is>
      </c>
      <c r="B1881" t="inlineStr">
        <is>
          <t>INV-5426</t>
        </is>
      </c>
      <c r="C1881" s="11" t="n">
        <v>46114</v>
      </c>
      <c r="D1881" t="inlineStr">
        <is>
          <t>2026-04</t>
        </is>
      </c>
      <c r="E1881" t="inlineStr">
        <is>
          <t>C0113</t>
        </is>
      </c>
      <c r="F1881" t="inlineStr">
        <is>
          <t>C0113</t>
        </is>
      </c>
      <c r="G1881" t="inlineStr">
        <is>
          <t>Isla Brown</t>
        </is>
      </c>
      <c r="H1881" t="inlineStr">
        <is>
          <t>S0290</t>
        </is>
      </c>
      <c r="I1881" t="inlineStr">
        <is>
          <t>Scaffold erect - 4 tower(s)</t>
        </is>
      </c>
      <c r="J1881" t="n">
        <v>4</v>
      </c>
      <c r="K1881" s="9" t="n">
        <v>1680</v>
      </c>
      <c r="L1881" t="inlineStr">
        <is>
          <t>PAID</t>
        </is>
      </c>
      <c r="M1881">
        <f>IF(L1881="VOIDED",0,1)</f>
        <v>1</v>
      </c>
      <c r="N1881" t="n">
        <v>200</v>
      </c>
      <c r="O1881" t="inlineStr">
        <is>
          <t>GST on Income</t>
        </is>
      </c>
      <c r="P1881" t="inlineStr">
        <is>
          <t>R08</t>
        </is>
      </c>
      <c r="Q1881" t="inlineStr">
        <is>
          <t>LAB-ST</t>
        </is>
      </c>
      <c r="R1881">
        <f>IF(OR(Q1881="CONTEXT",Q1881="REVIEW"),"",INDEX('Category Rules'!$D$5:$D$17,MATCH(P1881,'Category Rules'!$A$5:$A$17,0)))</f>
        <v>4020</v>
      </c>
      <c r="S1881" t="str">
        <f>IF(Q1881="CONTEXT","Scaffolding",IF(Q1881="REVIEW","",INDEX('Category Rules'!$E$5:$E$17,MATCH(P1881,'Category Rules'!$A$5:$A$17,0))))</f>
        <v>Scaffolding</v>
      </c>
      <c r="T1881" t="str">
        <f>IF(Q1881="DEP","BAS Excluded","GST on Income")</f>
        <v>GST on Income</v>
      </c>
      <c r="U1881">
        <f>IF(O1881=T1881,1,0)</f>
        <v>1</v>
      </c>
      <c r="V1881" s="9">
        <f>IF(OR(M1881=0,U1881=1),0,IF(T1881="GST on Income",ROUND(K1881*0.1,2),ROUND(-K1881*0.1,2)))</f>
        <v>0</v>
      </c>
    </row>
    <row r="1882">
      <c r="A1882" t="inlineStr">
        <is>
          <t>INV-5644-1</t>
        </is>
      </c>
      <c r="B1882" t="inlineStr">
        <is>
          <t>INV-5644</t>
        </is>
      </c>
      <c r="C1882" s="11" t="n">
        <v>46114</v>
      </c>
      <c r="D1882" t="inlineStr">
        <is>
          <t>2026-04</t>
        </is>
      </c>
      <c r="E1882" t="inlineStr">
        <is>
          <t>C0091</t>
        </is>
      </c>
      <c r="F1882" t="inlineStr">
        <is>
          <t>C0091</t>
        </is>
      </c>
      <c r="G1882" t="inlineStr">
        <is>
          <t>Zoe Martin</t>
        </is>
      </c>
      <c r="H1882" t="inlineStr">
        <is>
          <t>S0403</t>
        </is>
      </c>
      <c r="I1882" t="inlineStr">
        <is>
          <t>Make safe call-out</t>
        </is>
      </c>
      <c r="J1882" t="n">
        <v>1</v>
      </c>
      <c r="K1882" s="9" t="n">
        <v>385</v>
      </c>
      <c r="L1882" t="inlineStr">
        <is>
          <t>PAID</t>
        </is>
      </c>
      <c r="M1882">
        <f>IF(L1882="VOIDED",0,1)</f>
        <v>1</v>
      </c>
      <c r="N1882" t="n">
        <v>200</v>
      </c>
      <c r="O1882" t="inlineStr">
        <is>
          <t>GST on Income</t>
        </is>
      </c>
      <c r="P1882" t="inlineStr">
        <is>
          <t>R09</t>
        </is>
      </c>
      <c r="Q1882" t="inlineStr">
        <is>
          <t>MS</t>
        </is>
      </c>
      <c r="R1882">
        <f>IF(OR(Q1882="CONTEXT",Q1882="REVIEW"),"",INDEX('Category Rules'!$D$5:$D$17,MATCH(P1882,'Category Rules'!$A$5:$A$17,0)))</f>
        <v>4020</v>
      </c>
      <c r="S1882" t="str">
        <f>IF(Q1882="CONTEXT","Make-safe",IF(Q1882="REVIEW","",INDEX('Category Rules'!$E$5:$E$17,MATCH(P1882,'Category Rules'!$A$5:$A$17,0))))</f>
        <v>Make-safe</v>
      </c>
      <c r="T1882" t="str">
        <f>IF(Q1882="DEP","BAS Excluded","GST on Income")</f>
        <v>GST on Income</v>
      </c>
      <c r="U1882">
        <f>IF(O1882=T1882,1,0)</f>
        <v>1</v>
      </c>
      <c r="V1882" s="9">
        <f>IF(OR(M1882=0,U1882=1),0,IF(T1882="GST on Income",ROUND(K1882*0.1,2),ROUND(-K1882*0.1,2)))</f>
        <v>0</v>
      </c>
    </row>
    <row r="1883">
      <c r="A1883" t="inlineStr">
        <is>
          <t>INV-5644-2</t>
        </is>
      </c>
      <c r="B1883" t="inlineStr">
        <is>
          <t>INV-5644</t>
        </is>
      </c>
      <c r="C1883" s="11" t="n">
        <v>46114</v>
      </c>
      <c r="D1883" t="inlineStr">
        <is>
          <t>2026-04</t>
        </is>
      </c>
      <c r="E1883" t="inlineStr">
        <is>
          <t>C0091</t>
        </is>
      </c>
      <c r="F1883" t="inlineStr">
        <is>
          <t>C0091</t>
        </is>
      </c>
      <c r="G1883" t="inlineStr">
        <is>
          <t>Zoe Martin</t>
        </is>
      </c>
      <c r="H1883" t="inlineStr">
        <is>
          <t>S0403</t>
        </is>
      </c>
      <c r="I1883" t="inlineStr">
        <is>
          <t>Tarp supply and install - 2 tarp(s)</t>
        </is>
      </c>
      <c r="J1883" t="n">
        <v>2</v>
      </c>
      <c r="K1883" s="9" t="n">
        <v>480</v>
      </c>
      <c r="L1883" t="inlineStr">
        <is>
          <t>PAID</t>
        </is>
      </c>
      <c r="M1883">
        <f>IF(L1883="VOIDED",0,1)</f>
        <v>1</v>
      </c>
      <c r="N1883" t="n">
        <v>200</v>
      </c>
      <c r="O1883" t="inlineStr">
        <is>
          <t>GST on Income</t>
        </is>
      </c>
      <c r="P1883" t="inlineStr">
        <is>
          <t>R09</t>
        </is>
      </c>
      <c r="Q1883" t="inlineStr">
        <is>
          <t>MS</t>
        </is>
      </c>
      <c r="R1883">
        <f>IF(OR(Q1883="CONTEXT",Q1883="REVIEW"),"",INDEX('Category Rules'!$D$5:$D$17,MATCH(P1883,'Category Rules'!$A$5:$A$17,0)))</f>
        <v>4020</v>
      </c>
      <c r="S1883" t="str">
        <f>IF(Q1883="CONTEXT","Make-safe",IF(Q1883="REVIEW","",INDEX('Category Rules'!$E$5:$E$17,MATCH(P1883,'Category Rules'!$A$5:$A$17,0))))</f>
        <v>Make-safe</v>
      </c>
      <c r="T1883" t="str">
        <f>IF(Q1883="DEP","BAS Excluded","GST on Income")</f>
        <v>GST on Income</v>
      </c>
      <c r="U1883">
        <f>IF(O1883=T1883,1,0)</f>
        <v>1</v>
      </c>
      <c r="V1883" s="9">
        <f>IF(OR(M1883=0,U1883=1),0,IF(T1883="GST on Income",ROUND(K1883*0.1,2),ROUND(-K1883*0.1,2)))</f>
        <v>0</v>
      </c>
    </row>
    <row r="1884">
      <c r="A1884" t="inlineStr">
        <is>
          <t>INV-5784-1</t>
        </is>
      </c>
      <c r="B1884" t="inlineStr">
        <is>
          <t>INV-5784</t>
        </is>
      </c>
      <c r="C1884" s="11" t="n">
        <v>46114</v>
      </c>
      <c r="D1884" t="inlineStr">
        <is>
          <t>2026-04</t>
        </is>
      </c>
      <c r="E1884" t="inlineStr">
        <is>
          <t>C0053</t>
        </is>
      </c>
      <c r="F1884" t="inlineStr">
        <is>
          <t>C0053</t>
        </is>
      </c>
      <c r="G1884" t="inlineStr">
        <is>
          <t>Summit Strata Management Pty Ltd</t>
        </is>
      </c>
      <c r="H1884" t="inlineStr">
        <is>
          <t>S0482</t>
        </is>
      </c>
      <c r="I1884" t="inlineStr">
        <is>
          <t>Make safe call-out</t>
        </is>
      </c>
      <c r="J1884" t="n">
        <v>1</v>
      </c>
      <c r="K1884" s="9" t="n">
        <v>385</v>
      </c>
      <c r="L1884" t="inlineStr">
        <is>
          <t>PAID</t>
        </is>
      </c>
      <c r="M1884">
        <f>IF(L1884="VOIDED",0,1)</f>
        <v>1</v>
      </c>
      <c r="N1884" t="n">
        <v>200</v>
      </c>
      <c r="O1884" t="inlineStr">
        <is>
          <t>GST on Income</t>
        </is>
      </c>
      <c r="P1884" t="inlineStr">
        <is>
          <t>R09</t>
        </is>
      </c>
      <c r="Q1884" t="inlineStr">
        <is>
          <t>MS</t>
        </is>
      </c>
      <c r="R1884">
        <f>IF(OR(Q1884="CONTEXT",Q1884="REVIEW"),"",INDEX('Category Rules'!$D$5:$D$17,MATCH(P1884,'Category Rules'!$A$5:$A$17,0)))</f>
        <v>4020</v>
      </c>
      <c r="S1884" t="str">
        <f>IF(Q1884="CONTEXT","Make-safe",IF(Q1884="REVIEW","",INDEX('Category Rules'!$E$5:$E$17,MATCH(P1884,'Category Rules'!$A$5:$A$17,0))))</f>
        <v>Make-safe</v>
      </c>
      <c r="T1884" t="str">
        <f>IF(Q1884="DEP","BAS Excluded","GST on Income")</f>
        <v>GST on Income</v>
      </c>
      <c r="U1884">
        <f>IF(O1884=T1884,1,0)</f>
        <v>1</v>
      </c>
      <c r="V1884" s="9">
        <f>IF(OR(M1884=0,U1884=1),0,IF(T1884="GST on Income",ROUND(K1884*0.1,2),ROUND(-K1884*0.1,2)))</f>
        <v>0</v>
      </c>
    </row>
    <row r="1885">
      <c r="A1885" t="inlineStr">
        <is>
          <t>INV-4346-1</t>
        </is>
      </c>
      <c r="B1885" t="inlineStr">
        <is>
          <t>INV-4346</t>
        </is>
      </c>
      <c r="C1885" s="11" t="n">
        <v>46115</v>
      </c>
      <c r="D1885" t="inlineStr">
        <is>
          <t>2026-04</t>
        </is>
      </c>
      <c r="E1885" t="inlineStr">
        <is>
          <t>C0043</t>
        </is>
      </c>
      <c r="F1885" t="inlineStr">
        <is>
          <t>C0043</t>
        </is>
      </c>
      <c r="G1885" t="inlineStr">
        <is>
          <t>Banksia Projects Pty Ltd</t>
        </is>
      </c>
      <c r="H1885" t="inlineStr">
        <is>
          <t>S0052</t>
        </is>
      </c>
      <c r="I1885" t="inlineStr">
        <is>
          <t>Temporary fence hire 4 wks (06/03/26-02/04/26) - 107 panels</t>
        </is>
      </c>
      <c r="J1885" t="n">
        <v>428</v>
      </c>
      <c r="K1885" s="9" t="n">
        <v>1926</v>
      </c>
      <c r="L1885" t="inlineStr">
        <is>
          <t>PAID</t>
        </is>
      </c>
      <c r="M1885">
        <f>IF(L1885="VOIDED",0,1)</f>
        <v>1</v>
      </c>
      <c r="N1885" t="n">
        <v>260</v>
      </c>
      <c r="O1885" t="inlineStr">
        <is>
          <t>GST on Income</t>
        </is>
      </c>
      <c r="P1885" t="inlineStr">
        <is>
          <t>R03</t>
        </is>
      </c>
      <c r="Q1885" t="inlineStr">
        <is>
          <t>HIRE-FP</t>
        </is>
      </c>
      <c r="R1885">
        <f>IF(OR(Q1885="CONTEXT",Q1885="REVIEW"),"",INDEX('Category Rules'!$D$5:$D$17,MATCH(P1885,'Category Rules'!$A$5:$A$17,0)))</f>
        <v>4010</v>
      </c>
      <c r="S1885" t="str">
        <f>IF(Q1885="CONTEXT","Fencing",IF(Q1885="REVIEW","",INDEX('Category Rules'!$E$5:$E$17,MATCH(P1885,'Category Rules'!$A$5:$A$17,0))))</f>
        <v>Fencing</v>
      </c>
      <c r="T1885" t="str">
        <f>IF(Q1885="DEP","BAS Excluded","GST on Income")</f>
        <v>GST on Income</v>
      </c>
      <c r="U1885">
        <f>IF(O1885=T1885,1,0)</f>
        <v>1</v>
      </c>
      <c r="V1885" s="9">
        <f>IF(OR(M1885=0,U1885=1),0,IF(T1885="GST on Income",ROUND(K1885*0.1,2),ROUND(-K1885*0.1,2)))</f>
        <v>0</v>
      </c>
    </row>
    <row r="1886">
      <c r="A1886" t="inlineStr">
        <is>
          <t>INV-4538-1</t>
        </is>
      </c>
      <c r="B1886" t="inlineStr">
        <is>
          <t>INV-4538</t>
        </is>
      </c>
      <c r="C1886" s="11" t="n">
        <v>46115</v>
      </c>
      <c r="D1886" t="inlineStr">
        <is>
          <t>2026-04</t>
        </is>
      </c>
      <c r="E1886" t="inlineStr">
        <is>
          <t>C0073</t>
        </is>
      </c>
      <c r="F1886" t="inlineStr">
        <is>
          <t>C0073</t>
        </is>
      </c>
      <c r="G1886" t="inlineStr">
        <is>
          <t>Juniper Festivals</t>
        </is>
      </c>
      <c r="H1886" t="inlineStr">
        <is>
          <t>S0088</t>
        </is>
      </c>
      <c r="I1886" t="inlineStr">
        <is>
          <t>Temporary fence hire 2 wks (26/03/26-02/04/26) - 44 panels</t>
        </is>
      </c>
      <c r="J1886" t="n">
        <v>88</v>
      </c>
      <c r="K1886" s="9" t="n">
        <v>396</v>
      </c>
      <c r="L1886" t="inlineStr">
        <is>
          <t>PAID</t>
        </is>
      </c>
      <c r="M1886">
        <f>IF(L1886="VOIDED",0,1)</f>
        <v>1</v>
      </c>
      <c r="N1886" t="n">
        <v>200</v>
      </c>
      <c r="O1886" t="inlineStr">
        <is>
          <t>GST on Income</t>
        </is>
      </c>
      <c r="P1886" t="inlineStr">
        <is>
          <t>R03</t>
        </is>
      </c>
      <c r="Q1886" t="inlineStr">
        <is>
          <t>HIRE-FP</t>
        </is>
      </c>
      <c r="R1886">
        <f>IF(OR(Q1886="CONTEXT",Q1886="REVIEW"),"",INDEX('Category Rules'!$D$5:$D$17,MATCH(P1886,'Category Rules'!$A$5:$A$17,0)))</f>
        <v>4010</v>
      </c>
      <c r="S1886" t="str">
        <f>IF(Q1886="CONTEXT","Fencing",IF(Q1886="REVIEW","",INDEX('Category Rules'!$E$5:$E$17,MATCH(P1886,'Category Rules'!$A$5:$A$17,0))))</f>
        <v>Fencing</v>
      </c>
      <c r="T1886" t="str">
        <f>IF(Q1886="DEP","BAS Excluded","GST on Income")</f>
        <v>GST on Income</v>
      </c>
      <c r="U1886">
        <f>IF(O1886=T1886,1,0)</f>
        <v>1</v>
      </c>
      <c r="V1886" s="9">
        <f>IF(OR(M1886=0,U1886=1),0,IF(T1886="GST on Income",ROUND(K1886*0.1,2),ROUND(-K1886*0.1,2)))</f>
        <v>0</v>
      </c>
    </row>
    <row r="1887">
      <c r="A1887" t="inlineStr">
        <is>
          <t>INV-4539-1</t>
        </is>
      </c>
      <c r="B1887" t="inlineStr">
        <is>
          <t>INV-4539</t>
        </is>
      </c>
      <c r="C1887" s="11" t="n">
        <v>46115</v>
      </c>
      <c r="D1887" t="inlineStr">
        <is>
          <t>2026-04</t>
        </is>
      </c>
      <c r="E1887" t="inlineStr">
        <is>
          <t>C0073</t>
        </is>
      </c>
      <c r="F1887" t="inlineStr">
        <is>
          <t>C0073</t>
        </is>
      </c>
      <c r="G1887" t="inlineStr">
        <is>
          <t>Juniper Festivals</t>
        </is>
      </c>
      <c r="H1887" t="inlineStr">
        <is>
          <t>S0088</t>
        </is>
      </c>
      <c r="I1887" t="inlineStr">
        <is>
          <t>Pedestrian barrier hire 2 wks (26/03/26-02/04/26) - 21 barriers</t>
        </is>
      </c>
      <c r="J1887" t="n">
        <v>42</v>
      </c>
      <c r="K1887" s="9" t="n">
        <v>134.4</v>
      </c>
      <c r="L1887" t="inlineStr">
        <is>
          <t>PAID</t>
        </is>
      </c>
      <c r="M1887">
        <f>IF(L1887="VOIDED",0,1)</f>
        <v>1</v>
      </c>
      <c r="N1887" t="n">
        <v>200</v>
      </c>
      <c r="O1887" t="inlineStr">
        <is>
          <t>GST on Income</t>
        </is>
      </c>
      <c r="P1887" t="inlineStr">
        <is>
          <t>R04</t>
        </is>
      </c>
      <c r="Q1887" t="inlineStr">
        <is>
          <t>HIRE-BR</t>
        </is>
      </c>
      <c r="R1887">
        <f>IF(OR(Q1887="CONTEXT",Q1887="REVIEW"),"",INDEX('Category Rules'!$D$5:$D$17,MATCH(P1887,'Category Rules'!$A$5:$A$17,0)))</f>
        <v>4010</v>
      </c>
      <c r="S1887" t="str">
        <f>IF(Q1887="CONTEXT","Fencing",IF(Q1887="REVIEW","",INDEX('Category Rules'!$E$5:$E$17,MATCH(P1887,'Category Rules'!$A$5:$A$17,0))))</f>
        <v>Fencing</v>
      </c>
      <c r="T1887" t="str">
        <f>IF(Q1887="DEP","BAS Excluded","GST on Income")</f>
        <v>GST on Income</v>
      </c>
      <c r="U1887">
        <f>IF(O1887=T1887,1,0)</f>
        <v>1</v>
      </c>
      <c r="V1887" s="9">
        <f>IF(OR(M1887=0,U1887=1),0,IF(T1887="GST on Income",ROUND(K1887*0.1,2),ROUND(-K1887*0.1,2)))</f>
        <v>0</v>
      </c>
    </row>
    <row r="1888">
      <c r="A1888" t="inlineStr">
        <is>
          <t>INV-4541-1</t>
        </is>
      </c>
      <c r="B1888" t="inlineStr">
        <is>
          <t>INV-4541</t>
        </is>
      </c>
      <c r="C1888" s="11" t="n">
        <v>46115</v>
      </c>
      <c r="D1888" t="inlineStr">
        <is>
          <t>2026-04</t>
        </is>
      </c>
      <c r="E1888" t="inlineStr">
        <is>
          <t>C0073</t>
        </is>
      </c>
      <c r="F1888" t="inlineStr">
        <is>
          <t>C0073</t>
        </is>
      </c>
      <c r="G1888" t="inlineStr">
        <is>
          <t>Juniper Festivals</t>
        </is>
      </c>
      <c r="H1888" t="inlineStr">
        <is>
          <t>S0088</t>
        </is>
      </c>
      <c r="I1888" t="inlineStr">
        <is>
          <t>Collection and dismantle - temporary fencing</t>
        </is>
      </c>
      <c r="J1888" t="n">
        <v>1</v>
      </c>
      <c r="K1888" s="9" t="n">
        <v>165</v>
      </c>
      <c r="L1888" t="inlineStr">
        <is>
          <t>PAID</t>
        </is>
      </c>
      <c r="M1888">
        <f>IF(L1888="VOIDED",0,1)</f>
        <v>1</v>
      </c>
      <c r="N1888" t="n">
        <v>260</v>
      </c>
      <c r="O1888" t="inlineStr">
        <is>
          <t>GST on Income</t>
        </is>
      </c>
      <c r="P1888" t="inlineStr">
        <is>
          <t>R07</t>
        </is>
      </c>
      <c r="Q1888" t="inlineStr">
        <is>
          <t>DEL-FP</t>
        </is>
      </c>
      <c r="R1888">
        <f>IF(OR(Q1888="CONTEXT",Q1888="REVIEW"),"",INDEX('Category Rules'!$D$5:$D$17,MATCH(P1888,'Category Rules'!$A$5:$A$17,0)))</f>
        <v>4020</v>
      </c>
      <c r="S1888" t="str">
        <f>IF(Q1888="CONTEXT","Fencing",IF(Q1888="REVIEW","",INDEX('Category Rules'!$E$5:$E$17,MATCH(P1888,'Category Rules'!$A$5:$A$17,0))))</f>
        <v>Fencing</v>
      </c>
      <c r="T1888" t="str">
        <f>IF(Q1888="DEP","BAS Excluded","GST on Income")</f>
        <v>GST on Income</v>
      </c>
      <c r="U1888">
        <f>IF(O1888=T1888,1,0)</f>
        <v>1</v>
      </c>
      <c r="V1888" s="9">
        <f>IF(OR(M1888=0,U1888=1),0,IF(T1888="GST on Income",ROUND(K1888*0.1,2),ROUND(-K1888*0.1,2)))</f>
        <v>0</v>
      </c>
    </row>
    <row r="1889">
      <c r="A1889" t="inlineStr">
        <is>
          <t>INV-4648-1</t>
        </is>
      </c>
      <c r="B1889" t="inlineStr">
        <is>
          <t>INV-4648</t>
        </is>
      </c>
      <c r="C1889" s="11" t="n">
        <v>46115</v>
      </c>
      <c r="D1889" t="inlineStr">
        <is>
          <t>2026-04</t>
        </is>
      </c>
      <c r="E1889" t="inlineStr">
        <is>
          <t>C0040</t>
        </is>
      </c>
      <c r="F1889" t="inlineStr">
        <is>
          <t>C0040</t>
        </is>
      </c>
      <c r="G1889" t="inlineStr">
        <is>
          <t>Coastline Projects Pty Ltd</t>
        </is>
      </c>
      <c r="H1889" t="inlineStr">
        <is>
          <t>S0111</t>
        </is>
      </c>
      <c r="I1889" t="inlineStr">
        <is>
          <t>Temporary fence hire 4 wks (06/03/26-02/04/26) - 35 panels</t>
        </is>
      </c>
      <c r="J1889" t="n">
        <v>140</v>
      </c>
      <c r="K1889" s="9" t="n">
        <v>630</v>
      </c>
      <c r="L1889" t="inlineStr">
        <is>
          <t>PAID</t>
        </is>
      </c>
      <c r="M1889">
        <f>IF(L1889="VOIDED",0,1)</f>
        <v>1</v>
      </c>
      <c r="N1889" t="n">
        <v>200</v>
      </c>
      <c r="O1889" t="inlineStr">
        <is>
          <t>GST Free Income</t>
        </is>
      </c>
      <c r="P1889" t="inlineStr">
        <is>
          <t>R03</t>
        </is>
      </c>
      <c r="Q1889" t="inlineStr">
        <is>
          <t>HIRE-FP</t>
        </is>
      </c>
      <c r="R1889">
        <f>IF(OR(Q1889="CONTEXT",Q1889="REVIEW"),"",INDEX('Category Rules'!$D$5:$D$17,MATCH(P1889,'Category Rules'!$A$5:$A$17,0)))</f>
        <v>4010</v>
      </c>
      <c r="S1889" t="str">
        <f>IF(Q1889="CONTEXT","Fencing",IF(Q1889="REVIEW","",INDEX('Category Rules'!$E$5:$E$17,MATCH(P1889,'Category Rules'!$A$5:$A$17,0))))</f>
        <v>Fencing</v>
      </c>
      <c r="T1889" t="str">
        <f>IF(Q1889="DEP","BAS Excluded","GST on Income")</f>
        <v>GST on Income</v>
      </c>
      <c r="U1889">
        <f>IF(O1889=T1889,1,0)</f>
        <v>0</v>
      </c>
      <c r="V1889" s="9">
        <f>IF(OR(M1889=0,U1889=1),0,IF(T1889="GST on Income",ROUND(K1889*0.1,2),ROUND(-K1889*0.1,2)))</f>
        <v>63</v>
      </c>
    </row>
    <row r="1890">
      <c r="A1890" t="inlineStr">
        <is>
          <t>INV-5207-1</t>
        </is>
      </c>
      <c r="B1890" t="inlineStr">
        <is>
          <t>INV-5207</t>
        </is>
      </c>
      <c r="C1890" s="11" t="n">
        <v>46115</v>
      </c>
      <c r="D1890" t="inlineStr">
        <is>
          <t>2026-04</t>
        </is>
      </c>
      <c r="E1890" t="inlineStr">
        <is>
          <t>C0037</t>
        </is>
      </c>
      <c r="F1890" t="inlineStr">
        <is>
          <t>C0037</t>
        </is>
      </c>
      <c r="G1890" t="inlineStr">
        <is>
          <t>Highpoint Constructions</t>
        </is>
      </c>
      <c r="H1890" t="inlineStr">
        <is>
          <t>S0237</t>
        </is>
      </c>
      <c r="I1890" t="inlineStr">
        <is>
          <t>Scaffold tower hire 4 wks (06/03/26-02/04/26) - 1 towers</t>
        </is>
      </c>
      <c r="J1890" t="n">
        <v>4</v>
      </c>
      <c r="K1890" s="9" t="n">
        <v>380</v>
      </c>
      <c r="L1890" t="inlineStr">
        <is>
          <t>PAID</t>
        </is>
      </c>
      <c r="M1890">
        <f>IF(L1890="VOIDED",0,1)</f>
        <v>1</v>
      </c>
      <c r="N1890" t="n">
        <v>200</v>
      </c>
      <c r="O1890" t="inlineStr">
        <is>
          <t>GST on Income</t>
        </is>
      </c>
      <c r="P1890" t="inlineStr">
        <is>
          <t>R05</t>
        </is>
      </c>
      <c r="Q1890" t="inlineStr">
        <is>
          <t>HIRE-ST</t>
        </is>
      </c>
      <c r="R1890">
        <f>IF(OR(Q1890="CONTEXT",Q1890="REVIEW"),"",INDEX('Category Rules'!$D$5:$D$17,MATCH(P1890,'Category Rules'!$A$5:$A$17,0)))</f>
        <v>4010</v>
      </c>
      <c r="S1890" t="str">
        <f>IF(Q1890="CONTEXT","Scaffolding",IF(Q1890="REVIEW","",INDEX('Category Rules'!$E$5:$E$17,MATCH(P1890,'Category Rules'!$A$5:$A$17,0))))</f>
        <v>Scaffolding</v>
      </c>
      <c r="T1890" t="str">
        <f>IF(Q1890="DEP","BAS Excluded","GST on Income")</f>
        <v>GST on Income</v>
      </c>
      <c r="U1890">
        <f>IF(O1890=T1890,1,0)</f>
        <v>1</v>
      </c>
      <c r="V1890" s="9">
        <f>IF(OR(M1890=0,U1890=1),0,IF(T1890="GST on Income",ROUND(K1890*0.1,2),ROUND(-K1890*0.1,2)))</f>
        <v>0</v>
      </c>
    </row>
    <row r="1891">
      <c r="A1891" t="inlineStr">
        <is>
          <t>INV-5292-1</t>
        </is>
      </c>
      <c r="B1891" t="inlineStr">
        <is>
          <t>INV-5292</t>
        </is>
      </c>
      <c r="C1891" s="11" t="n">
        <v>46115</v>
      </c>
      <c r="D1891" t="inlineStr">
        <is>
          <t>2026-04</t>
        </is>
      </c>
      <c r="E1891" t="inlineStr">
        <is>
          <t>C0095</t>
        </is>
      </c>
      <c r="F1891" t="inlineStr">
        <is>
          <t>C0095</t>
        </is>
      </c>
      <c r="G1891" t="inlineStr">
        <is>
          <t>Noah Singh</t>
        </is>
      </c>
      <c r="H1891" t="inlineStr">
        <is>
          <t>S0258</t>
        </is>
      </c>
      <c r="I1891" t="inlineStr">
        <is>
          <t>Scaffold tower hire 4 wks (06/03/26-02/04/26) - 2 towers</t>
        </is>
      </c>
      <c r="J1891" t="n">
        <v>8</v>
      </c>
      <c r="K1891" s="9" t="n">
        <v>760</v>
      </c>
      <c r="L1891" t="inlineStr">
        <is>
          <t>PAID</t>
        </is>
      </c>
      <c r="M1891">
        <f>IF(L1891="VOIDED",0,1)</f>
        <v>1</v>
      </c>
      <c r="N1891" t="n">
        <v>200</v>
      </c>
      <c r="O1891" t="inlineStr">
        <is>
          <t>GST on Income</t>
        </is>
      </c>
      <c r="P1891" t="inlineStr">
        <is>
          <t>R05</t>
        </is>
      </c>
      <c r="Q1891" t="inlineStr">
        <is>
          <t>HIRE-ST</t>
        </is>
      </c>
      <c r="R1891">
        <f>IF(OR(Q1891="CONTEXT",Q1891="REVIEW"),"",INDEX('Category Rules'!$D$5:$D$17,MATCH(P1891,'Category Rules'!$A$5:$A$17,0)))</f>
        <v>4010</v>
      </c>
      <c r="S1891" t="str">
        <f>IF(Q1891="CONTEXT","Scaffolding",IF(Q1891="REVIEW","",INDEX('Category Rules'!$E$5:$E$17,MATCH(P1891,'Category Rules'!$A$5:$A$17,0))))</f>
        <v>Scaffolding</v>
      </c>
      <c r="T1891" t="str">
        <f>IF(Q1891="DEP","BAS Excluded","GST on Income")</f>
        <v>GST on Income</v>
      </c>
      <c r="U1891">
        <f>IF(O1891=T1891,1,0)</f>
        <v>1</v>
      </c>
      <c r="V1891" s="9">
        <f>IF(OR(M1891=0,U1891=1),0,IF(T1891="GST on Income",ROUND(K1891*0.1,2),ROUND(-K1891*0.1,2)))</f>
        <v>0</v>
      </c>
    </row>
    <row r="1892">
      <c r="A1892" t="inlineStr">
        <is>
          <t>INV-5497-1</t>
        </is>
      </c>
      <c r="B1892" t="inlineStr">
        <is>
          <t>INV-5497</t>
        </is>
      </c>
      <c r="C1892" s="11" t="n">
        <v>46115</v>
      </c>
      <c r="D1892" t="inlineStr">
        <is>
          <t>2026-04</t>
        </is>
      </c>
      <c r="E1892" t="inlineStr">
        <is>
          <t>C0124</t>
        </is>
      </c>
      <c r="F1892" t="inlineStr">
        <is>
          <t>C0124</t>
        </is>
      </c>
      <c r="G1892" t="inlineStr">
        <is>
          <t>Harbor Strata Management</t>
        </is>
      </c>
      <c r="H1892" t="inlineStr">
        <is>
          <t>S0325</t>
        </is>
      </c>
      <c r="I1892" t="inlineStr">
        <is>
          <t>Roof repair labour - 12 hrs</t>
        </is>
      </c>
      <c r="J1892" t="n">
        <v>12</v>
      </c>
      <c r="K1892" s="9" t="n">
        <v>1176</v>
      </c>
      <c r="L1892" t="inlineStr">
        <is>
          <t>PAID</t>
        </is>
      </c>
      <c r="M1892">
        <f>IF(L1892="VOIDED",0,1)</f>
        <v>1</v>
      </c>
      <c r="N1892" t="n">
        <v>200</v>
      </c>
      <c r="O1892" t="inlineStr">
        <is>
          <t>GST on Income</t>
        </is>
      </c>
      <c r="P1892" t="inlineStr">
        <is>
          <t>R10</t>
        </is>
      </c>
      <c r="Q1892" t="inlineStr">
        <is>
          <t>LAB-RF</t>
        </is>
      </c>
      <c r="R1892">
        <f>IF(OR(Q1892="CONTEXT",Q1892="REVIEW"),"",INDEX('Category Rules'!$D$5:$D$17,MATCH(P1892,'Category Rules'!$A$5:$A$17,0)))</f>
        <v>4020</v>
      </c>
      <c r="S1892" t="str">
        <f>IF(Q1892="CONTEXT","Roofing",IF(Q1892="REVIEW","",INDEX('Category Rules'!$E$5:$E$17,MATCH(P1892,'Category Rules'!$A$5:$A$17,0))))</f>
        <v>Roofing</v>
      </c>
      <c r="T1892" t="str">
        <f>IF(Q1892="DEP","BAS Excluded","GST on Income")</f>
        <v>GST on Income</v>
      </c>
      <c r="U1892">
        <f>IF(O1892=T1892,1,0)</f>
        <v>1</v>
      </c>
      <c r="V1892" s="9">
        <f>IF(OR(M1892=0,U1892=1),0,IF(T1892="GST on Income",ROUND(K1892*0.1,2),ROUND(-K1892*0.1,2)))</f>
        <v>0</v>
      </c>
    </row>
    <row r="1893">
      <c r="A1893" t="inlineStr">
        <is>
          <t>INV-5497-2</t>
        </is>
      </c>
      <c r="B1893" t="inlineStr">
        <is>
          <t>INV-5497</t>
        </is>
      </c>
      <c r="C1893" s="11" t="n">
        <v>46115</v>
      </c>
      <c r="D1893" t="inlineStr">
        <is>
          <t>2026-04</t>
        </is>
      </c>
      <c r="E1893" t="inlineStr">
        <is>
          <t>C0124</t>
        </is>
      </c>
      <c r="F1893" t="inlineStr">
        <is>
          <t>C0124</t>
        </is>
      </c>
      <c r="G1893" t="inlineStr">
        <is>
          <t>Harbor Strata Management</t>
        </is>
      </c>
      <c r="H1893" t="inlineStr">
        <is>
          <t>S0325</t>
        </is>
      </c>
      <c r="I1893" t="inlineStr">
        <is>
          <t>Materials - roof tiles (matched)</t>
        </is>
      </c>
      <c r="J1893" t="n">
        <v>1</v>
      </c>
      <c r="K1893" s="9" t="n">
        <v>82.12</v>
      </c>
      <c r="L1893" t="inlineStr">
        <is>
          <t>PAID</t>
        </is>
      </c>
      <c r="M1893">
        <f>IF(L1893="VOIDED",0,1)</f>
        <v>1</v>
      </c>
      <c r="N1893" t="n">
        <v>200</v>
      </c>
      <c r="O1893" t="inlineStr">
        <is>
          <t>GST on Income</t>
        </is>
      </c>
      <c r="P1893" t="inlineStr">
        <is>
          <t>R11</t>
        </is>
      </c>
      <c r="Q1893" t="inlineStr">
        <is>
          <t>MAT-RF</t>
        </is>
      </c>
      <c r="R1893">
        <f>IF(OR(Q1893="CONTEXT",Q1893="REVIEW"),"",INDEX('Category Rules'!$D$5:$D$17,MATCH(P1893,'Category Rules'!$A$5:$A$17,0)))</f>
        <v>4030</v>
      </c>
      <c r="S1893" t="str">
        <f>IF(Q1893="CONTEXT","Roofing",IF(Q1893="REVIEW","",INDEX('Category Rules'!$E$5:$E$17,MATCH(P1893,'Category Rules'!$A$5:$A$17,0))))</f>
        <v>Roofing</v>
      </c>
      <c r="T1893" t="str">
        <f>IF(Q1893="DEP","BAS Excluded","GST on Income")</f>
        <v>GST on Income</v>
      </c>
      <c r="U1893">
        <f>IF(O1893=T1893,1,0)</f>
        <v>1</v>
      </c>
      <c r="V1893" s="9">
        <f>IF(OR(M1893=0,U1893=1),0,IF(T1893="GST on Income",ROUND(K1893*0.1,2),ROUND(-K1893*0.1,2)))</f>
        <v>0</v>
      </c>
    </row>
    <row r="1894">
      <c r="A1894" t="inlineStr">
        <is>
          <t>INV-5497-3</t>
        </is>
      </c>
      <c r="B1894" t="inlineStr">
        <is>
          <t>INV-5497</t>
        </is>
      </c>
      <c r="C1894" s="11" t="n">
        <v>46115</v>
      </c>
      <c r="D1894" t="inlineStr">
        <is>
          <t>2026-04</t>
        </is>
      </c>
      <c r="E1894" t="inlineStr">
        <is>
          <t>C0124</t>
        </is>
      </c>
      <c r="F1894" t="inlineStr">
        <is>
          <t>C0124</t>
        </is>
      </c>
      <c r="G1894" t="inlineStr">
        <is>
          <t>Harbor Strata Management</t>
        </is>
      </c>
      <c r="H1894" t="inlineStr">
        <is>
          <t>S0325</t>
        </is>
      </c>
      <c r="I1894" t="inlineStr">
        <is>
          <t>Materials - Colorbond sheet</t>
        </is>
      </c>
      <c r="J1894" t="n">
        <v>1</v>
      </c>
      <c r="K1894" s="9" t="n">
        <v>73.08</v>
      </c>
      <c r="L1894" t="inlineStr">
        <is>
          <t>PAID</t>
        </is>
      </c>
      <c r="M1894">
        <f>IF(L1894="VOIDED",0,1)</f>
        <v>1</v>
      </c>
      <c r="N1894" t="n">
        <v>200</v>
      </c>
      <c r="O1894" t="inlineStr">
        <is>
          <t>GST on Income</t>
        </is>
      </c>
      <c r="P1894" t="inlineStr">
        <is>
          <t>R11</t>
        </is>
      </c>
      <c r="Q1894" t="inlineStr">
        <is>
          <t>MAT-RF</t>
        </is>
      </c>
      <c r="R1894">
        <f>IF(OR(Q1894="CONTEXT",Q1894="REVIEW"),"",INDEX('Category Rules'!$D$5:$D$17,MATCH(P1894,'Category Rules'!$A$5:$A$17,0)))</f>
        <v>4030</v>
      </c>
      <c r="S1894" t="str">
        <f>IF(Q1894="CONTEXT","Roofing",IF(Q1894="REVIEW","",INDEX('Category Rules'!$E$5:$E$17,MATCH(P1894,'Category Rules'!$A$5:$A$17,0))))</f>
        <v>Roofing</v>
      </c>
      <c r="T1894" t="str">
        <f>IF(Q1894="DEP","BAS Excluded","GST on Income")</f>
        <v>GST on Income</v>
      </c>
      <c r="U1894">
        <f>IF(O1894=T1894,1,0)</f>
        <v>1</v>
      </c>
      <c r="V1894" s="9">
        <f>IF(OR(M1894=0,U1894=1),0,IF(T1894="GST on Income",ROUND(K1894*0.1,2),ROUND(-K1894*0.1,2)))</f>
        <v>0</v>
      </c>
    </row>
    <row r="1895">
      <c r="A1895" t="inlineStr">
        <is>
          <t>INV-5591-1</t>
        </is>
      </c>
      <c r="B1895" t="inlineStr">
        <is>
          <t>INV-5591</t>
        </is>
      </c>
      <c r="C1895" s="11" t="n">
        <v>46115</v>
      </c>
      <c r="D1895" t="inlineStr">
        <is>
          <t>2026-04</t>
        </is>
      </c>
      <c r="E1895" t="inlineStr">
        <is>
          <t>C0066</t>
        </is>
      </c>
      <c r="F1895" t="inlineStr">
        <is>
          <t>C0066</t>
        </is>
      </c>
      <c r="G1895" t="inlineStr">
        <is>
          <t>Northgate Insurance Repairs</t>
        </is>
      </c>
      <c r="H1895" t="inlineStr">
        <is>
          <t>S0376</t>
        </is>
      </c>
      <c r="I1895" t="inlineStr">
        <is>
          <t>Tarp kit hire 2 wks (26/03/26-02/04/26) - 1 kits</t>
        </is>
      </c>
      <c r="J1895" t="n">
        <v>2</v>
      </c>
      <c r="K1895" s="9" t="n">
        <v>70</v>
      </c>
      <c r="L1895" t="inlineStr">
        <is>
          <t>PAID</t>
        </is>
      </c>
      <c r="M1895">
        <f>IF(L1895="VOIDED",0,1)</f>
        <v>1</v>
      </c>
      <c r="N1895" t="n">
        <v>200</v>
      </c>
      <c r="O1895" t="inlineStr">
        <is>
          <t>GST on Income</t>
        </is>
      </c>
      <c r="P1895" t="inlineStr">
        <is>
          <t>R06</t>
        </is>
      </c>
      <c r="Q1895" t="inlineStr">
        <is>
          <t>HIRE-TK</t>
        </is>
      </c>
      <c r="R1895">
        <f>IF(OR(Q1895="CONTEXT",Q1895="REVIEW"),"",INDEX('Category Rules'!$D$5:$D$17,MATCH(P1895,'Category Rules'!$A$5:$A$17,0)))</f>
        <v>4010</v>
      </c>
      <c r="S1895" t="str">
        <f>IF(Q1895="CONTEXT","Make-safe",IF(Q1895="REVIEW","",INDEX('Category Rules'!$E$5:$E$17,MATCH(P1895,'Category Rules'!$A$5:$A$17,0))))</f>
        <v>Make-safe</v>
      </c>
      <c r="T1895" t="str">
        <f>IF(Q1895="DEP","BAS Excluded","GST on Income")</f>
        <v>GST on Income</v>
      </c>
      <c r="U1895">
        <f>IF(O1895=T1895,1,0)</f>
        <v>1</v>
      </c>
      <c r="V1895" s="9">
        <f>IF(OR(M1895=0,U1895=1),0,IF(T1895="GST on Income",ROUND(K1895*0.1,2),ROUND(-K1895*0.1,2)))</f>
        <v>0</v>
      </c>
    </row>
    <row r="1896">
      <c r="A1896" t="inlineStr">
        <is>
          <t>INV-4771-1</t>
        </is>
      </c>
      <c r="B1896" t="inlineStr">
        <is>
          <t>INV-4771</t>
        </is>
      </c>
      <c r="C1896" s="11" t="n">
        <v>46116</v>
      </c>
      <c r="D1896" t="inlineStr">
        <is>
          <t>2026-04</t>
        </is>
      </c>
      <c r="E1896" t="inlineStr">
        <is>
          <t>C0083</t>
        </is>
      </c>
      <c r="F1896" t="inlineStr">
        <is>
          <t>C0083</t>
        </is>
      </c>
      <c r="G1896" t="inlineStr">
        <is>
          <t>Noah Williams</t>
        </is>
      </c>
      <c r="H1896" t="inlineStr">
        <is>
          <t>S0143</t>
        </is>
      </c>
      <c r="I1896" t="inlineStr">
        <is>
          <t>Temporary fence hire 4 wks (07/03/26-03/04/26) - 140 panels</t>
        </is>
      </c>
      <c r="J1896" t="n">
        <v>560</v>
      </c>
      <c r="K1896" s="9" t="n">
        <v>2520</v>
      </c>
      <c r="L1896" t="inlineStr">
        <is>
          <t>PAID</t>
        </is>
      </c>
      <c r="M1896">
        <f>IF(L1896="VOIDED",0,1)</f>
        <v>1</v>
      </c>
      <c r="N1896" t="n">
        <v>200</v>
      </c>
      <c r="O1896" t="inlineStr">
        <is>
          <t>GST on Income</t>
        </is>
      </c>
      <c r="P1896" t="inlineStr">
        <is>
          <t>R03</t>
        </is>
      </c>
      <c r="Q1896" t="inlineStr">
        <is>
          <t>HIRE-FP</t>
        </is>
      </c>
      <c r="R1896">
        <f>IF(OR(Q1896="CONTEXT",Q1896="REVIEW"),"",INDEX('Category Rules'!$D$5:$D$17,MATCH(P1896,'Category Rules'!$A$5:$A$17,0)))</f>
        <v>4010</v>
      </c>
      <c r="S1896" t="str">
        <f>IF(Q1896="CONTEXT","Fencing",IF(Q1896="REVIEW","",INDEX('Category Rules'!$E$5:$E$17,MATCH(P1896,'Category Rules'!$A$5:$A$17,0))))</f>
        <v>Fencing</v>
      </c>
      <c r="T1896" t="str">
        <f>IF(Q1896="DEP","BAS Excluded","GST on Income")</f>
        <v>GST on Income</v>
      </c>
      <c r="U1896">
        <f>IF(O1896=T1896,1,0)</f>
        <v>1</v>
      </c>
      <c r="V1896" s="9">
        <f>IF(OR(M1896=0,U1896=1),0,IF(T1896="GST on Income",ROUND(K1896*0.1,2),ROUND(-K1896*0.1,2)))</f>
        <v>0</v>
      </c>
    </row>
    <row r="1897">
      <c r="A1897" t="inlineStr">
        <is>
          <t>INV-4807-1</t>
        </is>
      </c>
      <c r="B1897" t="inlineStr">
        <is>
          <t>INV-4807</t>
        </is>
      </c>
      <c r="C1897" s="11" t="n">
        <v>46116</v>
      </c>
      <c r="D1897" t="inlineStr">
        <is>
          <t>2026-04</t>
        </is>
      </c>
      <c r="E1897" t="inlineStr">
        <is>
          <t>C0043</t>
        </is>
      </c>
      <c r="F1897" t="inlineStr">
        <is>
          <t>C0043</t>
        </is>
      </c>
      <c r="G1897" t="inlineStr">
        <is>
          <t>Banksia Projects Pty Ltd</t>
        </is>
      </c>
      <c r="H1897" t="inlineStr">
        <is>
          <t>S0151</t>
        </is>
      </c>
      <c r="I1897" t="inlineStr">
        <is>
          <t>Temporary fence hire 4 wks (09/03/26-03/04/26) - 87 panels</t>
        </is>
      </c>
      <c r="J1897" t="n">
        <v>348</v>
      </c>
      <c r="K1897" s="9" t="n">
        <v>1566</v>
      </c>
      <c r="L1897" t="inlineStr">
        <is>
          <t>PAID</t>
        </is>
      </c>
      <c r="M1897">
        <f>IF(L1897="VOIDED",0,1)</f>
        <v>1</v>
      </c>
      <c r="N1897" t="n">
        <v>200</v>
      </c>
      <c r="O1897" t="inlineStr">
        <is>
          <t>GST on Income</t>
        </is>
      </c>
      <c r="P1897" t="inlineStr">
        <is>
          <t>R03</t>
        </is>
      </c>
      <c r="Q1897" t="inlineStr">
        <is>
          <t>HIRE-FP</t>
        </is>
      </c>
      <c r="R1897">
        <f>IF(OR(Q1897="CONTEXT",Q1897="REVIEW"),"",INDEX('Category Rules'!$D$5:$D$17,MATCH(P1897,'Category Rules'!$A$5:$A$17,0)))</f>
        <v>4010</v>
      </c>
      <c r="S1897" t="str">
        <f>IF(Q1897="CONTEXT","Fencing",IF(Q1897="REVIEW","",INDEX('Category Rules'!$E$5:$E$17,MATCH(P1897,'Category Rules'!$A$5:$A$17,0))))</f>
        <v>Fencing</v>
      </c>
      <c r="T1897" t="str">
        <f>IF(Q1897="DEP","BAS Excluded","GST on Income")</f>
        <v>GST on Income</v>
      </c>
      <c r="U1897">
        <f>IF(O1897=T1897,1,0)</f>
        <v>1</v>
      </c>
      <c r="V1897" s="9">
        <f>IF(OR(M1897=0,U1897=1),0,IF(T1897="GST on Income",ROUND(K1897*0.1,2),ROUND(-K1897*0.1,2)))</f>
        <v>0</v>
      </c>
    </row>
    <row r="1898">
      <c r="A1898" t="inlineStr">
        <is>
          <t>INV-4809-1</t>
        </is>
      </c>
      <c r="B1898" t="inlineStr">
        <is>
          <t>INV-4809</t>
        </is>
      </c>
      <c r="C1898" s="11" t="n">
        <v>46116</v>
      </c>
      <c r="D1898" t="inlineStr">
        <is>
          <t>2026-04</t>
        </is>
      </c>
      <c r="E1898" t="inlineStr">
        <is>
          <t>C0043</t>
        </is>
      </c>
      <c r="F1898" t="inlineStr">
        <is>
          <t>C0043</t>
        </is>
      </c>
      <c r="G1898" t="inlineStr">
        <is>
          <t>Banksia Projects Pty Ltd</t>
        </is>
      </c>
      <c r="H1898" t="inlineStr">
        <is>
          <t>S0151</t>
        </is>
      </c>
      <c r="I1898" t="inlineStr">
        <is>
          <t>Collection and dismantle - temporary fencing</t>
        </is>
      </c>
      <c r="J1898" t="n">
        <v>1</v>
      </c>
      <c r="K1898" s="9" t="n">
        <v>165</v>
      </c>
      <c r="L1898" t="inlineStr">
        <is>
          <t>PAID</t>
        </is>
      </c>
      <c r="M1898">
        <f>IF(L1898="VOIDED",0,1)</f>
        <v>1</v>
      </c>
      <c r="N1898" t="n">
        <v>200</v>
      </c>
      <c r="O1898" t="inlineStr">
        <is>
          <t>GST on Income</t>
        </is>
      </c>
      <c r="P1898" t="inlineStr">
        <is>
          <t>R07</t>
        </is>
      </c>
      <c r="Q1898" t="inlineStr">
        <is>
          <t>DEL-FP</t>
        </is>
      </c>
      <c r="R1898">
        <f>IF(OR(Q1898="CONTEXT",Q1898="REVIEW"),"",INDEX('Category Rules'!$D$5:$D$17,MATCH(P1898,'Category Rules'!$A$5:$A$17,0)))</f>
        <v>4020</v>
      </c>
      <c r="S1898" t="str">
        <f>IF(Q1898="CONTEXT","Fencing",IF(Q1898="REVIEW","",INDEX('Category Rules'!$E$5:$E$17,MATCH(P1898,'Category Rules'!$A$5:$A$17,0))))</f>
        <v>Fencing</v>
      </c>
      <c r="T1898" t="str">
        <f>IF(Q1898="DEP","BAS Excluded","GST on Income")</f>
        <v>GST on Income</v>
      </c>
      <c r="U1898">
        <f>IF(O1898=T1898,1,0)</f>
        <v>1</v>
      </c>
      <c r="V1898" s="9">
        <f>IF(OR(M1898=0,U1898=1),0,IF(T1898="GST on Income",ROUND(K1898*0.1,2),ROUND(-K1898*0.1,2)))</f>
        <v>0</v>
      </c>
    </row>
    <row r="1899">
      <c r="A1899" t="inlineStr">
        <is>
          <t>INV-4830-1</t>
        </is>
      </c>
      <c r="B1899" t="inlineStr">
        <is>
          <t>INV-4830</t>
        </is>
      </c>
      <c r="C1899" s="11" t="n">
        <v>46116</v>
      </c>
      <c r="D1899" t="inlineStr">
        <is>
          <t>2026-04</t>
        </is>
      </c>
      <c r="E1899" t="inlineStr">
        <is>
          <t>C0072</t>
        </is>
      </c>
      <c r="F1899" t="inlineStr">
        <is>
          <t>C0072</t>
        </is>
      </c>
      <c r="G1899" t="inlineStr">
        <is>
          <t>Kingston City Council</t>
        </is>
      </c>
      <c r="H1899" t="inlineStr">
        <is>
          <t>S0157</t>
        </is>
      </c>
      <c r="I1899" t="inlineStr">
        <is>
          <t>Temporary fence hire 4 wks (07/03/26-03/04/26) - 145 panels</t>
        </is>
      </c>
      <c r="J1899" t="n">
        <v>580</v>
      </c>
      <c r="K1899" s="9" t="n">
        <v>2610</v>
      </c>
      <c r="L1899" t="inlineStr">
        <is>
          <t>PAID</t>
        </is>
      </c>
      <c r="M1899">
        <f>IF(L1899="VOIDED",0,1)</f>
        <v>1</v>
      </c>
      <c r="N1899" t="n">
        <v>200</v>
      </c>
      <c r="O1899" t="inlineStr">
        <is>
          <t>GST on Income</t>
        </is>
      </c>
      <c r="P1899" t="inlineStr">
        <is>
          <t>R03</t>
        </is>
      </c>
      <c r="Q1899" t="inlineStr">
        <is>
          <t>HIRE-FP</t>
        </is>
      </c>
      <c r="R1899">
        <f>IF(OR(Q1899="CONTEXT",Q1899="REVIEW"),"",INDEX('Category Rules'!$D$5:$D$17,MATCH(P1899,'Category Rules'!$A$5:$A$17,0)))</f>
        <v>4010</v>
      </c>
      <c r="S1899" t="str">
        <f>IF(Q1899="CONTEXT","Fencing",IF(Q1899="REVIEW","",INDEX('Category Rules'!$E$5:$E$17,MATCH(P1899,'Category Rules'!$A$5:$A$17,0))))</f>
        <v>Fencing</v>
      </c>
      <c r="T1899" t="str">
        <f>IF(Q1899="DEP","BAS Excluded","GST on Income")</f>
        <v>GST on Income</v>
      </c>
      <c r="U1899">
        <f>IF(O1899=T1899,1,0)</f>
        <v>1</v>
      </c>
      <c r="V1899" s="9">
        <f>IF(OR(M1899=0,U1899=1),0,IF(T1899="GST on Income",ROUND(K1899*0.1,2),ROUND(-K1899*0.1,2)))</f>
        <v>0</v>
      </c>
    </row>
    <row r="1900">
      <c r="A1900" t="inlineStr">
        <is>
          <t>INV-5208-1</t>
        </is>
      </c>
      <c r="B1900" t="inlineStr">
        <is>
          <t>INV-5208</t>
        </is>
      </c>
      <c r="C1900" s="11" t="n">
        <v>46116</v>
      </c>
      <c r="D1900" t="inlineStr">
        <is>
          <t>2026-04</t>
        </is>
      </c>
      <c r="E1900" t="inlineStr">
        <is>
          <t>C0037</t>
        </is>
      </c>
      <c r="F1900" t="inlineStr">
        <is>
          <t>C0037</t>
        </is>
      </c>
      <c r="G1900" t="inlineStr">
        <is>
          <t>Highpoint Constructions</t>
        </is>
      </c>
      <c r="H1900" t="inlineStr">
        <is>
          <t>S0237</t>
        </is>
      </c>
      <c r="I1900" t="inlineStr">
        <is>
          <t>Scaffold tower hire 1 wks (03/04/26-03/04/26) - 1 towers</t>
        </is>
      </c>
      <c r="J1900" t="n">
        <v>1</v>
      </c>
      <c r="K1900" s="9" t="n">
        <v>95</v>
      </c>
      <c r="L1900" t="inlineStr">
        <is>
          <t>PAID</t>
        </is>
      </c>
      <c r="M1900">
        <f>IF(L1900="VOIDED",0,1)</f>
        <v>1</v>
      </c>
      <c r="N1900" t="n">
        <v>200</v>
      </c>
      <c r="O1900" t="inlineStr">
        <is>
          <t>GST on Income</t>
        </is>
      </c>
      <c r="P1900" t="inlineStr">
        <is>
          <t>R05</t>
        </is>
      </c>
      <c r="Q1900" t="inlineStr">
        <is>
          <t>HIRE-ST</t>
        </is>
      </c>
      <c r="R1900">
        <f>IF(OR(Q1900="CONTEXT",Q1900="REVIEW"),"",INDEX('Category Rules'!$D$5:$D$17,MATCH(P1900,'Category Rules'!$A$5:$A$17,0)))</f>
        <v>4010</v>
      </c>
      <c r="S1900" t="str">
        <f>IF(Q1900="CONTEXT","Scaffolding",IF(Q1900="REVIEW","",INDEX('Category Rules'!$E$5:$E$17,MATCH(P1900,'Category Rules'!$A$5:$A$17,0))))</f>
        <v>Scaffolding</v>
      </c>
      <c r="T1900" t="str">
        <f>IF(Q1900="DEP","BAS Excluded","GST on Income")</f>
        <v>GST on Income</v>
      </c>
      <c r="U1900">
        <f>IF(O1900=T1900,1,0)</f>
        <v>1</v>
      </c>
      <c r="V1900" s="9">
        <f>IF(OR(M1900=0,U1900=1),0,IF(T1900="GST on Income",ROUND(K1900*0.1,2),ROUND(-K1900*0.1,2)))</f>
        <v>0</v>
      </c>
    </row>
    <row r="1901">
      <c r="A1901" t="inlineStr">
        <is>
          <t>INV-5210-1</t>
        </is>
      </c>
      <c r="B1901" t="inlineStr">
        <is>
          <t>INV-5210</t>
        </is>
      </c>
      <c r="C1901" s="11" t="n">
        <v>46116</v>
      </c>
      <c r="D1901" t="inlineStr">
        <is>
          <t>2026-04</t>
        </is>
      </c>
      <c r="E1901" t="inlineStr">
        <is>
          <t>C0037</t>
        </is>
      </c>
      <c r="F1901" t="inlineStr">
        <is>
          <t>C0037</t>
        </is>
      </c>
      <c r="G1901" t="inlineStr">
        <is>
          <t>Highpoint Constructions</t>
        </is>
      </c>
      <c r="H1901" t="inlineStr">
        <is>
          <t>S0237</t>
        </is>
      </c>
      <c r="I1901" t="inlineStr">
        <is>
          <t>Scaffold dismantle - 1 tower(s)</t>
        </is>
      </c>
      <c r="J1901" t="n">
        <v>1</v>
      </c>
      <c r="K1901" s="9" t="n">
        <v>320</v>
      </c>
      <c r="L1901" t="inlineStr">
        <is>
          <t>PAID</t>
        </is>
      </c>
      <c r="M1901">
        <f>IF(L1901="VOIDED",0,1)</f>
        <v>1</v>
      </c>
      <c r="N1901" t="n">
        <v>200</v>
      </c>
      <c r="O1901" t="inlineStr">
        <is>
          <t>GST on Income</t>
        </is>
      </c>
      <c r="P1901" t="inlineStr">
        <is>
          <t>R08</t>
        </is>
      </c>
      <c r="Q1901" t="inlineStr">
        <is>
          <t>LAB-ST</t>
        </is>
      </c>
      <c r="R1901">
        <f>IF(OR(Q1901="CONTEXT",Q1901="REVIEW"),"",INDEX('Category Rules'!$D$5:$D$17,MATCH(P1901,'Category Rules'!$A$5:$A$17,0)))</f>
        <v>4020</v>
      </c>
      <c r="S1901" t="str">
        <f>IF(Q1901="CONTEXT","Scaffolding",IF(Q1901="REVIEW","",INDEX('Category Rules'!$E$5:$E$17,MATCH(P1901,'Category Rules'!$A$5:$A$17,0))))</f>
        <v>Scaffolding</v>
      </c>
      <c r="T1901" t="str">
        <f>IF(Q1901="DEP","BAS Excluded","GST on Income")</f>
        <v>GST on Income</v>
      </c>
      <c r="U1901">
        <f>IF(O1901=T1901,1,0)</f>
        <v>1</v>
      </c>
      <c r="V1901" s="9">
        <f>IF(OR(M1901=0,U1901=1),0,IF(T1901="GST on Income",ROUND(K1901*0.1,2),ROUND(-K1901*0.1,2)))</f>
        <v>0</v>
      </c>
    </row>
    <row r="1902">
      <c r="A1902" t="inlineStr">
        <is>
          <t>INV-5650-1</t>
        </is>
      </c>
      <c r="B1902" t="inlineStr">
        <is>
          <t>INV-5650</t>
        </is>
      </c>
      <c r="C1902" s="11" t="n">
        <v>46116</v>
      </c>
      <c r="D1902" t="inlineStr">
        <is>
          <t>2026-04</t>
        </is>
      </c>
      <c r="E1902" t="inlineStr">
        <is>
          <t>C0018</t>
        </is>
      </c>
      <c r="F1902" t="inlineStr">
        <is>
          <t>C0018</t>
        </is>
      </c>
      <c r="G1902" t="inlineStr">
        <is>
          <t>Wattle Constructions Pty Ltd</t>
        </is>
      </c>
      <c r="H1902" t="inlineStr">
        <is>
          <t>S0407</t>
        </is>
      </c>
      <c r="I1902" t="inlineStr">
        <is>
          <t>Make safe call-out</t>
        </is>
      </c>
      <c r="J1902" t="n">
        <v>1</v>
      </c>
      <c r="K1902" s="9" t="n">
        <v>385</v>
      </c>
      <c r="L1902" t="inlineStr">
        <is>
          <t>PAID</t>
        </is>
      </c>
      <c r="M1902">
        <f>IF(L1902="VOIDED",0,1)</f>
        <v>1</v>
      </c>
      <c r="N1902" t="n">
        <v>200</v>
      </c>
      <c r="O1902" t="inlineStr">
        <is>
          <t>GST on Income</t>
        </is>
      </c>
      <c r="P1902" t="inlineStr">
        <is>
          <t>R09</t>
        </is>
      </c>
      <c r="Q1902" t="inlineStr">
        <is>
          <t>MS</t>
        </is>
      </c>
      <c r="R1902">
        <f>IF(OR(Q1902="CONTEXT",Q1902="REVIEW"),"",INDEX('Category Rules'!$D$5:$D$17,MATCH(P1902,'Category Rules'!$A$5:$A$17,0)))</f>
        <v>4020</v>
      </c>
      <c r="S1902" t="str">
        <f>IF(Q1902="CONTEXT","Make-safe",IF(Q1902="REVIEW","",INDEX('Category Rules'!$E$5:$E$17,MATCH(P1902,'Category Rules'!$A$5:$A$17,0))))</f>
        <v>Make-safe</v>
      </c>
      <c r="T1902" t="str">
        <f>IF(Q1902="DEP","BAS Excluded","GST on Income")</f>
        <v>GST on Income</v>
      </c>
      <c r="U1902">
        <f>IF(O1902=T1902,1,0)</f>
        <v>1</v>
      </c>
      <c r="V1902" s="9">
        <f>IF(OR(M1902=0,U1902=1),0,IF(T1902="GST on Income",ROUND(K1902*0.1,2),ROUND(-K1902*0.1,2)))</f>
        <v>0</v>
      </c>
    </row>
    <row r="1903">
      <c r="A1903" t="inlineStr">
        <is>
          <t>INV-5650-2</t>
        </is>
      </c>
      <c r="B1903" t="inlineStr">
        <is>
          <t>INV-5650</t>
        </is>
      </c>
      <c r="C1903" s="11" t="n">
        <v>46116</v>
      </c>
      <c r="D1903" t="inlineStr">
        <is>
          <t>2026-04</t>
        </is>
      </c>
      <c r="E1903" t="inlineStr">
        <is>
          <t>C0018</t>
        </is>
      </c>
      <c r="F1903" t="inlineStr">
        <is>
          <t>C0018</t>
        </is>
      </c>
      <c r="G1903" t="inlineStr">
        <is>
          <t>Wattle Constructions Pty Ltd</t>
        </is>
      </c>
      <c r="H1903" t="inlineStr">
        <is>
          <t>S0407</t>
        </is>
      </c>
      <c r="I1903" t="inlineStr">
        <is>
          <t>Tarp supply and install - 1 tarp(s)</t>
        </is>
      </c>
      <c r="J1903" t="n">
        <v>1</v>
      </c>
      <c r="K1903" s="9" t="n">
        <v>240</v>
      </c>
      <c r="L1903" t="inlineStr">
        <is>
          <t>PAID</t>
        </is>
      </c>
      <c r="M1903">
        <f>IF(L1903="VOIDED",0,1)</f>
        <v>1</v>
      </c>
      <c r="N1903" t="n">
        <v>200</v>
      </c>
      <c r="O1903" t="inlineStr">
        <is>
          <t>GST on Income</t>
        </is>
      </c>
      <c r="P1903" t="inlineStr">
        <is>
          <t>R09</t>
        </is>
      </c>
      <c r="Q1903" t="inlineStr">
        <is>
          <t>MS</t>
        </is>
      </c>
      <c r="R1903">
        <f>IF(OR(Q1903="CONTEXT",Q1903="REVIEW"),"",INDEX('Category Rules'!$D$5:$D$17,MATCH(P1903,'Category Rules'!$A$5:$A$17,0)))</f>
        <v>4020</v>
      </c>
      <c r="S1903" t="str">
        <f>IF(Q1903="CONTEXT","Make-safe",IF(Q1903="REVIEW","",INDEX('Category Rules'!$E$5:$E$17,MATCH(P1903,'Category Rules'!$A$5:$A$17,0))))</f>
        <v>Make-safe</v>
      </c>
      <c r="T1903" t="str">
        <f>IF(Q1903="DEP","BAS Excluded","GST on Income")</f>
        <v>GST on Income</v>
      </c>
      <c r="U1903">
        <f>IF(O1903=T1903,1,0)</f>
        <v>1</v>
      </c>
      <c r="V1903" s="9">
        <f>IF(OR(M1903=0,U1903=1),0,IF(T1903="GST on Income",ROUND(K1903*0.1,2),ROUND(-K1903*0.1,2)))</f>
        <v>0</v>
      </c>
    </row>
    <row r="1904">
      <c r="A1904" t="inlineStr">
        <is>
          <t>INV-4574-1</t>
        </is>
      </c>
      <c r="B1904" t="inlineStr">
        <is>
          <t>INV-4574</t>
        </is>
      </c>
      <c r="C1904" s="11" t="n">
        <v>46117</v>
      </c>
      <c r="D1904" t="inlineStr">
        <is>
          <t>2026-04</t>
        </is>
      </c>
      <c r="E1904" t="inlineStr">
        <is>
          <t>C0043</t>
        </is>
      </c>
      <c r="F1904" t="inlineStr">
        <is>
          <t>C0043</t>
        </is>
      </c>
      <c r="G1904" t="inlineStr">
        <is>
          <t>Banksia Projects Pty Ltd</t>
        </is>
      </c>
      <c r="H1904" t="inlineStr">
        <is>
          <t>S0095</t>
        </is>
      </c>
      <c r="I1904" t="inlineStr">
        <is>
          <t>Temporary fence hire 4 wks (08/03/26-04/04/26) - 129 panels</t>
        </is>
      </c>
      <c r="J1904" t="n">
        <v>516</v>
      </c>
      <c r="K1904" s="9" t="n">
        <v>2322</v>
      </c>
      <c r="L1904" t="inlineStr">
        <is>
          <t>PAID</t>
        </is>
      </c>
      <c r="M1904">
        <f>IF(L1904="VOIDED",0,1)</f>
        <v>1</v>
      </c>
      <c r="N1904" t="n">
        <v>200</v>
      </c>
      <c r="O1904" t="inlineStr">
        <is>
          <t>GST on Income</t>
        </is>
      </c>
      <c r="P1904" t="inlineStr">
        <is>
          <t>R03</t>
        </is>
      </c>
      <c r="Q1904" t="inlineStr">
        <is>
          <t>HIRE-FP</t>
        </is>
      </c>
      <c r="R1904">
        <f>IF(OR(Q1904="CONTEXT",Q1904="REVIEW"),"",INDEX('Category Rules'!$D$5:$D$17,MATCH(P1904,'Category Rules'!$A$5:$A$17,0)))</f>
        <v>4010</v>
      </c>
      <c r="S1904" t="str">
        <f>IF(Q1904="CONTEXT","Fencing",IF(Q1904="REVIEW","",INDEX('Category Rules'!$E$5:$E$17,MATCH(P1904,'Category Rules'!$A$5:$A$17,0))))</f>
        <v>Fencing</v>
      </c>
      <c r="T1904" t="str">
        <f>IF(Q1904="DEP","BAS Excluded","GST on Income")</f>
        <v>GST on Income</v>
      </c>
      <c r="U1904">
        <f>IF(O1904=T1904,1,0)</f>
        <v>1</v>
      </c>
      <c r="V1904" s="9">
        <f>IF(OR(M1904=0,U1904=1),0,IF(T1904="GST on Income",ROUND(K1904*0.1,2),ROUND(-K1904*0.1,2)))</f>
        <v>0</v>
      </c>
    </row>
    <row r="1905">
      <c r="A1905" t="inlineStr">
        <is>
          <t>INV-5853-1</t>
        </is>
      </c>
      <c r="B1905" t="inlineStr">
        <is>
          <t>INV-5853</t>
        </is>
      </c>
      <c r="C1905" s="11" t="n">
        <v>46117</v>
      </c>
      <c r="D1905" t="inlineStr">
        <is>
          <t>2026-04</t>
        </is>
      </c>
      <c r="E1905" t="inlineStr">
        <is>
          <t>C0012</t>
        </is>
      </c>
      <c r="F1905" t="inlineStr">
        <is>
          <t>C0012</t>
        </is>
      </c>
      <c r="G1905" t="inlineStr">
        <is>
          <t>Kestrel Constructions Pty Ltd</t>
        </is>
      </c>
      <c r="H1905" t="inlineStr">
        <is>
          <t>S0521</t>
        </is>
      </c>
      <c r="I1905" t="inlineStr">
        <is>
          <t>Emergency make safe call-out - after hours</t>
        </is>
      </c>
      <c r="J1905" t="n">
        <v>1</v>
      </c>
      <c r="K1905" s="9" t="n">
        <v>560</v>
      </c>
      <c r="L1905" t="inlineStr">
        <is>
          <t>PAID</t>
        </is>
      </c>
      <c r="M1905">
        <f>IF(L1905="VOIDED",0,1)</f>
        <v>1</v>
      </c>
      <c r="N1905" t="n">
        <v>200</v>
      </c>
      <c r="O1905" t="inlineStr">
        <is>
          <t>GST on Income</t>
        </is>
      </c>
      <c r="P1905" t="inlineStr">
        <is>
          <t>R09</t>
        </is>
      </c>
      <c r="Q1905" t="inlineStr">
        <is>
          <t>MS</t>
        </is>
      </c>
      <c r="R1905">
        <f>IF(OR(Q1905="CONTEXT",Q1905="REVIEW"),"",INDEX('Category Rules'!$D$5:$D$17,MATCH(P1905,'Category Rules'!$A$5:$A$17,0)))</f>
        <v>4020</v>
      </c>
      <c r="S1905" t="str">
        <f>IF(Q1905="CONTEXT","Make-safe",IF(Q1905="REVIEW","",INDEX('Category Rules'!$E$5:$E$17,MATCH(P1905,'Category Rules'!$A$5:$A$17,0))))</f>
        <v>Make-safe</v>
      </c>
      <c r="T1905" t="str">
        <f>IF(Q1905="DEP","BAS Excluded","GST on Income")</f>
        <v>GST on Income</v>
      </c>
      <c r="U1905">
        <f>IF(O1905=T1905,1,0)</f>
        <v>1</v>
      </c>
      <c r="V1905" s="9">
        <f>IF(OR(M1905=0,U1905=1),0,IF(T1905="GST on Income",ROUND(K1905*0.1,2),ROUND(-K1905*0.1,2)))</f>
        <v>0</v>
      </c>
    </row>
    <row r="1906">
      <c r="A1906" t="inlineStr">
        <is>
          <t>INV-4681-1</t>
        </is>
      </c>
      <c r="B1906" t="inlineStr">
        <is>
          <t>INV-4681</t>
        </is>
      </c>
      <c r="C1906" s="11" t="n">
        <v>46118</v>
      </c>
      <c r="D1906" t="inlineStr">
        <is>
          <t>2026-04</t>
        </is>
      </c>
      <c r="E1906" t="inlineStr">
        <is>
          <t>C0008</t>
        </is>
      </c>
      <c r="F1906" t="inlineStr">
        <is>
          <t>C0008</t>
        </is>
      </c>
      <c r="G1906" t="inlineStr">
        <is>
          <t>Redline Builders Pty Ltd</t>
        </is>
      </c>
      <c r="H1906" t="inlineStr">
        <is>
          <t>S0122</t>
        </is>
      </c>
      <c r="I1906" t="inlineStr">
        <is>
          <t>Temporary fence hire 4 wks (14/03/26-05/04/26) - 19 panels</t>
        </is>
      </c>
      <c r="J1906" t="n">
        <v>76</v>
      </c>
      <c r="K1906" s="9" t="n">
        <v>342</v>
      </c>
      <c r="L1906" t="inlineStr">
        <is>
          <t>PAID</t>
        </is>
      </c>
      <c r="M1906">
        <f>IF(L1906="VOIDED",0,1)</f>
        <v>1</v>
      </c>
      <c r="N1906" t="n">
        <v>200</v>
      </c>
      <c r="O1906" t="inlineStr">
        <is>
          <t>GST on Income</t>
        </is>
      </c>
      <c r="P1906" t="inlineStr">
        <is>
          <t>R03</t>
        </is>
      </c>
      <c r="Q1906" t="inlineStr">
        <is>
          <t>HIRE-FP</t>
        </is>
      </c>
      <c r="R1906">
        <f>IF(OR(Q1906="CONTEXT",Q1906="REVIEW"),"",INDEX('Category Rules'!$D$5:$D$17,MATCH(P1906,'Category Rules'!$A$5:$A$17,0)))</f>
        <v>4010</v>
      </c>
      <c r="S1906" t="str">
        <f>IF(Q1906="CONTEXT","Fencing",IF(Q1906="REVIEW","",INDEX('Category Rules'!$E$5:$E$17,MATCH(P1906,'Category Rules'!$A$5:$A$17,0))))</f>
        <v>Fencing</v>
      </c>
      <c r="T1906" t="str">
        <f>IF(Q1906="DEP","BAS Excluded","GST on Income")</f>
        <v>GST on Income</v>
      </c>
      <c r="U1906">
        <f>IF(O1906=T1906,1,0)</f>
        <v>1</v>
      </c>
      <c r="V1906" s="9">
        <f>IF(OR(M1906=0,U1906=1),0,IF(T1906="GST on Income",ROUND(K1906*0.1,2),ROUND(-K1906*0.1,2)))</f>
        <v>0</v>
      </c>
    </row>
    <row r="1907">
      <c r="A1907" t="inlineStr">
        <is>
          <t>INV-4682-1</t>
        </is>
      </c>
      <c r="B1907" t="inlineStr">
        <is>
          <t>INV-4682</t>
        </is>
      </c>
      <c r="C1907" s="11" t="n">
        <v>46118</v>
      </c>
      <c r="D1907" t="inlineStr">
        <is>
          <t>2026-04</t>
        </is>
      </c>
      <c r="E1907" t="inlineStr">
        <is>
          <t>C0008</t>
        </is>
      </c>
      <c r="F1907" t="inlineStr">
        <is>
          <t>C0008</t>
        </is>
      </c>
      <c r="G1907" t="inlineStr">
        <is>
          <t>Redline Builders Pty Ltd</t>
        </is>
      </c>
      <c r="H1907" t="inlineStr">
        <is>
          <t>S0122</t>
        </is>
      </c>
      <c r="I1907" t="inlineStr">
        <is>
          <t>Pedestrian barrier hire 4 wks (14/03/26-05/04/26) - 5 barriers</t>
        </is>
      </c>
      <c r="J1907" t="n">
        <v>20</v>
      </c>
      <c r="K1907" s="9" t="n">
        <v>64</v>
      </c>
      <c r="L1907" t="inlineStr">
        <is>
          <t>PAID</t>
        </is>
      </c>
      <c r="M1907">
        <f>IF(L1907="VOIDED",0,1)</f>
        <v>1</v>
      </c>
      <c r="N1907" t="n">
        <v>200</v>
      </c>
      <c r="O1907" t="inlineStr">
        <is>
          <t>GST on Income</t>
        </is>
      </c>
      <c r="P1907" t="inlineStr">
        <is>
          <t>R04</t>
        </is>
      </c>
      <c r="Q1907" t="inlineStr">
        <is>
          <t>HIRE-BR</t>
        </is>
      </c>
      <c r="R1907">
        <f>IF(OR(Q1907="CONTEXT",Q1907="REVIEW"),"",INDEX('Category Rules'!$D$5:$D$17,MATCH(P1907,'Category Rules'!$A$5:$A$17,0)))</f>
        <v>4010</v>
      </c>
      <c r="S1907" t="str">
        <f>IF(Q1907="CONTEXT","Fencing",IF(Q1907="REVIEW","",INDEX('Category Rules'!$E$5:$E$17,MATCH(P1907,'Category Rules'!$A$5:$A$17,0))))</f>
        <v>Fencing</v>
      </c>
      <c r="T1907" t="str">
        <f>IF(Q1907="DEP","BAS Excluded","GST on Income")</f>
        <v>GST on Income</v>
      </c>
      <c r="U1907">
        <f>IF(O1907=T1907,1,0)</f>
        <v>1</v>
      </c>
      <c r="V1907" s="9">
        <f>IF(OR(M1907=0,U1907=1),0,IF(T1907="GST on Income",ROUND(K1907*0.1,2),ROUND(-K1907*0.1,2)))</f>
        <v>0</v>
      </c>
    </row>
    <row r="1908">
      <c r="A1908" t="inlineStr">
        <is>
          <t>INV-4684-1</t>
        </is>
      </c>
      <c r="B1908" t="inlineStr">
        <is>
          <t>INV-4684</t>
        </is>
      </c>
      <c r="C1908" s="11" t="n">
        <v>46118</v>
      </c>
      <c r="D1908" t="inlineStr">
        <is>
          <t>2026-04</t>
        </is>
      </c>
      <c r="E1908" t="inlineStr">
        <is>
          <t>C0008</t>
        </is>
      </c>
      <c r="F1908" t="inlineStr">
        <is>
          <t>C0008</t>
        </is>
      </c>
      <c r="G1908" t="inlineStr">
        <is>
          <t>Redline Builders Pty Ltd</t>
        </is>
      </c>
      <c r="H1908" t="inlineStr">
        <is>
          <t>S0122</t>
        </is>
      </c>
      <c r="I1908" t="inlineStr">
        <is>
          <t>Collection and dismantle - temporary fencing</t>
        </is>
      </c>
      <c r="J1908" t="n">
        <v>1</v>
      </c>
      <c r="K1908" s="9" t="n">
        <v>165</v>
      </c>
      <c r="L1908" t="inlineStr">
        <is>
          <t>PAID</t>
        </is>
      </c>
      <c r="M1908">
        <f>IF(L1908="VOIDED",0,1)</f>
        <v>1</v>
      </c>
      <c r="N1908" t="n">
        <v>200</v>
      </c>
      <c r="O1908" t="inlineStr">
        <is>
          <t>GST on Income</t>
        </is>
      </c>
      <c r="P1908" t="inlineStr">
        <is>
          <t>R07</t>
        </is>
      </c>
      <c r="Q1908" t="inlineStr">
        <is>
          <t>DEL-FP</t>
        </is>
      </c>
      <c r="R1908">
        <f>IF(OR(Q1908="CONTEXT",Q1908="REVIEW"),"",INDEX('Category Rules'!$D$5:$D$17,MATCH(P1908,'Category Rules'!$A$5:$A$17,0)))</f>
        <v>4020</v>
      </c>
      <c r="S1908" t="str">
        <f>IF(Q1908="CONTEXT","Fencing",IF(Q1908="REVIEW","",INDEX('Category Rules'!$E$5:$E$17,MATCH(P1908,'Category Rules'!$A$5:$A$17,0))))</f>
        <v>Fencing</v>
      </c>
      <c r="T1908" t="str">
        <f>IF(Q1908="DEP","BAS Excluded","GST on Income")</f>
        <v>GST on Income</v>
      </c>
      <c r="U1908">
        <f>IF(O1908=T1908,1,0)</f>
        <v>1</v>
      </c>
      <c r="V1908" s="9">
        <f>IF(OR(M1908=0,U1908=1),0,IF(T1908="GST on Income",ROUND(K1908*0.1,2),ROUND(-K1908*0.1,2)))</f>
        <v>0</v>
      </c>
    </row>
    <row r="1909">
      <c r="A1909" t="inlineStr">
        <is>
          <t>INV-5149-1</t>
        </is>
      </c>
      <c r="B1909" t="inlineStr">
        <is>
          <t>INV-5149</t>
        </is>
      </c>
      <c r="C1909" s="11" t="n">
        <v>46118</v>
      </c>
      <c r="D1909" t="inlineStr">
        <is>
          <t>2026-04</t>
        </is>
      </c>
      <c r="E1909" t="inlineStr">
        <is>
          <t>C0127</t>
        </is>
      </c>
      <c r="F1909" t="inlineStr">
        <is>
          <t>C0115</t>
        </is>
      </c>
      <c r="G1909" t="inlineStr">
        <is>
          <t>Arjun Smith</t>
        </is>
      </c>
      <c r="H1909" t="inlineStr">
        <is>
          <t>S0225</t>
        </is>
      </c>
      <c r="I1909" t="inlineStr">
        <is>
          <t>Temporary fence hire 4 wks (12/03/26-05/04/26) - 84 panels</t>
        </is>
      </c>
      <c r="J1909" t="n">
        <v>336</v>
      </c>
      <c r="K1909" s="9" t="n">
        <v>1512</v>
      </c>
      <c r="L1909" t="inlineStr">
        <is>
          <t>PAID</t>
        </is>
      </c>
      <c r="M1909">
        <f>IF(L1909="VOIDED",0,1)</f>
        <v>1</v>
      </c>
      <c r="N1909" t="n">
        <v>200</v>
      </c>
      <c r="O1909" t="inlineStr">
        <is>
          <t>GST on Income</t>
        </is>
      </c>
      <c r="P1909" t="inlineStr">
        <is>
          <t>R03</t>
        </is>
      </c>
      <c r="Q1909" t="inlineStr">
        <is>
          <t>HIRE-FP</t>
        </is>
      </c>
      <c r="R1909">
        <f>IF(OR(Q1909="CONTEXT",Q1909="REVIEW"),"",INDEX('Category Rules'!$D$5:$D$17,MATCH(P1909,'Category Rules'!$A$5:$A$17,0)))</f>
        <v>4010</v>
      </c>
      <c r="S1909" t="str">
        <f>IF(Q1909="CONTEXT","Fencing",IF(Q1909="REVIEW","",INDEX('Category Rules'!$E$5:$E$17,MATCH(P1909,'Category Rules'!$A$5:$A$17,0))))</f>
        <v>Fencing</v>
      </c>
      <c r="T1909" t="str">
        <f>IF(Q1909="DEP","BAS Excluded","GST on Income")</f>
        <v>GST on Income</v>
      </c>
      <c r="U1909">
        <f>IF(O1909=T1909,1,0)</f>
        <v>1</v>
      </c>
      <c r="V1909" s="9">
        <f>IF(OR(M1909=0,U1909=1),0,IF(T1909="GST on Income",ROUND(K1909*0.1,2),ROUND(-K1909*0.1,2)))</f>
        <v>0</v>
      </c>
    </row>
    <row r="1910">
      <c r="A1910" t="inlineStr">
        <is>
          <t>INV-5151-1</t>
        </is>
      </c>
      <c r="B1910" t="inlineStr">
        <is>
          <t>INV-5151</t>
        </is>
      </c>
      <c r="C1910" s="11" t="n">
        <v>46118</v>
      </c>
      <c r="D1910" t="inlineStr">
        <is>
          <t>2026-04</t>
        </is>
      </c>
      <c r="E1910" t="inlineStr">
        <is>
          <t>C0115</t>
        </is>
      </c>
      <c r="F1910" t="inlineStr">
        <is>
          <t>C0115</t>
        </is>
      </c>
      <c r="G1910" t="inlineStr">
        <is>
          <t>Arjun Smith</t>
        </is>
      </c>
      <c r="H1910" t="inlineStr">
        <is>
          <t>S0225</t>
        </is>
      </c>
      <c r="I1910" t="inlineStr">
        <is>
          <t>Collection and dismantle - temporary fencing</t>
        </is>
      </c>
      <c r="J1910" t="n">
        <v>1</v>
      </c>
      <c r="K1910" s="9" t="n">
        <v>165</v>
      </c>
      <c r="L1910" t="inlineStr">
        <is>
          <t>PAID</t>
        </is>
      </c>
      <c r="M1910">
        <f>IF(L1910="VOIDED",0,1)</f>
        <v>1</v>
      </c>
      <c r="N1910" t="n">
        <v>200</v>
      </c>
      <c r="O1910" t="inlineStr">
        <is>
          <t>GST on Income</t>
        </is>
      </c>
      <c r="P1910" t="inlineStr">
        <is>
          <t>R07</t>
        </is>
      </c>
      <c r="Q1910" t="inlineStr">
        <is>
          <t>DEL-FP</t>
        </is>
      </c>
      <c r="R1910">
        <f>IF(OR(Q1910="CONTEXT",Q1910="REVIEW"),"",INDEX('Category Rules'!$D$5:$D$17,MATCH(P1910,'Category Rules'!$A$5:$A$17,0)))</f>
        <v>4020</v>
      </c>
      <c r="S1910" t="str">
        <f>IF(Q1910="CONTEXT","Fencing",IF(Q1910="REVIEW","",INDEX('Category Rules'!$E$5:$E$17,MATCH(P1910,'Category Rules'!$A$5:$A$17,0))))</f>
        <v>Fencing</v>
      </c>
      <c r="T1910" t="str">
        <f>IF(Q1910="DEP","BAS Excluded","GST on Income")</f>
        <v>GST on Income</v>
      </c>
      <c r="U1910">
        <f>IF(O1910=T1910,1,0)</f>
        <v>1</v>
      </c>
      <c r="V1910" s="9">
        <f>IF(OR(M1910=0,U1910=1),0,IF(T1910="GST on Income",ROUND(K1910*0.1,2),ROUND(-K1910*0.1,2)))</f>
        <v>0</v>
      </c>
    </row>
    <row r="1911">
      <c r="A1911" t="inlineStr">
        <is>
          <t>INV-5378-1</t>
        </is>
      </c>
      <c r="B1911" t="inlineStr">
        <is>
          <t>INV-5378</t>
        </is>
      </c>
      <c r="C1911" s="11" t="n">
        <v>46118</v>
      </c>
      <c r="D1911" t="inlineStr">
        <is>
          <t>2026-04</t>
        </is>
      </c>
      <c r="E1911" t="inlineStr">
        <is>
          <t>C0047</t>
        </is>
      </c>
      <c r="F1911" t="inlineStr">
        <is>
          <t>C0047</t>
        </is>
      </c>
      <c r="G1911" t="inlineStr">
        <is>
          <t>Fairway Owners Corporation Services</t>
        </is>
      </c>
      <c r="H1911" t="inlineStr">
        <is>
          <t>S0278</t>
        </is>
      </c>
      <c r="I1911" t="inlineStr">
        <is>
          <t>Scaffold tower hire 4 wks (09/03/26-05/04/26) - 2 towers</t>
        </is>
      </c>
      <c r="J1911" t="n">
        <v>8</v>
      </c>
      <c r="K1911" s="9" t="n">
        <v>760</v>
      </c>
      <c r="L1911" t="inlineStr">
        <is>
          <t>PAID</t>
        </is>
      </c>
      <c r="M1911">
        <f>IF(L1911="VOIDED",0,1)</f>
        <v>1</v>
      </c>
      <c r="N1911" t="n">
        <v>200</v>
      </c>
      <c r="O1911" t="inlineStr">
        <is>
          <t>GST on Income</t>
        </is>
      </c>
      <c r="P1911" t="inlineStr">
        <is>
          <t>R05</t>
        </is>
      </c>
      <c r="Q1911" t="inlineStr">
        <is>
          <t>HIRE-ST</t>
        </is>
      </c>
      <c r="R1911">
        <f>IF(OR(Q1911="CONTEXT",Q1911="REVIEW"),"",INDEX('Category Rules'!$D$5:$D$17,MATCH(P1911,'Category Rules'!$A$5:$A$17,0)))</f>
        <v>4010</v>
      </c>
      <c r="S1911" t="str">
        <f>IF(Q1911="CONTEXT","Scaffolding",IF(Q1911="REVIEW","",INDEX('Category Rules'!$E$5:$E$17,MATCH(P1911,'Category Rules'!$A$5:$A$17,0))))</f>
        <v>Scaffolding</v>
      </c>
      <c r="T1911" t="str">
        <f>IF(Q1911="DEP","BAS Excluded","GST on Income")</f>
        <v>GST on Income</v>
      </c>
      <c r="U1911">
        <f>IF(O1911=T1911,1,0)</f>
        <v>1</v>
      </c>
      <c r="V1911" s="9">
        <f>IF(OR(M1911=0,U1911=1),0,IF(T1911="GST on Income",ROUND(K1911*0.1,2),ROUND(-K1911*0.1,2)))</f>
        <v>0</v>
      </c>
    </row>
    <row r="1912">
      <c r="A1912" t="inlineStr">
        <is>
          <t>INV-5407-1</t>
        </is>
      </c>
      <c r="B1912" t="inlineStr">
        <is>
          <t>INV-5407</t>
        </is>
      </c>
      <c r="C1912" s="11" t="n">
        <v>46118</v>
      </c>
      <c r="D1912" t="inlineStr">
        <is>
          <t>2026-04</t>
        </is>
      </c>
      <c r="E1912" t="inlineStr">
        <is>
          <t>C0017</t>
        </is>
      </c>
      <c r="F1912" t="inlineStr">
        <is>
          <t>C0017</t>
        </is>
      </c>
      <c r="G1912" t="inlineStr">
        <is>
          <t>Cobalt Developments Pty Ltd</t>
        </is>
      </c>
      <c r="H1912" t="inlineStr">
        <is>
          <t>S0285</t>
        </is>
      </c>
      <c r="I1912" t="inlineStr">
        <is>
          <t>Scaffold tower hire 3 wks (22/03/26-05/04/26) - 1 towers</t>
        </is>
      </c>
      <c r="J1912" t="n">
        <v>3</v>
      </c>
      <c r="K1912" s="9" t="n">
        <v>285</v>
      </c>
      <c r="L1912" t="inlineStr">
        <is>
          <t>PAID</t>
        </is>
      </c>
      <c r="M1912">
        <f>IF(L1912="VOIDED",0,1)</f>
        <v>1</v>
      </c>
      <c r="N1912" t="n">
        <v>200</v>
      </c>
      <c r="O1912" t="inlineStr">
        <is>
          <t>GST on Income</t>
        </is>
      </c>
      <c r="P1912" t="inlineStr">
        <is>
          <t>R05</t>
        </is>
      </c>
      <c r="Q1912" t="inlineStr">
        <is>
          <t>HIRE-ST</t>
        </is>
      </c>
      <c r="R1912">
        <f>IF(OR(Q1912="CONTEXT",Q1912="REVIEW"),"",INDEX('Category Rules'!$D$5:$D$17,MATCH(P1912,'Category Rules'!$A$5:$A$17,0)))</f>
        <v>4010</v>
      </c>
      <c r="S1912" t="str">
        <f>IF(Q1912="CONTEXT","Scaffolding",IF(Q1912="REVIEW","",INDEX('Category Rules'!$E$5:$E$17,MATCH(P1912,'Category Rules'!$A$5:$A$17,0))))</f>
        <v>Scaffolding</v>
      </c>
      <c r="T1912" t="str">
        <f>IF(Q1912="DEP","BAS Excluded","GST on Income")</f>
        <v>GST on Income</v>
      </c>
      <c r="U1912">
        <f>IF(O1912=T1912,1,0)</f>
        <v>1</v>
      </c>
      <c r="V1912" s="9">
        <f>IF(OR(M1912=0,U1912=1),0,IF(T1912="GST on Income",ROUND(K1912*0.1,2),ROUND(-K1912*0.1,2)))</f>
        <v>0</v>
      </c>
    </row>
    <row r="1913">
      <c r="A1913" t="inlineStr">
        <is>
          <t>INV-5409-1</t>
        </is>
      </c>
      <c r="B1913" t="inlineStr">
        <is>
          <t>INV-5409</t>
        </is>
      </c>
      <c r="C1913" s="11" t="n">
        <v>46118</v>
      </c>
      <c r="D1913" t="inlineStr">
        <is>
          <t>2026-04</t>
        </is>
      </c>
      <c r="E1913" t="inlineStr">
        <is>
          <t>C0017</t>
        </is>
      </c>
      <c r="F1913" t="inlineStr">
        <is>
          <t>C0017</t>
        </is>
      </c>
      <c r="G1913" t="inlineStr">
        <is>
          <t>Cobalt Developments Pty Ltd</t>
        </is>
      </c>
      <c r="H1913" t="inlineStr">
        <is>
          <t>S0285</t>
        </is>
      </c>
      <c r="I1913" t="inlineStr">
        <is>
          <t>Scaffold dismantle - 1 tower(s)</t>
        </is>
      </c>
      <c r="J1913" t="n">
        <v>1</v>
      </c>
      <c r="K1913" s="9" t="n">
        <v>320</v>
      </c>
      <c r="L1913" t="inlineStr">
        <is>
          <t>PAID</t>
        </is>
      </c>
      <c r="M1913">
        <f>IF(L1913="VOIDED",0,1)</f>
        <v>1</v>
      </c>
      <c r="N1913" t="n">
        <v>200</v>
      </c>
      <c r="O1913" t="inlineStr">
        <is>
          <t>GST on Income</t>
        </is>
      </c>
      <c r="P1913" t="inlineStr">
        <is>
          <t>R08</t>
        </is>
      </c>
      <c r="Q1913" t="inlineStr">
        <is>
          <t>LAB-ST</t>
        </is>
      </c>
      <c r="R1913">
        <f>IF(OR(Q1913="CONTEXT",Q1913="REVIEW"),"",INDEX('Category Rules'!$D$5:$D$17,MATCH(P1913,'Category Rules'!$A$5:$A$17,0)))</f>
        <v>4020</v>
      </c>
      <c r="S1913" t="str">
        <f>IF(Q1913="CONTEXT","Scaffolding",IF(Q1913="REVIEW","",INDEX('Category Rules'!$E$5:$E$17,MATCH(P1913,'Category Rules'!$A$5:$A$17,0))))</f>
        <v>Scaffolding</v>
      </c>
      <c r="T1913" t="str">
        <f>IF(Q1913="DEP","BAS Excluded","GST on Income")</f>
        <v>GST on Income</v>
      </c>
      <c r="U1913">
        <f>IF(O1913=T1913,1,0)</f>
        <v>1</v>
      </c>
      <c r="V1913" s="9">
        <f>IF(OR(M1913=0,U1913=1),0,IF(T1913="GST on Income",ROUND(K1913*0.1,2),ROUND(-K1913*0.1,2)))</f>
        <v>0</v>
      </c>
    </row>
    <row r="1914">
      <c r="A1914" t="inlineStr">
        <is>
          <t>INV-5586-1</t>
        </is>
      </c>
      <c r="B1914" t="inlineStr">
        <is>
          <t>INV-5586</t>
        </is>
      </c>
      <c r="C1914" s="11" t="n">
        <v>46118</v>
      </c>
      <c r="D1914" t="inlineStr">
        <is>
          <t>2026-04</t>
        </is>
      </c>
      <c r="E1914" t="inlineStr">
        <is>
          <t>C0147</t>
        </is>
      </c>
      <c r="F1914" t="inlineStr">
        <is>
          <t>C0067</t>
        </is>
      </c>
      <c r="G1914" t="inlineStr">
        <is>
          <t>Banksia Claims Services Pty Ltd</t>
        </is>
      </c>
      <c r="H1914" t="inlineStr">
        <is>
          <t>S0373</t>
        </is>
      </c>
      <c r="I1914" t="inlineStr">
        <is>
          <t>Make safe call-out</t>
        </is>
      </c>
      <c r="J1914" t="n">
        <v>1</v>
      </c>
      <c r="K1914" s="9" t="n">
        <v>385</v>
      </c>
      <c r="L1914" t="inlineStr">
        <is>
          <t>PAID</t>
        </is>
      </c>
      <c r="M1914">
        <f>IF(L1914="VOIDED",0,1)</f>
        <v>1</v>
      </c>
      <c r="N1914" t="n">
        <v>200</v>
      </c>
      <c r="O1914" t="inlineStr">
        <is>
          <t>GST on Income</t>
        </is>
      </c>
      <c r="P1914" t="inlineStr">
        <is>
          <t>R09</t>
        </is>
      </c>
      <c r="Q1914" t="inlineStr">
        <is>
          <t>MS</t>
        </is>
      </c>
      <c r="R1914">
        <f>IF(OR(Q1914="CONTEXT",Q1914="REVIEW"),"",INDEX('Category Rules'!$D$5:$D$17,MATCH(P1914,'Category Rules'!$A$5:$A$17,0)))</f>
        <v>4020</v>
      </c>
      <c r="S1914" t="str">
        <f>IF(Q1914="CONTEXT","Make-safe",IF(Q1914="REVIEW","",INDEX('Category Rules'!$E$5:$E$17,MATCH(P1914,'Category Rules'!$A$5:$A$17,0))))</f>
        <v>Make-safe</v>
      </c>
      <c r="T1914" t="str">
        <f>IF(Q1914="DEP","BAS Excluded","GST on Income")</f>
        <v>GST on Income</v>
      </c>
      <c r="U1914">
        <f>IF(O1914=T1914,1,0)</f>
        <v>1</v>
      </c>
      <c r="V1914" s="9">
        <f>IF(OR(M1914=0,U1914=1),0,IF(T1914="GST on Income",ROUND(K1914*0.1,2),ROUND(-K1914*0.1,2)))</f>
        <v>0</v>
      </c>
    </row>
    <row r="1915">
      <c r="A1915" t="inlineStr">
        <is>
          <t>INV-5586-2</t>
        </is>
      </c>
      <c r="B1915" t="inlineStr">
        <is>
          <t>INV-5586</t>
        </is>
      </c>
      <c r="C1915" s="11" t="n">
        <v>46118</v>
      </c>
      <c r="D1915" t="inlineStr">
        <is>
          <t>2026-04</t>
        </is>
      </c>
      <c r="E1915" t="inlineStr">
        <is>
          <t>C0147</t>
        </is>
      </c>
      <c r="F1915" t="inlineStr">
        <is>
          <t>C0067</t>
        </is>
      </c>
      <c r="G1915" t="inlineStr">
        <is>
          <t>Banksia Claims Services Pty Ltd</t>
        </is>
      </c>
      <c r="H1915" t="inlineStr">
        <is>
          <t>S0373</t>
        </is>
      </c>
      <c r="I1915" t="inlineStr">
        <is>
          <t>Tarp supply and install - 2 tarp(s)</t>
        </is>
      </c>
      <c r="J1915" t="n">
        <v>2</v>
      </c>
      <c r="K1915" s="9" t="n">
        <v>480</v>
      </c>
      <c r="L1915" t="inlineStr">
        <is>
          <t>PAID</t>
        </is>
      </c>
      <c r="M1915">
        <f>IF(L1915="VOIDED",0,1)</f>
        <v>1</v>
      </c>
      <c r="N1915" t="n">
        <v>200</v>
      </c>
      <c r="O1915" t="inlineStr">
        <is>
          <t>GST on Income</t>
        </is>
      </c>
      <c r="P1915" t="inlineStr">
        <is>
          <t>R09</t>
        </is>
      </c>
      <c r="Q1915" t="inlineStr">
        <is>
          <t>MS</t>
        </is>
      </c>
      <c r="R1915">
        <f>IF(OR(Q1915="CONTEXT",Q1915="REVIEW"),"",INDEX('Category Rules'!$D$5:$D$17,MATCH(P1915,'Category Rules'!$A$5:$A$17,0)))</f>
        <v>4020</v>
      </c>
      <c r="S1915" t="str">
        <f>IF(Q1915="CONTEXT","Make-safe",IF(Q1915="REVIEW","",INDEX('Category Rules'!$E$5:$E$17,MATCH(P1915,'Category Rules'!$A$5:$A$17,0))))</f>
        <v>Make-safe</v>
      </c>
      <c r="T1915" t="str">
        <f>IF(Q1915="DEP","BAS Excluded","GST on Income")</f>
        <v>GST on Income</v>
      </c>
      <c r="U1915">
        <f>IF(O1915=T1915,1,0)</f>
        <v>1</v>
      </c>
      <c r="V1915" s="9">
        <f>IF(OR(M1915=0,U1915=1),0,IF(T1915="GST on Income",ROUND(K1915*0.1,2),ROUND(-K1915*0.1,2)))</f>
        <v>0</v>
      </c>
    </row>
    <row r="1916">
      <c r="A1916" t="inlineStr">
        <is>
          <t>INV-4435-1</t>
        </is>
      </c>
      <c r="B1916" t="inlineStr">
        <is>
          <t>INV-4435</t>
        </is>
      </c>
      <c r="C1916" s="11" t="n">
        <v>46119</v>
      </c>
      <c r="D1916" t="inlineStr">
        <is>
          <t>2026-04</t>
        </is>
      </c>
      <c r="E1916" t="inlineStr">
        <is>
          <t>C0071</t>
        </is>
      </c>
      <c r="F1916" t="inlineStr">
        <is>
          <t>C0071</t>
        </is>
      </c>
      <c r="G1916" t="inlineStr">
        <is>
          <t>Maribyrnong City Council</t>
        </is>
      </c>
      <c r="H1916" t="inlineStr">
        <is>
          <t>S0066</t>
        </is>
      </c>
      <c r="I1916" t="inlineStr">
        <is>
          <t>Temporary fence hire 4 wks (12/03/26-06/04/26) - 87 panels</t>
        </is>
      </c>
      <c r="J1916" t="n">
        <v>348</v>
      </c>
      <c r="K1916" s="9" t="n">
        <v>1566</v>
      </c>
      <c r="L1916" t="inlineStr">
        <is>
          <t>PAID</t>
        </is>
      </c>
      <c r="M1916">
        <f>IF(L1916="VOIDED",0,1)</f>
        <v>1</v>
      </c>
      <c r="N1916" t="n">
        <v>200</v>
      </c>
      <c r="O1916" t="inlineStr">
        <is>
          <t>GST on Income</t>
        </is>
      </c>
      <c r="P1916" t="inlineStr">
        <is>
          <t>R03</t>
        </is>
      </c>
      <c r="Q1916" t="inlineStr">
        <is>
          <t>HIRE-FP</t>
        </is>
      </c>
      <c r="R1916">
        <f>IF(OR(Q1916="CONTEXT",Q1916="REVIEW"),"",INDEX('Category Rules'!$D$5:$D$17,MATCH(P1916,'Category Rules'!$A$5:$A$17,0)))</f>
        <v>4010</v>
      </c>
      <c r="S1916" t="str">
        <f>IF(Q1916="CONTEXT","Fencing",IF(Q1916="REVIEW","",INDEX('Category Rules'!$E$5:$E$17,MATCH(P1916,'Category Rules'!$A$5:$A$17,0))))</f>
        <v>Fencing</v>
      </c>
      <c r="T1916" t="str">
        <f>IF(Q1916="DEP","BAS Excluded","GST on Income")</f>
        <v>GST on Income</v>
      </c>
      <c r="U1916">
        <f>IF(O1916=T1916,1,0)</f>
        <v>1</v>
      </c>
      <c r="V1916" s="9">
        <f>IF(OR(M1916=0,U1916=1),0,IF(T1916="GST on Income",ROUND(K1916*0.1,2),ROUND(-K1916*0.1,2)))</f>
        <v>0</v>
      </c>
    </row>
    <row r="1917">
      <c r="A1917" t="inlineStr">
        <is>
          <t>INV-4437-1</t>
        </is>
      </c>
      <c r="B1917" t="inlineStr">
        <is>
          <t>INV-4437</t>
        </is>
      </c>
      <c r="C1917" s="11" t="n">
        <v>46119</v>
      </c>
      <c r="D1917" t="inlineStr">
        <is>
          <t>2026-04</t>
        </is>
      </c>
      <c r="E1917" t="inlineStr">
        <is>
          <t>C0071</t>
        </is>
      </c>
      <c r="F1917" t="inlineStr">
        <is>
          <t>C0071</t>
        </is>
      </c>
      <c r="G1917" t="inlineStr">
        <is>
          <t>Maribyrnong City Council</t>
        </is>
      </c>
      <c r="H1917" t="inlineStr">
        <is>
          <t>S0066</t>
        </is>
      </c>
      <c r="I1917" t="inlineStr">
        <is>
          <t>Collection and dismantle - temporary fencing</t>
        </is>
      </c>
      <c r="J1917" t="n">
        <v>1</v>
      </c>
      <c r="K1917" s="9" t="n">
        <v>165</v>
      </c>
      <c r="L1917" t="inlineStr">
        <is>
          <t>PAID</t>
        </is>
      </c>
      <c r="M1917">
        <f>IF(L1917="VOIDED",0,1)</f>
        <v>1</v>
      </c>
      <c r="N1917" t="n">
        <v>200</v>
      </c>
      <c r="O1917" t="inlineStr">
        <is>
          <t>GST on Income</t>
        </is>
      </c>
      <c r="P1917" t="inlineStr">
        <is>
          <t>R07</t>
        </is>
      </c>
      <c r="Q1917" t="inlineStr">
        <is>
          <t>DEL-FP</t>
        </is>
      </c>
      <c r="R1917">
        <f>IF(OR(Q1917="CONTEXT",Q1917="REVIEW"),"",INDEX('Category Rules'!$D$5:$D$17,MATCH(P1917,'Category Rules'!$A$5:$A$17,0)))</f>
        <v>4020</v>
      </c>
      <c r="S1917" t="str">
        <f>IF(Q1917="CONTEXT","Fencing",IF(Q1917="REVIEW","",INDEX('Category Rules'!$E$5:$E$17,MATCH(P1917,'Category Rules'!$A$5:$A$17,0))))</f>
        <v>Fencing</v>
      </c>
      <c r="T1917" t="str">
        <f>IF(Q1917="DEP","BAS Excluded","GST on Income")</f>
        <v>GST on Income</v>
      </c>
      <c r="U1917">
        <f>IF(O1917=T1917,1,0)</f>
        <v>1</v>
      </c>
      <c r="V1917" s="9">
        <f>IF(OR(M1917=0,U1917=1),0,IF(T1917="GST on Income",ROUND(K1917*0.1,2),ROUND(-K1917*0.1,2)))</f>
        <v>0</v>
      </c>
    </row>
    <row r="1918">
      <c r="A1918" t="inlineStr">
        <is>
          <t>INV-4437-2</t>
        </is>
      </c>
      <c r="B1918" t="inlineStr">
        <is>
          <t>INV-4437</t>
        </is>
      </c>
      <c r="C1918" s="11" t="n">
        <v>46119</v>
      </c>
      <c r="D1918" t="inlineStr">
        <is>
          <t>2026-04</t>
        </is>
      </c>
      <c r="E1918" t="inlineStr">
        <is>
          <t>C0071</t>
        </is>
      </c>
      <c r="F1918" t="inlineStr">
        <is>
          <t>C0071</t>
        </is>
      </c>
      <c r="G1918" t="inlineStr">
        <is>
          <t>Maribyrnong City Council</t>
        </is>
      </c>
      <c r="H1918" t="inlineStr">
        <is>
          <t>S0066</t>
        </is>
      </c>
      <c r="I1918" t="inlineStr">
        <is>
          <t>Lost/damaged panels charged - 3 @ 145.00</t>
        </is>
      </c>
      <c r="J1918" t="n">
        <v>3</v>
      </c>
      <c r="K1918" s="9" t="n">
        <v>435</v>
      </c>
      <c r="L1918" t="inlineStr">
        <is>
          <t>PAID</t>
        </is>
      </c>
      <c r="M1918">
        <f>IF(L1918="VOIDED",0,1)</f>
        <v>1</v>
      </c>
      <c r="N1918" t="n">
        <v>200</v>
      </c>
      <c r="O1918" t="inlineStr">
        <is>
          <t>GST on Income</t>
        </is>
      </c>
      <c r="P1918" t="inlineStr">
        <is>
          <t>R02</t>
        </is>
      </c>
      <c r="Q1918" t="inlineStr">
        <is>
          <t>LOSS</t>
        </is>
      </c>
      <c r="R1918">
        <f>IF(OR(Q1918="CONTEXT",Q1918="REVIEW"),"",INDEX('Category Rules'!$D$5:$D$17,MATCH(P1918,'Category Rules'!$A$5:$A$17,0)))</f>
        <v>4040</v>
      </c>
      <c r="S1918" t="str">
        <f>IF(Q1918="CONTEXT","Fencing",IF(Q1918="REVIEW","",INDEX('Category Rules'!$E$5:$E$17,MATCH(P1918,'Category Rules'!$A$5:$A$17,0))))</f>
        <v>Fencing</v>
      </c>
      <c r="T1918" t="str">
        <f>IF(Q1918="DEP","BAS Excluded","GST on Income")</f>
        <v>GST on Income</v>
      </c>
      <c r="U1918">
        <f>IF(O1918=T1918,1,0)</f>
        <v>1</v>
      </c>
      <c r="V1918" s="9">
        <f>IF(OR(M1918=0,U1918=1),0,IF(T1918="GST on Income",ROUND(K1918*0.1,2),ROUND(-K1918*0.1,2)))</f>
        <v>0</v>
      </c>
    </row>
    <row r="1919">
      <c r="A1919" t="inlineStr">
        <is>
          <t>INV-4958-1</t>
        </is>
      </c>
      <c r="B1919" t="inlineStr">
        <is>
          <t>INV-4958</t>
        </is>
      </c>
      <c r="C1919" s="11" t="n">
        <v>46119</v>
      </c>
      <c r="D1919" t="inlineStr">
        <is>
          <t>2026-04</t>
        </is>
      </c>
      <c r="E1919" t="inlineStr">
        <is>
          <t>C0022</t>
        </is>
      </c>
      <c r="F1919" t="inlineStr">
        <is>
          <t>C0022</t>
        </is>
      </c>
      <c r="G1919" t="inlineStr">
        <is>
          <t>Highpoint Projects</t>
        </is>
      </c>
      <c r="H1919" t="inlineStr">
        <is>
          <t>S0182</t>
        </is>
      </c>
      <c r="I1919" t="inlineStr">
        <is>
          <t>Temporary fence hire 4 wks (10/03/26-06/04/26) - 111 panels</t>
        </is>
      </c>
      <c r="J1919" t="n">
        <v>444</v>
      </c>
      <c r="K1919" s="9" t="n">
        <v>1998</v>
      </c>
      <c r="L1919" t="inlineStr">
        <is>
          <t>PAID</t>
        </is>
      </c>
      <c r="M1919">
        <f>IF(L1919="VOIDED",0,1)</f>
        <v>1</v>
      </c>
      <c r="N1919" t="n">
        <v>200</v>
      </c>
      <c r="O1919" t="inlineStr">
        <is>
          <t>GST on Income</t>
        </is>
      </c>
      <c r="P1919" t="inlineStr">
        <is>
          <t>R03</t>
        </is>
      </c>
      <c r="Q1919" t="inlineStr">
        <is>
          <t>HIRE-FP</t>
        </is>
      </c>
      <c r="R1919">
        <f>IF(OR(Q1919="CONTEXT",Q1919="REVIEW"),"",INDEX('Category Rules'!$D$5:$D$17,MATCH(P1919,'Category Rules'!$A$5:$A$17,0)))</f>
        <v>4010</v>
      </c>
      <c r="S1919" t="str">
        <f>IF(Q1919="CONTEXT","Fencing",IF(Q1919="REVIEW","",INDEX('Category Rules'!$E$5:$E$17,MATCH(P1919,'Category Rules'!$A$5:$A$17,0))))</f>
        <v>Fencing</v>
      </c>
      <c r="T1919" t="str">
        <f>IF(Q1919="DEP","BAS Excluded","GST on Income")</f>
        <v>GST on Income</v>
      </c>
      <c r="U1919">
        <f>IF(O1919=T1919,1,0)</f>
        <v>1</v>
      </c>
      <c r="V1919" s="9">
        <f>IF(OR(M1919=0,U1919=1),0,IF(T1919="GST on Income",ROUND(K1919*0.1,2),ROUND(-K1919*0.1,2)))</f>
        <v>0</v>
      </c>
    </row>
    <row r="1920">
      <c r="A1920" t="inlineStr">
        <is>
          <t>INV-5071-1</t>
        </is>
      </c>
      <c r="B1920" t="inlineStr">
        <is>
          <t>INV-5071</t>
        </is>
      </c>
      <c r="C1920" s="11" t="n">
        <v>46119</v>
      </c>
      <c r="D1920" t="inlineStr">
        <is>
          <t>2026-04</t>
        </is>
      </c>
      <c r="E1920" t="inlineStr">
        <is>
          <t>C0054</t>
        </is>
      </c>
      <c r="F1920" t="inlineStr">
        <is>
          <t>C0054</t>
        </is>
      </c>
      <c r="G1920" t="inlineStr">
        <is>
          <t>Westside Strata Management Pty Ltd</t>
        </is>
      </c>
      <c r="H1920" t="inlineStr">
        <is>
          <t>S0208</t>
        </is>
      </c>
      <c r="I1920" t="inlineStr">
        <is>
          <t>Temporary fence hire 4 wks (10/03/26-06/04/26) - 72 panels</t>
        </is>
      </c>
      <c r="J1920" t="n">
        <v>288</v>
      </c>
      <c r="K1920" s="9" t="n">
        <v>1296</v>
      </c>
      <c r="L1920" t="inlineStr">
        <is>
          <t>PAID</t>
        </is>
      </c>
      <c r="M1920">
        <f>IF(L1920="VOIDED",0,1)</f>
        <v>1</v>
      </c>
      <c r="N1920" t="n">
        <v>200</v>
      </c>
      <c r="O1920" t="inlineStr">
        <is>
          <t>GST on Income</t>
        </is>
      </c>
      <c r="P1920" t="inlineStr">
        <is>
          <t>R03</t>
        </is>
      </c>
      <c r="Q1920" t="inlineStr">
        <is>
          <t>HIRE-FP</t>
        </is>
      </c>
      <c r="R1920">
        <f>IF(OR(Q1920="CONTEXT",Q1920="REVIEW"),"",INDEX('Category Rules'!$D$5:$D$17,MATCH(P1920,'Category Rules'!$A$5:$A$17,0)))</f>
        <v>4010</v>
      </c>
      <c r="S1920" t="str">
        <f>IF(Q1920="CONTEXT","Fencing",IF(Q1920="REVIEW","",INDEX('Category Rules'!$E$5:$E$17,MATCH(P1920,'Category Rules'!$A$5:$A$17,0))))</f>
        <v>Fencing</v>
      </c>
      <c r="T1920" t="str">
        <f>IF(Q1920="DEP","BAS Excluded","GST on Income")</f>
        <v>GST on Income</v>
      </c>
      <c r="U1920">
        <f>IF(O1920=T1920,1,0)</f>
        <v>1</v>
      </c>
      <c r="V1920" s="9">
        <f>IF(OR(M1920=0,U1920=1),0,IF(T1920="GST on Income",ROUND(K1920*0.1,2),ROUND(-K1920*0.1,2)))</f>
        <v>0</v>
      </c>
    </row>
    <row r="1921">
      <c r="A1921" t="inlineStr">
        <is>
          <t>INV-5131-1</t>
        </is>
      </c>
      <c r="B1921" t="inlineStr">
        <is>
          <t>INV-5131</t>
        </is>
      </c>
      <c r="C1921" s="11" t="n">
        <v>46119</v>
      </c>
      <c r="D1921" t="inlineStr">
        <is>
          <t>2026-04</t>
        </is>
      </c>
      <c r="E1921" t="inlineStr">
        <is>
          <t>C0098</t>
        </is>
      </c>
      <c r="F1921" t="inlineStr">
        <is>
          <t>C0098</t>
        </is>
      </c>
      <c r="G1921" t="inlineStr">
        <is>
          <t>Ethan Walker</t>
        </is>
      </c>
      <c r="H1921" t="inlineStr">
        <is>
          <t>S0220</t>
        </is>
      </c>
      <c r="I1921" t="inlineStr">
        <is>
          <t>Temporary fence hire 4 wks (10/03/26-06/04/26) - 114 panels</t>
        </is>
      </c>
      <c r="J1921" t="n">
        <v>456</v>
      </c>
      <c r="K1921" s="9" t="n">
        <v>2052</v>
      </c>
      <c r="L1921" t="inlineStr">
        <is>
          <t>PAID</t>
        </is>
      </c>
      <c r="M1921">
        <f>IF(L1921="VOIDED",0,1)</f>
        <v>1</v>
      </c>
      <c r="N1921" t="n">
        <v>200</v>
      </c>
      <c r="O1921" t="inlineStr">
        <is>
          <t>GST on Income</t>
        </is>
      </c>
      <c r="P1921" t="inlineStr">
        <is>
          <t>R03</t>
        </is>
      </c>
      <c r="Q1921" t="inlineStr">
        <is>
          <t>HIRE-FP</t>
        </is>
      </c>
      <c r="R1921">
        <f>IF(OR(Q1921="CONTEXT",Q1921="REVIEW"),"",INDEX('Category Rules'!$D$5:$D$17,MATCH(P1921,'Category Rules'!$A$5:$A$17,0)))</f>
        <v>4010</v>
      </c>
      <c r="S1921" t="str">
        <f>IF(Q1921="CONTEXT","Fencing",IF(Q1921="REVIEW","",INDEX('Category Rules'!$E$5:$E$17,MATCH(P1921,'Category Rules'!$A$5:$A$17,0))))</f>
        <v>Fencing</v>
      </c>
      <c r="T1921" t="str">
        <f>IF(Q1921="DEP","BAS Excluded","GST on Income")</f>
        <v>GST on Income</v>
      </c>
      <c r="U1921">
        <f>IF(O1921=T1921,1,0)</f>
        <v>1</v>
      </c>
      <c r="V1921" s="9">
        <f>IF(OR(M1921=0,U1921=1),0,IF(T1921="GST on Income",ROUND(K1921*0.1,2),ROUND(-K1921*0.1,2)))</f>
        <v>0</v>
      </c>
    </row>
    <row r="1922">
      <c r="A1922" t="inlineStr">
        <is>
          <t>INV-5168-1</t>
        </is>
      </c>
      <c r="B1922" t="inlineStr">
        <is>
          <t>INV-5168</t>
        </is>
      </c>
      <c r="C1922" s="11" t="n">
        <v>46119</v>
      </c>
      <c r="D1922" t="inlineStr">
        <is>
          <t>2026-04</t>
        </is>
      </c>
      <c r="E1922" t="inlineStr">
        <is>
          <t>C0036</t>
        </is>
      </c>
      <c r="F1922" t="inlineStr">
        <is>
          <t>C0036</t>
        </is>
      </c>
      <c r="G1922" t="inlineStr">
        <is>
          <t>Summit Homes Pty Ltd</t>
        </is>
      </c>
      <c r="H1922" t="inlineStr">
        <is>
          <t>S0230</t>
        </is>
      </c>
      <c r="I1922" t="inlineStr">
        <is>
          <t>Temporary fence hire 2 wks (28/03/26-06/04/26) - 75 panels</t>
        </is>
      </c>
      <c r="J1922" t="n">
        <v>150</v>
      </c>
      <c r="K1922" s="9" t="n">
        <v>675</v>
      </c>
      <c r="L1922" t="inlineStr">
        <is>
          <t>PAID</t>
        </is>
      </c>
      <c r="M1922">
        <f>IF(L1922="VOIDED",0,1)</f>
        <v>1</v>
      </c>
      <c r="N1922" t="n">
        <v>260</v>
      </c>
      <c r="O1922" t="inlineStr">
        <is>
          <t>GST on Income</t>
        </is>
      </c>
      <c r="P1922" t="inlineStr">
        <is>
          <t>R03</t>
        </is>
      </c>
      <c r="Q1922" t="inlineStr">
        <is>
          <t>HIRE-FP</t>
        </is>
      </c>
      <c r="R1922">
        <f>IF(OR(Q1922="CONTEXT",Q1922="REVIEW"),"",INDEX('Category Rules'!$D$5:$D$17,MATCH(P1922,'Category Rules'!$A$5:$A$17,0)))</f>
        <v>4010</v>
      </c>
      <c r="S1922" t="str">
        <f>IF(Q1922="CONTEXT","Fencing",IF(Q1922="REVIEW","",INDEX('Category Rules'!$E$5:$E$17,MATCH(P1922,'Category Rules'!$A$5:$A$17,0))))</f>
        <v>Fencing</v>
      </c>
      <c r="T1922" t="str">
        <f>IF(Q1922="DEP","BAS Excluded","GST on Income")</f>
        <v>GST on Income</v>
      </c>
      <c r="U1922">
        <f>IF(O1922=T1922,1,0)</f>
        <v>1</v>
      </c>
      <c r="V1922" s="9">
        <f>IF(OR(M1922=0,U1922=1),0,IF(T1922="GST on Income",ROUND(K1922*0.1,2),ROUND(-K1922*0.1,2)))</f>
        <v>0</v>
      </c>
    </row>
    <row r="1923">
      <c r="A1923" t="inlineStr">
        <is>
          <t>INV-5170-1</t>
        </is>
      </c>
      <c r="B1923" t="inlineStr">
        <is>
          <t>INV-5170</t>
        </is>
      </c>
      <c r="C1923" s="11" t="n">
        <v>46119</v>
      </c>
      <c r="D1923" t="inlineStr">
        <is>
          <t>2026-04</t>
        </is>
      </c>
      <c r="E1923" t="inlineStr">
        <is>
          <t>C0036</t>
        </is>
      </c>
      <c r="F1923" t="inlineStr">
        <is>
          <t>C0036</t>
        </is>
      </c>
      <c r="G1923" t="inlineStr">
        <is>
          <t>Summit Homes Pty Ltd</t>
        </is>
      </c>
      <c r="H1923" t="inlineStr">
        <is>
          <t>S0230</t>
        </is>
      </c>
      <c r="I1923" t="inlineStr">
        <is>
          <t>Collection and dismantle - temporary fencing</t>
        </is>
      </c>
      <c r="J1923" t="n">
        <v>1</v>
      </c>
      <c r="K1923" s="9" t="n">
        <v>165</v>
      </c>
      <c r="L1923" t="inlineStr">
        <is>
          <t>PAID</t>
        </is>
      </c>
      <c r="M1923">
        <f>IF(L1923="VOIDED",0,1)</f>
        <v>1</v>
      </c>
      <c r="N1923" t="n">
        <v>200</v>
      </c>
      <c r="O1923" t="inlineStr">
        <is>
          <t>GST on Income</t>
        </is>
      </c>
      <c r="P1923" t="inlineStr">
        <is>
          <t>R07</t>
        </is>
      </c>
      <c r="Q1923" t="inlineStr">
        <is>
          <t>DEL-FP</t>
        </is>
      </c>
      <c r="R1923">
        <f>IF(OR(Q1923="CONTEXT",Q1923="REVIEW"),"",INDEX('Category Rules'!$D$5:$D$17,MATCH(P1923,'Category Rules'!$A$5:$A$17,0)))</f>
        <v>4020</v>
      </c>
      <c r="S1923" t="str">
        <f>IF(Q1923="CONTEXT","Fencing",IF(Q1923="REVIEW","",INDEX('Category Rules'!$E$5:$E$17,MATCH(P1923,'Category Rules'!$A$5:$A$17,0))))</f>
        <v>Fencing</v>
      </c>
      <c r="T1923" t="str">
        <f>IF(Q1923="DEP","BAS Excluded","GST on Income")</f>
        <v>GST on Income</v>
      </c>
      <c r="U1923">
        <f>IF(O1923=T1923,1,0)</f>
        <v>1</v>
      </c>
      <c r="V1923" s="9">
        <f>IF(OR(M1923=0,U1923=1),0,IF(T1923="GST on Income",ROUND(K1923*0.1,2),ROUND(-K1923*0.1,2)))</f>
        <v>0</v>
      </c>
    </row>
    <row r="1924">
      <c r="A1924" t="inlineStr">
        <is>
          <t>INV-5379-1</t>
        </is>
      </c>
      <c r="B1924" t="inlineStr">
        <is>
          <t>INV-5379</t>
        </is>
      </c>
      <c r="C1924" s="11" t="n">
        <v>46119</v>
      </c>
      <c r="D1924" t="inlineStr">
        <is>
          <t>2026-04</t>
        </is>
      </c>
      <c r="E1924" t="inlineStr">
        <is>
          <t>C0047</t>
        </is>
      </c>
      <c r="F1924" t="inlineStr">
        <is>
          <t>C0047</t>
        </is>
      </c>
      <c r="G1924" t="inlineStr">
        <is>
          <t>Fairway Owners Corporation Services</t>
        </is>
      </c>
      <c r="H1924" t="inlineStr">
        <is>
          <t>S0278</t>
        </is>
      </c>
      <c r="I1924" t="inlineStr">
        <is>
          <t>Scaffold tower hire 1 wks (06/04/26-06/04/26) - 2 towers</t>
        </is>
      </c>
      <c r="J1924" t="n">
        <v>2</v>
      </c>
      <c r="K1924" s="9" t="n">
        <v>190</v>
      </c>
      <c r="L1924" t="inlineStr">
        <is>
          <t>PAID</t>
        </is>
      </c>
      <c r="M1924">
        <f>IF(L1924="VOIDED",0,1)</f>
        <v>1</v>
      </c>
      <c r="N1924" t="n">
        <v>200</v>
      </c>
      <c r="O1924" t="inlineStr">
        <is>
          <t>GST on Income</t>
        </is>
      </c>
      <c r="P1924" t="inlineStr">
        <is>
          <t>R05</t>
        </is>
      </c>
      <c r="Q1924" t="inlineStr">
        <is>
          <t>HIRE-ST</t>
        </is>
      </c>
      <c r="R1924">
        <f>IF(OR(Q1924="CONTEXT",Q1924="REVIEW"),"",INDEX('Category Rules'!$D$5:$D$17,MATCH(P1924,'Category Rules'!$A$5:$A$17,0)))</f>
        <v>4010</v>
      </c>
      <c r="S1924" t="str">
        <f>IF(Q1924="CONTEXT","Scaffolding",IF(Q1924="REVIEW","",INDEX('Category Rules'!$E$5:$E$17,MATCH(P1924,'Category Rules'!$A$5:$A$17,0))))</f>
        <v>Scaffolding</v>
      </c>
      <c r="T1924" t="str">
        <f>IF(Q1924="DEP","BAS Excluded","GST on Income")</f>
        <v>GST on Income</v>
      </c>
      <c r="U1924">
        <f>IF(O1924=T1924,1,0)</f>
        <v>1</v>
      </c>
      <c r="V1924" s="9">
        <f>IF(OR(M1924=0,U1924=1),0,IF(T1924="GST on Income",ROUND(K1924*0.1,2),ROUND(-K1924*0.1,2)))</f>
        <v>0</v>
      </c>
    </row>
    <row r="1925">
      <c r="A1925" t="inlineStr">
        <is>
          <t>INV-5381-1</t>
        </is>
      </c>
      <c r="B1925" t="inlineStr">
        <is>
          <t>INV-5381</t>
        </is>
      </c>
      <c r="C1925" s="11" t="n">
        <v>46119</v>
      </c>
      <c r="D1925" t="inlineStr">
        <is>
          <t>2026-04</t>
        </is>
      </c>
      <c r="E1925" t="inlineStr">
        <is>
          <t>C0047</t>
        </is>
      </c>
      <c r="F1925" t="inlineStr">
        <is>
          <t>C0047</t>
        </is>
      </c>
      <c r="G1925" t="inlineStr">
        <is>
          <t>Fairway Owners Corporation Services</t>
        </is>
      </c>
      <c r="H1925" t="inlineStr">
        <is>
          <t>S0278</t>
        </is>
      </c>
      <c r="I1925" t="inlineStr">
        <is>
          <t>Scaffold dismantle - 2 tower(s)</t>
        </is>
      </c>
      <c r="J1925" t="n">
        <v>2</v>
      </c>
      <c r="K1925" s="9" t="n">
        <v>640</v>
      </c>
      <c r="L1925" t="inlineStr">
        <is>
          <t>PAID</t>
        </is>
      </c>
      <c r="M1925">
        <f>IF(L1925="VOIDED",0,1)</f>
        <v>1</v>
      </c>
      <c r="N1925" t="n">
        <v>200</v>
      </c>
      <c r="O1925" t="inlineStr">
        <is>
          <t>GST on Income</t>
        </is>
      </c>
      <c r="P1925" t="inlineStr">
        <is>
          <t>R08</t>
        </is>
      </c>
      <c r="Q1925" t="inlineStr">
        <is>
          <t>LAB-ST</t>
        </is>
      </c>
      <c r="R1925">
        <f>IF(OR(Q1925="CONTEXT",Q1925="REVIEW"),"",INDEX('Category Rules'!$D$5:$D$17,MATCH(P1925,'Category Rules'!$A$5:$A$17,0)))</f>
        <v>4020</v>
      </c>
      <c r="S1925" t="str">
        <f>IF(Q1925="CONTEXT","Scaffolding",IF(Q1925="REVIEW","",INDEX('Category Rules'!$E$5:$E$17,MATCH(P1925,'Category Rules'!$A$5:$A$17,0))))</f>
        <v>Scaffolding</v>
      </c>
      <c r="T1925" t="str">
        <f>IF(Q1925="DEP","BAS Excluded","GST on Income")</f>
        <v>GST on Income</v>
      </c>
      <c r="U1925">
        <f>IF(O1925=T1925,1,0)</f>
        <v>1</v>
      </c>
      <c r="V1925" s="9">
        <f>IF(OR(M1925=0,U1925=1),0,IF(T1925="GST on Income",ROUND(K1925*0.1,2),ROUND(-K1925*0.1,2)))</f>
        <v>0</v>
      </c>
    </row>
    <row r="1926">
      <c r="A1926" t="inlineStr">
        <is>
          <t>INV-5887-1</t>
        </is>
      </c>
      <c r="B1926" t="inlineStr">
        <is>
          <t>INV-5887</t>
        </is>
      </c>
      <c r="C1926" s="11" t="n">
        <v>46119</v>
      </c>
      <c r="D1926" t="inlineStr">
        <is>
          <t>2026-04</t>
        </is>
      </c>
      <c r="E1926" t="inlineStr">
        <is>
          <t>C0059</t>
        </is>
      </c>
      <c r="F1926" t="inlineStr">
        <is>
          <t>C0059</t>
        </is>
      </c>
      <c r="G1926" t="inlineStr">
        <is>
          <t>Silverleaf Insurance Repairs Pty Ltd</t>
        </is>
      </c>
      <c r="H1926" t="inlineStr">
        <is>
          <t>S0543</t>
        </is>
      </c>
      <c r="I1926" t="inlineStr">
        <is>
          <t>Roof repair labour - 6 hrs</t>
        </is>
      </c>
      <c r="J1926" t="n">
        <v>6</v>
      </c>
      <c r="K1926" s="9" t="n">
        <v>588</v>
      </c>
      <c r="L1926" t="inlineStr">
        <is>
          <t>PAID</t>
        </is>
      </c>
      <c r="M1926">
        <f>IF(L1926="VOIDED",0,1)</f>
        <v>1</v>
      </c>
      <c r="N1926" t="n">
        <v>200</v>
      </c>
      <c r="O1926" t="inlineStr">
        <is>
          <t>GST on Income</t>
        </is>
      </c>
      <c r="P1926" t="inlineStr">
        <is>
          <t>R10</t>
        </is>
      </c>
      <c r="Q1926" t="inlineStr">
        <is>
          <t>LAB-RF</t>
        </is>
      </c>
      <c r="R1926">
        <f>IF(OR(Q1926="CONTEXT",Q1926="REVIEW"),"",INDEX('Category Rules'!$D$5:$D$17,MATCH(P1926,'Category Rules'!$A$5:$A$17,0)))</f>
        <v>4020</v>
      </c>
      <c r="S1926" t="str">
        <f>IF(Q1926="CONTEXT","Roofing",IF(Q1926="REVIEW","",INDEX('Category Rules'!$E$5:$E$17,MATCH(P1926,'Category Rules'!$A$5:$A$17,0))))</f>
        <v>Roofing</v>
      </c>
      <c r="T1926" t="str">
        <f>IF(Q1926="DEP","BAS Excluded","GST on Income")</f>
        <v>GST on Income</v>
      </c>
      <c r="U1926">
        <f>IF(O1926=T1926,1,0)</f>
        <v>1</v>
      </c>
      <c r="V1926" s="9">
        <f>IF(OR(M1926=0,U1926=1),0,IF(T1926="GST on Income",ROUND(K1926*0.1,2),ROUND(-K1926*0.1,2)))</f>
        <v>0</v>
      </c>
    </row>
    <row r="1927">
      <c r="A1927" t="inlineStr">
        <is>
          <t>INV-5887-2</t>
        </is>
      </c>
      <c r="B1927" t="inlineStr">
        <is>
          <t>INV-5887</t>
        </is>
      </c>
      <c r="C1927" s="11" t="n">
        <v>46119</v>
      </c>
      <c r="D1927" t="inlineStr">
        <is>
          <t>2026-04</t>
        </is>
      </c>
      <c r="E1927" t="inlineStr">
        <is>
          <t>C0059</t>
        </is>
      </c>
      <c r="F1927" t="inlineStr">
        <is>
          <t>C0059</t>
        </is>
      </c>
      <c r="G1927" t="inlineStr">
        <is>
          <t>Silverleaf Insurance Repairs Pty Ltd</t>
        </is>
      </c>
      <c r="H1927" t="inlineStr">
        <is>
          <t>S0543</t>
        </is>
      </c>
      <c r="I1927" t="inlineStr">
        <is>
          <t>Materials - ridge capping</t>
        </is>
      </c>
      <c r="J1927" t="n">
        <v>1</v>
      </c>
      <c r="K1927" s="9" t="n">
        <v>70.37</v>
      </c>
      <c r="L1927" t="inlineStr">
        <is>
          <t>PAID</t>
        </is>
      </c>
      <c r="M1927">
        <f>IF(L1927="VOIDED",0,1)</f>
        <v>1</v>
      </c>
      <c r="N1927" t="n">
        <v>200</v>
      </c>
      <c r="O1927" t="inlineStr">
        <is>
          <t>GST on Income</t>
        </is>
      </c>
      <c r="P1927" t="inlineStr">
        <is>
          <t>R11</t>
        </is>
      </c>
      <c r="Q1927" t="inlineStr">
        <is>
          <t>MAT-RF</t>
        </is>
      </c>
      <c r="R1927">
        <f>IF(OR(Q1927="CONTEXT",Q1927="REVIEW"),"",INDEX('Category Rules'!$D$5:$D$17,MATCH(P1927,'Category Rules'!$A$5:$A$17,0)))</f>
        <v>4030</v>
      </c>
      <c r="S1927" t="str">
        <f>IF(Q1927="CONTEXT","Roofing",IF(Q1927="REVIEW","",INDEX('Category Rules'!$E$5:$E$17,MATCH(P1927,'Category Rules'!$A$5:$A$17,0))))</f>
        <v>Roofing</v>
      </c>
      <c r="T1927" t="str">
        <f>IF(Q1927="DEP","BAS Excluded","GST on Income")</f>
        <v>GST on Income</v>
      </c>
      <c r="U1927">
        <f>IF(O1927=T1927,1,0)</f>
        <v>1</v>
      </c>
      <c r="V1927" s="9">
        <f>IF(OR(M1927=0,U1927=1),0,IF(T1927="GST on Income",ROUND(K1927*0.1,2),ROUND(-K1927*0.1,2)))</f>
        <v>0</v>
      </c>
    </row>
    <row r="1928">
      <c r="A1928" t="inlineStr">
        <is>
          <t>INV-4505-1</t>
        </is>
      </c>
      <c r="B1928" t="inlineStr">
        <is>
          <t>INV-4505</t>
        </is>
      </c>
      <c r="C1928" s="11" t="n">
        <v>46120</v>
      </c>
      <c r="D1928" t="inlineStr">
        <is>
          <t>2026-04</t>
        </is>
      </c>
      <c r="E1928" t="inlineStr">
        <is>
          <t>C0004</t>
        </is>
      </c>
      <c r="F1928" t="inlineStr">
        <is>
          <t>C0004</t>
        </is>
      </c>
      <c r="G1928" t="inlineStr">
        <is>
          <t>Lakeside Builders Pty Ltd</t>
        </is>
      </c>
      <c r="H1928" t="inlineStr">
        <is>
          <t>S0084</t>
        </is>
      </c>
      <c r="I1928" t="inlineStr">
        <is>
          <t>Temporary fence hire 4 wks (11/03/26-07/04/26) - 18 panels</t>
        </is>
      </c>
      <c r="J1928" t="n">
        <v>72</v>
      </c>
      <c r="K1928" s="9" t="n">
        <v>324</v>
      </c>
      <c r="L1928" t="inlineStr">
        <is>
          <t>PAID</t>
        </is>
      </c>
      <c r="M1928">
        <f>IF(L1928="VOIDED",0,1)</f>
        <v>1</v>
      </c>
      <c r="N1928" t="n">
        <v>200</v>
      </c>
      <c r="O1928" t="inlineStr">
        <is>
          <t>GST on Income</t>
        </is>
      </c>
      <c r="P1928" t="inlineStr">
        <is>
          <t>R03</t>
        </is>
      </c>
      <c r="Q1928" t="inlineStr">
        <is>
          <t>HIRE-FP</t>
        </is>
      </c>
      <c r="R1928">
        <f>IF(OR(Q1928="CONTEXT",Q1928="REVIEW"),"",INDEX('Category Rules'!$D$5:$D$17,MATCH(P1928,'Category Rules'!$A$5:$A$17,0)))</f>
        <v>4010</v>
      </c>
      <c r="S1928" t="str">
        <f>IF(Q1928="CONTEXT","Fencing",IF(Q1928="REVIEW","",INDEX('Category Rules'!$E$5:$E$17,MATCH(P1928,'Category Rules'!$A$5:$A$17,0))))</f>
        <v>Fencing</v>
      </c>
      <c r="T1928" t="str">
        <f>IF(Q1928="DEP","BAS Excluded","GST on Income")</f>
        <v>GST on Income</v>
      </c>
      <c r="U1928">
        <f>IF(O1928=T1928,1,0)</f>
        <v>1</v>
      </c>
      <c r="V1928" s="9">
        <f>IF(OR(M1928=0,U1928=1),0,IF(T1928="GST on Income",ROUND(K1928*0.1,2),ROUND(-K1928*0.1,2)))</f>
        <v>0</v>
      </c>
    </row>
    <row r="1929">
      <c r="A1929" t="inlineStr">
        <is>
          <t>INV-4891-1</t>
        </is>
      </c>
      <c r="B1929" t="inlineStr">
        <is>
          <t>INV-4891</t>
        </is>
      </c>
      <c r="C1929" s="11" t="n">
        <v>46120</v>
      </c>
      <c r="D1929" t="inlineStr">
        <is>
          <t>2026-04</t>
        </is>
      </c>
      <c r="E1929" t="inlineStr">
        <is>
          <t>C0019</t>
        </is>
      </c>
      <c r="F1929" t="inlineStr">
        <is>
          <t>C0019</t>
        </is>
      </c>
      <c r="G1929" t="inlineStr">
        <is>
          <t>Metro Developments</t>
        </is>
      </c>
      <c r="H1929" t="inlineStr">
        <is>
          <t>S0166</t>
        </is>
      </c>
      <c r="I1929" t="inlineStr">
        <is>
          <t>Delivery and installation - temporary fencing</t>
        </is>
      </c>
      <c r="J1929" t="n">
        <v>1</v>
      </c>
      <c r="K1929" s="9" t="n">
        <v>165</v>
      </c>
      <c r="L1929" t="inlineStr">
        <is>
          <t>PAID</t>
        </is>
      </c>
      <c r="M1929">
        <f>IF(L1929="VOIDED",0,1)</f>
        <v>1</v>
      </c>
      <c r="N1929" t="n">
        <v>200</v>
      </c>
      <c r="O1929" t="inlineStr">
        <is>
          <t>GST on Income</t>
        </is>
      </c>
      <c r="P1929" t="inlineStr">
        <is>
          <t>R07</t>
        </is>
      </c>
      <c r="Q1929" t="inlineStr">
        <is>
          <t>DEL-FP</t>
        </is>
      </c>
      <c r="R1929">
        <f>IF(OR(Q1929="CONTEXT",Q1929="REVIEW"),"",INDEX('Category Rules'!$D$5:$D$17,MATCH(P1929,'Category Rules'!$A$5:$A$17,0)))</f>
        <v>4020</v>
      </c>
      <c r="S1929" t="str">
        <f>IF(Q1929="CONTEXT","Fencing",IF(Q1929="REVIEW","",INDEX('Category Rules'!$E$5:$E$17,MATCH(P1929,'Category Rules'!$A$5:$A$17,0))))</f>
        <v>Fencing</v>
      </c>
      <c r="T1929" t="str">
        <f>IF(Q1929="DEP","BAS Excluded","GST on Income")</f>
        <v>GST on Income</v>
      </c>
      <c r="U1929">
        <f>IF(O1929=T1929,1,0)</f>
        <v>1</v>
      </c>
      <c r="V1929" s="9">
        <f>IF(OR(M1929=0,U1929=1),0,IF(T1929="GST on Income",ROUND(K1929*0.1,2),ROUND(-K1929*0.1,2)))</f>
        <v>0</v>
      </c>
    </row>
    <row r="1930">
      <c r="A1930" t="inlineStr">
        <is>
          <t>INV-4891-2</t>
        </is>
      </c>
      <c r="B1930" t="inlineStr">
        <is>
          <t>INV-4891</t>
        </is>
      </c>
      <c r="C1930" s="11" t="n">
        <v>46120</v>
      </c>
      <c r="D1930" t="inlineStr">
        <is>
          <t>2026-04</t>
        </is>
      </c>
      <c r="E1930" t="inlineStr">
        <is>
          <t>C0019</t>
        </is>
      </c>
      <c r="F1930" t="inlineStr">
        <is>
          <t>C0019</t>
        </is>
      </c>
      <c r="G1930" t="inlineStr">
        <is>
          <t>Metro Developments</t>
        </is>
      </c>
      <c r="H1930" t="inlineStr">
        <is>
          <t>S0166</t>
        </is>
      </c>
      <c r="I1930" t="inlineStr">
        <is>
          <t>Installation labour - 79 panels @ 2.20</t>
        </is>
      </c>
      <c r="J1930" t="n">
        <v>79</v>
      </c>
      <c r="K1930" s="9" t="n">
        <v>173.8</v>
      </c>
      <c r="L1930" t="inlineStr">
        <is>
          <t>PAID</t>
        </is>
      </c>
      <c r="M1930">
        <f>IF(L1930="VOIDED",0,1)</f>
        <v>1</v>
      </c>
      <c r="N1930" t="n">
        <v>200</v>
      </c>
      <c r="O1930" t="inlineStr">
        <is>
          <t>GST on Income</t>
        </is>
      </c>
      <c r="P1930" t="inlineStr">
        <is>
          <t>R07</t>
        </is>
      </c>
      <c r="Q1930" t="inlineStr">
        <is>
          <t>DEL-FP</t>
        </is>
      </c>
      <c r="R1930">
        <f>IF(OR(Q1930="CONTEXT",Q1930="REVIEW"),"",INDEX('Category Rules'!$D$5:$D$17,MATCH(P1930,'Category Rules'!$A$5:$A$17,0)))</f>
        <v>4020</v>
      </c>
      <c r="S1930" t="str">
        <f>IF(Q1930="CONTEXT","Fencing",IF(Q1930="REVIEW","",INDEX('Category Rules'!$E$5:$E$17,MATCH(P1930,'Category Rules'!$A$5:$A$17,0))))</f>
        <v>Fencing</v>
      </c>
      <c r="T1930" t="str">
        <f>IF(Q1930="DEP","BAS Excluded","GST on Income")</f>
        <v>GST on Income</v>
      </c>
      <c r="U1930">
        <f>IF(O1930=T1930,1,0)</f>
        <v>1</v>
      </c>
      <c r="V1930" s="9">
        <f>IF(OR(M1930=0,U1930=1),0,IF(T1930="GST on Income",ROUND(K1930*0.1,2),ROUND(-K1930*0.1,2)))</f>
        <v>0</v>
      </c>
    </row>
    <row r="1931">
      <c r="A1931" t="inlineStr">
        <is>
          <t>INV-5837-1</t>
        </is>
      </c>
      <c r="B1931" t="inlineStr">
        <is>
          <t>INV-5837</t>
        </is>
      </c>
      <c r="C1931" s="11" t="n">
        <v>46120</v>
      </c>
      <c r="D1931" t="inlineStr">
        <is>
          <t>2026-04</t>
        </is>
      </c>
      <c r="E1931" t="inlineStr">
        <is>
          <t>C0068</t>
        </is>
      </c>
      <c r="F1931" t="inlineStr">
        <is>
          <t>C0068</t>
        </is>
      </c>
      <c r="G1931" t="inlineStr">
        <is>
          <t>Coastline Claims Services</t>
        </is>
      </c>
      <c r="H1931" t="inlineStr">
        <is>
          <t>S0512</t>
        </is>
      </c>
      <c r="I1931" t="inlineStr">
        <is>
          <t>Make safe call-out</t>
        </is>
      </c>
      <c r="J1931" t="n">
        <v>1</v>
      </c>
      <c r="K1931" s="9" t="n">
        <v>385</v>
      </c>
      <c r="L1931" t="inlineStr">
        <is>
          <t>PAID</t>
        </is>
      </c>
      <c r="M1931">
        <f>IF(L1931="VOIDED",0,1)</f>
        <v>1</v>
      </c>
      <c r="N1931" t="n">
        <v>200</v>
      </c>
      <c r="O1931" t="inlineStr">
        <is>
          <t>GST on Income</t>
        </is>
      </c>
      <c r="P1931" t="inlineStr">
        <is>
          <t>R09</t>
        </is>
      </c>
      <c r="Q1931" t="inlineStr">
        <is>
          <t>MS</t>
        </is>
      </c>
      <c r="R1931">
        <f>IF(OR(Q1931="CONTEXT",Q1931="REVIEW"),"",INDEX('Category Rules'!$D$5:$D$17,MATCH(P1931,'Category Rules'!$A$5:$A$17,0)))</f>
        <v>4020</v>
      </c>
      <c r="S1931" t="str">
        <f>IF(Q1931="CONTEXT","Make-safe",IF(Q1931="REVIEW","",INDEX('Category Rules'!$E$5:$E$17,MATCH(P1931,'Category Rules'!$A$5:$A$17,0))))</f>
        <v>Make-safe</v>
      </c>
      <c r="T1931" t="str">
        <f>IF(Q1931="DEP","BAS Excluded","GST on Income")</f>
        <v>GST on Income</v>
      </c>
      <c r="U1931">
        <f>IF(O1931=T1931,1,0)</f>
        <v>1</v>
      </c>
      <c r="V1931" s="9">
        <f>IF(OR(M1931=0,U1931=1),0,IF(T1931="GST on Income",ROUND(K1931*0.1,2),ROUND(-K1931*0.1,2)))</f>
        <v>0</v>
      </c>
    </row>
    <row r="1932">
      <c r="A1932" t="inlineStr">
        <is>
          <t>INV-4727-1</t>
        </is>
      </c>
      <c r="B1932" t="inlineStr">
        <is>
          <t>INV-4727</t>
        </is>
      </c>
      <c r="C1932" s="11" t="n">
        <v>46121</v>
      </c>
      <c r="D1932" t="inlineStr">
        <is>
          <t>2026-04</t>
        </is>
      </c>
      <c r="E1932" t="inlineStr">
        <is>
          <t>C0148</t>
        </is>
      </c>
      <c r="F1932" t="inlineStr">
        <is>
          <t>C0042</t>
        </is>
      </c>
      <c r="G1932" t="inlineStr">
        <is>
          <t>Lakeside Constructions Pty Ltd</t>
        </is>
      </c>
      <c r="H1932" t="inlineStr">
        <is>
          <t>S0131</t>
        </is>
      </c>
      <c r="I1932" t="inlineStr">
        <is>
          <t>Temporary fence hire 4 wks (12/03/26-08/04/26) - 62 panels</t>
        </is>
      </c>
      <c r="J1932" t="n">
        <v>248</v>
      </c>
      <c r="K1932" s="9" t="n">
        <v>1116</v>
      </c>
      <c r="L1932" t="inlineStr">
        <is>
          <t>PAID</t>
        </is>
      </c>
      <c r="M1932">
        <f>IF(L1932="VOIDED",0,1)</f>
        <v>1</v>
      </c>
      <c r="N1932" t="n">
        <v>200</v>
      </c>
      <c r="O1932" t="inlineStr">
        <is>
          <t>GST on Income</t>
        </is>
      </c>
      <c r="P1932" t="inlineStr">
        <is>
          <t>R03</t>
        </is>
      </c>
      <c r="Q1932" t="inlineStr">
        <is>
          <t>HIRE-FP</t>
        </is>
      </c>
      <c r="R1932">
        <f>IF(OR(Q1932="CONTEXT",Q1932="REVIEW"),"",INDEX('Category Rules'!$D$5:$D$17,MATCH(P1932,'Category Rules'!$A$5:$A$17,0)))</f>
        <v>4010</v>
      </c>
      <c r="S1932" t="str">
        <f>IF(Q1932="CONTEXT","Fencing",IF(Q1932="REVIEW","",INDEX('Category Rules'!$E$5:$E$17,MATCH(P1932,'Category Rules'!$A$5:$A$17,0))))</f>
        <v>Fencing</v>
      </c>
      <c r="T1932" t="str">
        <f>IF(Q1932="DEP","BAS Excluded","GST on Income")</f>
        <v>GST on Income</v>
      </c>
      <c r="U1932">
        <f>IF(O1932=T1932,1,0)</f>
        <v>1</v>
      </c>
      <c r="V1932" s="9">
        <f>IF(OR(M1932=0,U1932=1),0,IF(T1932="GST on Income",ROUND(K1932*0.1,2),ROUND(-K1932*0.1,2)))</f>
        <v>0</v>
      </c>
    </row>
    <row r="1933">
      <c r="A1933" t="inlineStr">
        <is>
          <t>INV-4729-1</t>
        </is>
      </c>
      <c r="B1933" t="inlineStr">
        <is>
          <t>INV-4729</t>
        </is>
      </c>
      <c r="C1933" s="11" t="n">
        <v>46121</v>
      </c>
      <c r="D1933" t="inlineStr">
        <is>
          <t>2026-04</t>
        </is>
      </c>
      <c r="E1933" t="inlineStr">
        <is>
          <t>C0042</t>
        </is>
      </c>
      <c r="F1933" t="inlineStr">
        <is>
          <t>C0042</t>
        </is>
      </c>
      <c r="G1933" t="inlineStr">
        <is>
          <t>Lakeside Constructions Pty Ltd</t>
        </is>
      </c>
      <c r="H1933" t="inlineStr">
        <is>
          <t>S0131</t>
        </is>
      </c>
      <c r="I1933" t="inlineStr">
        <is>
          <t>Collection and dismantle - temporary fencing</t>
        </is>
      </c>
      <c r="J1933" t="n">
        <v>1</v>
      </c>
      <c r="K1933" s="9" t="n">
        <v>165</v>
      </c>
      <c r="L1933" t="inlineStr">
        <is>
          <t>PAID</t>
        </is>
      </c>
      <c r="M1933">
        <f>IF(L1933="VOIDED",0,1)</f>
        <v>1</v>
      </c>
      <c r="N1933" t="n">
        <v>200</v>
      </c>
      <c r="O1933" t="inlineStr">
        <is>
          <t>GST on Income</t>
        </is>
      </c>
      <c r="P1933" t="inlineStr">
        <is>
          <t>R07</t>
        </is>
      </c>
      <c r="Q1933" t="inlineStr">
        <is>
          <t>DEL-FP</t>
        </is>
      </c>
      <c r="R1933">
        <f>IF(OR(Q1933="CONTEXT",Q1933="REVIEW"),"",INDEX('Category Rules'!$D$5:$D$17,MATCH(P1933,'Category Rules'!$A$5:$A$17,0)))</f>
        <v>4020</v>
      </c>
      <c r="S1933" t="str">
        <f>IF(Q1933="CONTEXT","Fencing",IF(Q1933="REVIEW","",INDEX('Category Rules'!$E$5:$E$17,MATCH(P1933,'Category Rules'!$A$5:$A$17,0))))</f>
        <v>Fencing</v>
      </c>
      <c r="T1933" t="str">
        <f>IF(Q1933="DEP","BAS Excluded","GST on Income")</f>
        <v>GST on Income</v>
      </c>
      <c r="U1933">
        <f>IF(O1933=T1933,1,0)</f>
        <v>1</v>
      </c>
      <c r="V1933" s="9">
        <f>IF(OR(M1933=0,U1933=1),0,IF(T1933="GST on Income",ROUND(K1933*0.1,2),ROUND(-K1933*0.1,2)))</f>
        <v>0</v>
      </c>
    </row>
    <row r="1934">
      <c r="A1934" t="inlineStr">
        <is>
          <t>INV-5558-1</t>
        </is>
      </c>
      <c r="B1934" t="inlineStr">
        <is>
          <t>INV-5558</t>
        </is>
      </c>
      <c r="C1934" s="11" t="n">
        <v>46121</v>
      </c>
      <c r="D1934" t="inlineStr">
        <is>
          <t>2026-04</t>
        </is>
      </c>
      <c r="E1934" t="inlineStr">
        <is>
          <t>C0109</t>
        </is>
      </c>
      <c r="F1934" t="inlineStr">
        <is>
          <t>C0109</t>
        </is>
      </c>
      <c r="G1934" t="inlineStr">
        <is>
          <t>Noah Ali</t>
        </is>
      </c>
      <c r="H1934" t="inlineStr">
        <is>
          <t>S0355</t>
        </is>
      </c>
      <c r="I1934" t="inlineStr">
        <is>
          <t>Make safe call-out</t>
        </is>
      </c>
      <c r="J1934" t="n">
        <v>1</v>
      </c>
      <c r="K1934" s="9" t="n">
        <v>385</v>
      </c>
      <c r="L1934" t="inlineStr">
        <is>
          <t>PAID</t>
        </is>
      </c>
      <c r="M1934">
        <f>IF(L1934="VOIDED",0,1)</f>
        <v>1</v>
      </c>
      <c r="N1934" t="n">
        <v>200</v>
      </c>
      <c r="O1934" t="inlineStr">
        <is>
          <t>GST on Income</t>
        </is>
      </c>
      <c r="P1934" t="inlineStr">
        <is>
          <t>R09</t>
        </is>
      </c>
      <c r="Q1934" t="inlineStr">
        <is>
          <t>MS</t>
        </is>
      </c>
      <c r="R1934">
        <f>IF(OR(Q1934="CONTEXT",Q1934="REVIEW"),"",INDEX('Category Rules'!$D$5:$D$17,MATCH(P1934,'Category Rules'!$A$5:$A$17,0)))</f>
        <v>4020</v>
      </c>
      <c r="S1934" t="str">
        <f>IF(Q1934="CONTEXT","Make-safe",IF(Q1934="REVIEW","",INDEX('Category Rules'!$E$5:$E$17,MATCH(P1934,'Category Rules'!$A$5:$A$17,0))))</f>
        <v>Make-safe</v>
      </c>
      <c r="T1934" t="str">
        <f>IF(Q1934="DEP","BAS Excluded","GST on Income")</f>
        <v>GST on Income</v>
      </c>
      <c r="U1934">
        <f>IF(O1934=T1934,1,0)</f>
        <v>1</v>
      </c>
      <c r="V1934" s="9">
        <f>IF(OR(M1934=0,U1934=1),0,IF(T1934="GST on Income",ROUND(K1934*0.1,2),ROUND(-K1934*0.1,2)))</f>
        <v>0</v>
      </c>
    </row>
    <row r="1935">
      <c r="A1935" t="inlineStr">
        <is>
          <t>INV-5558-2</t>
        </is>
      </c>
      <c r="B1935" t="inlineStr">
        <is>
          <t>INV-5558</t>
        </is>
      </c>
      <c r="C1935" s="11" t="n">
        <v>46121</v>
      </c>
      <c r="D1935" t="inlineStr">
        <is>
          <t>2026-04</t>
        </is>
      </c>
      <c r="E1935" t="inlineStr">
        <is>
          <t>C0109</t>
        </is>
      </c>
      <c r="F1935" t="inlineStr">
        <is>
          <t>C0109</t>
        </is>
      </c>
      <c r="G1935" t="inlineStr">
        <is>
          <t>Noah Ali</t>
        </is>
      </c>
      <c r="H1935" t="inlineStr">
        <is>
          <t>S0355</t>
        </is>
      </c>
      <c r="I1935" t="inlineStr">
        <is>
          <t>Tarp supply and install - 1 tarp(s)</t>
        </is>
      </c>
      <c r="J1935" t="n">
        <v>1</v>
      </c>
      <c r="K1935" s="9" t="n">
        <v>240</v>
      </c>
      <c r="L1935" t="inlineStr">
        <is>
          <t>PAID</t>
        </is>
      </c>
      <c r="M1935">
        <f>IF(L1935="VOIDED",0,1)</f>
        <v>1</v>
      </c>
      <c r="N1935" t="n">
        <v>200</v>
      </c>
      <c r="O1935" t="inlineStr">
        <is>
          <t>GST on Income</t>
        </is>
      </c>
      <c r="P1935" t="inlineStr">
        <is>
          <t>R09</t>
        </is>
      </c>
      <c r="Q1935" t="inlineStr">
        <is>
          <t>MS</t>
        </is>
      </c>
      <c r="R1935">
        <f>IF(OR(Q1935="CONTEXT",Q1935="REVIEW"),"",INDEX('Category Rules'!$D$5:$D$17,MATCH(P1935,'Category Rules'!$A$5:$A$17,0)))</f>
        <v>4020</v>
      </c>
      <c r="S1935" t="str">
        <f>IF(Q1935="CONTEXT","Make-safe",IF(Q1935="REVIEW","",INDEX('Category Rules'!$E$5:$E$17,MATCH(P1935,'Category Rules'!$A$5:$A$17,0))))</f>
        <v>Make-safe</v>
      </c>
      <c r="T1935" t="str">
        <f>IF(Q1935="DEP","BAS Excluded","GST on Income")</f>
        <v>GST on Income</v>
      </c>
      <c r="U1935">
        <f>IF(O1935=T1935,1,0)</f>
        <v>1</v>
      </c>
      <c r="V1935" s="9">
        <f>IF(OR(M1935=0,U1935=1),0,IF(T1935="GST on Income",ROUND(K1935*0.1,2),ROUND(-K1935*0.1,2)))</f>
        <v>0</v>
      </c>
    </row>
    <row r="1936">
      <c r="A1936" t="inlineStr">
        <is>
          <t>INV-5831-1</t>
        </is>
      </c>
      <c r="B1936" t="inlineStr">
        <is>
          <t>INV-5831</t>
        </is>
      </c>
      <c r="C1936" s="11" t="n">
        <v>46121</v>
      </c>
      <c r="D1936" t="inlineStr">
        <is>
          <t>2026-04</t>
        </is>
      </c>
      <c r="E1936" t="inlineStr">
        <is>
          <t>C0015</t>
        </is>
      </c>
      <c r="F1936" t="inlineStr">
        <is>
          <t>C0015</t>
        </is>
      </c>
      <c r="G1936" t="inlineStr">
        <is>
          <t>Bluegum Building Group</t>
        </is>
      </c>
      <c r="H1936" t="inlineStr">
        <is>
          <t>S0508</t>
        </is>
      </c>
      <c r="I1936" t="inlineStr">
        <is>
          <t>Make safe call-out</t>
        </is>
      </c>
      <c r="J1936" t="n">
        <v>1</v>
      </c>
      <c r="K1936" s="9" t="n">
        <v>385</v>
      </c>
      <c r="L1936" t="inlineStr">
        <is>
          <t>PAID</t>
        </is>
      </c>
      <c r="M1936">
        <f>IF(L1936="VOIDED",0,1)</f>
        <v>1</v>
      </c>
      <c r="N1936" t="n">
        <v>200</v>
      </c>
      <c r="O1936" t="inlineStr">
        <is>
          <t>GST on Income</t>
        </is>
      </c>
      <c r="P1936" t="inlineStr">
        <is>
          <t>R09</t>
        </is>
      </c>
      <c r="Q1936" t="inlineStr">
        <is>
          <t>MS</t>
        </is>
      </c>
      <c r="R1936">
        <f>IF(OR(Q1936="CONTEXT",Q1936="REVIEW"),"",INDEX('Category Rules'!$D$5:$D$17,MATCH(P1936,'Category Rules'!$A$5:$A$17,0)))</f>
        <v>4020</v>
      </c>
      <c r="S1936" t="str">
        <f>IF(Q1936="CONTEXT","Make-safe",IF(Q1936="REVIEW","",INDEX('Category Rules'!$E$5:$E$17,MATCH(P1936,'Category Rules'!$A$5:$A$17,0))))</f>
        <v>Make-safe</v>
      </c>
      <c r="T1936" t="str">
        <f>IF(Q1936="DEP","BAS Excluded","GST on Income")</f>
        <v>GST on Income</v>
      </c>
      <c r="U1936">
        <f>IF(O1936=T1936,1,0)</f>
        <v>1</v>
      </c>
      <c r="V1936" s="9">
        <f>IF(OR(M1936=0,U1936=1),0,IF(T1936="GST on Income",ROUND(K1936*0.1,2),ROUND(-K1936*0.1,2)))</f>
        <v>0</v>
      </c>
    </row>
    <row r="1937">
      <c r="A1937" t="inlineStr">
        <is>
          <t>INV-5831-2</t>
        </is>
      </c>
      <c r="B1937" t="inlineStr">
        <is>
          <t>INV-5831</t>
        </is>
      </c>
      <c r="C1937" s="11" t="n">
        <v>46121</v>
      </c>
      <c r="D1937" t="inlineStr">
        <is>
          <t>2026-04</t>
        </is>
      </c>
      <c r="E1937" t="inlineStr">
        <is>
          <t>C0015</t>
        </is>
      </c>
      <c r="F1937" t="inlineStr">
        <is>
          <t>C0015</t>
        </is>
      </c>
      <c r="G1937" t="inlineStr">
        <is>
          <t>Bluegum Building Group</t>
        </is>
      </c>
      <c r="H1937" t="inlineStr">
        <is>
          <t>S0508</t>
        </is>
      </c>
      <c r="I1937" t="inlineStr">
        <is>
          <t>Tarp supply and install - 1 tarp(s)</t>
        </is>
      </c>
      <c r="J1937" t="n">
        <v>1</v>
      </c>
      <c r="K1937" s="9" t="n">
        <v>240</v>
      </c>
      <c r="L1937" t="inlineStr">
        <is>
          <t>PAID</t>
        </is>
      </c>
      <c r="M1937">
        <f>IF(L1937="VOIDED",0,1)</f>
        <v>1</v>
      </c>
      <c r="N1937" t="n">
        <v>200</v>
      </c>
      <c r="O1937" t="inlineStr">
        <is>
          <t>GST on Income</t>
        </is>
      </c>
      <c r="P1937" t="inlineStr">
        <is>
          <t>R09</t>
        </is>
      </c>
      <c r="Q1937" t="inlineStr">
        <is>
          <t>MS</t>
        </is>
      </c>
      <c r="R1937">
        <f>IF(OR(Q1937="CONTEXT",Q1937="REVIEW"),"",INDEX('Category Rules'!$D$5:$D$17,MATCH(P1937,'Category Rules'!$A$5:$A$17,0)))</f>
        <v>4020</v>
      </c>
      <c r="S1937" t="str">
        <f>IF(Q1937="CONTEXT","Make-safe",IF(Q1937="REVIEW","",INDEX('Category Rules'!$E$5:$E$17,MATCH(P1937,'Category Rules'!$A$5:$A$17,0))))</f>
        <v>Make-safe</v>
      </c>
      <c r="T1937" t="str">
        <f>IF(Q1937="DEP","BAS Excluded","GST on Income")</f>
        <v>GST on Income</v>
      </c>
      <c r="U1937">
        <f>IF(O1937=T1937,1,0)</f>
        <v>1</v>
      </c>
      <c r="V1937" s="9">
        <f>IF(OR(M1937=0,U1937=1),0,IF(T1937="GST on Income",ROUND(K1937*0.1,2),ROUND(-K1937*0.1,2)))</f>
        <v>0</v>
      </c>
    </row>
    <row r="1938">
      <c r="A1938" t="inlineStr">
        <is>
          <t>INV-4320-1</t>
        </is>
      </c>
      <c r="B1938" t="inlineStr">
        <is>
          <t>INV-4320</t>
        </is>
      </c>
      <c r="C1938" s="11" t="n">
        <v>46122</v>
      </c>
      <c r="D1938" t="inlineStr">
        <is>
          <t>2026-04</t>
        </is>
      </c>
      <c r="E1938" t="inlineStr">
        <is>
          <t>C0072</t>
        </is>
      </c>
      <c r="F1938" t="inlineStr">
        <is>
          <t>C0072</t>
        </is>
      </c>
      <c r="G1938" t="inlineStr">
        <is>
          <t>Kingston City Council</t>
        </is>
      </c>
      <c r="H1938" t="inlineStr">
        <is>
          <t>S0047</t>
        </is>
      </c>
      <c r="I1938" t="inlineStr">
        <is>
          <t>Delivery and installation - temporary fencing</t>
        </is>
      </c>
      <c r="J1938" t="n">
        <v>1</v>
      </c>
      <c r="K1938" s="9" t="n">
        <v>165</v>
      </c>
      <c r="L1938" t="inlineStr">
        <is>
          <t>PAID</t>
        </is>
      </c>
      <c r="M1938">
        <f>IF(L1938="VOIDED",0,1)</f>
        <v>1</v>
      </c>
      <c r="N1938" t="n">
        <v>200</v>
      </c>
      <c r="O1938" t="inlineStr">
        <is>
          <t>GST on Income</t>
        </is>
      </c>
      <c r="P1938" t="inlineStr">
        <is>
          <t>R07</t>
        </is>
      </c>
      <c r="Q1938" t="inlineStr">
        <is>
          <t>DEL-FP</t>
        </is>
      </c>
      <c r="R1938">
        <f>IF(OR(Q1938="CONTEXT",Q1938="REVIEW"),"",INDEX('Category Rules'!$D$5:$D$17,MATCH(P1938,'Category Rules'!$A$5:$A$17,0)))</f>
        <v>4020</v>
      </c>
      <c r="S1938" t="str">
        <f>IF(Q1938="CONTEXT","Fencing",IF(Q1938="REVIEW","",INDEX('Category Rules'!$E$5:$E$17,MATCH(P1938,'Category Rules'!$A$5:$A$17,0))))</f>
        <v>Fencing</v>
      </c>
      <c r="T1938" t="str">
        <f>IF(Q1938="DEP","BAS Excluded","GST on Income")</f>
        <v>GST on Income</v>
      </c>
      <c r="U1938">
        <f>IF(O1938=T1938,1,0)</f>
        <v>1</v>
      </c>
      <c r="V1938" s="9">
        <f>IF(OR(M1938=0,U1938=1),0,IF(T1938="GST on Income",ROUND(K1938*0.1,2),ROUND(-K1938*0.1,2)))</f>
        <v>0</v>
      </c>
    </row>
    <row r="1939">
      <c r="A1939" t="inlineStr">
        <is>
          <t>INV-4320-2</t>
        </is>
      </c>
      <c r="B1939" t="inlineStr">
        <is>
          <t>INV-4320</t>
        </is>
      </c>
      <c r="C1939" s="11" t="n">
        <v>46122</v>
      </c>
      <c r="D1939" t="inlineStr">
        <is>
          <t>2026-04</t>
        </is>
      </c>
      <c r="E1939" t="inlineStr">
        <is>
          <t>C0072</t>
        </is>
      </c>
      <c r="F1939" t="inlineStr">
        <is>
          <t>C0072</t>
        </is>
      </c>
      <c r="G1939" t="inlineStr">
        <is>
          <t>Kingston City Council</t>
        </is>
      </c>
      <c r="H1939" t="inlineStr">
        <is>
          <t>S0047</t>
        </is>
      </c>
      <c r="I1939" t="inlineStr">
        <is>
          <t>Installation labour - 111 panels @ 2.20</t>
        </is>
      </c>
      <c r="J1939" t="n">
        <v>111</v>
      </c>
      <c r="K1939" s="9" t="n">
        <v>244.2</v>
      </c>
      <c r="L1939" t="inlineStr">
        <is>
          <t>PAID</t>
        </is>
      </c>
      <c r="M1939">
        <f>IF(L1939="VOIDED",0,1)</f>
        <v>1</v>
      </c>
      <c r="N1939" t="n">
        <v>200</v>
      </c>
      <c r="O1939" t="inlineStr">
        <is>
          <t>GST on Income</t>
        </is>
      </c>
      <c r="P1939" t="inlineStr">
        <is>
          <t>R07</t>
        </is>
      </c>
      <c r="Q1939" t="inlineStr">
        <is>
          <t>DEL-FP</t>
        </is>
      </c>
      <c r="R1939">
        <f>IF(OR(Q1939="CONTEXT",Q1939="REVIEW"),"",INDEX('Category Rules'!$D$5:$D$17,MATCH(P1939,'Category Rules'!$A$5:$A$17,0)))</f>
        <v>4020</v>
      </c>
      <c r="S1939" t="str">
        <f>IF(Q1939="CONTEXT","Fencing",IF(Q1939="REVIEW","",INDEX('Category Rules'!$E$5:$E$17,MATCH(P1939,'Category Rules'!$A$5:$A$17,0))))</f>
        <v>Fencing</v>
      </c>
      <c r="T1939" t="str">
        <f>IF(Q1939="DEP","BAS Excluded","GST on Income")</f>
        <v>GST on Income</v>
      </c>
      <c r="U1939">
        <f>IF(O1939=T1939,1,0)</f>
        <v>1</v>
      </c>
      <c r="V1939" s="9">
        <f>IF(OR(M1939=0,U1939=1),0,IF(T1939="GST on Income",ROUND(K1939*0.1,2),ROUND(-K1939*0.1,2)))</f>
        <v>0</v>
      </c>
    </row>
    <row r="1940">
      <c r="A1940" t="inlineStr">
        <is>
          <t>INV-4568-1</t>
        </is>
      </c>
      <c r="B1940" t="inlineStr">
        <is>
          <t>INV-4568</t>
        </is>
      </c>
      <c r="C1940" s="11" t="n">
        <v>46122</v>
      </c>
      <c r="D1940" t="inlineStr">
        <is>
          <t>2026-04</t>
        </is>
      </c>
      <c r="E1940" t="inlineStr">
        <is>
          <t>C0002</t>
        </is>
      </c>
      <c r="F1940" t="inlineStr">
        <is>
          <t>C0002</t>
        </is>
      </c>
      <c r="G1940" t="inlineStr">
        <is>
          <t>Summit Building Group</t>
        </is>
      </c>
      <c r="H1940" t="inlineStr">
        <is>
          <t>S0094</t>
        </is>
      </c>
      <c r="I1940" t="inlineStr">
        <is>
          <t>Delivery and installation - temporary fencing</t>
        </is>
      </c>
      <c r="J1940" t="n">
        <v>1</v>
      </c>
      <c r="K1940" s="9" t="n">
        <v>165</v>
      </c>
      <c r="L1940" t="inlineStr">
        <is>
          <t>PAID</t>
        </is>
      </c>
      <c r="M1940">
        <f>IF(L1940="VOIDED",0,1)</f>
        <v>1</v>
      </c>
      <c r="N1940" t="n">
        <v>200</v>
      </c>
      <c r="O1940" t="inlineStr">
        <is>
          <t>GST on Income</t>
        </is>
      </c>
      <c r="P1940" t="inlineStr">
        <is>
          <t>R07</t>
        </is>
      </c>
      <c r="Q1940" t="inlineStr">
        <is>
          <t>DEL-FP</t>
        </is>
      </c>
      <c r="R1940">
        <f>IF(OR(Q1940="CONTEXT",Q1940="REVIEW"),"",INDEX('Category Rules'!$D$5:$D$17,MATCH(P1940,'Category Rules'!$A$5:$A$17,0)))</f>
        <v>4020</v>
      </c>
      <c r="S1940" t="str">
        <f>IF(Q1940="CONTEXT","Fencing",IF(Q1940="REVIEW","",INDEX('Category Rules'!$E$5:$E$17,MATCH(P1940,'Category Rules'!$A$5:$A$17,0))))</f>
        <v>Fencing</v>
      </c>
      <c r="T1940" t="str">
        <f>IF(Q1940="DEP","BAS Excluded","GST on Income")</f>
        <v>GST on Income</v>
      </c>
      <c r="U1940">
        <f>IF(O1940=T1940,1,0)</f>
        <v>1</v>
      </c>
      <c r="V1940" s="9">
        <f>IF(OR(M1940=0,U1940=1),0,IF(T1940="GST on Income",ROUND(K1940*0.1,2),ROUND(-K1940*0.1,2)))</f>
        <v>0</v>
      </c>
    </row>
    <row r="1941">
      <c r="A1941" t="inlineStr">
        <is>
          <t>INV-4568-2</t>
        </is>
      </c>
      <c r="B1941" t="inlineStr">
        <is>
          <t>INV-4568</t>
        </is>
      </c>
      <c r="C1941" s="11" t="n">
        <v>46122</v>
      </c>
      <c r="D1941" t="inlineStr">
        <is>
          <t>2026-04</t>
        </is>
      </c>
      <c r="E1941" t="inlineStr">
        <is>
          <t>C0002</t>
        </is>
      </c>
      <c r="F1941" t="inlineStr">
        <is>
          <t>C0002</t>
        </is>
      </c>
      <c r="G1941" t="inlineStr">
        <is>
          <t>Summit Building Group</t>
        </is>
      </c>
      <c r="H1941" t="inlineStr">
        <is>
          <t>S0094</t>
        </is>
      </c>
      <c r="I1941" t="inlineStr">
        <is>
          <t>Installation labour - 115 panels @ 2.20</t>
        </is>
      </c>
      <c r="J1941" t="n">
        <v>115</v>
      </c>
      <c r="K1941" s="9" t="n">
        <v>253</v>
      </c>
      <c r="L1941" t="inlineStr">
        <is>
          <t>PAID</t>
        </is>
      </c>
      <c r="M1941">
        <f>IF(L1941="VOIDED",0,1)</f>
        <v>1</v>
      </c>
      <c r="N1941" t="n">
        <v>200</v>
      </c>
      <c r="O1941" t="inlineStr">
        <is>
          <t>GST Free Income</t>
        </is>
      </c>
      <c r="P1941" t="inlineStr">
        <is>
          <t>R07</t>
        </is>
      </c>
      <c r="Q1941" t="inlineStr">
        <is>
          <t>DEL-FP</t>
        </is>
      </c>
      <c r="R1941">
        <f>IF(OR(Q1941="CONTEXT",Q1941="REVIEW"),"",INDEX('Category Rules'!$D$5:$D$17,MATCH(P1941,'Category Rules'!$A$5:$A$17,0)))</f>
        <v>4020</v>
      </c>
      <c r="S1941" t="str">
        <f>IF(Q1941="CONTEXT","Fencing",IF(Q1941="REVIEW","",INDEX('Category Rules'!$E$5:$E$17,MATCH(P1941,'Category Rules'!$A$5:$A$17,0))))</f>
        <v>Fencing</v>
      </c>
      <c r="T1941" t="str">
        <f>IF(Q1941="DEP","BAS Excluded","GST on Income")</f>
        <v>GST on Income</v>
      </c>
      <c r="U1941">
        <f>IF(O1941=T1941,1,0)</f>
        <v>0</v>
      </c>
      <c r="V1941" s="9">
        <f>IF(OR(M1941=0,U1941=1),0,IF(T1941="GST on Income",ROUND(K1941*0.1,2),ROUND(-K1941*0.1,2)))</f>
        <v>25.3</v>
      </c>
    </row>
    <row r="1942">
      <c r="A1942" t="inlineStr">
        <is>
          <t>INV-5556-1</t>
        </is>
      </c>
      <c r="B1942" t="inlineStr">
        <is>
          <t>INV-5556</t>
        </is>
      </c>
      <c r="C1942" s="11" t="n">
        <v>46122</v>
      </c>
      <c r="D1942" t="inlineStr">
        <is>
          <t>2026-04</t>
        </is>
      </c>
      <c r="E1942" t="inlineStr">
        <is>
          <t>C0020</t>
        </is>
      </c>
      <c r="F1942" t="inlineStr">
        <is>
          <t>C0020</t>
        </is>
      </c>
      <c r="G1942" t="inlineStr">
        <is>
          <t>Eastlink Constructions</t>
        </is>
      </c>
      <c r="H1942" t="inlineStr">
        <is>
          <t>S0354</t>
        </is>
      </c>
      <c r="I1942" t="inlineStr">
        <is>
          <t>Roof repair labour - 16 hrs</t>
        </is>
      </c>
      <c r="J1942" t="n">
        <v>16</v>
      </c>
      <c r="K1942" s="9" t="n">
        <v>1568</v>
      </c>
      <c r="L1942" t="inlineStr">
        <is>
          <t>PAID</t>
        </is>
      </c>
      <c r="M1942">
        <f>IF(L1942="VOIDED",0,1)</f>
        <v>1</v>
      </c>
      <c r="N1942" t="n">
        <v>200</v>
      </c>
      <c r="O1942" t="inlineStr">
        <is>
          <t>GST on Income</t>
        </is>
      </c>
      <c r="P1942" t="inlineStr">
        <is>
          <t>R10</t>
        </is>
      </c>
      <c r="Q1942" t="inlineStr">
        <is>
          <t>LAB-RF</t>
        </is>
      </c>
      <c r="R1942">
        <f>IF(OR(Q1942="CONTEXT",Q1942="REVIEW"),"",INDEX('Category Rules'!$D$5:$D$17,MATCH(P1942,'Category Rules'!$A$5:$A$17,0)))</f>
        <v>4020</v>
      </c>
      <c r="S1942" t="str">
        <f>IF(Q1942="CONTEXT","Roofing",IF(Q1942="REVIEW","",INDEX('Category Rules'!$E$5:$E$17,MATCH(P1942,'Category Rules'!$A$5:$A$17,0))))</f>
        <v>Roofing</v>
      </c>
      <c r="T1942" t="str">
        <f>IF(Q1942="DEP","BAS Excluded","GST on Income")</f>
        <v>GST on Income</v>
      </c>
      <c r="U1942">
        <f>IF(O1942=T1942,1,0)</f>
        <v>1</v>
      </c>
      <c r="V1942" s="9">
        <f>IF(OR(M1942=0,U1942=1),0,IF(T1942="GST on Income",ROUND(K1942*0.1,2),ROUND(-K1942*0.1,2)))</f>
        <v>0</v>
      </c>
    </row>
    <row r="1943">
      <c r="A1943" t="inlineStr">
        <is>
          <t>INV-5556-2</t>
        </is>
      </c>
      <c r="B1943" t="inlineStr">
        <is>
          <t>INV-5556</t>
        </is>
      </c>
      <c r="C1943" s="11" t="n">
        <v>46122</v>
      </c>
      <c r="D1943" t="inlineStr">
        <is>
          <t>2026-04</t>
        </is>
      </c>
      <c r="E1943" t="inlineStr">
        <is>
          <t>C0020</t>
        </is>
      </c>
      <c r="F1943" t="inlineStr">
        <is>
          <t>C0020</t>
        </is>
      </c>
      <c r="G1943" t="inlineStr">
        <is>
          <t>Eastlink Constructions</t>
        </is>
      </c>
      <c r="H1943" t="inlineStr">
        <is>
          <t>S0354</t>
        </is>
      </c>
      <c r="I1943" t="inlineStr">
        <is>
          <t>Materials - sealant and fixings</t>
        </is>
      </c>
      <c r="J1943" t="n">
        <v>1</v>
      </c>
      <c r="K1943" s="9" t="n">
        <v>1319.5</v>
      </c>
      <c r="L1943" t="inlineStr">
        <is>
          <t>PAID</t>
        </is>
      </c>
      <c r="M1943">
        <f>IF(L1943="VOIDED",0,1)</f>
        <v>1</v>
      </c>
      <c r="N1943" t="n">
        <v>200</v>
      </c>
      <c r="O1943" t="inlineStr">
        <is>
          <t>GST on Income</t>
        </is>
      </c>
      <c r="P1943" t="inlineStr">
        <is>
          <t>R11</t>
        </is>
      </c>
      <c r="Q1943" t="inlineStr">
        <is>
          <t>MAT-RF</t>
        </is>
      </c>
      <c r="R1943">
        <f>IF(OR(Q1943="CONTEXT",Q1943="REVIEW"),"",INDEX('Category Rules'!$D$5:$D$17,MATCH(P1943,'Category Rules'!$A$5:$A$17,0)))</f>
        <v>4030</v>
      </c>
      <c r="S1943" t="str">
        <f>IF(Q1943="CONTEXT","Roofing",IF(Q1943="REVIEW","",INDEX('Category Rules'!$E$5:$E$17,MATCH(P1943,'Category Rules'!$A$5:$A$17,0))))</f>
        <v>Roofing</v>
      </c>
      <c r="T1943" t="str">
        <f>IF(Q1943="DEP","BAS Excluded","GST on Income")</f>
        <v>GST on Income</v>
      </c>
      <c r="U1943">
        <f>IF(O1943=T1943,1,0)</f>
        <v>1</v>
      </c>
      <c r="V1943" s="9">
        <f>IF(OR(M1943=0,U1943=1),0,IF(T1943="GST on Income",ROUND(K1943*0.1,2),ROUND(-K1943*0.1,2)))</f>
        <v>0</v>
      </c>
    </row>
    <row r="1944">
      <c r="A1944" t="inlineStr">
        <is>
          <t>INV-5659-1</t>
        </is>
      </c>
      <c r="B1944" t="inlineStr">
        <is>
          <t>INV-5659</t>
        </is>
      </c>
      <c r="C1944" s="11" t="n">
        <v>46122</v>
      </c>
      <c r="D1944" t="inlineStr">
        <is>
          <t>2026-04</t>
        </is>
      </c>
      <c r="E1944" t="inlineStr">
        <is>
          <t>C0066</t>
        </is>
      </c>
      <c r="F1944" t="inlineStr">
        <is>
          <t>C0066</t>
        </is>
      </c>
      <c r="G1944" t="inlineStr">
        <is>
          <t>Northgate Insurance Repairs</t>
        </is>
      </c>
      <c r="H1944" t="inlineStr">
        <is>
          <t>S0412</t>
        </is>
      </c>
      <c r="I1944" t="inlineStr">
        <is>
          <t>Make safe call-out</t>
        </is>
      </c>
      <c r="J1944" t="n">
        <v>1</v>
      </c>
      <c r="K1944" s="9" t="n">
        <v>385</v>
      </c>
      <c r="L1944" t="inlineStr">
        <is>
          <t>PAID</t>
        </is>
      </c>
      <c r="M1944">
        <f>IF(L1944="VOIDED",0,1)</f>
        <v>1</v>
      </c>
      <c r="N1944" t="n">
        <v>200</v>
      </c>
      <c r="O1944" t="inlineStr">
        <is>
          <t>GST on Income</t>
        </is>
      </c>
      <c r="P1944" t="inlineStr">
        <is>
          <t>R09</t>
        </is>
      </c>
      <c r="Q1944" t="inlineStr">
        <is>
          <t>MS</t>
        </is>
      </c>
      <c r="R1944">
        <f>IF(OR(Q1944="CONTEXT",Q1944="REVIEW"),"",INDEX('Category Rules'!$D$5:$D$17,MATCH(P1944,'Category Rules'!$A$5:$A$17,0)))</f>
        <v>4020</v>
      </c>
      <c r="S1944" t="str">
        <f>IF(Q1944="CONTEXT","Make-safe",IF(Q1944="REVIEW","",INDEX('Category Rules'!$E$5:$E$17,MATCH(P1944,'Category Rules'!$A$5:$A$17,0))))</f>
        <v>Make-safe</v>
      </c>
      <c r="T1944" t="str">
        <f>IF(Q1944="DEP","BAS Excluded","GST on Income")</f>
        <v>GST on Income</v>
      </c>
      <c r="U1944">
        <f>IF(O1944=T1944,1,0)</f>
        <v>1</v>
      </c>
      <c r="V1944" s="9">
        <f>IF(OR(M1944=0,U1944=1),0,IF(T1944="GST on Income",ROUND(K1944*0.1,2),ROUND(-K1944*0.1,2)))</f>
        <v>0</v>
      </c>
    </row>
    <row r="1945">
      <c r="A1945" t="inlineStr">
        <is>
          <t>INV-5659-2</t>
        </is>
      </c>
      <c r="B1945" t="inlineStr">
        <is>
          <t>INV-5659</t>
        </is>
      </c>
      <c r="C1945" s="11" t="n">
        <v>46122</v>
      </c>
      <c r="D1945" t="inlineStr">
        <is>
          <t>2026-04</t>
        </is>
      </c>
      <c r="E1945" t="inlineStr">
        <is>
          <t>C0066</t>
        </is>
      </c>
      <c r="F1945" t="inlineStr">
        <is>
          <t>C0066</t>
        </is>
      </c>
      <c r="G1945" t="inlineStr">
        <is>
          <t>Northgate Insurance Repairs</t>
        </is>
      </c>
      <c r="H1945" t="inlineStr">
        <is>
          <t>S0412</t>
        </is>
      </c>
      <c r="I1945" t="inlineStr">
        <is>
          <t>Tarp supply and install - 1 tarp(s)</t>
        </is>
      </c>
      <c r="J1945" t="n">
        <v>1</v>
      </c>
      <c r="K1945" s="9" t="n">
        <v>240</v>
      </c>
      <c r="L1945" t="inlineStr">
        <is>
          <t>PAID</t>
        </is>
      </c>
      <c r="M1945">
        <f>IF(L1945="VOIDED",0,1)</f>
        <v>1</v>
      </c>
      <c r="N1945" t="n">
        <v>200</v>
      </c>
      <c r="O1945" t="inlineStr">
        <is>
          <t>GST on Income</t>
        </is>
      </c>
      <c r="P1945" t="inlineStr">
        <is>
          <t>R09</t>
        </is>
      </c>
      <c r="Q1945" t="inlineStr">
        <is>
          <t>MS</t>
        </is>
      </c>
      <c r="R1945">
        <f>IF(OR(Q1945="CONTEXT",Q1945="REVIEW"),"",INDEX('Category Rules'!$D$5:$D$17,MATCH(P1945,'Category Rules'!$A$5:$A$17,0)))</f>
        <v>4020</v>
      </c>
      <c r="S1945" t="str">
        <f>IF(Q1945="CONTEXT","Make-safe",IF(Q1945="REVIEW","",INDEX('Category Rules'!$E$5:$E$17,MATCH(P1945,'Category Rules'!$A$5:$A$17,0))))</f>
        <v>Make-safe</v>
      </c>
      <c r="T1945" t="str">
        <f>IF(Q1945="DEP","BAS Excluded","GST on Income")</f>
        <v>GST on Income</v>
      </c>
      <c r="U1945">
        <f>IF(O1945=T1945,1,0)</f>
        <v>1</v>
      </c>
      <c r="V1945" s="9">
        <f>IF(OR(M1945=0,U1945=1),0,IF(T1945="GST on Income",ROUND(K1945*0.1,2),ROUND(-K1945*0.1,2)))</f>
        <v>0</v>
      </c>
    </row>
    <row r="1946">
      <c r="A1946" t="inlineStr">
        <is>
          <t>INV-4150-1</t>
        </is>
      </c>
      <c r="B1946" t="inlineStr">
        <is>
          <t>INV-4150</t>
        </is>
      </c>
      <c r="C1946" s="11" t="n">
        <v>46123</v>
      </c>
      <c r="D1946" t="inlineStr">
        <is>
          <t>2026-04</t>
        </is>
      </c>
      <c r="E1946" t="inlineStr">
        <is>
          <t>C0033</t>
        </is>
      </c>
      <c r="F1946" t="inlineStr">
        <is>
          <t>C0033</t>
        </is>
      </c>
      <c r="G1946" t="inlineStr">
        <is>
          <t>Granite Projects Pty Ltd</t>
        </is>
      </c>
      <c r="H1946" t="inlineStr">
        <is>
          <t>S0010</t>
        </is>
      </c>
      <c r="I1946" t="inlineStr">
        <is>
          <t>Temporary fence hire 4 wks (14/03/26-10/04/26) - 16 panels</t>
        </is>
      </c>
      <c r="J1946" t="n">
        <v>64</v>
      </c>
      <c r="K1946" s="9" t="n">
        <v>288</v>
      </c>
      <c r="L1946" t="inlineStr">
        <is>
          <t>PAID</t>
        </is>
      </c>
      <c r="M1946">
        <f>IF(L1946="VOIDED",0,1)</f>
        <v>1</v>
      </c>
      <c r="N1946" t="n">
        <v>200</v>
      </c>
      <c r="O1946" t="inlineStr">
        <is>
          <t>GST on Income</t>
        </is>
      </c>
      <c r="P1946" t="inlineStr">
        <is>
          <t>R03</t>
        </is>
      </c>
      <c r="Q1946" t="inlineStr">
        <is>
          <t>HIRE-FP</t>
        </is>
      </c>
      <c r="R1946">
        <f>IF(OR(Q1946="CONTEXT",Q1946="REVIEW"),"",INDEX('Category Rules'!$D$5:$D$17,MATCH(P1946,'Category Rules'!$A$5:$A$17,0)))</f>
        <v>4010</v>
      </c>
      <c r="S1946" t="str">
        <f>IF(Q1946="CONTEXT","Fencing",IF(Q1946="REVIEW","",INDEX('Category Rules'!$E$5:$E$17,MATCH(P1946,'Category Rules'!$A$5:$A$17,0))))</f>
        <v>Fencing</v>
      </c>
      <c r="T1946" t="str">
        <f>IF(Q1946="DEP","BAS Excluded","GST on Income")</f>
        <v>GST on Income</v>
      </c>
      <c r="U1946">
        <f>IF(O1946=T1946,1,0)</f>
        <v>1</v>
      </c>
      <c r="V1946" s="9">
        <f>IF(OR(M1946=0,U1946=1),0,IF(T1946="GST on Income",ROUND(K1946*0.1,2),ROUND(-K1946*0.1,2)))</f>
        <v>0</v>
      </c>
    </row>
    <row r="1947">
      <c r="A1947" t="inlineStr">
        <is>
          <t>INV-4152-1</t>
        </is>
      </c>
      <c r="B1947" t="inlineStr">
        <is>
          <t>INV-4152</t>
        </is>
      </c>
      <c r="C1947" s="11" t="n">
        <v>46123</v>
      </c>
      <c r="D1947" t="inlineStr">
        <is>
          <t>2026-04</t>
        </is>
      </c>
      <c r="E1947" t="inlineStr">
        <is>
          <t>C0033</t>
        </is>
      </c>
      <c r="F1947" t="inlineStr">
        <is>
          <t>C0033</t>
        </is>
      </c>
      <c r="G1947" t="inlineStr">
        <is>
          <t>Granite Projects Pty Ltd</t>
        </is>
      </c>
      <c r="H1947" t="inlineStr">
        <is>
          <t>S0010</t>
        </is>
      </c>
      <c r="I1947" t="inlineStr">
        <is>
          <t>Pedestrian barrier hire 4 wks (14/03/26-10/04/26) - 9 barriers</t>
        </is>
      </c>
      <c r="J1947" t="n">
        <v>36</v>
      </c>
      <c r="K1947" s="9" t="n">
        <v>115.2</v>
      </c>
      <c r="L1947" t="inlineStr">
        <is>
          <t>PAID</t>
        </is>
      </c>
      <c r="M1947">
        <f>IF(L1947="VOIDED",0,1)</f>
        <v>1</v>
      </c>
      <c r="N1947" t="n">
        <v>200</v>
      </c>
      <c r="O1947" t="inlineStr">
        <is>
          <t>GST on Income</t>
        </is>
      </c>
      <c r="P1947" t="inlineStr">
        <is>
          <t>R04</t>
        </is>
      </c>
      <c r="Q1947" t="inlineStr">
        <is>
          <t>HIRE-BR</t>
        </is>
      </c>
      <c r="R1947">
        <f>IF(OR(Q1947="CONTEXT",Q1947="REVIEW"),"",INDEX('Category Rules'!$D$5:$D$17,MATCH(P1947,'Category Rules'!$A$5:$A$17,0)))</f>
        <v>4010</v>
      </c>
      <c r="S1947" t="str">
        <f>IF(Q1947="CONTEXT","Fencing",IF(Q1947="REVIEW","",INDEX('Category Rules'!$E$5:$E$17,MATCH(P1947,'Category Rules'!$A$5:$A$17,0))))</f>
        <v>Fencing</v>
      </c>
      <c r="T1947" t="str">
        <f>IF(Q1947="DEP","BAS Excluded","GST on Income")</f>
        <v>GST on Income</v>
      </c>
      <c r="U1947">
        <f>IF(O1947=T1947,1,0)</f>
        <v>1</v>
      </c>
      <c r="V1947" s="9">
        <f>IF(OR(M1947=0,U1947=1),0,IF(T1947="GST on Income",ROUND(K1947*0.1,2),ROUND(-K1947*0.1,2)))</f>
        <v>0</v>
      </c>
    </row>
    <row r="1948">
      <c r="A1948" t="inlineStr">
        <is>
          <t>INV-4169-1</t>
        </is>
      </c>
      <c r="B1948" t="inlineStr">
        <is>
          <t>INV-4169</t>
        </is>
      </c>
      <c r="C1948" s="11" t="n">
        <v>46123</v>
      </c>
      <c r="D1948" t="inlineStr">
        <is>
          <t>2026-04</t>
        </is>
      </c>
      <c r="E1948" t="inlineStr">
        <is>
          <t>C0030</t>
        </is>
      </c>
      <c r="F1948" t="inlineStr">
        <is>
          <t>C0030</t>
        </is>
      </c>
      <c r="G1948" t="inlineStr">
        <is>
          <t>Bluegum Developments</t>
        </is>
      </c>
      <c r="H1948" t="inlineStr">
        <is>
          <t>S0012</t>
        </is>
      </c>
      <c r="I1948" t="inlineStr">
        <is>
          <t>Delivery and installation - temporary fencing</t>
        </is>
      </c>
      <c r="J1948" t="n">
        <v>1</v>
      </c>
      <c r="K1948" s="9" t="n">
        <v>165</v>
      </c>
      <c r="L1948" t="inlineStr">
        <is>
          <t>PAID</t>
        </is>
      </c>
      <c r="M1948">
        <f>IF(L1948="VOIDED",0,1)</f>
        <v>1</v>
      </c>
      <c r="N1948" t="n">
        <v>200</v>
      </c>
      <c r="O1948" t="inlineStr">
        <is>
          <t>GST on Income</t>
        </is>
      </c>
      <c r="P1948" t="inlineStr">
        <is>
          <t>R07</t>
        </is>
      </c>
      <c r="Q1948" t="inlineStr">
        <is>
          <t>DEL-FP</t>
        </is>
      </c>
      <c r="R1948">
        <f>IF(OR(Q1948="CONTEXT",Q1948="REVIEW"),"",INDEX('Category Rules'!$D$5:$D$17,MATCH(P1948,'Category Rules'!$A$5:$A$17,0)))</f>
        <v>4020</v>
      </c>
      <c r="S1948" t="str">
        <f>IF(Q1948="CONTEXT","Fencing",IF(Q1948="REVIEW","",INDEX('Category Rules'!$E$5:$E$17,MATCH(P1948,'Category Rules'!$A$5:$A$17,0))))</f>
        <v>Fencing</v>
      </c>
      <c r="T1948" t="str">
        <f>IF(Q1948="DEP","BAS Excluded","GST on Income")</f>
        <v>GST on Income</v>
      </c>
      <c r="U1948">
        <f>IF(O1948=T1948,1,0)</f>
        <v>1</v>
      </c>
      <c r="V1948" s="9">
        <f>IF(OR(M1948=0,U1948=1),0,IF(T1948="GST on Income",ROUND(K1948*0.1,2),ROUND(-K1948*0.1,2)))</f>
        <v>0</v>
      </c>
    </row>
    <row r="1949">
      <c r="A1949" t="inlineStr">
        <is>
          <t>INV-4169-2</t>
        </is>
      </c>
      <c r="B1949" t="inlineStr">
        <is>
          <t>INV-4169</t>
        </is>
      </c>
      <c r="C1949" s="11" t="n">
        <v>46123</v>
      </c>
      <c r="D1949" t="inlineStr">
        <is>
          <t>2026-04</t>
        </is>
      </c>
      <c r="E1949" t="inlineStr">
        <is>
          <t>C0030</t>
        </is>
      </c>
      <c r="F1949" t="inlineStr">
        <is>
          <t>C0030</t>
        </is>
      </c>
      <c r="G1949" t="inlineStr">
        <is>
          <t>Bluegum Developments</t>
        </is>
      </c>
      <c r="H1949" t="inlineStr">
        <is>
          <t>S0012</t>
        </is>
      </c>
      <c r="I1949" t="inlineStr">
        <is>
          <t>Installation labour - 86 panels @ 2.20</t>
        </is>
      </c>
      <c r="J1949" t="n">
        <v>86</v>
      </c>
      <c r="K1949" s="9" t="n">
        <v>189.2</v>
      </c>
      <c r="L1949" t="inlineStr">
        <is>
          <t>PAID</t>
        </is>
      </c>
      <c r="M1949">
        <f>IF(L1949="VOIDED",0,1)</f>
        <v>1</v>
      </c>
      <c r="N1949" t="n">
        <v>200</v>
      </c>
      <c r="O1949" t="inlineStr">
        <is>
          <t>GST on Income</t>
        </is>
      </c>
      <c r="P1949" t="inlineStr">
        <is>
          <t>R07</t>
        </is>
      </c>
      <c r="Q1949" t="inlineStr">
        <is>
          <t>DEL-FP</t>
        </is>
      </c>
      <c r="R1949">
        <f>IF(OR(Q1949="CONTEXT",Q1949="REVIEW"),"",INDEX('Category Rules'!$D$5:$D$17,MATCH(P1949,'Category Rules'!$A$5:$A$17,0)))</f>
        <v>4020</v>
      </c>
      <c r="S1949" t="str">
        <f>IF(Q1949="CONTEXT","Fencing",IF(Q1949="REVIEW","",INDEX('Category Rules'!$E$5:$E$17,MATCH(P1949,'Category Rules'!$A$5:$A$17,0))))</f>
        <v>Fencing</v>
      </c>
      <c r="T1949" t="str">
        <f>IF(Q1949="DEP","BAS Excluded","GST on Income")</f>
        <v>GST on Income</v>
      </c>
      <c r="U1949">
        <f>IF(O1949=T1949,1,0)</f>
        <v>1</v>
      </c>
      <c r="V1949" s="9">
        <f>IF(OR(M1949=0,U1949=1),0,IF(T1949="GST on Income",ROUND(K1949*0.1,2),ROUND(-K1949*0.1,2)))</f>
        <v>0</v>
      </c>
    </row>
    <row r="1950">
      <c r="A1950" t="inlineStr">
        <is>
          <t>INV-4448-1</t>
        </is>
      </c>
      <c r="B1950" t="inlineStr">
        <is>
          <t>INV-4448</t>
        </is>
      </c>
      <c r="C1950" s="11" t="n">
        <v>46123</v>
      </c>
      <c r="D1950" t="inlineStr">
        <is>
          <t>2026-04</t>
        </is>
      </c>
      <c r="E1950" t="inlineStr">
        <is>
          <t>C0010</t>
        </is>
      </c>
      <c r="F1950" t="inlineStr">
        <is>
          <t>C0010</t>
        </is>
      </c>
      <c r="G1950" t="inlineStr">
        <is>
          <t>Eastlink Developments</t>
        </is>
      </c>
      <c r="H1950" t="inlineStr">
        <is>
          <t>S0069</t>
        </is>
      </c>
      <c r="I1950" t="inlineStr">
        <is>
          <t>Temporary fence hire 4 wks (14/03/26-10/04/26) - 39 panels</t>
        </is>
      </c>
      <c r="J1950" t="n">
        <v>156</v>
      </c>
      <c r="K1950" s="9" t="n">
        <v>702</v>
      </c>
      <c r="L1950" t="inlineStr">
        <is>
          <t>PAID</t>
        </is>
      </c>
      <c r="M1950">
        <f>IF(L1950="VOIDED",0,1)</f>
        <v>1</v>
      </c>
      <c r="N1950" t="n">
        <v>200</v>
      </c>
      <c r="O1950" t="inlineStr">
        <is>
          <t>GST on Income</t>
        </is>
      </c>
      <c r="P1950" t="inlineStr">
        <is>
          <t>R03</t>
        </is>
      </c>
      <c r="Q1950" t="inlineStr">
        <is>
          <t>HIRE-FP</t>
        </is>
      </c>
      <c r="R1950">
        <f>IF(OR(Q1950="CONTEXT",Q1950="REVIEW"),"",INDEX('Category Rules'!$D$5:$D$17,MATCH(P1950,'Category Rules'!$A$5:$A$17,0)))</f>
        <v>4010</v>
      </c>
      <c r="S1950" t="str">
        <f>IF(Q1950="CONTEXT","Fencing",IF(Q1950="REVIEW","",INDEX('Category Rules'!$E$5:$E$17,MATCH(P1950,'Category Rules'!$A$5:$A$17,0))))</f>
        <v>Fencing</v>
      </c>
      <c r="T1950" t="str">
        <f>IF(Q1950="DEP","BAS Excluded","GST on Income")</f>
        <v>GST on Income</v>
      </c>
      <c r="U1950">
        <f>IF(O1950=T1950,1,0)</f>
        <v>1</v>
      </c>
      <c r="V1950" s="9">
        <f>IF(OR(M1950=0,U1950=1),0,IF(T1950="GST on Income",ROUND(K1950*0.1,2),ROUND(-K1950*0.1,2)))</f>
        <v>0</v>
      </c>
    </row>
    <row r="1951">
      <c r="A1951" t="inlineStr">
        <is>
          <t>INV-4450-1</t>
        </is>
      </c>
      <c r="B1951" t="inlineStr">
        <is>
          <t>INV-4450</t>
        </is>
      </c>
      <c r="C1951" s="11" t="n">
        <v>46123</v>
      </c>
      <c r="D1951" t="inlineStr">
        <is>
          <t>2026-04</t>
        </is>
      </c>
      <c r="E1951" t="inlineStr">
        <is>
          <t>C0010</t>
        </is>
      </c>
      <c r="F1951" t="inlineStr">
        <is>
          <t>C0010</t>
        </is>
      </c>
      <c r="G1951" t="inlineStr">
        <is>
          <t>Eastlink Developments</t>
        </is>
      </c>
      <c r="H1951" t="inlineStr">
        <is>
          <t>S0069</t>
        </is>
      </c>
      <c r="I1951" t="inlineStr">
        <is>
          <t>Collection and dismantle - temporary fencing</t>
        </is>
      </c>
      <c r="J1951" t="n">
        <v>1</v>
      </c>
      <c r="K1951" s="9" t="n">
        <v>165</v>
      </c>
      <c r="L1951" t="inlineStr">
        <is>
          <t>PAID</t>
        </is>
      </c>
      <c r="M1951">
        <f>IF(L1951="VOIDED",0,1)</f>
        <v>1</v>
      </c>
      <c r="N1951" t="n">
        <v>200</v>
      </c>
      <c r="O1951" t="inlineStr">
        <is>
          <t>GST on Income</t>
        </is>
      </c>
      <c r="P1951" t="inlineStr">
        <is>
          <t>R07</t>
        </is>
      </c>
      <c r="Q1951" t="inlineStr">
        <is>
          <t>DEL-FP</t>
        </is>
      </c>
      <c r="R1951">
        <f>IF(OR(Q1951="CONTEXT",Q1951="REVIEW"),"",INDEX('Category Rules'!$D$5:$D$17,MATCH(P1951,'Category Rules'!$A$5:$A$17,0)))</f>
        <v>4020</v>
      </c>
      <c r="S1951" t="str">
        <f>IF(Q1951="CONTEXT","Fencing",IF(Q1951="REVIEW","",INDEX('Category Rules'!$E$5:$E$17,MATCH(P1951,'Category Rules'!$A$5:$A$17,0))))</f>
        <v>Fencing</v>
      </c>
      <c r="T1951" t="str">
        <f>IF(Q1951="DEP","BAS Excluded","GST on Income")</f>
        <v>GST on Income</v>
      </c>
      <c r="U1951">
        <f>IF(O1951=T1951,1,0)</f>
        <v>1</v>
      </c>
      <c r="V1951" s="9">
        <f>IF(OR(M1951=0,U1951=1),0,IF(T1951="GST on Income",ROUND(K1951*0.1,2),ROUND(-K1951*0.1,2)))</f>
        <v>0</v>
      </c>
    </row>
    <row r="1952">
      <c r="A1952" t="inlineStr">
        <is>
          <t>INV-5072-1</t>
        </is>
      </c>
      <c r="B1952" t="inlineStr">
        <is>
          <t>INV-5072</t>
        </is>
      </c>
      <c r="C1952" s="11" t="n">
        <v>46123</v>
      </c>
      <c r="D1952" t="inlineStr">
        <is>
          <t>2026-04</t>
        </is>
      </c>
      <c r="E1952" t="inlineStr">
        <is>
          <t>C0054</t>
        </is>
      </c>
      <c r="F1952" t="inlineStr">
        <is>
          <t>C0054</t>
        </is>
      </c>
      <c r="G1952" t="inlineStr">
        <is>
          <t>Westside Strata Management Pty Ltd</t>
        </is>
      </c>
      <c r="H1952" t="inlineStr">
        <is>
          <t>S0208</t>
        </is>
      </c>
      <c r="I1952" t="inlineStr">
        <is>
          <t>Temporary fence hire 1 wks (07/04/26-10/04/26) - 72 panels</t>
        </is>
      </c>
      <c r="J1952" t="n">
        <v>72</v>
      </c>
      <c r="K1952" s="9" t="n">
        <v>324</v>
      </c>
      <c r="L1952" t="inlineStr">
        <is>
          <t>PAID</t>
        </is>
      </c>
      <c r="M1952">
        <f>IF(L1952="VOIDED",0,1)</f>
        <v>1</v>
      </c>
      <c r="N1952" t="n">
        <v>200</v>
      </c>
      <c r="O1952" t="inlineStr">
        <is>
          <t>GST on Income</t>
        </is>
      </c>
      <c r="P1952" t="inlineStr">
        <is>
          <t>R03</t>
        </is>
      </c>
      <c r="Q1952" t="inlineStr">
        <is>
          <t>HIRE-FP</t>
        </is>
      </c>
      <c r="R1952">
        <f>IF(OR(Q1952="CONTEXT",Q1952="REVIEW"),"",INDEX('Category Rules'!$D$5:$D$17,MATCH(P1952,'Category Rules'!$A$5:$A$17,0)))</f>
        <v>4010</v>
      </c>
      <c r="S1952" t="str">
        <f>IF(Q1952="CONTEXT","Fencing",IF(Q1952="REVIEW","",INDEX('Category Rules'!$E$5:$E$17,MATCH(P1952,'Category Rules'!$A$5:$A$17,0))))</f>
        <v>Fencing</v>
      </c>
      <c r="T1952" t="str">
        <f>IF(Q1952="DEP","BAS Excluded","GST on Income")</f>
        <v>GST on Income</v>
      </c>
      <c r="U1952">
        <f>IF(O1952=T1952,1,0)</f>
        <v>1</v>
      </c>
      <c r="V1952" s="9">
        <f>IF(OR(M1952=0,U1952=1),0,IF(T1952="GST on Income",ROUND(K1952*0.1,2),ROUND(-K1952*0.1,2)))</f>
        <v>0</v>
      </c>
    </row>
    <row r="1953">
      <c r="A1953" t="inlineStr">
        <is>
          <t>INV-5074-1</t>
        </is>
      </c>
      <c r="B1953" t="inlineStr">
        <is>
          <t>INV-5074</t>
        </is>
      </c>
      <c r="C1953" s="11" t="n">
        <v>46123</v>
      </c>
      <c r="D1953" t="inlineStr">
        <is>
          <t>2026-04</t>
        </is>
      </c>
      <c r="E1953" t="inlineStr">
        <is>
          <t>C0054</t>
        </is>
      </c>
      <c r="F1953" t="inlineStr">
        <is>
          <t>C0054</t>
        </is>
      </c>
      <c r="G1953" t="inlineStr">
        <is>
          <t>Westside Strata Management Pty Ltd</t>
        </is>
      </c>
      <c r="H1953" t="inlineStr">
        <is>
          <t>S0208</t>
        </is>
      </c>
      <c r="I1953" t="inlineStr">
        <is>
          <t>Collection and dismantle - temporary fencing</t>
        </is>
      </c>
      <c r="J1953" t="n">
        <v>1</v>
      </c>
      <c r="K1953" s="9" t="n">
        <v>165</v>
      </c>
      <c r="L1953" t="inlineStr">
        <is>
          <t>PAID</t>
        </is>
      </c>
      <c r="M1953">
        <f>IF(L1953="VOIDED",0,1)</f>
        <v>1</v>
      </c>
      <c r="N1953" t="n">
        <v>200</v>
      </c>
      <c r="O1953" t="inlineStr">
        <is>
          <t>GST on Income</t>
        </is>
      </c>
      <c r="P1953" t="inlineStr">
        <is>
          <t>R07</t>
        </is>
      </c>
      <c r="Q1953" t="inlineStr">
        <is>
          <t>DEL-FP</t>
        </is>
      </c>
      <c r="R1953">
        <f>IF(OR(Q1953="CONTEXT",Q1953="REVIEW"),"",INDEX('Category Rules'!$D$5:$D$17,MATCH(P1953,'Category Rules'!$A$5:$A$17,0)))</f>
        <v>4020</v>
      </c>
      <c r="S1953" t="str">
        <f>IF(Q1953="CONTEXT","Fencing",IF(Q1953="REVIEW","",INDEX('Category Rules'!$E$5:$E$17,MATCH(P1953,'Category Rules'!$A$5:$A$17,0))))</f>
        <v>Fencing</v>
      </c>
      <c r="T1953" t="str">
        <f>IF(Q1953="DEP","BAS Excluded","GST on Income")</f>
        <v>GST on Income</v>
      </c>
      <c r="U1953">
        <f>IF(O1953=T1953,1,0)</f>
        <v>1</v>
      </c>
      <c r="V1953" s="9">
        <f>IF(OR(M1953=0,U1953=1),0,IF(T1953="GST on Income",ROUND(K1953*0.1,2),ROUND(-K1953*0.1,2)))</f>
        <v>0</v>
      </c>
    </row>
    <row r="1954">
      <c r="A1954" t="inlineStr">
        <is>
          <t>INV-5279-1</t>
        </is>
      </c>
      <c r="B1954" t="inlineStr">
        <is>
          <t>INV-5279</t>
        </is>
      </c>
      <c r="C1954" s="11" t="n">
        <v>46123</v>
      </c>
      <c r="D1954" t="inlineStr">
        <is>
          <t>2026-04</t>
        </is>
      </c>
      <c r="E1954" t="inlineStr">
        <is>
          <t>C0120</t>
        </is>
      </c>
      <c r="F1954" t="inlineStr">
        <is>
          <t>C0120</t>
        </is>
      </c>
      <c r="G1954" t="inlineStr">
        <is>
          <t>Northgate Building Group</t>
        </is>
      </c>
      <c r="H1954" t="inlineStr">
        <is>
          <t>S0254</t>
        </is>
      </c>
      <c r="I1954" t="inlineStr">
        <is>
          <t>Scaffold erect - 2 tower(s)</t>
        </is>
      </c>
      <c r="J1954" t="n">
        <v>2</v>
      </c>
      <c r="K1954" s="9" t="n">
        <v>840</v>
      </c>
      <c r="L1954" t="inlineStr">
        <is>
          <t>PAID</t>
        </is>
      </c>
      <c r="M1954">
        <f>IF(L1954="VOIDED",0,1)</f>
        <v>1</v>
      </c>
      <c r="N1954" t="n">
        <v>200</v>
      </c>
      <c r="O1954" t="inlineStr">
        <is>
          <t>GST on Income</t>
        </is>
      </c>
      <c r="P1954" t="inlineStr">
        <is>
          <t>R08</t>
        </is>
      </c>
      <c r="Q1954" t="inlineStr">
        <is>
          <t>LAB-ST</t>
        </is>
      </c>
      <c r="R1954">
        <f>IF(OR(Q1954="CONTEXT",Q1954="REVIEW"),"",INDEX('Category Rules'!$D$5:$D$17,MATCH(P1954,'Category Rules'!$A$5:$A$17,0)))</f>
        <v>4020</v>
      </c>
      <c r="S1954" t="str">
        <f>IF(Q1954="CONTEXT","Scaffolding",IF(Q1954="REVIEW","",INDEX('Category Rules'!$E$5:$E$17,MATCH(P1954,'Category Rules'!$A$5:$A$17,0))))</f>
        <v>Scaffolding</v>
      </c>
      <c r="T1954" t="str">
        <f>IF(Q1954="DEP","BAS Excluded","GST on Income")</f>
        <v>GST on Income</v>
      </c>
      <c r="U1954">
        <f>IF(O1954=T1954,1,0)</f>
        <v>1</v>
      </c>
      <c r="V1954" s="9">
        <f>IF(OR(M1954=0,U1954=1),0,IF(T1954="GST on Income",ROUND(K1954*0.1,2),ROUND(-K1954*0.1,2)))</f>
        <v>0</v>
      </c>
    </row>
    <row r="1955">
      <c r="A1955" t="inlineStr">
        <is>
          <t>INV-5709-1</t>
        </is>
      </c>
      <c r="B1955" t="inlineStr">
        <is>
          <t>INV-5709</t>
        </is>
      </c>
      <c r="C1955" s="11" t="n">
        <v>46123</v>
      </c>
      <c r="D1955" t="inlineStr">
        <is>
          <t>2026-04</t>
        </is>
      </c>
      <c r="E1955" t="inlineStr">
        <is>
          <t>C0133</t>
        </is>
      </c>
      <c r="F1955" t="inlineStr">
        <is>
          <t>C0014</t>
        </is>
      </c>
      <c r="G1955" t="inlineStr">
        <is>
          <t>Riverbend Homes Pty Ltd</t>
        </is>
      </c>
      <c r="H1955" t="inlineStr">
        <is>
          <t>S0440</t>
        </is>
      </c>
      <c r="I1955" t="inlineStr">
        <is>
          <t>Tarp kit hire 3 wks (27/03/26-10/04/26) - 2 kits</t>
        </is>
      </c>
      <c r="J1955" t="n">
        <v>6</v>
      </c>
      <c r="K1955" s="9" t="n">
        <v>210</v>
      </c>
      <c r="L1955" t="inlineStr">
        <is>
          <t>PAID</t>
        </is>
      </c>
      <c r="M1955">
        <f>IF(L1955="VOIDED",0,1)</f>
        <v>1</v>
      </c>
      <c r="N1955" t="n">
        <v>200</v>
      </c>
      <c r="O1955" t="inlineStr">
        <is>
          <t>GST on Income</t>
        </is>
      </c>
      <c r="P1955" t="inlineStr">
        <is>
          <t>R06</t>
        </is>
      </c>
      <c r="Q1955" t="inlineStr">
        <is>
          <t>HIRE-TK</t>
        </is>
      </c>
      <c r="R1955">
        <f>IF(OR(Q1955="CONTEXT",Q1955="REVIEW"),"",INDEX('Category Rules'!$D$5:$D$17,MATCH(P1955,'Category Rules'!$A$5:$A$17,0)))</f>
        <v>4010</v>
      </c>
      <c r="S1955" t="str">
        <f>IF(Q1955="CONTEXT","Make-safe",IF(Q1955="REVIEW","",INDEX('Category Rules'!$E$5:$E$17,MATCH(P1955,'Category Rules'!$A$5:$A$17,0))))</f>
        <v>Make-safe</v>
      </c>
      <c r="T1955" t="str">
        <f>IF(Q1955="DEP","BAS Excluded","GST on Income")</f>
        <v>GST on Income</v>
      </c>
      <c r="U1955">
        <f>IF(O1955=T1955,1,0)</f>
        <v>1</v>
      </c>
      <c r="V1955" s="9">
        <f>IF(OR(M1955=0,U1955=1),0,IF(T1955="GST on Income",ROUND(K1955*0.1,2),ROUND(-K1955*0.1,2)))</f>
        <v>0</v>
      </c>
    </row>
    <row r="1956">
      <c r="A1956" t="inlineStr">
        <is>
          <t>INV-4452-1</t>
        </is>
      </c>
      <c r="B1956" t="inlineStr">
        <is>
          <t>INV-4452</t>
        </is>
      </c>
      <c r="C1956" s="11" t="n">
        <v>46124</v>
      </c>
      <c r="D1956" t="inlineStr">
        <is>
          <t>2026-04</t>
        </is>
      </c>
      <c r="E1956" t="inlineStr">
        <is>
          <t>C0077</t>
        </is>
      </c>
      <c r="F1956" t="inlineStr">
        <is>
          <t>C0077</t>
        </is>
      </c>
      <c r="G1956" t="inlineStr">
        <is>
          <t>Corner Events Pty Ltd</t>
        </is>
      </c>
      <c r="H1956" t="inlineStr">
        <is>
          <t>S0071</t>
        </is>
      </c>
      <c r="I1956" t="inlineStr">
        <is>
          <t>Temporary fence hire 3 wks (28/03/26-11/04/26) - 82 panels</t>
        </is>
      </c>
      <c r="J1956" t="n">
        <v>246</v>
      </c>
      <c r="K1956" s="9" t="n">
        <v>1107</v>
      </c>
      <c r="L1956" t="inlineStr">
        <is>
          <t>PAID</t>
        </is>
      </c>
      <c r="M1956">
        <f>IF(L1956="VOIDED",0,1)</f>
        <v>1</v>
      </c>
      <c r="N1956" t="n">
        <v>200</v>
      </c>
      <c r="O1956" t="inlineStr">
        <is>
          <t>GST on Income</t>
        </is>
      </c>
      <c r="P1956" t="inlineStr">
        <is>
          <t>R03</t>
        </is>
      </c>
      <c r="Q1956" t="inlineStr">
        <is>
          <t>HIRE-FP</t>
        </is>
      </c>
      <c r="R1956">
        <f>IF(OR(Q1956="CONTEXT",Q1956="REVIEW"),"",INDEX('Category Rules'!$D$5:$D$17,MATCH(P1956,'Category Rules'!$A$5:$A$17,0)))</f>
        <v>4010</v>
      </c>
      <c r="S1956" t="str">
        <f>IF(Q1956="CONTEXT","Fencing",IF(Q1956="REVIEW","",INDEX('Category Rules'!$E$5:$E$17,MATCH(P1956,'Category Rules'!$A$5:$A$17,0))))</f>
        <v>Fencing</v>
      </c>
      <c r="T1956" t="str">
        <f>IF(Q1956="DEP","BAS Excluded","GST on Income")</f>
        <v>GST on Income</v>
      </c>
      <c r="U1956">
        <f>IF(O1956=T1956,1,0)</f>
        <v>1</v>
      </c>
      <c r="V1956" s="9">
        <f>IF(OR(M1956=0,U1956=1),0,IF(T1956="GST on Income",ROUND(K1956*0.1,2),ROUND(-K1956*0.1,2)))</f>
        <v>0</v>
      </c>
    </row>
    <row r="1957">
      <c r="A1957" t="inlineStr">
        <is>
          <t>INV-4454-1</t>
        </is>
      </c>
      <c r="B1957" t="inlineStr">
        <is>
          <t>INV-4454</t>
        </is>
      </c>
      <c r="C1957" s="11" t="n">
        <v>46124</v>
      </c>
      <c r="D1957" t="inlineStr">
        <is>
          <t>2026-04</t>
        </is>
      </c>
      <c r="E1957" t="inlineStr">
        <is>
          <t>C0077</t>
        </is>
      </c>
      <c r="F1957" t="inlineStr">
        <is>
          <t>C0077</t>
        </is>
      </c>
      <c r="G1957" t="inlineStr">
        <is>
          <t>Corner Events Pty Ltd</t>
        </is>
      </c>
      <c r="H1957" t="inlineStr">
        <is>
          <t>S0071</t>
        </is>
      </c>
      <c r="I1957" t="inlineStr">
        <is>
          <t>Collection and dismantle - temporary fencing</t>
        </is>
      </c>
      <c r="J1957" t="n">
        <v>1</v>
      </c>
      <c r="K1957" s="9" t="n">
        <v>165</v>
      </c>
      <c r="L1957" t="inlineStr">
        <is>
          <t>PAID</t>
        </is>
      </c>
      <c r="M1957">
        <f>IF(L1957="VOIDED",0,1)</f>
        <v>1</v>
      </c>
      <c r="N1957" t="n">
        <v>200</v>
      </c>
      <c r="O1957" t="inlineStr">
        <is>
          <t>GST on Income</t>
        </is>
      </c>
      <c r="P1957" t="inlineStr">
        <is>
          <t>R07</t>
        </is>
      </c>
      <c r="Q1957" t="inlineStr">
        <is>
          <t>DEL-FP</t>
        </is>
      </c>
      <c r="R1957">
        <f>IF(OR(Q1957="CONTEXT",Q1957="REVIEW"),"",INDEX('Category Rules'!$D$5:$D$17,MATCH(P1957,'Category Rules'!$A$5:$A$17,0)))</f>
        <v>4020</v>
      </c>
      <c r="S1957" t="str">
        <f>IF(Q1957="CONTEXT","Fencing",IF(Q1957="REVIEW","",INDEX('Category Rules'!$E$5:$E$17,MATCH(P1957,'Category Rules'!$A$5:$A$17,0))))</f>
        <v>Fencing</v>
      </c>
      <c r="T1957" t="str">
        <f>IF(Q1957="DEP","BAS Excluded","GST on Income")</f>
        <v>GST on Income</v>
      </c>
      <c r="U1957">
        <f>IF(O1957=T1957,1,0)</f>
        <v>1</v>
      </c>
      <c r="V1957" s="9">
        <f>IF(OR(M1957=0,U1957=1),0,IF(T1957="GST on Income",ROUND(K1957*0.1,2),ROUND(-K1957*0.1,2)))</f>
        <v>0</v>
      </c>
    </row>
    <row r="1958">
      <c r="A1958" t="inlineStr">
        <is>
          <t>INV-4474-1</t>
        </is>
      </c>
      <c r="B1958" t="inlineStr">
        <is>
          <t>INV-4474</t>
        </is>
      </c>
      <c r="C1958" s="11" t="n">
        <v>46124</v>
      </c>
      <c r="D1958" t="inlineStr">
        <is>
          <t>2026-04</t>
        </is>
      </c>
      <c r="E1958" t="inlineStr">
        <is>
          <t>C0017</t>
        </is>
      </c>
      <c r="F1958" t="inlineStr">
        <is>
          <t>C0017</t>
        </is>
      </c>
      <c r="G1958" t="inlineStr">
        <is>
          <t>Cobalt Developments Pty Ltd</t>
        </is>
      </c>
      <c r="H1958" t="inlineStr">
        <is>
          <t>S0077</t>
        </is>
      </c>
      <c r="I1958" t="inlineStr">
        <is>
          <t>Temporary fence hire 2 wks (29/03/26-11/04/26) - 33 panels</t>
        </is>
      </c>
      <c r="J1958" t="n">
        <v>66</v>
      </c>
      <c r="K1958" s="9" t="n">
        <v>297</v>
      </c>
      <c r="L1958" t="inlineStr">
        <is>
          <t>PAID</t>
        </is>
      </c>
      <c r="M1958">
        <f>IF(L1958="VOIDED",0,1)</f>
        <v>1</v>
      </c>
      <c r="N1958" t="n">
        <v>200</v>
      </c>
      <c r="O1958" t="inlineStr">
        <is>
          <t>GST on Income</t>
        </is>
      </c>
      <c r="P1958" t="inlineStr">
        <is>
          <t>R03</t>
        </is>
      </c>
      <c r="Q1958" t="inlineStr">
        <is>
          <t>HIRE-FP</t>
        </is>
      </c>
      <c r="R1958">
        <f>IF(OR(Q1958="CONTEXT",Q1958="REVIEW"),"",INDEX('Category Rules'!$D$5:$D$17,MATCH(P1958,'Category Rules'!$A$5:$A$17,0)))</f>
        <v>4010</v>
      </c>
      <c r="S1958" t="str">
        <f>IF(Q1958="CONTEXT","Fencing",IF(Q1958="REVIEW","",INDEX('Category Rules'!$E$5:$E$17,MATCH(P1958,'Category Rules'!$A$5:$A$17,0))))</f>
        <v>Fencing</v>
      </c>
      <c r="T1958" t="str">
        <f>IF(Q1958="DEP","BAS Excluded","GST on Income")</f>
        <v>GST on Income</v>
      </c>
      <c r="U1958">
        <f>IF(O1958=T1958,1,0)</f>
        <v>1</v>
      </c>
      <c r="V1958" s="9">
        <f>IF(OR(M1958=0,U1958=1),0,IF(T1958="GST on Income",ROUND(K1958*0.1,2),ROUND(-K1958*0.1,2)))</f>
        <v>0</v>
      </c>
    </row>
    <row r="1959">
      <c r="A1959" t="inlineStr">
        <is>
          <t>INV-4476-1</t>
        </is>
      </c>
      <c r="B1959" t="inlineStr">
        <is>
          <t>INV-4476</t>
        </is>
      </c>
      <c r="C1959" s="11" t="n">
        <v>46124</v>
      </c>
      <c r="D1959" t="inlineStr">
        <is>
          <t>2026-04</t>
        </is>
      </c>
      <c r="E1959" t="inlineStr">
        <is>
          <t>C0017</t>
        </is>
      </c>
      <c r="F1959" t="inlineStr">
        <is>
          <t>C0017</t>
        </is>
      </c>
      <c r="G1959" t="inlineStr">
        <is>
          <t>Cobalt Developments Pty Ltd</t>
        </is>
      </c>
      <c r="H1959" t="inlineStr">
        <is>
          <t>S0077</t>
        </is>
      </c>
      <c r="I1959" t="inlineStr">
        <is>
          <t>Pedestrian barrier hire 2 wks (29/03/26-11/04/26) - 14 barriers</t>
        </is>
      </c>
      <c r="J1959" t="n">
        <v>28</v>
      </c>
      <c r="K1959" s="9" t="n">
        <v>89.59999999999999</v>
      </c>
      <c r="L1959" t="inlineStr">
        <is>
          <t>PAID</t>
        </is>
      </c>
      <c r="M1959">
        <f>IF(L1959="VOIDED",0,1)</f>
        <v>1</v>
      </c>
      <c r="N1959" t="n">
        <v>200</v>
      </c>
      <c r="O1959" t="inlineStr">
        <is>
          <t>GST on Income</t>
        </is>
      </c>
      <c r="P1959" t="inlineStr">
        <is>
          <t>R04</t>
        </is>
      </c>
      <c r="Q1959" t="inlineStr">
        <is>
          <t>HIRE-BR</t>
        </is>
      </c>
      <c r="R1959">
        <f>IF(OR(Q1959="CONTEXT",Q1959="REVIEW"),"",INDEX('Category Rules'!$D$5:$D$17,MATCH(P1959,'Category Rules'!$A$5:$A$17,0)))</f>
        <v>4010</v>
      </c>
      <c r="S1959" t="str">
        <f>IF(Q1959="CONTEXT","Fencing",IF(Q1959="REVIEW","",INDEX('Category Rules'!$E$5:$E$17,MATCH(P1959,'Category Rules'!$A$5:$A$17,0))))</f>
        <v>Fencing</v>
      </c>
      <c r="T1959" t="str">
        <f>IF(Q1959="DEP","BAS Excluded","GST on Income")</f>
        <v>GST on Income</v>
      </c>
      <c r="U1959">
        <f>IF(O1959=T1959,1,0)</f>
        <v>1</v>
      </c>
      <c r="V1959" s="9">
        <f>IF(OR(M1959=0,U1959=1),0,IF(T1959="GST on Income",ROUND(K1959*0.1,2),ROUND(-K1959*0.1,2)))</f>
        <v>0</v>
      </c>
    </row>
    <row r="1960">
      <c r="A1960" t="inlineStr">
        <is>
          <t>INV-4478-1</t>
        </is>
      </c>
      <c r="B1960" t="inlineStr">
        <is>
          <t>INV-4478</t>
        </is>
      </c>
      <c r="C1960" s="11" t="n">
        <v>46124</v>
      </c>
      <c r="D1960" t="inlineStr">
        <is>
          <t>2026-04</t>
        </is>
      </c>
      <c r="E1960" t="inlineStr">
        <is>
          <t>C0017</t>
        </is>
      </c>
      <c r="F1960" t="inlineStr">
        <is>
          <t>C0017</t>
        </is>
      </c>
      <c r="G1960" t="inlineStr">
        <is>
          <t>Cobalt Developments Pty Ltd</t>
        </is>
      </c>
      <c r="H1960" t="inlineStr">
        <is>
          <t>S0077</t>
        </is>
      </c>
      <c r="I1960" t="inlineStr">
        <is>
          <t>Collection and dismantle - temporary fencing</t>
        </is>
      </c>
      <c r="J1960" t="n">
        <v>1</v>
      </c>
      <c r="K1960" s="9" t="n">
        <v>165</v>
      </c>
      <c r="L1960" t="inlineStr">
        <is>
          <t>PAID</t>
        </is>
      </c>
      <c r="M1960">
        <f>IF(L1960="VOIDED",0,1)</f>
        <v>1</v>
      </c>
      <c r="N1960" t="n">
        <v>200</v>
      </c>
      <c r="O1960" t="inlineStr">
        <is>
          <t>GST on Income</t>
        </is>
      </c>
      <c r="P1960" t="inlineStr">
        <is>
          <t>R07</t>
        </is>
      </c>
      <c r="Q1960" t="inlineStr">
        <is>
          <t>DEL-FP</t>
        </is>
      </c>
      <c r="R1960">
        <f>IF(OR(Q1960="CONTEXT",Q1960="REVIEW"),"",INDEX('Category Rules'!$D$5:$D$17,MATCH(P1960,'Category Rules'!$A$5:$A$17,0)))</f>
        <v>4020</v>
      </c>
      <c r="S1960" t="str">
        <f>IF(Q1960="CONTEXT","Fencing",IF(Q1960="REVIEW","",INDEX('Category Rules'!$E$5:$E$17,MATCH(P1960,'Category Rules'!$A$5:$A$17,0))))</f>
        <v>Fencing</v>
      </c>
      <c r="T1960" t="str">
        <f>IF(Q1960="DEP","BAS Excluded","GST on Income")</f>
        <v>GST on Income</v>
      </c>
      <c r="U1960">
        <f>IF(O1960=T1960,1,0)</f>
        <v>1</v>
      </c>
      <c r="V1960" s="9">
        <f>IF(OR(M1960=0,U1960=1),0,IF(T1960="GST on Income",ROUND(K1960*0.1,2),ROUND(-K1960*0.1,2)))</f>
        <v>0</v>
      </c>
    </row>
    <row r="1961">
      <c r="A1961" t="inlineStr">
        <is>
          <t>INV-4542-1</t>
        </is>
      </c>
      <c r="B1961" t="inlineStr">
        <is>
          <t>INV-4542</t>
        </is>
      </c>
      <c r="C1961" s="11" t="n">
        <v>46124</v>
      </c>
      <c r="D1961" t="inlineStr">
        <is>
          <t>2026-04</t>
        </is>
      </c>
      <c r="E1961" t="inlineStr">
        <is>
          <t>C0040</t>
        </is>
      </c>
      <c r="F1961" t="inlineStr">
        <is>
          <t>C0040</t>
        </is>
      </c>
      <c r="G1961" t="inlineStr">
        <is>
          <t>Coastline Projects Pty Ltd</t>
        </is>
      </c>
      <c r="H1961" t="inlineStr">
        <is>
          <t>S0089</t>
        </is>
      </c>
      <c r="I1961" t="inlineStr">
        <is>
          <t>Temporary fence hire 4 wks (15/03/26-11/04/26) - 19 panels</t>
        </is>
      </c>
      <c r="J1961" t="n">
        <v>76</v>
      </c>
      <c r="K1961" s="9" t="n">
        <v>342</v>
      </c>
      <c r="L1961" t="inlineStr">
        <is>
          <t>PAID</t>
        </is>
      </c>
      <c r="M1961">
        <f>IF(L1961="VOIDED",0,1)</f>
        <v>1</v>
      </c>
      <c r="N1961" t="n">
        <v>200</v>
      </c>
      <c r="O1961" t="inlineStr">
        <is>
          <t>GST on Income</t>
        </is>
      </c>
      <c r="P1961" t="inlineStr">
        <is>
          <t>R03</t>
        </is>
      </c>
      <c r="Q1961" t="inlineStr">
        <is>
          <t>HIRE-FP</t>
        </is>
      </c>
      <c r="R1961">
        <f>IF(OR(Q1961="CONTEXT",Q1961="REVIEW"),"",INDEX('Category Rules'!$D$5:$D$17,MATCH(P1961,'Category Rules'!$A$5:$A$17,0)))</f>
        <v>4010</v>
      </c>
      <c r="S1961" t="str">
        <f>IF(Q1961="CONTEXT","Fencing",IF(Q1961="REVIEW","",INDEX('Category Rules'!$E$5:$E$17,MATCH(P1961,'Category Rules'!$A$5:$A$17,0))))</f>
        <v>Fencing</v>
      </c>
      <c r="T1961" t="str">
        <f>IF(Q1961="DEP","BAS Excluded","GST on Income")</f>
        <v>GST on Income</v>
      </c>
      <c r="U1961">
        <f>IF(O1961=T1961,1,0)</f>
        <v>1</v>
      </c>
      <c r="V1961" s="9">
        <f>IF(OR(M1961=0,U1961=1),0,IF(T1961="GST on Income",ROUND(K1961*0.1,2),ROUND(-K1961*0.1,2)))</f>
        <v>0</v>
      </c>
    </row>
    <row r="1962">
      <c r="A1962" t="inlineStr">
        <is>
          <t>INV-4856-1</t>
        </is>
      </c>
      <c r="B1962" t="inlineStr">
        <is>
          <t>INV-4856</t>
        </is>
      </c>
      <c r="C1962" s="11" t="n">
        <v>46124</v>
      </c>
      <c r="D1962" t="inlineStr">
        <is>
          <t>2026-04</t>
        </is>
      </c>
      <c r="E1962" t="inlineStr">
        <is>
          <t>C0122</t>
        </is>
      </c>
      <c r="F1962" t="inlineStr">
        <is>
          <t>C0122</t>
        </is>
      </c>
      <c r="G1962" t="inlineStr">
        <is>
          <t>Bluegum Construction Pty Ltd</t>
        </is>
      </c>
      <c r="H1962" t="inlineStr">
        <is>
          <t>S0160</t>
        </is>
      </c>
      <c r="I1962" t="inlineStr">
        <is>
          <t>Temporary fence hire 4 wks (15/03/26-11/04/26) - 54 panels</t>
        </is>
      </c>
      <c r="J1962" t="n">
        <v>216</v>
      </c>
      <c r="K1962" s="9" t="n">
        <v>972</v>
      </c>
      <c r="L1962" t="inlineStr">
        <is>
          <t>PAID</t>
        </is>
      </c>
      <c r="M1962">
        <f>IF(L1962="VOIDED",0,1)</f>
        <v>1</v>
      </c>
      <c r="N1962" t="n">
        <v>200</v>
      </c>
      <c r="O1962" t="inlineStr">
        <is>
          <t>GST on Income</t>
        </is>
      </c>
      <c r="P1962" t="inlineStr">
        <is>
          <t>R03</t>
        </is>
      </c>
      <c r="Q1962" t="inlineStr">
        <is>
          <t>HIRE-FP</t>
        </is>
      </c>
      <c r="R1962">
        <f>IF(OR(Q1962="CONTEXT",Q1962="REVIEW"),"",INDEX('Category Rules'!$D$5:$D$17,MATCH(P1962,'Category Rules'!$A$5:$A$17,0)))</f>
        <v>4010</v>
      </c>
      <c r="S1962" t="str">
        <f>IF(Q1962="CONTEXT","Fencing",IF(Q1962="REVIEW","",INDEX('Category Rules'!$E$5:$E$17,MATCH(P1962,'Category Rules'!$A$5:$A$17,0))))</f>
        <v>Fencing</v>
      </c>
      <c r="T1962" t="str">
        <f>IF(Q1962="DEP","BAS Excluded","GST on Income")</f>
        <v>GST on Income</v>
      </c>
      <c r="U1962">
        <f>IF(O1962=T1962,1,0)</f>
        <v>1</v>
      </c>
      <c r="V1962" s="9">
        <f>IF(OR(M1962=0,U1962=1),0,IF(T1962="GST on Income",ROUND(K1962*0.1,2),ROUND(-K1962*0.1,2)))</f>
        <v>0</v>
      </c>
    </row>
    <row r="1963">
      <c r="A1963" t="inlineStr">
        <is>
          <t>INV-5649-1</t>
        </is>
      </c>
      <c r="B1963" t="inlineStr">
        <is>
          <t>INV-5649</t>
        </is>
      </c>
      <c r="C1963" s="11" t="n">
        <v>46124</v>
      </c>
      <c r="D1963" t="inlineStr">
        <is>
          <t>2026-04</t>
        </is>
      </c>
      <c r="E1963" t="inlineStr">
        <is>
          <t>C0018</t>
        </is>
      </c>
      <c r="F1963" t="inlineStr">
        <is>
          <t>C0018</t>
        </is>
      </c>
      <c r="G1963" t="inlineStr">
        <is>
          <t>Wattle Constructions Pty Ltd</t>
        </is>
      </c>
      <c r="H1963" t="inlineStr">
        <is>
          <t>S0407</t>
        </is>
      </c>
      <c r="I1963" t="inlineStr">
        <is>
          <t>Tarp kit hire 2 wks (04/04/26-11/04/26) - 1 kits</t>
        </is>
      </c>
      <c r="J1963" t="n">
        <v>2</v>
      </c>
      <c r="K1963" s="9" t="n">
        <v>70</v>
      </c>
      <c r="L1963" t="inlineStr">
        <is>
          <t>PAID</t>
        </is>
      </c>
      <c r="M1963">
        <f>IF(L1963="VOIDED",0,1)</f>
        <v>1</v>
      </c>
      <c r="N1963" t="n">
        <v>200</v>
      </c>
      <c r="O1963" t="inlineStr">
        <is>
          <t>GST on Income</t>
        </is>
      </c>
      <c r="P1963" t="inlineStr">
        <is>
          <t>R06</t>
        </is>
      </c>
      <c r="Q1963" t="inlineStr">
        <is>
          <t>HIRE-TK</t>
        </is>
      </c>
      <c r="R1963">
        <f>IF(OR(Q1963="CONTEXT",Q1963="REVIEW"),"",INDEX('Category Rules'!$D$5:$D$17,MATCH(P1963,'Category Rules'!$A$5:$A$17,0)))</f>
        <v>4010</v>
      </c>
      <c r="S1963" t="str">
        <f>IF(Q1963="CONTEXT","Make-safe",IF(Q1963="REVIEW","",INDEX('Category Rules'!$E$5:$E$17,MATCH(P1963,'Category Rules'!$A$5:$A$17,0))))</f>
        <v>Make-safe</v>
      </c>
      <c r="T1963" t="str">
        <f>IF(Q1963="DEP","BAS Excluded","GST on Income")</f>
        <v>GST on Income</v>
      </c>
      <c r="U1963">
        <f>IF(O1963=T1963,1,0)</f>
        <v>1</v>
      </c>
      <c r="V1963" s="9">
        <f>IF(OR(M1963=0,U1963=1),0,IF(T1963="GST on Income",ROUND(K1963*0.1,2),ROUND(-K1963*0.1,2)))</f>
        <v>0</v>
      </c>
    </row>
    <row r="1964">
      <c r="A1964" t="inlineStr">
        <is>
          <t>INV-4260-1</t>
        </is>
      </c>
      <c r="B1964" t="inlineStr">
        <is>
          <t>INV-4260</t>
        </is>
      </c>
      <c r="C1964" s="11" t="n">
        <v>46125</v>
      </c>
      <c r="D1964" t="inlineStr">
        <is>
          <t>2026-04</t>
        </is>
      </c>
      <c r="E1964" t="inlineStr">
        <is>
          <t>C0024</t>
        </is>
      </c>
      <c r="F1964" t="inlineStr">
        <is>
          <t>C0024</t>
        </is>
      </c>
      <c r="G1964" t="inlineStr">
        <is>
          <t>Parkview Homes Pty Ltd</t>
        </is>
      </c>
      <c r="H1964" t="inlineStr">
        <is>
          <t>S0034</t>
        </is>
      </c>
      <c r="I1964" t="inlineStr">
        <is>
          <t>Temporary fence hire 4 wks (18/03/26-12/04/26) - 28 panels</t>
        </is>
      </c>
      <c r="J1964" t="n">
        <v>112</v>
      </c>
      <c r="K1964" s="9" t="n">
        <v>504</v>
      </c>
      <c r="L1964" t="inlineStr">
        <is>
          <t>PAID</t>
        </is>
      </c>
      <c r="M1964">
        <f>IF(L1964="VOIDED",0,1)</f>
        <v>1</v>
      </c>
      <c r="N1964" t="n">
        <v>200</v>
      </c>
      <c r="O1964" t="inlineStr">
        <is>
          <t>GST on Income</t>
        </is>
      </c>
      <c r="P1964" t="inlineStr">
        <is>
          <t>R03</t>
        </is>
      </c>
      <c r="Q1964" t="inlineStr">
        <is>
          <t>HIRE-FP</t>
        </is>
      </c>
      <c r="R1964">
        <f>IF(OR(Q1964="CONTEXT",Q1964="REVIEW"),"",INDEX('Category Rules'!$D$5:$D$17,MATCH(P1964,'Category Rules'!$A$5:$A$17,0)))</f>
        <v>4010</v>
      </c>
      <c r="S1964" t="str">
        <f>IF(Q1964="CONTEXT","Fencing",IF(Q1964="REVIEW","",INDEX('Category Rules'!$E$5:$E$17,MATCH(P1964,'Category Rules'!$A$5:$A$17,0))))</f>
        <v>Fencing</v>
      </c>
      <c r="T1964" t="str">
        <f>IF(Q1964="DEP","BAS Excluded","GST on Income")</f>
        <v>GST on Income</v>
      </c>
      <c r="U1964">
        <f>IF(O1964=T1964,1,0)</f>
        <v>1</v>
      </c>
      <c r="V1964" s="9">
        <f>IF(OR(M1964=0,U1964=1),0,IF(T1964="GST on Income",ROUND(K1964*0.1,2),ROUND(-K1964*0.1,2)))</f>
        <v>0</v>
      </c>
    </row>
    <row r="1965">
      <c r="A1965" t="inlineStr">
        <is>
          <t>INV-4265-1</t>
        </is>
      </c>
      <c r="B1965" t="inlineStr">
        <is>
          <t>INV-4265</t>
        </is>
      </c>
      <c r="C1965" s="11" t="n">
        <v>46125</v>
      </c>
      <c r="D1965" t="inlineStr">
        <is>
          <t>2026-04</t>
        </is>
      </c>
      <c r="E1965" t="inlineStr">
        <is>
          <t>C0024</t>
        </is>
      </c>
      <c r="F1965" t="inlineStr">
        <is>
          <t>C0024</t>
        </is>
      </c>
      <c r="G1965" t="inlineStr">
        <is>
          <t>Parkview Homes Pty Ltd</t>
        </is>
      </c>
      <c r="H1965" t="inlineStr">
        <is>
          <t>S0034</t>
        </is>
      </c>
      <c r="I1965" t="inlineStr">
        <is>
          <t>Pedestrian barrier hire 4 wks (18/03/26-12/04/26) - 16 barriers</t>
        </is>
      </c>
      <c r="J1965" t="n">
        <v>64</v>
      </c>
      <c r="K1965" s="9" t="n">
        <v>204.8</v>
      </c>
      <c r="L1965" t="inlineStr">
        <is>
          <t>PAID</t>
        </is>
      </c>
      <c r="M1965">
        <f>IF(L1965="VOIDED",0,1)</f>
        <v>1</v>
      </c>
      <c r="N1965" t="n">
        <v>200</v>
      </c>
      <c r="O1965" t="inlineStr">
        <is>
          <t>GST on Income</t>
        </is>
      </c>
      <c r="P1965" t="inlineStr">
        <is>
          <t>R04</t>
        </is>
      </c>
      <c r="Q1965" t="inlineStr">
        <is>
          <t>HIRE-BR</t>
        </is>
      </c>
      <c r="R1965">
        <f>IF(OR(Q1965="CONTEXT",Q1965="REVIEW"),"",INDEX('Category Rules'!$D$5:$D$17,MATCH(P1965,'Category Rules'!$A$5:$A$17,0)))</f>
        <v>4010</v>
      </c>
      <c r="S1965" t="str">
        <f>IF(Q1965="CONTEXT","Fencing",IF(Q1965="REVIEW","",INDEX('Category Rules'!$E$5:$E$17,MATCH(P1965,'Category Rules'!$A$5:$A$17,0))))</f>
        <v>Fencing</v>
      </c>
      <c r="T1965" t="str">
        <f>IF(Q1965="DEP","BAS Excluded","GST on Income")</f>
        <v>GST on Income</v>
      </c>
      <c r="U1965">
        <f>IF(O1965=T1965,1,0)</f>
        <v>1</v>
      </c>
      <c r="V1965" s="9">
        <f>IF(OR(M1965=0,U1965=1),0,IF(T1965="GST on Income",ROUND(K1965*0.1,2),ROUND(-K1965*0.1,2)))</f>
        <v>0</v>
      </c>
    </row>
    <row r="1966">
      <c r="A1966" t="inlineStr">
        <is>
          <t>INV-4267-1</t>
        </is>
      </c>
      <c r="B1966" t="inlineStr">
        <is>
          <t>INV-4267</t>
        </is>
      </c>
      <c r="C1966" s="11" t="n">
        <v>46125</v>
      </c>
      <c r="D1966" t="inlineStr">
        <is>
          <t>2026-04</t>
        </is>
      </c>
      <c r="E1966" t="inlineStr">
        <is>
          <t>C0024</t>
        </is>
      </c>
      <c r="F1966" t="inlineStr">
        <is>
          <t>C0024</t>
        </is>
      </c>
      <c r="G1966" t="inlineStr">
        <is>
          <t>Parkview Homes Pty Ltd</t>
        </is>
      </c>
      <c r="H1966" t="inlineStr">
        <is>
          <t>S0034</t>
        </is>
      </c>
      <c r="I1966" t="inlineStr">
        <is>
          <t>Collection and dismantle - temporary fencing</t>
        </is>
      </c>
      <c r="J1966" t="n">
        <v>1</v>
      </c>
      <c r="K1966" s="9" t="n">
        <v>165</v>
      </c>
      <c r="L1966" t="inlineStr">
        <is>
          <t>PAID</t>
        </is>
      </c>
      <c r="M1966">
        <f>IF(L1966="VOIDED",0,1)</f>
        <v>1</v>
      </c>
      <c r="N1966" t="n">
        <v>200</v>
      </c>
      <c r="O1966" t="inlineStr">
        <is>
          <t>GST on Income</t>
        </is>
      </c>
      <c r="P1966" t="inlineStr">
        <is>
          <t>R07</t>
        </is>
      </c>
      <c r="Q1966" t="inlineStr">
        <is>
          <t>DEL-FP</t>
        </is>
      </c>
      <c r="R1966">
        <f>IF(OR(Q1966="CONTEXT",Q1966="REVIEW"),"",INDEX('Category Rules'!$D$5:$D$17,MATCH(P1966,'Category Rules'!$A$5:$A$17,0)))</f>
        <v>4020</v>
      </c>
      <c r="S1966" t="str">
        <f>IF(Q1966="CONTEXT","Fencing",IF(Q1966="REVIEW","",INDEX('Category Rules'!$E$5:$E$17,MATCH(P1966,'Category Rules'!$A$5:$A$17,0))))</f>
        <v>Fencing</v>
      </c>
      <c r="T1966" t="str">
        <f>IF(Q1966="DEP","BAS Excluded","GST on Income")</f>
        <v>GST on Income</v>
      </c>
      <c r="U1966">
        <f>IF(O1966=T1966,1,0)</f>
        <v>1</v>
      </c>
      <c r="V1966" s="9">
        <f>IF(OR(M1966=0,U1966=1),0,IF(T1966="GST on Income",ROUND(K1966*0.1,2),ROUND(-K1966*0.1,2)))</f>
        <v>0</v>
      </c>
    </row>
    <row r="1967">
      <c r="A1967" t="inlineStr">
        <is>
          <t>INV-5632-1</t>
        </is>
      </c>
      <c r="B1967" t="inlineStr">
        <is>
          <t>INV-5632</t>
        </is>
      </c>
      <c r="C1967" s="11" t="n">
        <v>46125</v>
      </c>
      <c r="D1967" t="inlineStr">
        <is>
          <t>2026-04</t>
        </is>
      </c>
      <c r="E1967" t="inlineStr">
        <is>
          <t>C0068</t>
        </is>
      </c>
      <c r="F1967" t="inlineStr">
        <is>
          <t>C0068</t>
        </is>
      </c>
      <c r="G1967" t="inlineStr">
        <is>
          <t>Coastline Claims Services</t>
        </is>
      </c>
      <c r="H1967" t="inlineStr">
        <is>
          <t>S0397</t>
        </is>
      </c>
      <c r="I1967" t="inlineStr">
        <is>
          <t>Roof repair labour - 4 hrs</t>
        </is>
      </c>
      <c r="J1967" t="n">
        <v>4</v>
      </c>
      <c r="K1967" s="9" t="n">
        <v>392</v>
      </c>
      <c r="L1967" t="inlineStr">
        <is>
          <t>PAID</t>
        </is>
      </c>
      <c r="M1967">
        <f>IF(L1967="VOIDED",0,1)</f>
        <v>1</v>
      </c>
      <c r="N1967" t="n">
        <v>200</v>
      </c>
      <c r="O1967" t="inlineStr">
        <is>
          <t>GST on Income</t>
        </is>
      </c>
      <c r="P1967" t="inlineStr">
        <is>
          <t>R10</t>
        </is>
      </c>
      <c r="Q1967" t="inlineStr">
        <is>
          <t>LAB-RF</t>
        </is>
      </c>
      <c r="R1967">
        <f>IF(OR(Q1967="CONTEXT",Q1967="REVIEW"),"",INDEX('Category Rules'!$D$5:$D$17,MATCH(P1967,'Category Rules'!$A$5:$A$17,0)))</f>
        <v>4020</v>
      </c>
      <c r="S1967" t="str">
        <f>IF(Q1967="CONTEXT","Roofing",IF(Q1967="REVIEW","",INDEX('Category Rules'!$E$5:$E$17,MATCH(P1967,'Category Rules'!$A$5:$A$17,0))))</f>
        <v>Roofing</v>
      </c>
      <c r="T1967" t="str">
        <f>IF(Q1967="DEP","BAS Excluded","GST on Income")</f>
        <v>GST on Income</v>
      </c>
      <c r="U1967">
        <f>IF(O1967=T1967,1,0)</f>
        <v>1</v>
      </c>
      <c r="V1967" s="9">
        <f>IF(OR(M1967=0,U1967=1),0,IF(T1967="GST on Income",ROUND(K1967*0.1,2),ROUND(-K1967*0.1,2)))</f>
        <v>0</v>
      </c>
    </row>
    <row r="1968">
      <c r="A1968" t="inlineStr">
        <is>
          <t>INV-5632-2</t>
        </is>
      </c>
      <c r="B1968" t="inlineStr">
        <is>
          <t>INV-5632</t>
        </is>
      </c>
      <c r="C1968" s="11" t="n">
        <v>46125</v>
      </c>
      <c r="D1968" t="inlineStr">
        <is>
          <t>2026-04</t>
        </is>
      </c>
      <c r="E1968" t="inlineStr">
        <is>
          <t>C0068</t>
        </is>
      </c>
      <c r="F1968" t="inlineStr">
        <is>
          <t>C0068</t>
        </is>
      </c>
      <c r="G1968" t="inlineStr">
        <is>
          <t>Coastline Claims Services</t>
        </is>
      </c>
      <c r="H1968" t="inlineStr">
        <is>
          <t>S0397</t>
        </is>
      </c>
      <c r="I1968" t="inlineStr">
        <is>
          <t>Materials - roof tiles (matched)</t>
        </is>
      </c>
      <c r="J1968" t="n">
        <v>1</v>
      </c>
      <c r="K1968" s="9" t="n">
        <v>980.49</v>
      </c>
      <c r="L1968" t="inlineStr">
        <is>
          <t>PAID</t>
        </is>
      </c>
      <c r="M1968">
        <f>IF(L1968="VOIDED",0,1)</f>
        <v>1</v>
      </c>
      <c r="N1968" t="n">
        <v>200</v>
      </c>
      <c r="O1968" t="inlineStr">
        <is>
          <t>GST on Income</t>
        </is>
      </c>
      <c r="P1968" t="inlineStr">
        <is>
          <t>R11</t>
        </is>
      </c>
      <c r="Q1968" t="inlineStr">
        <is>
          <t>MAT-RF</t>
        </is>
      </c>
      <c r="R1968">
        <f>IF(OR(Q1968="CONTEXT",Q1968="REVIEW"),"",INDEX('Category Rules'!$D$5:$D$17,MATCH(P1968,'Category Rules'!$A$5:$A$17,0)))</f>
        <v>4030</v>
      </c>
      <c r="S1968" t="str">
        <f>IF(Q1968="CONTEXT","Roofing",IF(Q1968="REVIEW","",INDEX('Category Rules'!$E$5:$E$17,MATCH(P1968,'Category Rules'!$A$5:$A$17,0))))</f>
        <v>Roofing</v>
      </c>
      <c r="T1968" t="str">
        <f>IF(Q1968="DEP","BAS Excluded","GST on Income")</f>
        <v>GST on Income</v>
      </c>
      <c r="U1968">
        <f>IF(O1968=T1968,1,0)</f>
        <v>1</v>
      </c>
      <c r="V1968" s="9">
        <f>IF(OR(M1968=0,U1968=1),0,IF(T1968="GST on Income",ROUND(K1968*0.1,2),ROUND(-K1968*0.1,2)))</f>
        <v>0</v>
      </c>
    </row>
    <row r="1969">
      <c r="A1969" t="inlineStr">
        <is>
          <t>INV-4151-1</t>
        </is>
      </c>
      <c r="B1969" t="inlineStr">
        <is>
          <t>INV-4151</t>
        </is>
      </c>
      <c r="C1969" s="11" t="n">
        <v>46126</v>
      </c>
      <c r="D1969" t="inlineStr">
        <is>
          <t>2026-04</t>
        </is>
      </c>
      <c r="E1969" t="inlineStr">
        <is>
          <t>C0033</t>
        </is>
      </c>
      <c r="F1969" t="inlineStr">
        <is>
          <t>C0033</t>
        </is>
      </c>
      <c r="G1969" t="inlineStr">
        <is>
          <t>Granite Projects Pty Ltd</t>
        </is>
      </c>
      <c r="H1969" t="inlineStr">
        <is>
          <t>S0010</t>
        </is>
      </c>
      <c r="I1969" t="inlineStr">
        <is>
          <t>Temporary fence hire 1 wks (11/04/26-13/04/26) - 16 panels</t>
        </is>
      </c>
      <c r="J1969" t="n">
        <v>16</v>
      </c>
      <c r="K1969" s="9" t="n">
        <v>72</v>
      </c>
      <c r="L1969" t="inlineStr">
        <is>
          <t>PAID</t>
        </is>
      </c>
      <c r="M1969">
        <f>IF(L1969="VOIDED",0,1)</f>
        <v>1</v>
      </c>
      <c r="N1969" t="n">
        <v>200</v>
      </c>
      <c r="O1969" t="inlineStr">
        <is>
          <t>GST on Income</t>
        </is>
      </c>
      <c r="P1969" t="inlineStr">
        <is>
          <t>R03</t>
        </is>
      </c>
      <c r="Q1969" t="inlineStr">
        <is>
          <t>HIRE-FP</t>
        </is>
      </c>
      <c r="R1969">
        <f>IF(OR(Q1969="CONTEXT",Q1969="REVIEW"),"",INDEX('Category Rules'!$D$5:$D$17,MATCH(P1969,'Category Rules'!$A$5:$A$17,0)))</f>
        <v>4010</v>
      </c>
      <c r="S1969" t="str">
        <f>IF(Q1969="CONTEXT","Fencing",IF(Q1969="REVIEW","",INDEX('Category Rules'!$E$5:$E$17,MATCH(P1969,'Category Rules'!$A$5:$A$17,0))))</f>
        <v>Fencing</v>
      </c>
      <c r="T1969" t="str">
        <f>IF(Q1969="DEP","BAS Excluded","GST on Income")</f>
        <v>GST on Income</v>
      </c>
      <c r="U1969">
        <f>IF(O1969=T1969,1,0)</f>
        <v>1</v>
      </c>
      <c r="V1969" s="9">
        <f>IF(OR(M1969=0,U1969=1),0,IF(T1969="GST on Income",ROUND(K1969*0.1,2),ROUND(-K1969*0.1,2)))</f>
        <v>0</v>
      </c>
    </row>
    <row r="1970">
      <c r="A1970" t="inlineStr">
        <is>
          <t>INV-4153-1</t>
        </is>
      </c>
      <c r="B1970" t="inlineStr">
        <is>
          <t>INV-4153</t>
        </is>
      </c>
      <c r="C1970" s="11" t="n">
        <v>46126</v>
      </c>
      <c r="D1970" t="inlineStr">
        <is>
          <t>2026-04</t>
        </is>
      </c>
      <c r="E1970" t="inlineStr">
        <is>
          <t>C0033</t>
        </is>
      </c>
      <c r="F1970" t="inlineStr">
        <is>
          <t>C0033</t>
        </is>
      </c>
      <c r="G1970" t="inlineStr">
        <is>
          <t>Granite Projects Pty Ltd</t>
        </is>
      </c>
      <c r="H1970" t="inlineStr">
        <is>
          <t>S0010</t>
        </is>
      </c>
      <c r="I1970" t="inlineStr">
        <is>
          <t>Pedestrian barrier hire 1 wks (11/04/26-13/04/26) - 9 barriers</t>
        </is>
      </c>
      <c r="J1970" t="n">
        <v>9</v>
      </c>
      <c r="K1970" s="9" t="n">
        <v>28.8</v>
      </c>
      <c r="L1970" t="inlineStr">
        <is>
          <t>PAID</t>
        </is>
      </c>
      <c r="M1970">
        <f>IF(L1970="VOIDED",0,1)</f>
        <v>1</v>
      </c>
      <c r="N1970" t="n">
        <v>200</v>
      </c>
      <c r="O1970" t="inlineStr">
        <is>
          <t>GST on Income</t>
        </is>
      </c>
      <c r="P1970" t="inlineStr">
        <is>
          <t>R04</t>
        </is>
      </c>
      <c r="Q1970" t="inlineStr">
        <is>
          <t>HIRE-BR</t>
        </is>
      </c>
      <c r="R1970">
        <f>IF(OR(Q1970="CONTEXT",Q1970="REVIEW"),"",INDEX('Category Rules'!$D$5:$D$17,MATCH(P1970,'Category Rules'!$A$5:$A$17,0)))</f>
        <v>4010</v>
      </c>
      <c r="S1970" t="str">
        <f>IF(Q1970="CONTEXT","Fencing",IF(Q1970="REVIEW","",INDEX('Category Rules'!$E$5:$E$17,MATCH(P1970,'Category Rules'!$A$5:$A$17,0))))</f>
        <v>Fencing</v>
      </c>
      <c r="T1970" t="str">
        <f>IF(Q1970="DEP","BAS Excluded","GST on Income")</f>
        <v>GST on Income</v>
      </c>
      <c r="U1970">
        <f>IF(O1970=T1970,1,0)</f>
        <v>1</v>
      </c>
      <c r="V1970" s="9">
        <f>IF(OR(M1970=0,U1970=1),0,IF(T1970="GST on Income",ROUND(K1970*0.1,2),ROUND(-K1970*0.1,2)))</f>
        <v>0</v>
      </c>
    </row>
    <row r="1971">
      <c r="A1971" t="inlineStr">
        <is>
          <t>INV-4155-1</t>
        </is>
      </c>
      <c r="B1971" t="inlineStr">
        <is>
          <t>INV-4155</t>
        </is>
      </c>
      <c r="C1971" s="11" t="n">
        <v>46126</v>
      </c>
      <c r="D1971" t="inlineStr">
        <is>
          <t>2026-04</t>
        </is>
      </c>
      <c r="E1971" t="inlineStr">
        <is>
          <t>C0033</t>
        </is>
      </c>
      <c r="F1971" t="inlineStr">
        <is>
          <t>C0033</t>
        </is>
      </c>
      <c r="G1971" t="inlineStr">
        <is>
          <t>Granite Projects Pty Ltd</t>
        </is>
      </c>
      <c r="H1971" t="inlineStr">
        <is>
          <t>S0010</t>
        </is>
      </c>
      <c r="I1971" t="inlineStr">
        <is>
          <t>Collection and dismantle - temporary fencing</t>
        </is>
      </c>
      <c r="J1971" t="n">
        <v>1</v>
      </c>
      <c r="K1971" s="9" t="n">
        <v>165</v>
      </c>
      <c r="L1971" t="inlineStr">
        <is>
          <t>PAID</t>
        </is>
      </c>
      <c r="M1971">
        <f>IF(L1971="VOIDED",0,1)</f>
        <v>1</v>
      </c>
      <c r="N1971" t="n">
        <v>200</v>
      </c>
      <c r="O1971" t="inlineStr">
        <is>
          <t>GST on Income</t>
        </is>
      </c>
      <c r="P1971" t="inlineStr">
        <is>
          <t>R07</t>
        </is>
      </c>
      <c r="Q1971" t="inlineStr">
        <is>
          <t>DEL-FP</t>
        </is>
      </c>
      <c r="R1971">
        <f>IF(OR(Q1971="CONTEXT",Q1971="REVIEW"),"",INDEX('Category Rules'!$D$5:$D$17,MATCH(P1971,'Category Rules'!$A$5:$A$17,0)))</f>
        <v>4020</v>
      </c>
      <c r="S1971" t="str">
        <f>IF(Q1971="CONTEXT","Fencing",IF(Q1971="REVIEW","",INDEX('Category Rules'!$E$5:$E$17,MATCH(P1971,'Category Rules'!$A$5:$A$17,0))))</f>
        <v>Fencing</v>
      </c>
      <c r="T1971" t="str">
        <f>IF(Q1971="DEP","BAS Excluded","GST on Income")</f>
        <v>GST on Income</v>
      </c>
      <c r="U1971">
        <f>IF(O1971=T1971,1,0)</f>
        <v>1</v>
      </c>
      <c r="V1971" s="9">
        <f>IF(OR(M1971=0,U1971=1),0,IF(T1971="GST on Income",ROUND(K1971*0.1,2),ROUND(-K1971*0.1,2)))</f>
        <v>0</v>
      </c>
    </row>
    <row r="1972">
      <c r="A1972" t="inlineStr">
        <is>
          <t>INV-4404-1</t>
        </is>
      </c>
      <c r="B1972" t="inlineStr">
        <is>
          <t>INV-4404</t>
        </is>
      </c>
      <c r="C1972" s="11" t="n">
        <v>46126</v>
      </c>
      <c r="D1972" t="inlineStr">
        <is>
          <t>2026-04</t>
        </is>
      </c>
      <c r="E1972" t="inlineStr">
        <is>
          <t>C0119</t>
        </is>
      </c>
      <c r="F1972" t="inlineStr">
        <is>
          <t>C0119</t>
        </is>
      </c>
      <c r="G1972" t="inlineStr">
        <is>
          <t>Northgate Builders Pty Ltd</t>
        </is>
      </c>
      <c r="H1972" t="inlineStr">
        <is>
          <t>S0062</t>
        </is>
      </c>
      <c r="I1972" t="inlineStr">
        <is>
          <t>Temporary fence hire 4 wks (17/03/26-13/04/26) - 61 panels</t>
        </is>
      </c>
      <c r="J1972" t="n">
        <v>244</v>
      </c>
      <c r="K1972" s="9" t="n">
        <v>1098</v>
      </c>
      <c r="L1972" t="inlineStr">
        <is>
          <t>PAID</t>
        </is>
      </c>
      <c r="M1972">
        <f>IF(L1972="VOIDED",0,1)</f>
        <v>1</v>
      </c>
      <c r="N1972" t="n">
        <v>200</v>
      </c>
      <c r="O1972" t="inlineStr">
        <is>
          <t>GST on Income</t>
        </is>
      </c>
      <c r="P1972" t="inlineStr">
        <is>
          <t>R03</t>
        </is>
      </c>
      <c r="Q1972" t="inlineStr">
        <is>
          <t>HIRE-FP</t>
        </is>
      </c>
      <c r="R1972">
        <f>IF(OR(Q1972="CONTEXT",Q1972="REVIEW"),"",INDEX('Category Rules'!$D$5:$D$17,MATCH(P1972,'Category Rules'!$A$5:$A$17,0)))</f>
        <v>4010</v>
      </c>
      <c r="S1972" t="str">
        <f>IF(Q1972="CONTEXT","Fencing",IF(Q1972="REVIEW","",INDEX('Category Rules'!$E$5:$E$17,MATCH(P1972,'Category Rules'!$A$5:$A$17,0))))</f>
        <v>Fencing</v>
      </c>
      <c r="T1972" t="str">
        <f>IF(Q1972="DEP","BAS Excluded","GST on Income")</f>
        <v>GST on Income</v>
      </c>
      <c r="U1972">
        <f>IF(O1972=T1972,1,0)</f>
        <v>1</v>
      </c>
      <c r="V1972" s="9">
        <f>IF(OR(M1972=0,U1972=1),0,IF(T1972="GST on Income",ROUND(K1972*0.1,2),ROUND(-K1972*0.1,2)))</f>
        <v>0</v>
      </c>
    </row>
    <row r="1973">
      <c r="A1973" t="inlineStr">
        <is>
          <t>INV-4413-1</t>
        </is>
      </c>
      <c r="B1973" t="inlineStr">
        <is>
          <t>INV-4413</t>
        </is>
      </c>
      <c r="C1973" s="11" t="n">
        <v>46126</v>
      </c>
      <c r="D1973" t="inlineStr">
        <is>
          <t>2026-04</t>
        </is>
      </c>
      <c r="E1973" t="inlineStr">
        <is>
          <t>C0119</t>
        </is>
      </c>
      <c r="F1973" t="inlineStr">
        <is>
          <t>C0119</t>
        </is>
      </c>
      <c r="G1973" t="inlineStr">
        <is>
          <t>Northgate Builders Pty Ltd</t>
        </is>
      </c>
      <c r="H1973" t="inlineStr">
        <is>
          <t>S0062</t>
        </is>
      </c>
      <c r="I1973" t="inlineStr">
        <is>
          <t>Pedestrian barrier hire 4 wks (17/03/26-13/04/26) - 19 barriers</t>
        </is>
      </c>
      <c r="J1973" t="n">
        <v>76</v>
      </c>
      <c r="K1973" s="9" t="n">
        <v>243.2</v>
      </c>
      <c r="L1973" t="inlineStr">
        <is>
          <t>PAID</t>
        </is>
      </c>
      <c r="M1973">
        <f>IF(L1973="VOIDED",0,1)</f>
        <v>1</v>
      </c>
      <c r="N1973" t="n">
        <v>200</v>
      </c>
      <c r="O1973" t="inlineStr">
        <is>
          <t>GST on Income</t>
        </is>
      </c>
      <c r="P1973" t="inlineStr">
        <is>
          <t>R04</t>
        </is>
      </c>
      <c r="Q1973" t="inlineStr">
        <is>
          <t>HIRE-BR</t>
        </is>
      </c>
      <c r="R1973">
        <f>IF(OR(Q1973="CONTEXT",Q1973="REVIEW"),"",INDEX('Category Rules'!$D$5:$D$17,MATCH(P1973,'Category Rules'!$A$5:$A$17,0)))</f>
        <v>4010</v>
      </c>
      <c r="S1973" t="str">
        <f>IF(Q1973="CONTEXT","Fencing",IF(Q1973="REVIEW","",INDEX('Category Rules'!$E$5:$E$17,MATCH(P1973,'Category Rules'!$A$5:$A$17,0))))</f>
        <v>Fencing</v>
      </c>
      <c r="T1973" t="str">
        <f>IF(Q1973="DEP","BAS Excluded","GST on Income")</f>
        <v>GST on Income</v>
      </c>
      <c r="U1973">
        <f>IF(O1973=T1973,1,0)</f>
        <v>1</v>
      </c>
      <c r="V1973" s="9">
        <f>IF(OR(M1973=0,U1973=1),0,IF(T1973="GST on Income",ROUND(K1973*0.1,2),ROUND(-K1973*0.1,2)))</f>
        <v>0</v>
      </c>
    </row>
    <row r="1974">
      <c r="A1974" t="inlineStr">
        <is>
          <t>INV-5324-1</t>
        </is>
      </c>
      <c r="B1974" t="inlineStr">
        <is>
          <t>INV-5324</t>
        </is>
      </c>
      <c r="C1974" s="11" t="n">
        <v>46126</v>
      </c>
      <c r="D1974" t="inlineStr">
        <is>
          <t>2026-04</t>
        </is>
      </c>
      <c r="E1974" t="inlineStr">
        <is>
          <t>C0019</t>
        </is>
      </c>
      <c r="F1974" t="inlineStr">
        <is>
          <t>C0019</t>
        </is>
      </c>
      <c r="G1974" t="inlineStr">
        <is>
          <t>Metro Developments</t>
        </is>
      </c>
      <c r="H1974" t="inlineStr">
        <is>
          <t>S0265</t>
        </is>
      </c>
      <c r="I1974" t="inlineStr">
        <is>
          <t>Scaffold tower hire 4 wks (17/03/26-13/04/26) - 1 towers</t>
        </is>
      </c>
      <c r="J1974" t="n">
        <v>4</v>
      </c>
      <c r="K1974" s="9" t="n">
        <v>380</v>
      </c>
      <c r="L1974" t="inlineStr">
        <is>
          <t>PAID</t>
        </is>
      </c>
      <c r="M1974">
        <f>IF(L1974="VOIDED",0,1)</f>
        <v>1</v>
      </c>
      <c r="N1974" t="n">
        <v>200</v>
      </c>
      <c r="O1974" t="inlineStr">
        <is>
          <t>GST on Income</t>
        </is>
      </c>
      <c r="P1974" t="inlineStr">
        <is>
          <t>R05</t>
        </is>
      </c>
      <c r="Q1974" t="inlineStr">
        <is>
          <t>HIRE-ST</t>
        </is>
      </c>
      <c r="R1974">
        <f>IF(OR(Q1974="CONTEXT",Q1974="REVIEW"),"",INDEX('Category Rules'!$D$5:$D$17,MATCH(P1974,'Category Rules'!$A$5:$A$17,0)))</f>
        <v>4010</v>
      </c>
      <c r="S1974" t="str">
        <f>IF(Q1974="CONTEXT","Scaffolding",IF(Q1974="REVIEW","",INDEX('Category Rules'!$E$5:$E$17,MATCH(P1974,'Category Rules'!$A$5:$A$17,0))))</f>
        <v>Scaffolding</v>
      </c>
      <c r="T1974" t="str">
        <f>IF(Q1974="DEP","BAS Excluded","GST on Income")</f>
        <v>GST on Income</v>
      </c>
      <c r="U1974">
        <f>IF(O1974=T1974,1,0)</f>
        <v>1</v>
      </c>
      <c r="V1974" s="9">
        <f>IF(OR(M1974=0,U1974=1),0,IF(T1974="GST on Income",ROUND(K1974*0.1,2),ROUND(-K1974*0.1,2)))</f>
        <v>0</v>
      </c>
    </row>
    <row r="1975">
      <c r="A1975" t="inlineStr">
        <is>
          <t>INV-5929-1</t>
        </is>
      </c>
      <c r="B1975" t="inlineStr">
        <is>
          <t>INV-5929</t>
        </is>
      </c>
      <c r="C1975" s="11" t="n">
        <v>46126</v>
      </c>
      <c r="D1975" t="inlineStr">
        <is>
          <t>2026-04</t>
        </is>
      </c>
      <c r="E1975" t="inlineStr">
        <is>
          <t>C0066</t>
        </is>
      </c>
      <c r="F1975" t="inlineStr">
        <is>
          <t>C0066</t>
        </is>
      </c>
      <c r="G1975" t="inlineStr">
        <is>
          <t>Northgate Insurance Repairs</t>
        </is>
      </c>
      <c r="H1975" t="inlineStr"/>
      <c r="I1975" t="inlineStr">
        <is>
          <t>As per quote Q-2547</t>
        </is>
      </c>
      <c r="J1975" t="n">
        <v>1</v>
      </c>
      <c r="K1975" s="9" t="n">
        <v>2374.82</v>
      </c>
      <c r="L1975" t="inlineStr">
        <is>
          <t>PAID</t>
        </is>
      </c>
      <c r="M1975">
        <f>IF(L1975="VOIDED",0,1)</f>
        <v>1</v>
      </c>
      <c r="N1975" t="n">
        <v>200</v>
      </c>
      <c r="O1975" t="inlineStr">
        <is>
          <t>GST on Income</t>
        </is>
      </c>
      <c r="P1975" t="inlineStr">
        <is>
          <t>--</t>
        </is>
      </c>
      <c r="Q1975" t="inlineStr">
        <is>
          <t>REVIEW</t>
        </is>
      </c>
      <c r="R1975">
        <f>IF(OR(Q1975="CONTEXT",Q1975="REVIEW"),"",INDEX('Category Rules'!$D$5:$D$17,MATCH(P1975,'Category Rules'!$A$5:$A$17,0)))</f>
      </c>
      <c r="S1975">
        <f>IF(Q1975="CONTEXT","",IF(Q1975="REVIEW","",INDEX('Category Rules'!$E$5:$E$17,MATCH(P1975,'Category Rules'!$A$5:$A$17,0))))</f>
      </c>
      <c r="T1975" t="str">
        <f>IF(Q1975="DEP","BAS Excluded","GST on Income")</f>
        <v>GST on Income</v>
      </c>
      <c r="U1975">
        <f>IF(O1975=T1975,1,0)</f>
        <v>1</v>
      </c>
      <c r="V1975" s="9">
        <f>IF(OR(M1975=0,U1975=1),0,IF(T1975="GST on Income",ROUND(K1975*0.1,2),ROUND(-K1975*0.1,2)))</f>
        <v>0</v>
      </c>
    </row>
    <row r="1976">
      <c r="A1976" t="inlineStr">
        <is>
          <t>INV-4136-1</t>
        </is>
      </c>
      <c r="B1976" t="inlineStr">
        <is>
          <t>INV-4136</t>
        </is>
      </c>
      <c r="C1976" s="11" t="n">
        <v>46127</v>
      </c>
      <c r="D1976" t="inlineStr">
        <is>
          <t>2026-04</t>
        </is>
      </c>
      <c r="E1976" t="inlineStr">
        <is>
          <t>C0014</t>
        </is>
      </c>
      <c r="F1976" t="inlineStr">
        <is>
          <t>C0014</t>
        </is>
      </c>
      <c r="G1976" t="inlineStr">
        <is>
          <t>Riverbend Homes Pty Ltd</t>
        </is>
      </c>
      <c r="H1976" t="inlineStr">
        <is>
          <t>S0008</t>
        </is>
      </c>
      <c r="I1976" t="inlineStr">
        <is>
          <t>Temporary fence hire 4 wks (18/03/26-14/04/26) - 62 panels</t>
        </is>
      </c>
      <c r="J1976" t="n">
        <v>248</v>
      </c>
      <c r="K1976" s="9" t="n">
        <v>1116</v>
      </c>
      <c r="L1976" t="inlineStr">
        <is>
          <t>PAID</t>
        </is>
      </c>
      <c r="M1976">
        <f>IF(L1976="VOIDED",0,1)</f>
        <v>1</v>
      </c>
      <c r="N1976" t="n">
        <v>200</v>
      </c>
      <c r="O1976" t="inlineStr">
        <is>
          <t>GST on Income</t>
        </is>
      </c>
      <c r="P1976" t="inlineStr">
        <is>
          <t>R03</t>
        </is>
      </c>
      <c r="Q1976" t="inlineStr">
        <is>
          <t>HIRE-FP</t>
        </is>
      </c>
      <c r="R1976">
        <f>IF(OR(Q1976="CONTEXT",Q1976="REVIEW"),"",INDEX('Category Rules'!$D$5:$D$17,MATCH(P1976,'Category Rules'!$A$5:$A$17,0)))</f>
        <v>4010</v>
      </c>
      <c r="S1976" t="str">
        <f>IF(Q1976="CONTEXT","Fencing",IF(Q1976="REVIEW","",INDEX('Category Rules'!$E$5:$E$17,MATCH(P1976,'Category Rules'!$A$5:$A$17,0))))</f>
        <v>Fencing</v>
      </c>
      <c r="T1976" t="str">
        <f>IF(Q1976="DEP","BAS Excluded","GST on Income")</f>
        <v>GST on Income</v>
      </c>
      <c r="U1976">
        <f>IF(O1976=T1976,1,0)</f>
        <v>1</v>
      </c>
      <c r="V1976" s="9">
        <f>IF(OR(M1976=0,U1976=1),0,IF(T1976="GST on Income",ROUND(K1976*0.1,2),ROUND(-K1976*0.1,2)))</f>
        <v>0</v>
      </c>
    </row>
    <row r="1977">
      <c r="A1977" t="inlineStr">
        <is>
          <t>INV-4141-1</t>
        </is>
      </c>
      <c r="B1977" t="inlineStr">
        <is>
          <t>INV-4141</t>
        </is>
      </c>
      <c r="C1977" s="11" t="n">
        <v>46127</v>
      </c>
      <c r="D1977" t="inlineStr">
        <is>
          <t>2026-04</t>
        </is>
      </c>
      <c r="E1977" t="inlineStr">
        <is>
          <t>C0133</t>
        </is>
      </c>
      <c r="F1977" t="inlineStr">
        <is>
          <t>C0014</t>
        </is>
      </c>
      <c r="G1977" t="inlineStr">
        <is>
          <t>Riverbend Homes Pty Ltd</t>
        </is>
      </c>
      <c r="H1977" t="inlineStr">
        <is>
          <t>S0008</t>
        </is>
      </c>
      <c r="I1977" t="inlineStr">
        <is>
          <t>Pedestrian barrier hire 4 wks (18/03/26-14/04/26) - 21 barriers</t>
        </is>
      </c>
      <c r="J1977" t="n">
        <v>84</v>
      </c>
      <c r="K1977" s="9" t="n">
        <v>268.8</v>
      </c>
      <c r="L1977" t="inlineStr">
        <is>
          <t>PAID</t>
        </is>
      </c>
      <c r="M1977">
        <f>IF(L1977="VOIDED",0,1)</f>
        <v>1</v>
      </c>
      <c r="N1977" t="n">
        <v>200</v>
      </c>
      <c r="O1977" t="inlineStr">
        <is>
          <t>GST on Income</t>
        </is>
      </c>
      <c r="P1977" t="inlineStr">
        <is>
          <t>R04</t>
        </is>
      </c>
      <c r="Q1977" t="inlineStr">
        <is>
          <t>HIRE-BR</t>
        </is>
      </c>
      <c r="R1977">
        <f>IF(OR(Q1977="CONTEXT",Q1977="REVIEW"),"",INDEX('Category Rules'!$D$5:$D$17,MATCH(P1977,'Category Rules'!$A$5:$A$17,0)))</f>
        <v>4010</v>
      </c>
      <c r="S1977" t="str">
        <f>IF(Q1977="CONTEXT","Fencing",IF(Q1977="REVIEW","",INDEX('Category Rules'!$E$5:$E$17,MATCH(P1977,'Category Rules'!$A$5:$A$17,0))))</f>
        <v>Fencing</v>
      </c>
      <c r="T1977" t="str">
        <f>IF(Q1977="DEP","BAS Excluded","GST on Income")</f>
        <v>GST on Income</v>
      </c>
      <c r="U1977">
        <f>IF(O1977=T1977,1,0)</f>
        <v>1</v>
      </c>
      <c r="V1977" s="9">
        <f>IF(OR(M1977=0,U1977=1),0,IF(T1977="GST on Income",ROUND(K1977*0.1,2),ROUND(-K1977*0.1,2)))</f>
        <v>0</v>
      </c>
    </row>
    <row r="1978">
      <c r="A1978" t="inlineStr">
        <is>
          <t>INV-5289-1</t>
        </is>
      </c>
      <c r="B1978" t="inlineStr">
        <is>
          <t>INV-5289</t>
        </is>
      </c>
      <c r="C1978" s="11" t="n">
        <v>46127</v>
      </c>
      <c r="D1978" t="inlineStr">
        <is>
          <t>2026-04</t>
        </is>
      </c>
      <c r="E1978" t="inlineStr">
        <is>
          <t>C0098</t>
        </is>
      </c>
      <c r="F1978" t="inlineStr">
        <is>
          <t>C0098</t>
        </is>
      </c>
      <c r="G1978" t="inlineStr">
        <is>
          <t>Ethan Walker</t>
        </is>
      </c>
      <c r="H1978" t="inlineStr">
        <is>
          <t>S0257</t>
        </is>
      </c>
      <c r="I1978" t="inlineStr">
        <is>
          <t>Scaffold erect - 6 tower(s)</t>
        </is>
      </c>
      <c r="J1978" t="n">
        <v>6</v>
      </c>
      <c r="K1978" s="9" t="n">
        <v>2520</v>
      </c>
      <c r="L1978" t="inlineStr">
        <is>
          <t>PAID</t>
        </is>
      </c>
      <c r="M1978">
        <f>IF(L1978="VOIDED",0,1)</f>
        <v>1</v>
      </c>
      <c r="N1978" t="n">
        <v>200</v>
      </c>
      <c r="O1978" t="inlineStr">
        <is>
          <t>GST on Income</t>
        </is>
      </c>
      <c r="P1978" t="inlineStr">
        <is>
          <t>R08</t>
        </is>
      </c>
      <c r="Q1978" t="inlineStr">
        <is>
          <t>LAB-ST</t>
        </is>
      </c>
      <c r="R1978">
        <f>IF(OR(Q1978="CONTEXT",Q1978="REVIEW"),"",INDEX('Category Rules'!$D$5:$D$17,MATCH(P1978,'Category Rules'!$A$5:$A$17,0)))</f>
        <v>4020</v>
      </c>
      <c r="S1978" t="str">
        <f>IF(Q1978="CONTEXT","Scaffolding",IF(Q1978="REVIEW","",INDEX('Category Rules'!$E$5:$E$17,MATCH(P1978,'Category Rules'!$A$5:$A$17,0))))</f>
        <v>Scaffolding</v>
      </c>
      <c r="T1978" t="str">
        <f>IF(Q1978="DEP","BAS Excluded","GST on Income")</f>
        <v>GST on Income</v>
      </c>
      <c r="U1978">
        <f>IF(O1978=T1978,1,0)</f>
        <v>1</v>
      </c>
      <c r="V1978" s="9">
        <f>IF(OR(M1978=0,U1978=1),0,IF(T1978="GST on Income",ROUND(K1978*0.1,2),ROUND(-K1978*0.1,2)))</f>
        <v>0</v>
      </c>
    </row>
    <row r="1979">
      <c r="A1979" t="inlineStr">
        <is>
          <t>INV-5325-1</t>
        </is>
      </c>
      <c r="B1979" t="inlineStr">
        <is>
          <t>INV-5325</t>
        </is>
      </c>
      <c r="C1979" s="11" t="n">
        <v>46127</v>
      </c>
      <c r="D1979" t="inlineStr">
        <is>
          <t>2026-04</t>
        </is>
      </c>
      <c r="E1979" t="inlineStr">
        <is>
          <t>C0019</t>
        </is>
      </c>
      <c r="F1979" t="inlineStr">
        <is>
          <t>C0019</t>
        </is>
      </c>
      <c r="G1979" t="inlineStr">
        <is>
          <t>Metro Developments</t>
        </is>
      </c>
      <c r="H1979" t="inlineStr">
        <is>
          <t>S0265</t>
        </is>
      </c>
      <c r="I1979" t="inlineStr">
        <is>
          <t>Scaffold tower hire 1 wks (14/04/26-14/04/26) - 1 towers</t>
        </is>
      </c>
      <c r="J1979" t="n">
        <v>1</v>
      </c>
      <c r="K1979" s="9" t="n">
        <v>95</v>
      </c>
      <c r="L1979" t="inlineStr">
        <is>
          <t>PAID</t>
        </is>
      </c>
      <c r="M1979">
        <f>IF(L1979="VOIDED",0,1)</f>
        <v>1</v>
      </c>
      <c r="N1979" t="n">
        <v>200</v>
      </c>
      <c r="O1979" t="inlineStr">
        <is>
          <t>GST on Income</t>
        </is>
      </c>
      <c r="P1979" t="inlineStr">
        <is>
          <t>R05</t>
        </is>
      </c>
      <c r="Q1979" t="inlineStr">
        <is>
          <t>HIRE-ST</t>
        </is>
      </c>
      <c r="R1979">
        <f>IF(OR(Q1979="CONTEXT",Q1979="REVIEW"),"",INDEX('Category Rules'!$D$5:$D$17,MATCH(P1979,'Category Rules'!$A$5:$A$17,0)))</f>
        <v>4010</v>
      </c>
      <c r="S1979" t="str">
        <f>IF(Q1979="CONTEXT","Scaffolding",IF(Q1979="REVIEW","",INDEX('Category Rules'!$E$5:$E$17,MATCH(P1979,'Category Rules'!$A$5:$A$17,0))))</f>
        <v>Scaffolding</v>
      </c>
      <c r="T1979" t="str">
        <f>IF(Q1979="DEP","BAS Excluded","GST on Income")</f>
        <v>GST on Income</v>
      </c>
      <c r="U1979">
        <f>IF(O1979=T1979,1,0)</f>
        <v>1</v>
      </c>
      <c r="V1979" s="9">
        <f>IF(OR(M1979=0,U1979=1),0,IF(T1979="GST on Income",ROUND(K1979*0.1,2),ROUND(-K1979*0.1,2)))</f>
        <v>0</v>
      </c>
    </row>
    <row r="1980">
      <c r="A1980" t="inlineStr">
        <is>
          <t>INV-5327-1</t>
        </is>
      </c>
      <c r="B1980" t="inlineStr">
        <is>
          <t>INV-5327</t>
        </is>
      </c>
      <c r="C1980" s="11" t="n">
        <v>46127</v>
      </c>
      <c r="D1980" t="inlineStr">
        <is>
          <t>2026-04</t>
        </is>
      </c>
      <c r="E1980" t="inlineStr">
        <is>
          <t>C0019</t>
        </is>
      </c>
      <c r="F1980" t="inlineStr">
        <is>
          <t>C0019</t>
        </is>
      </c>
      <c r="G1980" t="inlineStr">
        <is>
          <t>Metro Developments</t>
        </is>
      </c>
      <c r="H1980" t="inlineStr">
        <is>
          <t>S0265</t>
        </is>
      </c>
      <c r="I1980" t="inlineStr">
        <is>
          <t>Scaffold dismantle - 1 tower(s)</t>
        </is>
      </c>
      <c r="J1980" t="n">
        <v>1</v>
      </c>
      <c r="K1980" s="9" t="n">
        <v>320</v>
      </c>
      <c r="L1980" t="inlineStr">
        <is>
          <t>PAID</t>
        </is>
      </c>
      <c r="M1980">
        <f>IF(L1980="VOIDED",0,1)</f>
        <v>1</v>
      </c>
      <c r="N1980" t="n">
        <v>200</v>
      </c>
      <c r="O1980" t="inlineStr">
        <is>
          <t>GST on Income</t>
        </is>
      </c>
      <c r="P1980" t="inlineStr">
        <is>
          <t>R08</t>
        </is>
      </c>
      <c r="Q1980" t="inlineStr">
        <is>
          <t>LAB-ST</t>
        </is>
      </c>
      <c r="R1980">
        <f>IF(OR(Q1980="CONTEXT",Q1980="REVIEW"),"",INDEX('Category Rules'!$D$5:$D$17,MATCH(P1980,'Category Rules'!$A$5:$A$17,0)))</f>
        <v>4020</v>
      </c>
      <c r="S1980" t="str">
        <f>IF(Q1980="CONTEXT","Scaffolding",IF(Q1980="REVIEW","",INDEX('Category Rules'!$E$5:$E$17,MATCH(P1980,'Category Rules'!$A$5:$A$17,0))))</f>
        <v>Scaffolding</v>
      </c>
      <c r="T1980" t="str">
        <f>IF(Q1980="DEP","BAS Excluded","GST on Income")</f>
        <v>GST on Income</v>
      </c>
      <c r="U1980">
        <f>IF(O1980=T1980,1,0)</f>
        <v>1</v>
      </c>
      <c r="V1980" s="9">
        <f>IF(OR(M1980=0,U1980=1),0,IF(T1980="GST on Income",ROUND(K1980*0.1,2),ROUND(-K1980*0.1,2)))</f>
        <v>0</v>
      </c>
    </row>
    <row r="1981">
      <c r="A1981" t="inlineStr">
        <is>
          <t>INV-4837-1</t>
        </is>
      </c>
      <c r="B1981" t="inlineStr">
        <is>
          <t>INV-4837</t>
        </is>
      </c>
      <c r="C1981" s="11" t="n">
        <v>46128</v>
      </c>
      <c r="D1981" t="inlineStr">
        <is>
          <t>2026-04</t>
        </is>
      </c>
      <c r="E1981" t="inlineStr">
        <is>
          <t>C0136</t>
        </is>
      </c>
      <c r="F1981" t="inlineStr">
        <is>
          <t>C0036</t>
        </is>
      </c>
      <c r="G1981" t="inlineStr">
        <is>
          <t>Summit Homes Pty Ltd</t>
        </is>
      </c>
      <c r="H1981" t="inlineStr">
        <is>
          <t>S0158</t>
        </is>
      </c>
      <c r="I1981" t="inlineStr">
        <is>
          <t>Temporary fence hire 4 wks (19/03/26-15/04/26) - 21 panels</t>
        </is>
      </c>
      <c r="J1981" t="n">
        <v>84</v>
      </c>
      <c r="K1981" s="9" t="n">
        <v>378</v>
      </c>
      <c r="L1981" t="inlineStr">
        <is>
          <t>PAID</t>
        </is>
      </c>
      <c r="M1981">
        <f>IF(L1981="VOIDED",0,1)</f>
        <v>1</v>
      </c>
      <c r="N1981" t="n">
        <v>200</v>
      </c>
      <c r="O1981" t="inlineStr">
        <is>
          <t>GST on Income</t>
        </is>
      </c>
      <c r="P1981" t="inlineStr">
        <is>
          <t>R03</t>
        </is>
      </c>
      <c r="Q1981" t="inlineStr">
        <is>
          <t>HIRE-FP</t>
        </is>
      </c>
      <c r="R1981">
        <f>IF(OR(Q1981="CONTEXT",Q1981="REVIEW"),"",INDEX('Category Rules'!$D$5:$D$17,MATCH(P1981,'Category Rules'!$A$5:$A$17,0)))</f>
        <v>4010</v>
      </c>
      <c r="S1981" t="str">
        <f>IF(Q1981="CONTEXT","Fencing",IF(Q1981="REVIEW","",INDEX('Category Rules'!$E$5:$E$17,MATCH(P1981,'Category Rules'!$A$5:$A$17,0))))</f>
        <v>Fencing</v>
      </c>
      <c r="T1981" t="str">
        <f>IF(Q1981="DEP","BAS Excluded","GST on Income")</f>
        <v>GST on Income</v>
      </c>
      <c r="U1981">
        <f>IF(O1981=T1981,1,0)</f>
        <v>1</v>
      </c>
      <c r="V1981" s="9">
        <f>IF(OR(M1981=0,U1981=1),0,IF(T1981="GST on Income",ROUND(K1981*0.1,2),ROUND(-K1981*0.1,2)))</f>
        <v>0</v>
      </c>
    </row>
    <row r="1982">
      <c r="A1982" t="inlineStr">
        <is>
          <t>INV-4842-1</t>
        </is>
      </c>
      <c r="B1982" t="inlineStr">
        <is>
          <t>INV-4842</t>
        </is>
      </c>
      <c r="C1982" s="11" t="n">
        <v>46128</v>
      </c>
      <c r="D1982" t="inlineStr">
        <is>
          <t>2026-04</t>
        </is>
      </c>
      <c r="E1982" t="inlineStr">
        <is>
          <t>C0136</t>
        </is>
      </c>
      <c r="F1982" t="inlineStr">
        <is>
          <t>C0036</t>
        </is>
      </c>
      <c r="G1982" t="inlineStr">
        <is>
          <t>Summit Homes Pty Ltd</t>
        </is>
      </c>
      <c r="H1982" t="inlineStr">
        <is>
          <t>S0158</t>
        </is>
      </c>
      <c r="I1982" t="inlineStr">
        <is>
          <t>Pedestrian barrier hire 4 wks (19/03/26-15/04/26) - 23 barriers</t>
        </is>
      </c>
      <c r="J1982" t="n">
        <v>92</v>
      </c>
      <c r="K1982" s="9" t="n">
        <v>294.4</v>
      </c>
      <c r="L1982" t="inlineStr">
        <is>
          <t>PAID</t>
        </is>
      </c>
      <c r="M1982">
        <f>IF(L1982="VOIDED",0,1)</f>
        <v>1</v>
      </c>
      <c r="N1982" t="n">
        <v>200</v>
      </c>
      <c r="O1982" t="inlineStr">
        <is>
          <t>GST on Income</t>
        </is>
      </c>
      <c r="P1982" t="inlineStr">
        <is>
          <t>R04</t>
        </is>
      </c>
      <c r="Q1982" t="inlineStr">
        <is>
          <t>HIRE-BR</t>
        </is>
      </c>
      <c r="R1982">
        <f>IF(OR(Q1982="CONTEXT",Q1982="REVIEW"),"",INDEX('Category Rules'!$D$5:$D$17,MATCH(P1982,'Category Rules'!$A$5:$A$17,0)))</f>
        <v>4010</v>
      </c>
      <c r="S1982" t="str">
        <f>IF(Q1982="CONTEXT","Fencing",IF(Q1982="REVIEW","",INDEX('Category Rules'!$E$5:$E$17,MATCH(P1982,'Category Rules'!$A$5:$A$17,0))))</f>
        <v>Fencing</v>
      </c>
      <c r="T1982" t="str">
        <f>IF(Q1982="DEP","BAS Excluded","GST on Income")</f>
        <v>GST on Income</v>
      </c>
      <c r="U1982">
        <f>IF(O1982=T1982,1,0)</f>
        <v>1</v>
      </c>
      <c r="V1982" s="9">
        <f>IF(OR(M1982=0,U1982=1),0,IF(T1982="GST on Income",ROUND(K1982*0.1,2),ROUND(-K1982*0.1,2)))</f>
        <v>0</v>
      </c>
    </row>
    <row r="1983">
      <c r="A1983" t="inlineStr">
        <is>
          <t>INV-4735-1</t>
        </is>
      </c>
      <c r="B1983" t="inlineStr">
        <is>
          <t>INV-4735</t>
        </is>
      </c>
      <c r="C1983" s="11" t="n">
        <v>46129</v>
      </c>
      <c r="D1983" t="inlineStr">
        <is>
          <t>2026-04</t>
        </is>
      </c>
      <c r="E1983" t="inlineStr">
        <is>
          <t>C0033</t>
        </is>
      </c>
      <c r="F1983" t="inlineStr">
        <is>
          <t>C0033</t>
        </is>
      </c>
      <c r="G1983" t="inlineStr">
        <is>
          <t>Granite Projects Pty Ltd</t>
        </is>
      </c>
      <c r="H1983" t="inlineStr">
        <is>
          <t>S0133</t>
        </is>
      </c>
      <c r="I1983" t="inlineStr">
        <is>
          <t>Temporary fence hire 4 wks (20/03/26-16/04/26) - 140 panels</t>
        </is>
      </c>
      <c r="J1983" t="n">
        <v>560</v>
      </c>
      <c r="K1983" s="9" t="n">
        <v>2520</v>
      </c>
      <c r="L1983" t="inlineStr">
        <is>
          <t>PAID</t>
        </is>
      </c>
      <c r="M1983">
        <f>IF(L1983="VOIDED",0,1)</f>
        <v>1</v>
      </c>
      <c r="N1983" t="n">
        <v>260</v>
      </c>
      <c r="O1983" t="inlineStr">
        <is>
          <t>GST on Income</t>
        </is>
      </c>
      <c r="P1983" t="inlineStr">
        <is>
          <t>R03</t>
        </is>
      </c>
      <c r="Q1983" t="inlineStr">
        <is>
          <t>HIRE-FP</t>
        </is>
      </c>
      <c r="R1983">
        <f>IF(OR(Q1983="CONTEXT",Q1983="REVIEW"),"",INDEX('Category Rules'!$D$5:$D$17,MATCH(P1983,'Category Rules'!$A$5:$A$17,0)))</f>
        <v>4010</v>
      </c>
      <c r="S1983" t="str">
        <f>IF(Q1983="CONTEXT","Fencing",IF(Q1983="REVIEW","",INDEX('Category Rules'!$E$5:$E$17,MATCH(P1983,'Category Rules'!$A$5:$A$17,0))))</f>
        <v>Fencing</v>
      </c>
      <c r="T1983" t="str">
        <f>IF(Q1983="DEP","BAS Excluded","GST on Income")</f>
        <v>GST on Income</v>
      </c>
      <c r="U1983">
        <f>IF(O1983=T1983,1,0)</f>
        <v>1</v>
      </c>
      <c r="V1983" s="9">
        <f>IF(OR(M1983=0,U1983=1),0,IF(T1983="GST on Income",ROUND(K1983*0.1,2),ROUND(-K1983*0.1,2)))</f>
        <v>0</v>
      </c>
    </row>
    <row r="1984">
      <c r="A1984" t="inlineStr">
        <is>
          <t>INV-4795-1</t>
        </is>
      </c>
      <c r="B1984" t="inlineStr">
        <is>
          <t>INV-4795</t>
        </is>
      </c>
      <c r="C1984" s="11" t="n">
        <v>46129</v>
      </c>
      <c r="D1984" t="inlineStr">
        <is>
          <t>2026-04</t>
        </is>
      </c>
      <c r="E1984" t="inlineStr">
        <is>
          <t>C0024</t>
        </is>
      </c>
      <c r="F1984" t="inlineStr">
        <is>
          <t>C0024</t>
        </is>
      </c>
      <c r="G1984" t="inlineStr">
        <is>
          <t>Parkview Homes Pty Ltd</t>
        </is>
      </c>
      <c r="H1984" t="inlineStr">
        <is>
          <t>S0148</t>
        </is>
      </c>
      <c r="I1984" t="inlineStr">
        <is>
          <t>Temporary fence hire 4 wks (20/03/26-16/04/26) - 155 panels</t>
        </is>
      </c>
      <c r="J1984" t="n">
        <v>620</v>
      </c>
      <c r="K1984" s="9" t="n">
        <v>2790</v>
      </c>
      <c r="L1984" t="inlineStr">
        <is>
          <t>PAID</t>
        </is>
      </c>
      <c r="M1984">
        <f>IF(L1984="VOIDED",0,1)</f>
        <v>1</v>
      </c>
      <c r="N1984" t="n">
        <v>200</v>
      </c>
      <c r="O1984" t="inlineStr">
        <is>
          <t>GST on Income</t>
        </is>
      </c>
      <c r="P1984" t="inlineStr">
        <is>
          <t>R03</t>
        </is>
      </c>
      <c r="Q1984" t="inlineStr">
        <is>
          <t>HIRE-FP</t>
        </is>
      </c>
      <c r="R1984">
        <f>IF(OR(Q1984="CONTEXT",Q1984="REVIEW"),"",INDEX('Category Rules'!$D$5:$D$17,MATCH(P1984,'Category Rules'!$A$5:$A$17,0)))</f>
        <v>4010</v>
      </c>
      <c r="S1984" t="str">
        <f>IF(Q1984="CONTEXT","Fencing",IF(Q1984="REVIEW","",INDEX('Category Rules'!$E$5:$E$17,MATCH(P1984,'Category Rules'!$A$5:$A$17,0))))</f>
        <v>Fencing</v>
      </c>
      <c r="T1984" t="str">
        <f>IF(Q1984="DEP","BAS Excluded","GST on Income")</f>
        <v>GST on Income</v>
      </c>
      <c r="U1984">
        <f>IF(O1984=T1984,1,0)</f>
        <v>1</v>
      </c>
      <c r="V1984" s="9">
        <f>IF(OR(M1984=0,U1984=1),0,IF(T1984="GST on Income",ROUND(K1984*0.1,2),ROUND(-K1984*0.1,2)))</f>
        <v>0</v>
      </c>
    </row>
    <row r="1985">
      <c r="A1985" t="inlineStr">
        <is>
          <t>INV-5457-1</t>
        </is>
      </c>
      <c r="B1985" t="inlineStr">
        <is>
          <t>INV-5457</t>
        </is>
      </c>
      <c r="C1985" s="11" t="n">
        <v>46129</v>
      </c>
      <c r="D1985" t="inlineStr">
        <is>
          <t>2026-04</t>
        </is>
      </c>
      <c r="E1985" t="inlineStr">
        <is>
          <t>C0083</t>
        </is>
      </c>
      <c r="F1985" t="inlineStr">
        <is>
          <t>C0083</t>
        </is>
      </c>
      <c r="G1985" t="inlineStr">
        <is>
          <t>Noah Williams</t>
        </is>
      </c>
      <c r="H1985" t="inlineStr">
        <is>
          <t>S0301</t>
        </is>
      </c>
      <c r="I1985" t="inlineStr">
        <is>
          <t>Make safe call-out</t>
        </is>
      </c>
      <c r="J1985" t="n">
        <v>1</v>
      </c>
      <c r="K1985" s="9" t="n">
        <v>385</v>
      </c>
      <c r="L1985" t="inlineStr">
        <is>
          <t>PAID</t>
        </is>
      </c>
      <c r="M1985">
        <f>IF(L1985="VOIDED",0,1)</f>
        <v>1</v>
      </c>
      <c r="N1985" t="n">
        <v>200</v>
      </c>
      <c r="O1985" t="inlineStr">
        <is>
          <t>GST on Income</t>
        </is>
      </c>
      <c r="P1985" t="inlineStr">
        <is>
          <t>R09</t>
        </is>
      </c>
      <c r="Q1985" t="inlineStr">
        <is>
          <t>MS</t>
        </is>
      </c>
      <c r="R1985">
        <f>IF(OR(Q1985="CONTEXT",Q1985="REVIEW"),"",INDEX('Category Rules'!$D$5:$D$17,MATCH(P1985,'Category Rules'!$A$5:$A$17,0)))</f>
        <v>4020</v>
      </c>
      <c r="S1985" t="str">
        <f>IF(Q1985="CONTEXT","Make-safe",IF(Q1985="REVIEW","",INDEX('Category Rules'!$E$5:$E$17,MATCH(P1985,'Category Rules'!$A$5:$A$17,0))))</f>
        <v>Make-safe</v>
      </c>
      <c r="T1985" t="str">
        <f>IF(Q1985="DEP","BAS Excluded","GST on Income")</f>
        <v>GST on Income</v>
      </c>
      <c r="U1985">
        <f>IF(O1985=T1985,1,0)</f>
        <v>1</v>
      </c>
      <c r="V1985" s="9">
        <f>IF(OR(M1985=0,U1985=1),0,IF(T1985="GST on Income",ROUND(K1985*0.1,2),ROUND(-K1985*0.1,2)))</f>
        <v>0</v>
      </c>
    </row>
    <row r="1986">
      <c r="A1986" t="inlineStr">
        <is>
          <t>INV-5457-2</t>
        </is>
      </c>
      <c r="B1986" t="inlineStr">
        <is>
          <t>INV-5457</t>
        </is>
      </c>
      <c r="C1986" s="11" t="n">
        <v>46129</v>
      </c>
      <c r="D1986" t="inlineStr">
        <is>
          <t>2026-04</t>
        </is>
      </c>
      <c r="E1986" t="inlineStr">
        <is>
          <t>C0083</t>
        </is>
      </c>
      <c r="F1986" t="inlineStr">
        <is>
          <t>C0083</t>
        </is>
      </c>
      <c r="G1986" t="inlineStr">
        <is>
          <t>Noah Williams</t>
        </is>
      </c>
      <c r="H1986" t="inlineStr">
        <is>
          <t>S0301</t>
        </is>
      </c>
      <c r="I1986" t="inlineStr">
        <is>
          <t>Tarp supply and install - 1 tarp(s)</t>
        </is>
      </c>
      <c r="J1986" t="n">
        <v>1</v>
      </c>
      <c r="K1986" s="9" t="n">
        <v>240</v>
      </c>
      <c r="L1986" t="inlineStr">
        <is>
          <t>PAID</t>
        </is>
      </c>
      <c r="M1986">
        <f>IF(L1986="VOIDED",0,1)</f>
        <v>1</v>
      </c>
      <c r="N1986" t="n">
        <v>200</v>
      </c>
      <c r="O1986" t="inlineStr">
        <is>
          <t>GST on Income</t>
        </is>
      </c>
      <c r="P1986" t="inlineStr">
        <is>
          <t>R09</t>
        </is>
      </c>
      <c r="Q1986" t="inlineStr">
        <is>
          <t>MS</t>
        </is>
      </c>
      <c r="R1986">
        <f>IF(OR(Q1986="CONTEXT",Q1986="REVIEW"),"",INDEX('Category Rules'!$D$5:$D$17,MATCH(P1986,'Category Rules'!$A$5:$A$17,0)))</f>
        <v>4020</v>
      </c>
      <c r="S1986" t="str">
        <f>IF(Q1986="CONTEXT","Make-safe",IF(Q1986="REVIEW","",INDEX('Category Rules'!$E$5:$E$17,MATCH(P1986,'Category Rules'!$A$5:$A$17,0))))</f>
        <v>Make-safe</v>
      </c>
      <c r="T1986" t="str">
        <f>IF(Q1986="DEP","BAS Excluded","GST on Income")</f>
        <v>GST on Income</v>
      </c>
      <c r="U1986">
        <f>IF(O1986=T1986,1,0)</f>
        <v>1</v>
      </c>
      <c r="V1986" s="9">
        <f>IF(OR(M1986=0,U1986=1),0,IF(T1986="GST on Income",ROUND(K1986*0.1,2),ROUND(-K1986*0.1,2)))</f>
        <v>0</v>
      </c>
    </row>
    <row r="1987">
      <c r="A1987" t="inlineStr">
        <is>
          <t>INV-5557-1</t>
        </is>
      </c>
      <c r="B1987" t="inlineStr">
        <is>
          <t>INV-5557</t>
        </is>
      </c>
      <c r="C1987" s="11" t="n">
        <v>46129</v>
      </c>
      <c r="D1987" t="inlineStr">
        <is>
          <t>2026-04</t>
        </is>
      </c>
      <c r="E1987" t="inlineStr">
        <is>
          <t>C0109</t>
        </is>
      </c>
      <c r="F1987" t="inlineStr">
        <is>
          <t>C0109</t>
        </is>
      </c>
      <c r="G1987" t="inlineStr">
        <is>
          <t>Noah Ali</t>
        </is>
      </c>
      <c r="H1987" t="inlineStr">
        <is>
          <t>S0355</t>
        </is>
      </c>
      <c r="I1987" t="inlineStr">
        <is>
          <t>Tarp kit hire 2 wks (09/04/26-16/04/26) - 1 kits</t>
        </is>
      </c>
      <c r="J1987" t="n">
        <v>2</v>
      </c>
      <c r="K1987" s="9" t="n">
        <v>70</v>
      </c>
      <c r="L1987" t="inlineStr">
        <is>
          <t>PAID</t>
        </is>
      </c>
      <c r="M1987">
        <f>IF(L1987="VOIDED",0,1)</f>
        <v>1</v>
      </c>
      <c r="N1987" t="n">
        <v>200</v>
      </c>
      <c r="O1987" t="inlineStr">
        <is>
          <t>GST on Income</t>
        </is>
      </c>
      <c r="P1987" t="inlineStr">
        <is>
          <t>R06</t>
        </is>
      </c>
      <c r="Q1987" t="inlineStr">
        <is>
          <t>HIRE-TK</t>
        </is>
      </c>
      <c r="R1987">
        <f>IF(OR(Q1987="CONTEXT",Q1987="REVIEW"),"",INDEX('Category Rules'!$D$5:$D$17,MATCH(P1987,'Category Rules'!$A$5:$A$17,0)))</f>
        <v>4010</v>
      </c>
      <c r="S1987" t="str">
        <f>IF(Q1987="CONTEXT","Make-safe",IF(Q1987="REVIEW","",INDEX('Category Rules'!$E$5:$E$17,MATCH(P1987,'Category Rules'!$A$5:$A$17,0))))</f>
        <v>Make-safe</v>
      </c>
      <c r="T1987" t="str">
        <f>IF(Q1987="DEP","BAS Excluded","GST on Income")</f>
        <v>GST on Income</v>
      </c>
      <c r="U1987">
        <f>IF(O1987=T1987,1,0)</f>
        <v>1</v>
      </c>
      <c r="V1987" s="9">
        <f>IF(OR(M1987=0,U1987=1),0,IF(T1987="GST on Income",ROUND(K1987*0.1,2),ROUND(-K1987*0.1,2)))</f>
        <v>0</v>
      </c>
    </row>
    <row r="1988">
      <c r="A1988" t="inlineStr">
        <is>
          <t>INV-5601-1</t>
        </is>
      </c>
      <c r="B1988" t="inlineStr">
        <is>
          <t>INV-5601</t>
        </is>
      </c>
      <c r="C1988" s="11" t="n">
        <v>46129</v>
      </c>
      <c r="D1988" t="inlineStr">
        <is>
          <t>2026-04</t>
        </is>
      </c>
      <c r="E1988" t="inlineStr">
        <is>
          <t>C0064</t>
        </is>
      </c>
      <c r="F1988" t="inlineStr">
        <is>
          <t>C0064</t>
        </is>
      </c>
      <c r="G1988" t="inlineStr">
        <is>
          <t>Lakeside Claims Services Pty Ltd</t>
        </is>
      </c>
      <c r="H1988" t="inlineStr">
        <is>
          <t>S0382</t>
        </is>
      </c>
      <c r="I1988" t="inlineStr">
        <is>
          <t>Make safe call-out</t>
        </is>
      </c>
      <c r="J1988" t="n">
        <v>1</v>
      </c>
      <c r="K1988" s="9" t="n">
        <v>385</v>
      </c>
      <c r="L1988" t="inlineStr">
        <is>
          <t>PAID</t>
        </is>
      </c>
      <c r="M1988">
        <f>IF(L1988="VOIDED",0,1)</f>
        <v>1</v>
      </c>
      <c r="N1988" t="n">
        <v>200</v>
      </c>
      <c r="O1988" t="inlineStr">
        <is>
          <t>GST on Income</t>
        </is>
      </c>
      <c r="P1988" t="inlineStr">
        <is>
          <t>R09</t>
        </is>
      </c>
      <c r="Q1988" t="inlineStr">
        <is>
          <t>MS</t>
        </is>
      </c>
      <c r="R1988">
        <f>IF(OR(Q1988="CONTEXT",Q1988="REVIEW"),"",INDEX('Category Rules'!$D$5:$D$17,MATCH(P1988,'Category Rules'!$A$5:$A$17,0)))</f>
        <v>4020</v>
      </c>
      <c r="S1988" t="str">
        <f>IF(Q1988="CONTEXT","Make-safe",IF(Q1988="REVIEW","",INDEX('Category Rules'!$E$5:$E$17,MATCH(P1988,'Category Rules'!$A$5:$A$17,0))))</f>
        <v>Make-safe</v>
      </c>
      <c r="T1988" t="str">
        <f>IF(Q1988="DEP","BAS Excluded","GST on Income")</f>
        <v>GST on Income</v>
      </c>
      <c r="U1988">
        <f>IF(O1988=T1988,1,0)</f>
        <v>1</v>
      </c>
      <c r="V1988" s="9">
        <f>IF(OR(M1988=0,U1988=1),0,IF(T1988="GST on Income",ROUND(K1988*0.1,2),ROUND(-K1988*0.1,2)))</f>
        <v>0</v>
      </c>
    </row>
    <row r="1989">
      <c r="A1989" t="inlineStr">
        <is>
          <t>INV-5897-1</t>
        </is>
      </c>
      <c r="B1989" t="inlineStr">
        <is>
          <t>INV-5897</t>
        </is>
      </c>
      <c r="C1989" s="11" t="n">
        <v>46129</v>
      </c>
      <c r="D1989" t="inlineStr">
        <is>
          <t>2026-04</t>
        </is>
      </c>
      <c r="E1989" t="inlineStr">
        <is>
          <t>C0089</t>
        </is>
      </c>
      <c r="F1989" t="inlineStr">
        <is>
          <t>C0089</t>
        </is>
      </c>
      <c r="G1989" t="inlineStr">
        <is>
          <t>Leo Hughes</t>
        </is>
      </c>
      <c r="H1989" t="inlineStr"/>
      <c r="I1989" t="inlineStr">
        <is>
          <t>As per quote Q-2344</t>
        </is>
      </c>
      <c r="J1989" t="n">
        <v>1</v>
      </c>
      <c r="K1989" s="9" t="n">
        <v>1089.84</v>
      </c>
      <c r="L1989" t="inlineStr">
        <is>
          <t>PAID</t>
        </is>
      </c>
      <c r="M1989">
        <f>IF(L1989="VOIDED",0,1)</f>
        <v>1</v>
      </c>
      <c r="N1989" t="n">
        <v>200</v>
      </c>
      <c r="O1989" t="inlineStr">
        <is>
          <t>GST on Income</t>
        </is>
      </c>
      <c r="P1989" t="inlineStr">
        <is>
          <t>--</t>
        </is>
      </c>
      <c r="Q1989" t="inlineStr">
        <is>
          <t>REVIEW</t>
        </is>
      </c>
      <c r="R1989">
        <f>IF(OR(Q1989="CONTEXT",Q1989="REVIEW"),"",INDEX('Category Rules'!$D$5:$D$17,MATCH(P1989,'Category Rules'!$A$5:$A$17,0)))</f>
      </c>
      <c r="S1989">
        <f>IF(Q1989="CONTEXT","",IF(Q1989="REVIEW","",INDEX('Category Rules'!$E$5:$E$17,MATCH(P1989,'Category Rules'!$A$5:$A$17,0))))</f>
      </c>
      <c r="T1989" t="str">
        <f>IF(Q1989="DEP","BAS Excluded","GST on Income")</f>
        <v>GST on Income</v>
      </c>
      <c r="U1989">
        <f>IF(O1989=T1989,1,0)</f>
        <v>1</v>
      </c>
      <c r="V1989" s="9">
        <f>IF(OR(M1989=0,U1989=1),0,IF(T1989="GST on Income",ROUND(K1989*0.1,2),ROUND(-K1989*0.1,2)))</f>
        <v>0</v>
      </c>
    </row>
    <row r="1990">
      <c r="A1990" t="inlineStr">
        <is>
          <t>INV-4243-1</t>
        </is>
      </c>
      <c r="B1990" t="inlineStr">
        <is>
          <t>INV-4243</t>
        </is>
      </c>
      <c r="C1990" s="11" t="n">
        <v>46130</v>
      </c>
      <c r="D1990" t="inlineStr">
        <is>
          <t>2026-04</t>
        </is>
      </c>
      <c r="E1990" t="inlineStr">
        <is>
          <t>C0122</t>
        </is>
      </c>
      <c r="F1990" t="inlineStr">
        <is>
          <t>C0122</t>
        </is>
      </c>
      <c r="G1990" t="inlineStr">
        <is>
          <t>Bluegum Construction Pty Ltd</t>
        </is>
      </c>
      <c r="H1990" t="inlineStr">
        <is>
          <t>S0027</t>
        </is>
      </c>
      <c r="I1990" t="inlineStr">
        <is>
          <t>Delivery and installation - temporary fencing</t>
        </is>
      </c>
      <c r="J1990" t="n">
        <v>1</v>
      </c>
      <c r="K1990" s="9" t="n">
        <v>165</v>
      </c>
      <c r="L1990" t="inlineStr">
        <is>
          <t>PAID</t>
        </is>
      </c>
      <c r="M1990">
        <f>IF(L1990="VOIDED",0,1)</f>
        <v>1</v>
      </c>
      <c r="N1990" t="n">
        <v>200</v>
      </c>
      <c r="O1990" t="inlineStr">
        <is>
          <t>GST on Income</t>
        </is>
      </c>
      <c r="P1990" t="inlineStr">
        <is>
          <t>R07</t>
        </is>
      </c>
      <c r="Q1990" t="inlineStr">
        <is>
          <t>DEL-FP</t>
        </is>
      </c>
      <c r="R1990">
        <f>IF(OR(Q1990="CONTEXT",Q1990="REVIEW"),"",INDEX('Category Rules'!$D$5:$D$17,MATCH(P1990,'Category Rules'!$A$5:$A$17,0)))</f>
        <v>4020</v>
      </c>
      <c r="S1990" t="str">
        <f>IF(Q1990="CONTEXT","Fencing",IF(Q1990="REVIEW","",INDEX('Category Rules'!$E$5:$E$17,MATCH(P1990,'Category Rules'!$A$5:$A$17,0))))</f>
        <v>Fencing</v>
      </c>
      <c r="T1990" t="str">
        <f>IF(Q1990="DEP","BAS Excluded","GST on Income")</f>
        <v>GST on Income</v>
      </c>
      <c r="U1990">
        <f>IF(O1990=T1990,1,0)</f>
        <v>1</v>
      </c>
      <c r="V1990" s="9">
        <f>IF(OR(M1990=0,U1990=1),0,IF(T1990="GST on Income",ROUND(K1990*0.1,2),ROUND(-K1990*0.1,2)))</f>
        <v>0</v>
      </c>
    </row>
    <row r="1991">
      <c r="A1991" t="inlineStr">
        <is>
          <t>INV-4243-2</t>
        </is>
      </c>
      <c r="B1991" t="inlineStr">
        <is>
          <t>INV-4243</t>
        </is>
      </c>
      <c r="C1991" s="11" t="n">
        <v>46130</v>
      </c>
      <c r="D1991" t="inlineStr">
        <is>
          <t>2026-04</t>
        </is>
      </c>
      <c r="E1991" t="inlineStr">
        <is>
          <t>C0122</t>
        </is>
      </c>
      <c r="F1991" t="inlineStr">
        <is>
          <t>C0122</t>
        </is>
      </c>
      <c r="G1991" t="inlineStr">
        <is>
          <t>Bluegum Construction Pty Ltd</t>
        </is>
      </c>
      <c r="H1991" t="inlineStr">
        <is>
          <t>S0027</t>
        </is>
      </c>
      <c r="I1991" t="inlineStr">
        <is>
          <t>Installation labour - 79 panels @ 2.20</t>
        </is>
      </c>
      <c r="J1991" t="n">
        <v>79</v>
      </c>
      <c r="K1991" s="9" t="n">
        <v>173.8</v>
      </c>
      <c r="L1991" t="inlineStr">
        <is>
          <t>PAID</t>
        </is>
      </c>
      <c r="M1991">
        <f>IF(L1991="VOIDED",0,1)</f>
        <v>1</v>
      </c>
      <c r="N1991" t="n">
        <v>200</v>
      </c>
      <c r="O1991" t="inlineStr">
        <is>
          <t>GST on Income</t>
        </is>
      </c>
      <c r="P1991" t="inlineStr">
        <is>
          <t>R07</t>
        </is>
      </c>
      <c r="Q1991" t="inlineStr">
        <is>
          <t>DEL-FP</t>
        </is>
      </c>
      <c r="R1991">
        <f>IF(OR(Q1991="CONTEXT",Q1991="REVIEW"),"",INDEX('Category Rules'!$D$5:$D$17,MATCH(P1991,'Category Rules'!$A$5:$A$17,0)))</f>
        <v>4020</v>
      </c>
      <c r="S1991" t="str">
        <f>IF(Q1991="CONTEXT","Fencing",IF(Q1991="REVIEW","",INDEX('Category Rules'!$E$5:$E$17,MATCH(P1991,'Category Rules'!$A$5:$A$17,0))))</f>
        <v>Fencing</v>
      </c>
      <c r="T1991" t="str">
        <f>IF(Q1991="DEP","BAS Excluded","GST on Income")</f>
        <v>GST on Income</v>
      </c>
      <c r="U1991">
        <f>IF(O1991=T1991,1,0)</f>
        <v>1</v>
      </c>
      <c r="V1991" s="9">
        <f>IF(OR(M1991=0,U1991=1),0,IF(T1991="GST on Income",ROUND(K1991*0.1,2),ROUND(-K1991*0.1,2)))</f>
        <v>0</v>
      </c>
    </row>
    <row r="1992">
      <c r="A1992" t="inlineStr">
        <is>
          <t>INV-5490-1</t>
        </is>
      </c>
      <c r="B1992" t="inlineStr">
        <is>
          <t>INV-5490</t>
        </is>
      </c>
      <c r="C1992" s="11" t="n">
        <v>46130</v>
      </c>
      <c r="D1992" t="inlineStr">
        <is>
          <t>2026-04</t>
        </is>
      </c>
      <c r="E1992" t="inlineStr">
        <is>
          <t>C0041</t>
        </is>
      </c>
      <c r="F1992" t="inlineStr">
        <is>
          <t>C0041</t>
        </is>
      </c>
      <c r="G1992" t="inlineStr">
        <is>
          <t>Summit Builders Pty Ltd</t>
        </is>
      </c>
      <c r="H1992" t="inlineStr">
        <is>
          <t>S0322</t>
        </is>
      </c>
      <c r="I1992" t="inlineStr">
        <is>
          <t>Make safe call-out</t>
        </is>
      </c>
      <c r="J1992" t="n">
        <v>1</v>
      </c>
      <c r="K1992" s="9" t="n">
        <v>385</v>
      </c>
      <c r="L1992" t="inlineStr">
        <is>
          <t>PAID</t>
        </is>
      </c>
      <c r="M1992">
        <f>IF(L1992="VOIDED",0,1)</f>
        <v>1</v>
      </c>
      <c r="N1992" t="n">
        <v>200</v>
      </c>
      <c r="O1992" t="inlineStr">
        <is>
          <t>GST on Income</t>
        </is>
      </c>
      <c r="P1992" t="inlineStr">
        <is>
          <t>R09</t>
        </is>
      </c>
      <c r="Q1992" t="inlineStr">
        <is>
          <t>MS</t>
        </is>
      </c>
      <c r="R1992">
        <f>IF(OR(Q1992="CONTEXT",Q1992="REVIEW"),"",INDEX('Category Rules'!$D$5:$D$17,MATCH(P1992,'Category Rules'!$A$5:$A$17,0)))</f>
        <v>4020</v>
      </c>
      <c r="S1992" t="str">
        <f>IF(Q1992="CONTEXT","Make-safe",IF(Q1992="REVIEW","",INDEX('Category Rules'!$E$5:$E$17,MATCH(P1992,'Category Rules'!$A$5:$A$17,0))))</f>
        <v>Make-safe</v>
      </c>
      <c r="T1992" t="str">
        <f>IF(Q1992="DEP","BAS Excluded","GST on Income")</f>
        <v>GST on Income</v>
      </c>
      <c r="U1992">
        <f>IF(O1992=T1992,1,0)</f>
        <v>1</v>
      </c>
      <c r="V1992" s="9">
        <f>IF(OR(M1992=0,U1992=1),0,IF(T1992="GST on Income",ROUND(K1992*0.1,2),ROUND(-K1992*0.1,2)))</f>
        <v>0</v>
      </c>
    </row>
    <row r="1993">
      <c r="A1993" t="inlineStr">
        <is>
          <t>INV-4784-1</t>
        </is>
      </c>
      <c r="B1993" t="inlineStr">
        <is>
          <t>INV-4784</t>
        </is>
      </c>
      <c r="C1993" s="11" t="n">
        <v>46131</v>
      </c>
      <c r="D1993" t="inlineStr">
        <is>
          <t>2026-04</t>
        </is>
      </c>
      <c r="E1993" t="inlineStr">
        <is>
          <t>C0080</t>
        </is>
      </c>
      <c r="F1993" t="inlineStr">
        <is>
          <t>C0080</t>
        </is>
      </c>
      <c r="G1993" t="inlineStr">
        <is>
          <t>Ember Productions Pty Ltd</t>
        </is>
      </c>
      <c r="H1993" t="inlineStr">
        <is>
          <t>S0146</t>
        </is>
      </c>
      <c r="I1993" t="inlineStr">
        <is>
          <t>Delivery and installation - temporary fencing</t>
        </is>
      </c>
      <c r="J1993" t="n">
        <v>1</v>
      </c>
      <c r="K1993" s="9" t="n">
        <v>165</v>
      </c>
      <c r="L1993" t="inlineStr">
        <is>
          <t>PAID</t>
        </is>
      </c>
      <c r="M1993">
        <f>IF(L1993="VOIDED",0,1)</f>
        <v>1</v>
      </c>
      <c r="N1993" t="n">
        <v>200</v>
      </c>
      <c r="O1993" t="inlineStr">
        <is>
          <t>GST on Income</t>
        </is>
      </c>
      <c r="P1993" t="inlineStr">
        <is>
          <t>R07</t>
        </is>
      </c>
      <c r="Q1993" t="inlineStr">
        <is>
          <t>DEL-FP</t>
        </is>
      </c>
      <c r="R1993">
        <f>IF(OR(Q1993="CONTEXT",Q1993="REVIEW"),"",INDEX('Category Rules'!$D$5:$D$17,MATCH(P1993,'Category Rules'!$A$5:$A$17,0)))</f>
        <v>4020</v>
      </c>
      <c r="S1993" t="str">
        <f>IF(Q1993="CONTEXT","Fencing",IF(Q1993="REVIEW","",INDEX('Category Rules'!$E$5:$E$17,MATCH(P1993,'Category Rules'!$A$5:$A$17,0))))</f>
        <v>Fencing</v>
      </c>
      <c r="T1993" t="str">
        <f>IF(Q1993="DEP","BAS Excluded","GST on Income")</f>
        <v>GST on Income</v>
      </c>
      <c r="U1993">
        <f>IF(O1993=T1993,1,0)</f>
        <v>1</v>
      </c>
      <c r="V1993" s="9">
        <f>IF(OR(M1993=0,U1993=1),0,IF(T1993="GST on Income",ROUND(K1993*0.1,2),ROUND(-K1993*0.1,2)))</f>
        <v>0</v>
      </c>
    </row>
    <row r="1994">
      <c r="A1994" t="inlineStr">
        <is>
          <t>INV-4784-2</t>
        </is>
      </c>
      <c r="B1994" t="inlineStr">
        <is>
          <t>INV-4784</t>
        </is>
      </c>
      <c r="C1994" s="11" t="n">
        <v>46131</v>
      </c>
      <c r="D1994" t="inlineStr">
        <is>
          <t>2026-04</t>
        </is>
      </c>
      <c r="E1994" t="inlineStr">
        <is>
          <t>C0080</t>
        </is>
      </c>
      <c r="F1994" t="inlineStr">
        <is>
          <t>C0080</t>
        </is>
      </c>
      <c r="G1994" t="inlineStr">
        <is>
          <t>Ember Productions Pty Ltd</t>
        </is>
      </c>
      <c r="H1994" t="inlineStr">
        <is>
          <t>S0146</t>
        </is>
      </c>
      <c r="I1994" t="inlineStr">
        <is>
          <t>Installation labour - 107 panels @ 2.20</t>
        </is>
      </c>
      <c r="J1994" t="n">
        <v>107</v>
      </c>
      <c r="K1994" s="9" t="n">
        <v>235.4</v>
      </c>
      <c r="L1994" t="inlineStr">
        <is>
          <t>PAID</t>
        </is>
      </c>
      <c r="M1994">
        <f>IF(L1994="VOIDED",0,1)</f>
        <v>1</v>
      </c>
      <c r="N1994" t="n">
        <v>200</v>
      </c>
      <c r="O1994" t="inlineStr">
        <is>
          <t>GST on Income</t>
        </is>
      </c>
      <c r="P1994" t="inlineStr">
        <is>
          <t>R07</t>
        </is>
      </c>
      <c r="Q1994" t="inlineStr">
        <is>
          <t>DEL-FP</t>
        </is>
      </c>
      <c r="R1994">
        <f>IF(OR(Q1994="CONTEXT",Q1994="REVIEW"),"",INDEX('Category Rules'!$D$5:$D$17,MATCH(P1994,'Category Rules'!$A$5:$A$17,0)))</f>
        <v>4020</v>
      </c>
      <c r="S1994" t="str">
        <f>IF(Q1994="CONTEXT","Fencing",IF(Q1994="REVIEW","",INDEX('Category Rules'!$E$5:$E$17,MATCH(P1994,'Category Rules'!$A$5:$A$17,0))))</f>
        <v>Fencing</v>
      </c>
      <c r="T1994" t="str">
        <f>IF(Q1994="DEP","BAS Excluded","GST on Income")</f>
        <v>GST on Income</v>
      </c>
      <c r="U1994">
        <f>IF(O1994=T1994,1,0)</f>
        <v>1</v>
      </c>
      <c r="V1994" s="9">
        <f>IF(OR(M1994=0,U1994=1),0,IF(T1994="GST on Income",ROUND(K1994*0.1,2),ROUND(-K1994*0.1,2)))</f>
        <v>0</v>
      </c>
    </row>
    <row r="1995">
      <c r="A1995" t="inlineStr">
        <is>
          <t>INV-5159-1</t>
        </is>
      </c>
      <c r="B1995" t="inlineStr">
        <is>
          <t>INV-5159</t>
        </is>
      </c>
      <c r="C1995" s="11" t="n">
        <v>46131</v>
      </c>
      <c r="D1995" t="inlineStr">
        <is>
          <t>2026-04</t>
        </is>
      </c>
      <c r="E1995" t="inlineStr">
        <is>
          <t>C0018</t>
        </is>
      </c>
      <c r="F1995" t="inlineStr">
        <is>
          <t>C0018</t>
        </is>
      </c>
      <c r="G1995" t="inlineStr">
        <is>
          <t>Wattle Constructions Pty Ltd</t>
        </is>
      </c>
      <c r="H1995" t="inlineStr">
        <is>
          <t>S0228</t>
        </is>
      </c>
      <c r="I1995" t="inlineStr">
        <is>
          <t>Temporary fence hire 4 wks (22/03/26-18/04/26) - 154 panels</t>
        </is>
      </c>
      <c r="J1995" t="n">
        <v>616</v>
      </c>
      <c r="K1995" s="9" t="n">
        <v>2772</v>
      </c>
      <c r="L1995" t="inlineStr">
        <is>
          <t>PAID</t>
        </is>
      </c>
      <c r="M1995">
        <f>IF(L1995="VOIDED",0,1)</f>
        <v>1</v>
      </c>
      <c r="N1995" t="n">
        <v>200</v>
      </c>
      <c r="O1995" t="inlineStr">
        <is>
          <t>GST on Income</t>
        </is>
      </c>
      <c r="P1995" t="inlineStr">
        <is>
          <t>R03</t>
        </is>
      </c>
      <c r="Q1995" t="inlineStr">
        <is>
          <t>HIRE-FP</t>
        </is>
      </c>
      <c r="R1995">
        <f>IF(OR(Q1995="CONTEXT",Q1995="REVIEW"),"",INDEX('Category Rules'!$D$5:$D$17,MATCH(P1995,'Category Rules'!$A$5:$A$17,0)))</f>
        <v>4010</v>
      </c>
      <c r="S1995" t="str">
        <f>IF(Q1995="CONTEXT","Fencing",IF(Q1995="REVIEW","",INDEX('Category Rules'!$E$5:$E$17,MATCH(P1995,'Category Rules'!$A$5:$A$17,0))))</f>
        <v>Fencing</v>
      </c>
      <c r="T1995" t="str">
        <f>IF(Q1995="DEP","BAS Excluded","GST on Income")</f>
        <v>GST on Income</v>
      </c>
      <c r="U1995">
        <f>IF(O1995=T1995,1,0)</f>
        <v>1</v>
      </c>
      <c r="V1995" s="9">
        <f>IF(OR(M1995=0,U1995=1),0,IF(T1995="GST on Income",ROUND(K1995*0.1,2),ROUND(-K1995*0.1,2)))</f>
        <v>0</v>
      </c>
    </row>
    <row r="1996">
      <c r="A1996" t="inlineStr">
        <is>
          <t>INV-5178-1</t>
        </is>
      </c>
      <c r="B1996" t="inlineStr">
        <is>
          <t>INV-5178</t>
        </is>
      </c>
      <c r="C1996" s="11" t="n">
        <v>46131</v>
      </c>
      <c r="D1996" t="inlineStr">
        <is>
          <t>2026-04</t>
        </is>
      </c>
      <c r="E1996" t="inlineStr">
        <is>
          <t>C0042</t>
        </is>
      </c>
      <c r="F1996" t="inlineStr">
        <is>
          <t>C0042</t>
        </is>
      </c>
      <c r="G1996" t="inlineStr">
        <is>
          <t>Lakeside Constructions Pty Ltd</t>
        </is>
      </c>
      <c r="H1996" t="inlineStr">
        <is>
          <t>S0231</t>
        </is>
      </c>
      <c r="I1996" t="inlineStr">
        <is>
          <t>Temporary fence hire 4 wks (22/03/26-18/04/26) - 125 panels</t>
        </is>
      </c>
      <c r="J1996" t="n">
        <v>500</v>
      </c>
      <c r="K1996" s="9" t="n">
        <v>2250</v>
      </c>
      <c r="L1996" t="inlineStr">
        <is>
          <t>PAID</t>
        </is>
      </c>
      <c r="M1996">
        <f>IF(L1996="VOIDED",0,1)</f>
        <v>1</v>
      </c>
      <c r="N1996" t="n">
        <v>260</v>
      </c>
      <c r="O1996" t="inlineStr">
        <is>
          <t>GST on Income</t>
        </is>
      </c>
      <c r="P1996" t="inlineStr">
        <is>
          <t>R03</t>
        </is>
      </c>
      <c r="Q1996" t="inlineStr">
        <is>
          <t>HIRE-FP</t>
        </is>
      </c>
      <c r="R1996">
        <f>IF(OR(Q1996="CONTEXT",Q1996="REVIEW"),"",INDEX('Category Rules'!$D$5:$D$17,MATCH(P1996,'Category Rules'!$A$5:$A$17,0)))</f>
        <v>4010</v>
      </c>
      <c r="S1996" t="str">
        <f>IF(Q1996="CONTEXT","Fencing",IF(Q1996="REVIEW","",INDEX('Category Rules'!$E$5:$E$17,MATCH(P1996,'Category Rules'!$A$5:$A$17,0))))</f>
        <v>Fencing</v>
      </c>
      <c r="T1996" t="str">
        <f>IF(Q1996="DEP","BAS Excluded","GST on Income")</f>
        <v>GST on Income</v>
      </c>
      <c r="U1996">
        <f>IF(O1996=T1996,1,0)</f>
        <v>1</v>
      </c>
      <c r="V1996" s="9">
        <f>IF(OR(M1996=0,U1996=1),0,IF(T1996="GST on Income",ROUND(K1996*0.1,2),ROUND(-K1996*0.1,2)))</f>
        <v>0</v>
      </c>
    </row>
    <row r="1997">
      <c r="A1997" t="inlineStr">
        <is>
          <t>INV-5716-1</t>
        </is>
      </c>
      <c r="B1997" t="inlineStr">
        <is>
          <t>INV-5716</t>
        </is>
      </c>
      <c r="C1997" s="11" t="n">
        <v>46131</v>
      </c>
      <c r="D1997" t="inlineStr">
        <is>
          <t>2026-04</t>
        </is>
      </c>
      <c r="E1997" t="inlineStr">
        <is>
          <t>C0047</t>
        </is>
      </c>
      <c r="F1997" t="inlineStr">
        <is>
          <t>C0047</t>
        </is>
      </c>
      <c r="G1997" t="inlineStr">
        <is>
          <t>Fairway Owners Corporation Services</t>
        </is>
      </c>
      <c r="H1997" t="inlineStr">
        <is>
          <t>S0442</t>
        </is>
      </c>
      <c r="I1997" t="inlineStr">
        <is>
          <t>Make safe call-out</t>
        </is>
      </c>
      <c r="J1997" t="n">
        <v>1</v>
      </c>
      <c r="K1997" s="9" t="n">
        <v>385</v>
      </c>
      <c r="L1997" t="inlineStr">
        <is>
          <t>PAID</t>
        </is>
      </c>
      <c r="M1997">
        <f>IF(L1997="VOIDED",0,1)</f>
        <v>1</v>
      </c>
      <c r="N1997" t="n">
        <v>200</v>
      </c>
      <c r="O1997" t="inlineStr">
        <is>
          <t>GST on Income</t>
        </is>
      </c>
      <c r="P1997" t="inlineStr">
        <is>
          <t>R09</t>
        </is>
      </c>
      <c r="Q1997" t="inlineStr">
        <is>
          <t>MS</t>
        </is>
      </c>
      <c r="R1997">
        <f>IF(OR(Q1997="CONTEXT",Q1997="REVIEW"),"",INDEX('Category Rules'!$D$5:$D$17,MATCH(P1997,'Category Rules'!$A$5:$A$17,0)))</f>
        <v>4020</v>
      </c>
      <c r="S1997" t="str">
        <f>IF(Q1997="CONTEXT","Make-safe",IF(Q1997="REVIEW","",INDEX('Category Rules'!$E$5:$E$17,MATCH(P1997,'Category Rules'!$A$5:$A$17,0))))</f>
        <v>Make-safe</v>
      </c>
      <c r="T1997" t="str">
        <f>IF(Q1997="DEP","BAS Excluded","GST on Income")</f>
        <v>GST on Income</v>
      </c>
      <c r="U1997">
        <f>IF(O1997=T1997,1,0)</f>
        <v>1</v>
      </c>
      <c r="V1997" s="9">
        <f>IF(OR(M1997=0,U1997=1),0,IF(T1997="GST on Income",ROUND(K1997*0.1,2),ROUND(-K1997*0.1,2)))</f>
        <v>0</v>
      </c>
    </row>
    <row r="1998">
      <c r="A1998" t="inlineStr">
        <is>
          <t>INV-5716-2</t>
        </is>
      </c>
      <c r="B1998" t="inlineStr">
        <is>
          <t>INV-5716</t>
        </is>
      </c>
      <c r="C1998" s="11" t="n">
        <v>46131</v>
      </c>
      <c r="D1998" t="inlineStr">
        <is>
          <t>2026-04</t>
        </is>
      </c>
      <c r="E1998" t="inlineStr">
        <is>
          <t>C0047</t>
        </is>
      </c>
      <c r="F1998" t="inlineStr">
        <is>
          <t>C0047</t>
        </is>
      </c>
      <c r="G1998" t="inlineStr">
        <is>
          <t>Fairway Owners Corporation Services</t>
        </is>
      </c>
      <c r="H1998" t="inlineStr">
        <is>
          <t>S0442</t>
        </is>
      </c>
      <c r="I1998" t="inlineStr">
        <is>
          <t>Tarp supply and install - 3 tarp(s)</t>
        </is>
      </c>
      <c r="J1998" t="n">
        <v>3</v>
      </c>
      <c r="K1998" s="9" t="n">
        <v>720</v>
      </c>
      <c r="L1998" t="inlineStr">
        <is>
          <t>PAID</t>
        </is>
      </c>
      <c r="M1998">
        <f>IF(L1998="VOIDED",0,1)</f>
        <v>1</v>
      </c>
      <c r="N1998" t="n">
        <v>200</v>
      </c>
      <c r="O1998" t="inlineStr">
        <is>
          <t>GST on Income</t>
        </is>
      </c>
      <c r="P1998" t="inlineStr">
        <is>
          <t>R09</t>
        </is>
      </c>
      <c r="Q1998" t="inlineStr">
        <is>
          <t>MS</t>
        </is>
      </c>
      <c r="R1998">
        <f>IF(OR(Q1998="CONTEXT",Q1998="REVIEW"),"",INDEX('Category Rules'!$D$5:$D$17,MATCH(P1998,'Category Rules'!$A$5:$A$17,0)))</f>
        <v>4020</v>
      </c>
      <c r="S1998" t="str">
        <f>IF(Q1998="CONTEXT","Make-safe",IF(Q1998="REVIEW","",INDEX('Category Rules'!$E$5:$E$17,MATCH(P1998,'Category Rules'!$A$5:$A$17,0))))</f>
        <v>Make-safe</v>
      </c>
      <c r="T1998" t="str">
        <f>IF(Q1998="DEP","BAS Excluded","GST on Income")</f>
        <v>GST on Income</v>
      </c>
      <c r="U1998">
        <f>IF(O1998=T1998,1,0)</f>
        <v>1</v>
      </c>
      <c r="V1998" s="9">
        <f>IF(OR(M1998=0,U1998=1),0,IF(T1998="GST on Income",ROUND(K1998*0.1,2),ROUND(-K1998*0.1,2)))</f>
        <v>0</v>
      </c>
    </row>
    <row r="1999">
      <c r="A1999" t="inlineStr">
        <is>
          <t>INV-4589-1</t>
        </is>
      </c>
      <c r="B1999" t="inlineStr">
        <is>
          <t>INV-4589</t>
        </is>
      </c>
      <c r="C1999" s="11" t="n">
        <v>46132</v>
      </c>
      <c r="D1999" t="inlineStr">
        <is>
          <t>2026-04</t>
        </is>
      </c>
      <c r="E1999" t="inlineStr">
        <is>
          <t>C0022</t>
        </is>
      </c>
      <c r="F1999" t="inlineStr">
        <is>
          <t>C0022</t>
        </is>
      </c>
      <c r="G1999" t="inlineStr">
        <is>
          <t>Highpoint Projects</t>
        </is>
      </c>
      <c r="H1999" t="inlineStr">
        <is>
          <t>S0099</t>
        </is>
      </c>
      <c r="I1999" t="inlineStr">
        <is>
          <t>Temporary fence hire 4 wks (23/03/26-19/04/26) - 70 panels</t>
        </is>
      </c>
      <c r="J1999" t="n">
        <v>280</v>
      </c>
      <c r="K1999" s="9" t="n">
        <v>1260</v>
      </c>
      <c r="L1999" t="inlineStr">
        <is>
          <t>PAID</t>
        </is>
      </c>
      <c r="M1999">
        <f>IF(L1999="VOIDED",0,1)</f>
        <v>1</v>
      </c>
      <c r="N1999" t="n">
        <v>200</v>
      </c>
      <c r="O1999" t="inlineStr">
        <is>
          <t>GST on Income</t>
        </is>
      </c>
      <c r="P1999" t="inlineStr">
        <is>
          <t>R03</t>
        </is>
      </c>
      <c r="Q1999" t="inlineStr">
        <is>
          <t>HIRE-FP</t>
        </is>
      </c>
      <c r="R1999">
        <f>IF(OR(Q1999="CONTEXT",Q1999="REVIEW"),"",INDEX('Category Rules'!$D$5:$D$17,MATCH(P1999,'Category Rules'!$A$5:$A$17,0)))</f>
        <v>4010</v>
      </c>
      <c r="S1999" t="str">
        <f>IF(Q1999="CONTEXT","Fencing",IF(Q1999="REVIEW","",INDEX('Category Rules'!$E$5:$E$17,MATCH(P1999,'Category Rules'!$A$5:$A$17,0))))</f>
        <v>Fencing</v>
      </c>
      <c r="T1999" t="str">
        <f>IF(Q1999="DEP","BAS Excluded","GST on Income")</f>
        <v>GST on Income</v>
      </c>
      <c r="U1999">
        <f>IF(O1999=T1999,1,0)</f>
        <v>1</v>
      </c>
      <c r="V1999" s="9">
        <f>IF(OR(M1999=0,U1999=1),0,IF(T1999="GST on Income",ROUND(K1999*0.1,2),ROUND(-K1999*0.1,2)))</f>
        <v>0</v>
      </c>
    </row>
    <row r="2000">
      <c r="A2000" t="inlineStr">
        <is>
          <t>INV-4594-1</t>
        </is>
      </c>
      <c r="B2000" t="inlineStr">
        <is>
          <t>INV-4594</t>
        </is>
      </c>
      <c r="C2000" s="11" t="n">
        <v>46132</v>
      </c>
      <c r="D2000" t="inlineStr">
        <is>
          <t>2026-04</t>
        </is>
      </c>
      <c r="E2000" t="inlineStr">
        <is>
          <t>C0022</t>
        </is>
      </c>
      <c r="F2000" t="inlineStr">
        <is>
          <t>C0022</t>
        </is>
      </c>
      <c r="G2000" t="inlineStr">
        <is>
          <t>Highpoint Projects</t>
        </is>
      </c>
      <c r="H2000" t="inlineStr">
        <is>
          <t>S0099</t>
        </is>
      </c>
      <c r="I2000" t="inlineStr">
        <is>
          <t>Pedestrian barrier hire 4 wks (23/03/26-19/04/26) - 10 barriers</t>
        </is>
      </c>
      <c r="J2000" t="n">
        <v>40</v>
      </c>
      <c r="K2000" s="9" t="n">
        <v>128</v>
      </c>
      <c r="L2000" t="inlineStr">
        <is>
          <t>PAID</t>
        </is>
      </c>
      <c r="M2000">
        <f>IF(L2000="VOIDED",0,1)</f>
        <v>1</v>
      </c>
      <c r="N2000" t="n">
        <v>200</v>
      </c>
      <c r="O2000" t="inlineStr">
        <is>
          <t>GST on Income</t>
        </is>
      </c>
      <c r="P2000" t="inlineStr">
        <is>
          <t>R04</t>
        </is>
      </c>
      <c r="Q2000" t="inlineStr">
        <is>
          <t>HIRE-BR</t>
        </is>
      </c>
      <c r="R2000">
        <f>IF(OR(Q2000="CONTEXT",Q2000="REVIEW"),"",INDEX('Category Rules'!$D$5:$D$17,MATCH(P2000,'Category Rules'!$A$5:$A$17,0)))</f>
        <v>4010</v>
      </c>
      <c r="S2000" t="str">
        <f>IF(Q2000="CONTEXT","Fencing",IF(Q2000="REVIEW","",INDEX('Category Rules'!$E$5:$E$17,MATCH(P2000,'Category Rules'!$A$5:$A$17,0))))</f>
        <v>Fencing</v>
      </c>
      <c r="T2000" t="str">
        <f>IF(Q2000="DEP","BAS Excluded","GST on Income")</f>
        <v>GST on Income</v>
      </c>
      <c r="U2000">
        <f>IF(O2000=T2000,1,0)</f>
        <v>1</v>
      </c>
      <c r="V2000" s="9">
        <f>IF(OR(M2000=0,U2000=1),0,IF(T2000="GST on Income",ROUND(K2000*0.1,2),ROUND(-K2000*0.1,2)))</f>
        <v>0</v>
      </c>
    </row>
    <row r="2001">
      <c r="A2001" t="inlineStr">
        <is>
          <t>INV-4980-1</t>
        </is>
      </c>
      <c r="B2001" t="inlineStr">
        <is>
          <t>INV-4980</t>
        </is>
      </c>
      <c r="C2001" s="11" t="n">
        <v>46133</v>
      </c>
      <c r="D2001" t="inlineStr">
        <is>
          <t>2026-04</t>
        </is>
      </c>
      <c r="E2001" t="inlineStr">
        <is>
          <t>C0010</t>
        </is>
      </c>
      <c r="F2001" t="inlineStr">
        <is>
          <t>C0010</t>
        </is>
      </c>
      <c r="G2001" t="inlineStr">
        <is>
          <t>Eastlink Developments</t>
        </is>
      </c>
      <c r="H2001" t="inlineStr">
        <is>
          <t>S0187</t>
        </is>
      </c>
      <c r="I2001" t="inlineStr">
        <is>
          <t>Temporary fence hire 4 wks (24/03/26-20/04/26) - 120 panels</t>
        </is>
      </c>
      <c r="J2001" t="n">
        <v>480</v>
      </c>
      <c r="K2001" s="9" t="n">
        <v>2160</v>
      </c>
      <c r="L2001" t="inlineStr">
        <is>
          <t>PAID</t>
        </is>
      </c>
      <c r="M2001">
        <f>IF(L2001="VOIDED",0,1)</f>
        <v>1</v>
      </c>
      <c r="N2001" t="n">
        <v>200</v>
      </c>
      <c r="O2001" t="inlineStr">
        <is>
          <t>GST on Income</t>
        </is>
      </c>
      <c r="P2001" t="inlineStr">
        <is>
          <t>R03</t>
        </is>
      </c>
      <c r="Q2001" t="inlineStr">
        <is>
          <t>HIRE-FP</t>
        </is>
      </c>
      <c r="R2001">
        <f>IF(OR(Q2001="CONTEXT",Q2001="REVIEW"),"",INDEX('Category Rules'!$D$5:$D$17,MATCH(P2001,'Category Rules'!$A$5:$A$17,0)))</f>
        <v>4010</v>
      </c>
      <c r="S2001" t="str">
        <f>IF(Q2001="CONTEXT","Fencing",IF(Q2001="REVIEW","",INDEX('Category Rules'!$E$5:$E$17,MATCH(P2001,'Category Rules'!$A$5:$A$17,0))))</f>
        <v>Fencing</v>
      </c>
      <c r="T2001" t="str">
        <f>IF(Q2001="DEP","BAS Excluded","GST on Income")</f>
        <v>GST on Income</v>
      </c>
      <c r="U2001">
        <f>IF(O2001=T2001,1,0)</f>
        <v>1</v>
      </c>
      <c r="V2001" s="9">
        <f>IF(OR(M2001=0,U2001=1),0,IF(T2001="GST on Income",ROUND(K2001*0.1,2),ROUND(-K2001*0.1,2)))</f>
        <v>0</v>
      </c>
    </row>
    <row r="2002">
      <c r="A2002" t="inlineStr">
        <is>
          <t>INV-5037-1</t>
        </is>
      </c>
      <c r="B2002" t="inlineStr">
        <is>
          <t>INV-5037</t>
        </is>
      </c>
      <c r="C2002" s="11" t="n">
        <v>46133</v>
      </c>
      <c r="D2002" t="inlineStr">
        <is>
          <t>2026-04</t>
        </is>
      </c>
      <c r="E2002" t="inlineStr">
        <is>
          <t>C0071</t>
        </is>
      </c>
      <c r="F2002" t="inlineStr">
        <is>
          <t>C0071</t>
        </is>
      </c>
      <c r="G2002" t="inlineStr">
        <is>
          <t>Maribyrnong City Council</t>
        </is>
      </c>
      <c r="H2002" t="inlineStr">
        <is>
          <t>S0202</t>
        </is>
      </c>
      <c r="I2002" t="inlineStr">
        <is>
          <t>Temporary fence hire 4 wks (24/03/26-20/04/26) - 42 panels</t>
        </is>
      </c>
      <c r="J2002" t="n">
        <v>168</v>
      </c>
      <c r="K2002" s="9" t="n">
        <v>756</v>
      </c>
      <c r="L2002" t="inlineStr">
        <is>
          <t>PAID</t>
        </is>
      </c>
      <c r="M2002">
        <f>IF(L2002="VOIDED",0,1)</f>
        <v>1</v>
      </c>
      <c r="N2002" t="n">
        <v>200</v>
      </c>
      <c r="O2002" t="inlineStr">
        <is>
          <t>GST on Income</t>
        </is>
      </c>
      <c r="P2002" t="inlineStr">
        <is>
          <t>R03</t>
        </is>
      </c>
      <c r="Q2002" t="inlineStr">
        <is>
          <t>HIRE-FP</t>
        </is>
      </c>
      <c r="R2002">
        <f>IF(OR(Q2002="CONTEXT",Q2002="REVIEW"),"",INDEX('Category Rules'!$D$5:$D$17,MATCH(P2002,'Category Rules'!$A$5:$A$17,0)))</f>
        <v>4010</v>
      </c>
      <c r="S2002" t="str">
        <f>IF(Q2002="CONTEXT","Fencing",IF(Q2002="REVIEW","",INDEX('Category Rules'!$E$5:$E$17,MATCH(P2002,'Category Rules'!$A$5:$A$17,0))))</f>
        <v>Fencing</v>
      </c>
      <c r="T2002" t="str">
        <f>IF(Q2002="DEP","BAS Excluded","GST on Income")</f>
        <v>GST on Income</v>
      </c>
      <c r="U2002">
        <f>IF(O2002=T2002,1,0)</f>
        <v>1</v>
      </c>
      <c r="V2002" s="9">
        <f>IF(OR(M2002=0,U2002=1),0,IF(T2002="GST on Income",ROUND(K2002*0.1,2),ROUND(-K2002*0.1,2)))</f>
        <v>0</v>
      </c>
    </row>
    <row r="2003">
      <c r="A2003" t="inlineStr">
        <is>
          <t>INV-5041-1</t>
        </is>
      </c>
      <c r="B2003" t="inlineStr">
        <is>
          <t>INV-5041</t>
        </is>
      </c>
      <c r="C2003" s="11" t="n">
        <v>46133</v>
      </c>
      <c r="D2003" t="inlineStr">
        <is>
          <t>2026-04</t>
        </is>
      </c>
      <c r="E2003" t="inlineStr">
        <is>
          <t>C0071</t>
        </is>
      </c>
      <c r="F2003" t="inlineStr">
        <is>
          <t>C0071</t>
        </is>
      </c>
      <c r="G2003" t="inlineStr">
        <is>
          <t>Maribyrnong City Council</t>
        </is>
      </c>
      <c r="H2003" t="inlineStr">
        <is>
          <t>S0202</t>
        </is>
      </c>
      <c r="I2003" t="inlineStr">
        <is>
          <t>Pedestrian barrier hire 4 wks (24/03/26-20/04/26) - 18 barriers</t>
        </is>
      </c>
      <c r="J2003" t="n">
        <v>72</v>
      </c>
      <c r="K2003" s="9" t="n">
        <v>230.4</v>
      </c>
      <c r="L2003" t="inlineStr">
        <is>
          <t>PAID</t>
        </is>
      </c>
      <c r="M2003">
        <f>IF(L2003="VOIDED",0,1)</f>
        <v>1</v>
      </c>
      <c r="N2003" t="n">
        <v>200</v>
      </c>
      <c r="O2003" t="inlineStr">
        <is>
          <t>GST on Income</t>
        </is>
      </c>
      <c r="P2003" t="inlineStr">
        <is>
          <t>R04</t>
        </is>
      </c>
      <c r="Q2003" t="inlineStr">
        <is>
          <t>HIRE-BR</t>
        </is>
      </c>
      <c r="R2003">
        <f>IF(OR(Q2003="CONTEXT",Q2003="REVIEW"),"",INDEX('Category Rules'!$D$5:$D$17,MATCH(P2003,'Category Rules'!$A$5:$A$17,0)))</f>
        <v>4010</v>
      </c>
      <c r="S2003" t="str">
        <f>IF(Q2003="CONTEXT","Fencing",IF(Q2003="REVIEW","",INDEX('Category Rules'!$E$5:$E$17,MATCH(P2003,'Category Rules'!$A$5:$A$17,0))))</f>
        <v>Fencing</v>
      </c>
      <c r="T2003" t="str">
        <f>IF(Q2003="DEP","BAS Excluded","GST on Income")</f>
        <v>GST on Income</v>
      </c>
      <c r="U2003">
        <f>IF(O2003=T2003,1,0)</f>
        <v>1</v>
      </c>
      <c r="V2003" s="9">
        <f>IF(OR(M2003=0,U2003=1),0,IF(T2003="GST on Income",ROUND(K2003*0.1,2),ROUND(-K2003*0.1,2)))</f>
        <v>0</v>
      </c>
    </row>
    <row r="2004">
      <c r="A2004" t="inlineStr">
        <is>
          <t>INV-5051-1</t>
        </is>
      </c>
      <c r="B2004" t="inlineStr">
        <is>
          <t>INV-5051</t>
        </is>
      </c>
      <c r="C2004" s="11" t="n">
        <v>46133</v>
      </c>
      <c r="D2004" t="inlineStr">
        <is>
          <t>2026-04</t>
        </is>
      </c>
      <c r="E2004" t="inlineStr">
        <is>
          <t>C0024</t>
        </is>
      </c>
      <c r="F2004" t="inlineStr">
        <is>
          <t>C0024</t>
        </is>
      </c>
      <c r="G2004" t="inlineStr">
        <is>
          <t>Parkview Homes Pty Ltd</t>
        </is>
      </c>
      <c r="H2004" t="inlineStr">
        <is>
          <t>S0204</t>
        </is>
      </c>
      <c r="I2004" t="inlineStr">
        <is>
          <t>Temporary fence hire 4 wks (24/03/26-20/04/26) - 148 panels</t>
        </is>
      </c>
      <c r="J2004" t="n">
        <v>592</v>
      </c>
      <c r="K2004" s="9" t="n">
        <v>2664</v>
      </c>
      <c r="L2004" t="inlineStr">
        <is>
          <t>PAID</t>
        </is>
      </c>
      <c r="M2004">
        <f>IF(L2004="VOIDED",0,1)</f>
        <v>1</v>
      </c>
      <c r="N2004" t="n">
        <v>200</v>
      </c>
      <c r="O2004" t="inlineStr">
        <is>
          <t>GST on Income</t>
        </is>
      </c>
      <c r="P2004" t="inlineStr">
        <is>
          <t>R03</t>
        </is>
      </c>
      <c r="Q2004" t="inlineStr">
        <is>
          <t>HIRE-FP</t>
        </is>
      </c>
      <c r="R2004">
        <f>IF(OR(Q2004="CONTEXT",Q2004="REVIEW"),"",INDEX('Category Rules'!$D$5:$D$17,MATCH(P2004,'Category Rules'!$A$5:$A$17,0)))</f>
        <v>4010</v>
      </c>
      <c r="S2004" t="str">
        <f>IF(Q2004="CONTEXT","Fencing",IF(Q2004="REVIEW","",INDEX('Category Rules'!$E$5:$E$17,MATCH(P2004,'Category Rules'!$A$5:$A$17,0))))</f>
        <v>Fencing</v>
      </c>
      <c r="T2004" t="str">
        <f>IF(Q2004="DEP","BAS Excluded","GST on Income")</f>
        <v>GST on Income</v>
      </c>
      <c r="U2004">
        <f>IF(O2004=T2004,1,0)</f>
        <v>1</v>
      </c>
      <c r="V2004" s="9">
        <f>IF(OR(M2004=0,U2004=1),0,IF(T2004="GST on Income",ROUND(K2004*0.1,2),ROUND(-K2004*0.1,2)))</f>
        <v>0</v>
      </c>
    </row>
    <row r="2005">
      <c r="A2005" t="inlineStr">
        <is>
          <t>INV-5328-1</t>
        </is>
      </c>
      <c r="B2005" t="inlineStr">
        <is>
          <t>INV-5328</t>
        </is>
      </c>
      <c r="C2005" s="11" t="n">
        <v>46133</v>
      </c>
      <c r="D2005" t="inlineStr">
        <is>
          <t>2026-04</t>
        </is>
      </c>
      <c r="E2005" t="inlineStr">
        <is>
          <t>C0038</t>
        </is>
      </c>
      <c r="F2005" t="inlineStr">
        <is>
          <t>C0038</t>
        </is>
      </c>
      <c r="G2005" t="inlineStr">
        <is>
          <t>Cobalt Constructions Pty Ltd</t>
        </is>
      </c>
      <c r="H2005" t="inlineStr">
        <is>
          <t>S0266</t>
        </is>
      </c>
      <c r="I2005" t="inlineStr">
        <is>
          <t>Scaffold tower hire 4 wks (24/03/26-20/04/26) - 4 towers</t>
        </is>
      </c>
      <c r="J2005" t="n">
        <v>16</v>
      </c>
      <c r="K2005" s="9" t="n">
        <v>1520</v>
      </c>
      <c r="L2005" t="inlineStr">
        <is>
          <t>PAID</t>
        </is>
      </c>
      <c r="M2005">
        <f>IF(L2005="VOIDED",0,1)</f>
        <v>1</v>
      </c>
      <c r="N2005" t="n">
        <v>200</v>
      </c>
      <c r="O2005" t="inlineStr">
        <is>
          <t>GST on Income</t>
        </is>
      </c>
      <c r="P2005" t="inlineStr">
        <is>
          <t>R05</t>
        </is>
      </c>
      <c r="Q2005" t="inlineStr">
        <is>
          <t>HIRE-ST</t>
        </is>
      </c>
      <c r="R2005">
        <f>IF(OR(Q2005="CONTEXT",Q2005="REVIEW"),"",INDEX('Category Rules'!$D$5:$D$17,MATCH(P2005,'Category Rules'!$A$5:$A$17,0)))</f>
        <v>4010</v>
      </c>
      <c r="S2005" t="str">
        <f>IF(Q2005="CONTEXT","Scaffolding",IF(Q2005="REVIEW","",INDEX('Category Rules'!$E$5:$E$17,MATCH(P2005,'Category Rules'!$A$5:$A$17,0))))</f>
        <v>Scaffolding</v>
      </c>
      <c r="T2005" t="str">
        <f>IF(Q2005="DEP","BAS Excluded","GST on Income")</f>
        <v>GST on Income</v>
      </c>
      <c r="U2005">
        <f>IF(O2005=T2005,1,0)</f>
        <v>1</v>
      </c>
      <c r="V2005" s="9">
        <f>IF(OR(M2005=0,U2005=1),0,IF(T2005="GST on Income",ROUND(K2005*0.1,2),ROUND(-K2005*0.1,2)))</f>
        <v>0</v>
      </c>
    </row>
    <row r="2006">
      <c r="A2006" t="inlineStr">
        <is>
          <t>INV-5462-1</t>
        </is>
      </c>
      <c r="B2006" t="inlineStr">
        <is>
          <t>INV-5462</t>
        </is>
      </c>
      <c r="C2006" s="11" t="n">
        <v>46133</v>
      </c>
      <c r="D2006" t="inlineStr">
        <is>
          <t>2026-04</t>
        </is>
      </c>
      <c r="E2006" t="inlineStr">
        <is>
          <t>C0092</t>
        </is>
      </c>
      <c r="F2006" t="inlineStr">
        <is>
          <t>C0092</t>
        </is>
      </c>
      <c r="G2006" t="inlineStr">
        <is>
          <t>Leo Jones</t>
        </is>
      </c>
      <c r="H2006" t="inlineStr">
        <is>
          <t>S0303</t>
        </is>
      </c>
      <c r="I2006" t="inlineStr">
        <is>
          <t>Tarp kit hire 4 wks (24/03/26-20/04/26) - 3 kits</t>
        </is>
      </c>
      <c r="J2006" t="n">
        <v>12</v>
      </c>
      <c r="K2006" s="9" t="n">
        <v>420</v>
      </c>
      <c r="L2006" t="inlineStr">
        <is>
          <t>PAID</t>
        </is>
      </c>
      <c r="M2006">
        <f>IF(L2006="VOIDED",0,1)</f>
        <v>1</v>
      </c>
      <c r="N2006" t="n">
        <v>200</v>
      </c>
      <c r="O2006" t="inlineStr">
        <is>
          <t>GST on Income</t>
        </is>
      </c>
      <c r="P2006" t="inlineStr">
        <is>
          <t>R06</t>
        </is>
      </c>
      <c r="Q2006" t="inlineStr">
        <is>
          <t>HIRE-TK</t>
        </is>
      </c>
      <c r="R2006">
        <f>IF(OR(Q2006="CONTEXT",Q2006="REVIEW"),"",INDEX('Category Rules'!$D$5:$D$17,MATCH(P2006,'Category Rules'!$A$5:$A$17,0)))</f>
        <v>4010</v>
      </c>
      <c r="S2006" t="str">
        <f>IF(Q2006="CONTEXT","Make-safe",IF(Q2006="REVIEW","",INDEX('Category Rules'!$E$5:$E$17,MATCH(P2006,'Category Rules'!$A$5:$A$17,0))))</f>
        <v>Make-safe</v>
      </c>
      <c r="T2006" t="str">
        <f>IF(Q2006="DEP","BAS Excluded","GST on Income")</f>
        <v>GST on Income</v>
      </c>
      <c r="U2006">
        <f>IF(O2006=T2006,1,0)</f>
        <v>1</v>
      </c>
      <c r="V2006" s="9">
        <f>IF(OR(M2006=0,U2006=1),0,IF(T2006="GST on Income",ROUND(K2006*0.1,2),ROUND(-K2006*0.1,2)))</f>
        <v>0</v>
      </c>
    </row>
    <row r="2007">
      <c r="A2007" t="inlineStr">
        <is>
          <t>INV-5691-1</t>
        </is>
      </c>
      <c r="B2007" t="inlineStr">
        <is>
          <t>INV-5691</t>
        </is>
      </c>
      <c r="C2007" s="11" t="n">
        <v>46133</v>
      </c>
      <c r="D2007" t="inlineStr">
        <is>
          <t>2026-04</t>
        </is>
      </c>
      <c r="E2007" t="inlineStr">
        <is>
          <t>C0065</t>
        </is>
      </c>
      <c r="F2007" t="inlineStr">
        <is>
          <t>C0065</t>
        </is>
      </c>
      <c r="G2007" t="inlineStr">
        <is>
          <t>Stonebridge Claims Services</t>
        </is>
      </c>
      <c r="H2007" t="inlineStr">
        <is>
          <t>S0429</t>
        </is>
      </c>
      <c r="I2007" t="inlineStr">
        <is>
          <t>Make safe call-out</t>
        </is>
      </c>
      <c r="J2007" t="n">
        <v>1</v>
      </c>
      <c r="K2007" s="9" t="n">
        <v>385</v>
      </c>
      <c r="L2007" t="inlineStr">
        <is>
          <t>PAID</t>
        </is>
      </c>
      <c r="M2007">
        <f>IF(L2007="VOIDED",0,1)</f>
        <v>1</v>
      </c>
      <c r="N2007" t="n">
        <v>200</v>
      </c>
      <c r="O2007" t="inlineStr">
        <is>
          <t>GST on Income</t>
        </is>
      </c>
      <c r="P2007" t="inlineStr">
        <is>
          <t>R09</t>
        </is>
      </c>
      <c r="Q2007" t="inlineStr">
        <is>
          <t>MS</t>
        </is>
      </c>
      <c r="R2007">
        <f>IF(OR(Q2007="CONTEXT",Q2007="REVIEW"),"",INDEX('Category Rules'!$D$5:$D$17,MATCH(P2007,'Category Rules'!$A$5:$A$17,0)))</f>
        <v>4020</v>
      </c>
      <c r="S2007" t="str">
        <f>IF(Q2007="CONTEXT","Make-safe",IF(Q2007="REVIEW","",INDEX('Category Rules'!$E$5:$E$17,MATCH(P2007,'Category Rules'!$A$5:$A$17,0))))</f>
        <v>Make-safe</v>
      </c>
      <c r="T2007" t="str">
        <f>IF(Q2007="DEP","BAS Excluded","GST on Income")</f>
        <v>GST on Income</v>
      </c>
      <c r="U2007">
        <f>IF(O2007=T2007,1,0)</f>
        <v>1</v>
      </c>
      <c r="V2007" s="9">
        <f>IF(OR(M2007=0,U2007=1),0,IF(T2007="GST on Income",ROUND(K2007*0.1,2),ROUND(-K2007*0.1,2)))</f>
        <v>0</v>
      </c>
    </row>
    <row r="2008">
      <c r="A2008" t="inlineStr">
        <is>
          <t>INV-5691-2</t>
        </is>
      </c>
      <c r="B2008" t="inlineStr">
        <is>
          <t>INV-5691</t>
        </is>
      </c>
      <c r="C2008" s="11" t="n">
        <v>46133</v>
      </c>
      <c r="D2008" t="inlineStr">
        <is>
          <t>2026-04</t>
        </is>
      </c>
      <c r="E2008" t="inlineStr">
        <is>
          <t>C0065</t>
        </is>
      </c>
      <c r="F2008" t="inlineStr">
        <is>
          <t>C0065</t>
        </is>
      </c>
      <c r="G2008" t="inlineStr">
        <is>
          <t>Stonebridge Claims Services</t>
        </is>
      </c>
      <c r="H2008" t="inlineStr">
        <is>
          <t>S0429</t>
        </is>
      </c>
      <c r="I2008" t="inlineStr">
        <is>
          <t>Tarp supply and install - 3 tarp(s)</t>
        </is>
      </c>
      <c r="J2008" t="n">
        <v>3</v>
      </c>
      <c r="K2008" s="9" t="n">
        <v>720</v>
      </c>
      <c r="L2008" t="inlineStr">
        <is>
          <t>PAID</t>
        </is>
      </c>
      <c r="M2008">
        <f>IF(L2008="VOIDED",0,1)</f>
        <v>1</v>
      </c>
      <c r="N2008" t="n">
        <v>200</v>
      </c>
      <c r="O2008" t="inlineStr">
        <is>
          <t>GST on Income</t>
        </is>
      </c>
      <c r="P2008" t="inlineStr">
        <is>
          <t>R09</t>
        </is>
      </c>
      <c r="Q2008" t="inlineStr">
        <is>
          <t>MS</t>
        </is>
      </c>
      <c r="R2008">
        <f>IF(OR(Q2008="CONTEXT",Q2008="REVIEW"),"",INDEX('Category Rules'!$D$5:$D$17,MATCH(P2008,'Category Rules'!$A$5:$A$17,0)))</f>
        <v>4020</v>
      </c>
      <c r="S2008" t="str">
        <f>IF(Q2008="CONTEXT","Make-safe",IF(Q2008="REVIEW","",INDEX('Category Rules'!$E$5:$E$17,MATCH(P2008,'Category Rules'!$A$5:$A$17,0))))</f>
        <v>Make-safe</v>
      </c>
      <c r="T2008" t="str">
        <f>IF(Q2008="DEP","BAS Excluded","GST on Income")</f>
        <v>GST on Income</v>
      </c>
      <c r="U2008">
        <f>IF(O2008=T2008,1,0)</f>
        <v>1</v>
      </c>
      <c r="V2008" s="9">
        <f>IF(OR(M2008=0,U2008=1),0,IF(T2008="GST on Income",ROUND(K2008*0.1,2),ROUND(-K2008*0.1,2)))</f>
        <v>0</v>
      </c>
    </row>
    <row r="2009">
      <c r="A2009" t="inlineStr">
        <is>
          <t>INV-4599-1</t>
        </is>
      </c>
      <c r="B2009" t="inlineStr">
        <is>
          <t>INV-4599</t>
        </is>
      </c>
      <c r="C2009" s="11" t="n">
        <v>46134</v>
      </c>
      <c r="D2009" t="inlineStr">
        <is>
          <t>2026-04</t>
        </is>
      </c>
      <c r="E2009" t="inlineStr">
        <is>
          <t>C0027</t>
        </is>
      </c>
      <c r="F2009" t="inlineStr">
        <is>
          <t>C0027</t>
        </is>
      </c>
      <c r="G2009" t="inlineStr">
        <is>
          <t>Metro Projects Pty Ltd</t>
        </is>
      </c>
      <c r="H2009" t="inlineStr">
        <is>
          <t>S0100</t>
        </is>
      </c>
      <c r="I2009" t="inlineStr">
        <is>
          <t>Temporary fence hire 4 wks (25/03/26-21/04/26) - 141 panels</t>
        </is>
      </c>
      <c r="J2009" t="n">
        <v>564</v>
      </c>
      <c r="K2009" s="9" t="n">
        <v>2538</v>
      </c>
      <c r="L2009" t="inlineStr">
        <is>
          <t>PAID</t>
        </is>
      </c>
      <c r="M2009">
        <f>IF(L2009="VOIDED",0,1)</f>
        <v>1</v>
      </c>
      <c r="N2009" t="n">
        <v>200</v>
      </c>
      <c r="O2009" t="inlineStr">
        <is>
          <t>GST on Income</t>
        </is>
      </c>
      <c r="P2009" t="inlineStr">
        <is>
          <t>R03</t>
        </is>
      </c>
      <c r="Q2009" t="inlineStr">
        <is>
          <t>HIRE-FP</t>
        </is>
      </c>
      <c r="R2009">
        <f>IF(OR(Q2009="CONTEXT",Q2009="REVIEW"),"",INDEX('Category Rules'!$D$5:$D$17,MATCH(P2009,'Category Rules'!$A$5:$A$17,0)))</f>
        <v>4010</v>
      </c>
      <c r="S2009" t="str">
        <f>IF(Q2009="CONTEXT","Fencing",IF(Q2009="REVIEW","",INDEX('Category Rules'!$E$5:$E$17,MATCH(P2009,'Category Rules'!$A$5:$A$17,0))))</f>
        <v>Fencing</v>
      </c>
      <c r="T2009" t="str">
        <f>IF(Q2009="DEP","BAS Excluded","GST on Income")</f>
        <v>GST on Income</v>
      </c>
      <c r="U2009">
        <f>IF(O2009=T2009,1,0)</f>
        <v>1</v>
      </c>
      <c r="V2009" s="9">
        <f>IF(OR(M2009=0,U2009=1),0,IF(T2009="GST on Income",ROUND(K2009*0.1,2),ROUND(-K2009*0.1,2)))</f>
        <v>0</v>
      </c>
    </row>
    <row r="2010">
      <c r="A2010" t="inlineStr">
        <is>
          <t>INV-4604-1</t>
        </is>
      </c>
      <c r="B2010" t="inlineStr">
        <is>
          <t>INV-4604</t>
        </is>
      </c>
      <c r="C2010" s="11" t="n">
        <v>46134</v>
      </c>
      <c r="D2010" t="inlineStr">
        <is>
          <t>2026-04</t>
        </is>
      </c>
      <c r="E2010" t="inlineStr">
        <is>
          <t>C0027</t>
        </is>
      </c>
      <c r="F2010" t="inlineStr">
        <is>
          <t>C0027</t>
        </is>
      </c>
      <c r="G2010" t="inlineStr">
        <is>
          <t>Metro Projects Pty Ltd</t>
        </is>
      </c>
      <c r="H2010" t="inlineStr">
        <is>
          <t>S0100</t>
        </is>
      </c>
      <c r="I2010" t="inlineStr">
        <is>
          <t>Pedestrian barrier hire 4 wks (25/03/26-21/04/26) - 14 barriers</t>
        </is>
      </c>
      <c r="J2010" t="n">
        <v>56</v>
      </c>
      <c r="K2010" s="9" t="n">
        <v>179.2</v>
      </c>
      <c r="L2010" t="inlineStr">
        <is>
          <t>PAID</t>
        </is>
      </c>
      <c r="M2010">
        <f>IF(L2010="VOIDED",0,1)</f>
        <v>1</v>
      </c>
      <c r="N2010" t="n">
        <v>200</v>
      </c>
      <c r="O2010" t="inlineStr">
        <is>
          <t>GST on Income</t>
        </is>
      </c>
      <c r="P2010" t="inlineStr">
        <is>
          <t>R04</t>
        </is>
      </c>
      <c r="Q2010" t="inlineStr">
        <is>
          <t>HIRE-BR</t>
        </is>
      </c>
      <c r="R2010">
        <f>IF(OR(Q2010="CONTEXT",Q2010="REVIEW"),"",INDEX('Category Rules'!$D$5:$D$17,MATCH(P2010,'Category Rules'!$A$5:$A$17,0)))</f>
        <v>4010</v>
      </c>
      <c r="S2010" t="str">
        <f>IF(Q2010="CONTEXT","Fencing",IF(Q2010="REVIEW","",INDEX('Category Rules'!$E$5:$E$17,MATCH(P2010,'Category Rules'!$A$5:$A$17,0))))</f>
        <v>Fencing</v>
      </c>
      <c r="T2010" t="str">
        <f>IF(Q2010="DEP","BAS Excluded","GST on Income")</f>
        <v>GST on Income</v>
      </c>
      <c r="U2010">
        <f>IF(O2010=T2010,1,0)</f>
        <v>1</v>
      </c>
      <c r="V2010" s="9">
        <f>IF(OR(M2010=0,U2010=1),0,IF(T2010="GST on Income",ROUND(K2010*0.1,2),ROUND(-K2010*0.1,2)))</f>
        <v>0</v>
      </c>
    </row>
    <row r="2011">
      <c r="A2011" t="inlineStr">
        <is>
          <t>INV-5463-1</t>
        </is>
      </c>
      <c r="B2011" t="inlineStr">
        <is>
          <t>INV-5463</t>
        </is>
      </c>
      <c r="C2011" s="11" t="n">
        <v>46134</v>
      </c>
      <c r="D2011" t="inlineStr">
        <is>
          <t>2026-04</t>
        </is>
      </c>
      <c r="E2011" t="inlineStr">
        <is>
          <t>C0092</t>
        </is>
      </c>
      <c r="F2011" t="inlineStr">
        <is>
          <t>C0092</t>
        </is>
      </c>
      <c r="G2011" t="inlineStr">
        <is>
          <t>Leo Jones</t>
        </is>
      </c>
      <c r="H2011" t="inlineStr">
        <is>
          <t>S0303</t>
        </is>
      </c>
      <c r="I2011" t="inlineStr">
        <is>
          <t>Tarp kit hire 1 wks (21/04/26-21/04/26) - 3 kits</t>
        </is>
      </c>
      <c r="J2011" t="n">
        <v>3</v>
      </c>
      <c r="K2011" s="9" t="n">
        <v>105</v>
      </c>
      <c r="L2011" t="inlineStr">
        <is>
          <t>PAID</t>
        </is>
      </c>
      <c r="M2011">
        <f>IF(L2011="VOIDED",0,1)</f>
        <v>1</v>
      </c>
      <c r="N2011" t="n">
        <v>200</v>
      </c>
      <c r="O2011" t="inlineStr">
        <is>
          <t>GST on Income</t>
        </is>
      </c>
      <c r="P2011" t="inlineStr">
        <is>
          <t>R06</t>
        </is>
      </c>
      <c r="Q2011" t="inlineStr">
        <is>
          <t>HIRE-TK</t>
        </is>
      </c>
      <c r="R2011">
        <f>IF(OR(Q2011="CONTEXT",Q2011="REVIEW"),"",INDEX('Category Rules'!$D$5:$D$17,MATCH(P2011,'Category Rules'!$A$5:$A$17,0)))</f>
        <v>4010</v>
      </c>
      <c r="S2011" t="str">
        <f>IF(Q2011="CONTEXT","Make-safe",IF(Q2011="REVIEW","",INDEX('Category Rules'!$E$5:$E$17,MATCH(P2011,'Category Rules'!$A$5:$A$17,0))))</f>
        <v>Make-safe</v>
      </c>
      <c r="T2011" t="str">
        <f>IF(Q2011="DEP","BAS Excluded","GST on Income")</f>
        <v>GST on Income</v>
      </c>
      <c r="U2011">
        <f>IF(O2011=T2011,1,0)</f>
        <v>1</v>
      </c>
      <c r="V2011" s="9">
        <f>IF(OR(M2011=0,U2011=1),0,IF(T2011="GST on Income",ROUND(K2011*0.1,2),ROUND(-K2011*0.1,2)))</f>
        <v>0</v>
      </c>
    </row>
    <row r="2012">
      <c r="A2012" t="inlineStr">
        <is>
          <t>INV-4479-1</t>
        </is>
      </c>
      <c r="B2012" t="inlineStr">
        <is>
          <t>INV-4479</t>
        </is>
      </c>
      <c r="C2012" s="11" t="n">
        <v>46135</v>
      </c>
      <c r="D2012" t="inlineStr">
        <is>
          <t>2026-04</t>
        </is>
      </c>
      <c r="E2012" t="inlineStr">
        <is>
          <t>C0038</t>
        </is>
      </c>
      <c r="F2012" t="inlineStr">
        <is>
          <t>C0038</t>
        </is>
      </c>
      <c r="G2012" t="inlineStr">
        <is>
          <t>Cobalt Constructions Pty Ltd</t>
        </is>
      </c>
      <c r="H2012" t="inlineStr">
        <is>
          <t>S0078</t>
        </is>
      </c>
      <c r="I2012" t="inlineStr">
        <is>
          <t>Temporary fence hire 4 wks (26/03/26-22/04/26) - 145 panels</t>
        </is>
      </c>
      <c r="J2012" t="n">
        <v>580</v>
      </c>
      <c r="K2012" s="9" t="n">
        <v>2610</v>
      </c>
      <c r="L2012" t="inlineStr">
        <is>
          <t>PAID</t>
        </is>
      </c>
      <c r="M2012">
        <f>IF(L2012="VOIDED",0,1)</f>
        <v>1</v>
      </c>
      <c r="N2012" t="n">
        <v>200</v>
      </c>
      <c r="O2012" t="inlineStr">
        <is>
          <t>GST on Income</t>
        </is>
      </c>
      <c r="P2012" t="inlineStr">
        <is>
          <t>R03</t>
        </is>
      </c>
      <c r="Q2012" t="inlineStr">
        <is>
          <t>HIRE-FP</t>
        </is>
      </c>
      <c r="R2012">
        <f>IF(OR(Q2012="CONTEXT",Q2012="REVIEW"),"",INDEX('Category Rules'!$D$5:$D$17,MATCH(P2012,'Category Rules'!$A$5:$A$17,0)))</f>
        <v>4010</v>
      </c>
      <c r="S2012" t="str">
        <f>IF(Q2012="CONTEXT","Fencing",IF(Q2012="REVIEW","",INDEX('Category Rules'!$E$5:$E$17,MATCH(P2012,'Category Rules'!$A$5:$A$17,0))))</f>
        <v>Fencing</v>
      </c>
      <c r="T2012" t="str">
        <f>IF(Q2012="DEP","BAS Excluded","GST on Income")</f>
        <v>GST on Income</v>
      </c>
      <c r="U2012">
        <f>IF(O2012=T2012,1,0)</f>
        <v>1</v>
      </c>
      <c r="V2012" s="9">
        <f>IF(OR(M2012=0,U2012=1),0,IF(T2012="GST on Income",ROUND(K2012*0.1,2),ROUND(-K2012*0.1,2)))</f>
        <v>0</v>
      </c>
    </row>
    <row r="2013">
      <c r="A2013" t="inlineStr">
        <is>
          <t>INV-4718-1</t>
        </is>
      </c>
      <c r="B2013" t="inlineStr">
        <is>
          <t>INV-4718</t>
        </is>
      </c>
      <c r="C2013" s="11" t="n">
        <v>46135</v>
      </c>
      <c r="D2013" t="inlineStr">
        <is>
          <t>2026-04</t>
        </is>
      </c>
      <c r="E2013" t="inlineStr">
        <is>
          <t>C0042</t>
        </is>
      </c>
      <c r="F2013" t="inlineStr">
        <is>
          <t>C0042</t>
        </is>
      </c>
      <c r="G2013" t="inlineStr">
        <is>
          <t>Lakeside Constructions Pty Ltd</t>
        </is>
      </c>
      <c r="H2013" t="inlineStr">
        <is>
          <t>S0129</t>
        </is>
      </c>
      <c r="I2013" t="inlineStr">
        <is>
          <t>Delivery and installation - temporary fencing</t>
        </is>
      </c>
      <c r="J2013" t="n">
        <v>1</v>
      </c>
      <c r="K2013" s="9" t="n">
        <v>165</v>
      </c>
      <c r="L2013" t="inlineStr">
        <is>
          <t>PAID</t>
        </is>
      </c>
      <c r="M2013">
        <f>IF(L2013="VOIDED",0,1)</f>
        <v>1</v>
      </c>
      <c r="N2013" t="n">
        <v>200</v>
      </c>
      <c r="O2013" t="inlineStr">
        <is>
          <t>GST on Income</t>
        </is>
      </c>
      <c r="P2013" t="inlineStr">
        <is>
          <t>R07</t>
        </is>
      </c>
      <c r="Q2013" t="inlineStr">
        <is>
          <t>DEL-FP</t>
        </is>
      </c>
      <c r="R2013">
        <f>IF(OR(Q2013="CONTEXT",Q2013="REVIEW"),"",INDEX('Category Rules'!$D$5:$D$17,MATCH(P2013,'Category Rules'!$A$5:$A$17,0)))</f>
        <v>4020</v>
      </c>
      <c r="S2013" t="str">
        <f>IF(Q2013="CONTEXT","Fencing",IF(Q2013="REVIEW","",INDEX('Category Rules'!$E$5:$E$17,MATCH(P2013,'Category Rules'!$A$5:$A$17,0))))</f>
        <v>Fencing</v>
      </c>
      <c r="T2013" t="str">
        <f>IF(Q2013="DEP","BAS Excluded","GST on Income")</f>
        <v>GST on Income</v>
      </c>
      <c r="U2013">
        <f>IF(O2013=T2013,1,0)</f>
        <v>1</v>
      </c>
      <c r="V2013" s="9">
        <f>IF(OR(M2013=0,U2013=1),0,IF(T2013="GST on Income",ROUND(K2013*0.1,2),ROUND(-K2013*0.1,2)))</f>
        <v>0</v>
      </c>
    </row>
    <row r="2014">
      <c r="A2014" t="inlineStr">
        <is>
          <t>INV-4718-2</t>
        </is>
      </c>
      <c r="B2014" t="inlineStr">
        <is>
          <t>INV-4718</t>
        </is>
      </c>
      <c r="C2014" s="11" t="n">
        <v>46135</v>
      </c>
      <c r="D2014" t="inlineStr">
        <is>
          <t>2026-04</t>
        </is>
      </c>
      <c r="E2014" t="inlineStr">
        <is>
          <t>C0042</t>
        </is>
      </c>
      <c r="F2014" t="inlineStr">
        <is>
          <t>C0042</t>
        </is>
      </c>
      <c r="G2014" t="inlineStr">
        <is>
          <t>Lakeside Constructions Pty Ltd</t>
        </is>
      </c>
      <c r="H2014" t="inlineStr">
        <is>
          <t>S0129</t>
        </is>
      </c>
      <c r="I2014" t="inlineStr">
        <is>
          <t>Installation labour - 47 panels @ 2.20</t>
        </is>
      </c>
      <c r="J2014" t="n">
        <v>47</v>
      </c>
      <c r="K2014" s="9" t="n">
        <v>103.4</v>
      </c>
      <c r="L2014" t="inlineStr">
        <is>
          <t>PAID</t>
        </is>
      </c>
      <c r="M2014">
        <f>IF(L2014="VOIDED",0,1)</f>
        <v>1</v>
      </c>
      <c r="N2014" t="n">
        <v>200</v>
      </c>
      <c r="O2014" t="inlineStr">
        <is>
          <t>GST on Income</t>
        </is>
      </c>
      <c r="P2014" t="inlineStr">
        <is>
          <t>R07</t>
        </is>
      </c>
      <c r="Q2014" t="inlineStr">
        <is>
          <t>DEL-FP</t>
        </is>
      </c>
      <c r="R2014">
        <f>IF(OR(Q2014="CONTEXT",Q2014="REVIEW"),"",INDEX('Category Rules'!$D$5:$D$17,MATCH(P2014,'Category Rules'!$A$5:$A$17,0)))</f>
        <v>4020</v>
      </c>
      <c r="S2014" t="str">
        <f>IF(Q2014="CONTEXT","Fencing",IF(Q2014="REVIEW","",INDEX('Category Rules'!$E$5:$E$17,MATCH(P2014,'Category Rules'!$A$5:$A$17,0))))</f>
        <v>Fencing</v>
      </c>
      <c r="T2014" t="str">
        <f>IF(Q2014="DEP","BAS Excluded","GST on Income")</f>
        <v>GST on Income</v>
      </c>
      <c r="U2014">
        <f>IF(O2014=T2014,1,0)</f>
        <v>1</v>
      </c>
      <c r="V2014" s="9">
        <f>IF(OR(M2014=0,U2014=1),0,IF(T2014="GST on Income",ROUND(K2014*0.1,2),ROUND(-K2014*0.1,2)))</f>
        <v>0</v>
      </c>
    </row>
    <row r="2015">
      <c r="A2015" t="inlineStr">
        <is>
          <t>INV-4739-1</t>
        </is>
      </c>
      <c r="B2015" t="inlineStr">
        <is>
          <t>INV-4739</t>
        </is>
      </c>
      <c r="C2015" s="11" t="n">
        <v>46135</v>
      </c>
      <c r="D2015" t="inlineStr">
        <is>
          <t>2026-04</t>
        </is>
      </c>
      <c r="E2015" t="inlineStr">
        <is>
          <t>C0120</t>
        </is>
      </c>
      <c r="F2015" t="inlineStr">
        <is>
          <t>C0120</t>
        </is>
      </c>
      <c r="G2015" t="inlineStr">
        <is>
          <t>Northgate Building Group</t>
        </is>
      </c>
      <c r="H2015" t="inlineStr">
        <is>
          <t>S0134</t>
        </is>
      </c>
      <c r="I2015" t="inlineStr">
        <is>
          <t>Temporary fence hire 4 wks (26/03/26-22/04/26) - 117 panels</t>
        </is>
      </c>
      <c r="J2015" t="n">
        <v>468</v>
      </c>
      <c r="K2015" s="9" t="n">
        <v>2106</v>
      </c>
      <c r="L2015" t="inlineStr">
        <is>
          <t>PAID</t>
        </is>
      </c>
      <c r="M2015">
        <f>IF(L2015="VOIDED",0,1)</f>
        <v>1</v>
      </c>
      <c r="N2015" t="n">
        <v>200</v>
      </c>
      <c r="O2015" t="inlineStr">
        <is>
          <t>GST on Income</t>
        </is>
      </c>
      <c r="P2015" t="inlineStr">
        <is>
          <t>R03</t>
        </is>
      </c>
      <c r="Q2015" t="inlineStr">
        <is>
          <t>HIRE-FP</t>
        </is>
      </c>
      <c r="R2015">
        <f>IF(OR(Q2015="CONTEXT",Q2015="REVIEW"),"",INDEX('Category Rules'!$D$5:$D$17,MATCH(P2015,'Category Rules'!$A$5:$A$17,0)))</f>
        <v>4010</v>
      </c>
      <c r="S2015" t="str">
        <f>IF(Q2015="CONTEXT","Fencing",IF(Q2015="REVIEW","",INDEX('Category Rules'!$E$5:$E$17,MATCH(P2015,'Category Rules'!$A$5:$A$17,0))))</f>
        <v>Fencing</v>
      </c>
      <c r="T2015" t="str">
        <f>IF(Q2015="DEP","BAS Excluded","GST on Income")</f>
        <v>GST on Income</v>
      </c>
      <c r="U2015">
        <f>IF(O2015=T2015,1,0)</f>
        <v>1</v>
      </c>
      <c r="V2015" s="9">
        <f>IF(OR(M2015=0,U2015=1),0,IF(T2015="GST on Income",ROUND(K2015*0.1,2),ROUND(-K2015*0.1,2)))</f>
        <v>0</v>
      </c>
    </row>
    <row r="2016">
      <c r="A2016" t="inlineStr">
        <is>
          <t>INV-4868-1</t>
        </is>
      </c>
      <c r="B2016" t="inlineStr">
        <is>
          <t>INV-4868</t>
        </is>
      </c>
      <c r="C2016" s="11" t="n">
        <v>46135</v>
      </c>
      <c r="D2016" t="inlineStr">
        <is>
          <t>2026-04</t>
        </is>
      </c>
      <c r="E2016" t="inlineStr">
        <is>
          <t>C0022</t>
        </is>
      </c>
      <c r="F2016" t="inlineStr">
        <is>
          <t>C0022</t>
        </is>
      </c>
      <c r="G2016" t="inlineStr">
        <is>
          <t>Highpoint Projects</t>
        </is>
      </c>
      <c r="H2016" t="inlineStr">
        <is>
          <t>S0162</t>
        </is>
      </c>
      <c r="I2016" t="inlineStr">
        <is>
          <t>Temporary fence hire 4 wks (26/03/26-22/04/26) - 39 panels</t>
        </is>
      </c>
      <c r="J2016" t="n">
        <v>156</v>
      </c>
      <c r="K2016" s="9" t="n">
        <v>702</v>
      </c>
      <c r="L2016" t="inlineStr">
        <is>
          <t>PAID</t>
        </is>
      </c>
      <c r="M2016">
        <f>IF(L2016="VOIDED",0,1)</f>
        <v>1</v>
      </c>
      <c r="N2016" t="n">
        <v>200</v>
      </c>
      <c r="O2016" t="inlineStr">
        <is>
          <t>GST on Income</t>
        </is>
      </c>
      <c r="P2016" t="inlineStr">
        <is>
          <t>R03</t>
        </is>
      </c>
      <c r="Q2016" t="inlineStr">
        <is>
          <t>HIRE-FP</t>
        </is>
      </c>
      <c r="R2016">
        <f>IF(OR(Q2016="CONTEXT",Q2016="REVIEW"),"",INDEX('Category Rules'!$D$5:$D$17,MATCH(P2016,'Category Rules'!$A$5:$A$17,0)))</f>
        <v>4010</v>
      </c>
      <c r="S2016" t="str">
        <f>IF(Q2016="CONTEXT","Fencing",IF(Q2016="REVIEW","",INDEX('Category Rules'!$E$5:$E$17,MATCH(P2016,'Category Rules'!$A$5:$A$17,0))))</f>
        <v>Fencing</v>
      </c>
      <c r="T2016" t="str">
        <f>IF(Q2016="DEP","BAS Excluded","GST on Income")</f>
        <v>GST on Income</v>
      </c>
      <c r="U2016">
        <f>IF(O2016=T2016,1,0)</f>
        <v>1</v>
      </c>
      <c r="V2016" s="9">
        <f>IF(OR(M2016=0,U2016=1),0,IF(T2016="GST on Income",ROUND(K2016*0.1,2),ROUND(-K2016*0.1,2)))</f>
        <v>0</v>
      </c>
    </row>
    <row r="2017">
      <c r="A2017" t="inlineStr">
        <is>
          <t>INV-5052-1</t>
        </is>
      </c>
      <c r="B2017" t="inlineStr">
        <is>
          <t>INV-5052</t>
        </is>
      </c>
      <c r="C2017" s="11" t="n">
        <v>46135</v>
      </c>
      <c r="D2017" t="inlineStr">
        <is>
          <t>2026-04</t>
        </is>
      </c>
      <c r="E2017" t="inlineStr">
        <is>
          <t>C0024</t>
        </is>
      </c>
      <c r="F2017" t="inlineStr">
        <is>
          <t>C0024</t>
        </is>
      </c>
      <c r="G2017" t="inlineStr">
        <is>
          <t>Parkview Homes Pty Ltd</t>
        </is>
      </c>
      <c r="H2017" t="inlineStr">
        <is>
          <t>S0204</t>
        </is>
      </c>
      <c r="I2017" t="inlineStr">
        <is>
          <t>Temporary fence hire 1 wks (21/04/26-22/04/26) - 148 panels</t>
        </is>
      </c>
      <c r="J2017" t="n">
        <v>148</v>
      </c>
      <c r="K2017" s="9" t="n">
        <v>666</v>
      </c>
      <c r="L2017" t="inlineStr">
        <is>
          <t>PAID</t>
        </is>
      </c>
      <c r="M2017">
        <f>IF(L2017="VOIDED",0,1)</f>
        <v>1</v>
      </c>
      <c r="N2017" t="n">
        <v>200</v>
      </c>
      <c r="O2017" t="inlineStr">
        <is>
          <t>GST on Income</t>
        </is>
      </c>
      <c r="P2017" t="inlineStr">
        <is>
          <t>R03</t>
        </is>
      </c>
      <c r="Q2017" t="inlineStr">
        <is>
          <t>HIRE-FP</t>
        </is>
      </c>
      <c r="R2017">
        <f>IF(OR(Q2017="CONTEXT",Q2017="REVIEW"),"",INDEX('Category Rules'!$D$5:$D$17,MATCH(P2017,'Category Rules'!$A$5:$A$17,0)))</f>
        <v>4010</v>
      </c>
      <c r="S2017" t="str">
        <f>IF(Q2017="CONTEXT","Fencing",IF(Q2017="REVIEW","",INDEX('Category Rules'!$E$5:$E$17,MATCH(P2017,'Category Rules'!$A$5:$A$17,0))))</f>
        <v>Fencing</v>
      </c>
      <c r="T2017" t="str">
        <f>IF(Q2017="DEP","BAS Excluded","GST on Income")</f>
        <v>GST on Income</v>
      </c>
      <c r="U2017">
        <f>IF(O2017=T2017,1,0)</f>
        <v>1</v>
      </c>
      <c r="V2017" s="9">
        <f>IF(OR(M2017=0,U2017=1),0,IF(T2017="GST on Income",ROUND(K2017*0.1,2),ROUND(-K2017*0.1,2)))</f>
        <v>0</v>
      </c>
    </row>
    <row r="2018">
      <c r="A2018" t="inlineStr">
        <is>
          <t>INV-5054-1</t>
        </is>
      </c>
      <c r="B2018" t="inlineStr">
        <is>
          <t>INV-5054</t>
        </is>
      </c>
      <c r="C2018" s="11" t="n">
        <v>46135</v>
      </c>
      <c r="D2018" t="inlineStr">
        <is>
          <t>2026-04</t>
        </is>
      </c>
      <c r="E2018" t="inlineStr">
        <is>
          <t>C0024</t>
        </is>
      </c>
      <c r="F2018" t="inlineStr">
        <is>
          <t>C0024</t>
        </is>
      </c>
      <c r="G2018" t="inlineStr">
        <is>
          <t>Parkview Homes Pty Ltd</t>
        </is>
      </c>
      <c r="H2018" t="inlineStr">
        <is>
          <t>S0204</t>
        </is>
      </c>
      <c r="I2018" t="inlineStr">
        <is>
          <t>Collection and dismantle - temporary fencing</t>
        </is>
      </c>
      <c r="J2018" t="n">
        <v>1</v>
      </c>
      <c r="K2018" s="9" t="n">
        <v>165</v>
      </c>
      <c r="L2018" t="inlineStr">
        <is>
          <t>PAID</t>
        </is>
      </c>
      <c r="M2018">
        <f>IF(L2018="VOIDED",0,1)</f>
        <v>1</v>
      </c>
      <c r="N2018" t="n">
        <v>200</v>
      </c>
      <c r="O2018" t="inlineStr">
        <is>
          <t>GST on Income</t>
        </is>
      </c>
      <c r="P2018" t="inlineStr">
        <is>
          <t>R07</t>
        </is>
      </c>
      <c r="Q2018" t="inlineStr">
        <is>
          <t>DEL-FP</t>
        </is>
      </c>
      <c r="R2018">
        <f>IF(OR(Q2018="CONTEXT",Q2018="REVIEW"),"",INDEX('Category Rules'!$D$5:$D$17,MATCH(P2018,'Category Rules'!$A$5:$A$17,0)))</f>
        <v>4020</v>
      </c>
      <c r="S2018" t="str">
        <f>IF(Q2018="CONTEXT","Fencing",IF(Q2018="REVIEW","",INDEX('Category Rules'!$E$5:$E$17,MATCH(P2018,'Category Rules'!$A$5:$A$17,0))))</f>
        <v>Fencing</v>
      </c>
      <c r="T2018" t="str">
        <f>IF(Q2018="DEP","BAS Excluded","GST on Income")</f>
        <v>GST on Income</v>
      </c>
      <c r="U2018">
        <f>IF(O2018=T2018,1,0)</f>
        <v>1</v>
      </c>
      <c r="V2018" s="9">
        <f>IF(OR(M2018=0,U2018=1),0,IF(T2018="GST on Income",ROUND(K2018*0.1,2),ROUND(-K2018*0.1,2)))</f>
        <v>0</v>
      </c>
    </row>
    <row r="2019">
      <c r="A2019" t="inlineStr">
        <is>
          <t>INV-5288-1</t>
        </is>
      </c>
      <c r="B2019" t="inlineStr">
        <is>
          <t>INV-5288</t>
        </is>
      </c>
      <c r="C2019" s="11" t="n">
        <v>46135</v>
      </c>
      <c r="D2019" t="inlineStr">
        <is>
          <t>2026-04</t>
        </is>
      </c>
      <c r="E2019" t="inlineStr">
        <is>
          <t>C0153</t>
        </is>
      </c>
      <c r="F2019" t="inlineStr">
        <is>
          <t>C0098</t>
        </is>
      </c>
      <c r="G2019" t="inlineStr">
        <is>
          <t>Ethan Walker</t>
        </is>
      </c>
      <c r="H2019" t="inlineStr">
        <is>
          <t>S0257</t>
        </is>
      </c>
      <c r="I2019" t="inlineStr">
        <is>
          <t>Scaffold tower hire 2 wks (15/04/26-22/04/26) - 6 towers</t>
        </is>
      </c>
      <c r="J2019" t="n">
        <v>12</v>
      </c>
      <c r="K2019" s="9" t="n">
        <v>1140</v>
      </c>
      <c r="L2019" t="inlineStr">
        <is>
          <t>PAID</t>
        </is>
      </c>
      <c r="M2019">
        <f>IF(L2019="VOIDED",0,1)</f>
        <v>1</v>
      </c>
      <c r="N2019" t="n">
        <v>200</v>
      </c>
      <c r="O2019" t="inlineStr">
        <is>
          <t>GST on Income</t>
        </is>
      </c>
      <c r="P2019" t="inlineStr">
        <is>
          <t>R05</t>
        </is>
      </c>
      <c r="Q2019" t="inlineStr">
        <is>
          <t>HIRE-ST</t>
        </is>
      </c>
      <c r="R2019">
        <f>IF(OR(Q2019="CONTEXT",Q2019="REVIEW"),"",INDEX('Category Rules'!$D$5:$D$17,MATCH(P2019,'Category Rules'!$A$5:$A$17,0)))</f>
        <v>4010</v>
      </c>
      <c r="S2019" t="str">
        <f>IF(Q2019="CONTEXT","Scaffolding",IF(Q2019="REVIEW","",INDEX('Category Rules'!$E$5:$E$17,MATCH(P2019,'Category Rules'!$A$5:$A$17,0))))</f>
        <v>Scaffolding</v>
      </c>
      <c r="T2019" t="str">
        <f>IF(Q2019="DEP","BAS Excluded","GST on Income")</f>
        <v>GST on Income</v>
      </c>
      <c r="U2019">
        <f>IF(O2019=T2019,1,0)</f>
        <v>1</v>
      </c>
      <c r="V2019" s="9">
        <f>IF(OR(M2019=0,U2019=1),0,IF(T2019="GST on Income",ROUND(K2019*0.1,2),ROUND(-K2019*0.1,2)))</f>
        <v>0</v>
      </c>
    </row>
    <row r="2020">
      <c r="A2020" t="inlineStr">
        <is>
          <t>INV-5290-1</t>
        </is>
      </c>
      <c r="B2020" t="inlineStr">
        <is>
          <t>INV-5290</t>
        </is>
      </c>
      <c r="C2020" s="11" t="n">
        <v>46135</v>
      </c>
      <c r="D2020" t="inlineStr">
        <is>
          <t>2026-04</t>
        </is>
      </c>
      <c r="E2020" t="inlineStr">
        <is>
          <t>C0153</t>
        </is>
      </c>
      <c r="F2020" t="inlineStr">
        <is>
          <t>C0098</t>
        </is>
      </c>
      <c r="G2020" t="inlineStr">
        <is>
          <t>Ethan Walker</t>
        </is>
      </c>
      <c r="H2020" t="inlineStr">
        <is>
          <t>S0257</t>
        </is>
      </c>
      <c r="I2020" t="inlineStr">
        <is>
          <t>Scaffold dismantle - 6 tower(s)</t>
        </is>
      </c>
      <c r="J2020" t="n">
        <v>6</v>
      </c>
      <c r="K2020" s="9" t="n">
        <v>1920</v>
      </c>
      <c r="L2020" t="inlineStr">
        <is>
          <t>PAID</t>
        </is>
      </c>
      <c r="M2020">
        <f>IF(L2020="VOIDED",0,1)</f>
        <v>1</v>
      </c>
      <c r="N2020" t="n">
        <v>200</v>
      </c>
      <c r="O2020" t="inlineStr">
        <is>
          <t>GST on Income</t>
        </is>
      </c>
      <c r="P2020" t="inlineStr">
        <is>
          <t>R08</t>
        </is>
      </c>
      <c r="Q2020" t="inlineStr">
        <is>
          <t>LAB-ST</t>
        </is>
      </c>
      <c r="R2020">
        <f>IF(OR(Q2020="CONTEXT",Q2020="REVIEW"),"",INDEX('Category Rules'!$D$5:$D$17,MATCH(P2020,'Category Rules'!$A$5:$A$17,0)))</f>
        <v>4020</v>
      </c>
      <c r="S2020" t="str">
        <f>IF(Q2020="CONTEXT","Scaffolding",IF(Q2020="REVIEW","",INDEX('Category Rules'!$E$5:$E$17,MATCH(P2020,'Category Rules'!$A$5:$A$17,0))))</f>
        <v>Scaffolding</v>
      </c>
      <c r="T2020" t="str">
        <f>IF(Q2020="DEP","BAS Excluded","GST on Income")</f>
        <v>GST on Income</v>
      </c>
      <c r="U2020">
        <f>IF(O2020=T2020,1,0)</f>
        <v>1</v>
      </c>
      <c r="V2020" s="9">
        <f>IF(OR(M2020=0,U2020=1),0,IF(T2020="GST on Income",ROUND(K2020*0.1,2),ROUND(-K2020*0.1,2)))</f>
        <v>0</v>
      </c>
    </row>
    <row r="2021">
      <c r="A2021" t="inlineStr">
        <is>
          <t>INV-5555-1</t>
        </is>
      </c>
      <c r="B2021" t="inlineStr">
        <is>
          <t>INV-5555</t>
        </is>
      </c>
      <c r="C2021" s="11" t="n">
        <v>46136</v>
      </c>
      <c r="D2021" t="inlineStr">
        <is>
          <t>2026-04</t>
        </is>
      </c>
      <c r="E2021" t="inlineStr">
        <is>
          <t>C0137</t>
        </is>
      </c>
      <c r="F2021" t="inlineStr">
        <is>
          <t>C0062</t>
        </is>
      </c>
      <c r="G2021" t="inlineStr">
        <is>
          <t>Wattle Insurance Repairs Pty Ltd</t>
        </is>
      </c>
      <c r="H2021" t="inlineStr">
        <is>
          <t>S0353</t>
        </is>
      </c>
      <c r="I2021" t="inlineStr">
        <is>
          <t>Roof repair labour - 12 hrs</t>
        </is>
      </c>
      <c r="J2021" t="n">
        <v>12</v>
      </c>
      <c r="K2021" s="9" t="n">
        <v>1176</v>
      </c>
      <c r="L2021" t="inlineStr">
        <is>
          <t>PAID</t>
        </is>
      </c>
      <c r="M2021">
        <f>IF(L2021="VOIDED",0,1)</f>
        <v>1</v>
      </c>
      <c r="N2021" t="n">
        <v>200</v>
      </c>
      <c r="O2021" t="inlineStr">
        <is>
          <t>GST on Income</t>
        </is>
      </c>
      <c r="P2021" t="inlineStr">
        <is>
          <t>R10</t>
        </is>
      </c>
      <c r="Q2021" t="inlineStr">
        <is>
          <t>LAB-RF</t>
        </is>
      </c>
      <c r="R2021">
        <f>IF(OR(Q2021="CONTEXT",Q2021="REVIEW"),"",INDEX('Category Rules'!$D$5:$D$17,MATCH(P2021,'Category Rules'!$A$5:$A$17,0)))</f>
        <v>4020</v>
      </c>
      <c r="S2021" t="str">
        <f>IF(Q2021="CONTEXT","Roofing",IF(Q2021="REVIEW","",INDEX('Category Rules'!$E$5:$E$17,MATCH(P2021,'Category Rules'!$A$5:$A$17,0))))</f>
        <v>Roofing</v>
      </c>
      <c r="T2021" t="str">
        <f>IF(Q2021="DEP","BAS Excluded","GST on Income")</f>
        <v>GST on Income</v>
      </c>
      <c r="U2021">
        <f>IF(O2021=T2021,1,0)</f>
        <v>1</v>
      </c>
      <c r="V2021" s="9">
        <f>IF(OR(M2021=0,U2021=1),0,IF(T2021="GST on Income",ROUND(K2021*0.1,2),ROUND(-K2021*0.1,2)))</f>
        <v>0</v>
      </c>
    </row>
    <row r="2022">
      <c r="A2022" t="inlineStr">
        <is>
          <t>INV-5555-2</t>
        </is>
      </c>
      <c r="B2022" t="inlineStr">
        <is>
          <t>INV-5555</t>
        </is>
      </c>
      <c r="C2022" s="11" t="n">
        <v>46136</v>
      </c>
      <c r="D2022" t="inlineStr">
        <is>
          <t>2026-04</t>
        </is>
      </c>
      <c r="E2022" t="inlineStr">
        <is>
          <t>C0137</t>
        </is>
      </c>
      <c r="F2022" t="inlineStr">
        <is>
          <t>C0062</t>
        </is>
      </c>
      <c r="G2022" t="inlineStr">
        <is>
          <t>Wattle Insurance Repairs Pty Ltd</t>
        </is>
      </c>
      <c r="H2022" t="inlineStr">
        <is>
          <t>S0353</t>
        </is>
      </c>
      <c r="I2022" t="inlineStr">
        <is>
          <t>Materials - ridge capping</t>
        </is>
      </c>
      <c r="J2022" t="n">
        <v>1</v>
      </c>
      <c r="K2022" s="9" t="n">
        <v>1396.2</v>
      </c>
      <c r="L2022" t="inlineStr">
        <is>
          <t>PAID</t>
        </is>
      </c>
      <c r="M2022">
        <f>IF(L2022="VOIDED",0,1)</f>
        <v>1</v>
      </c>
      <c r="N2022" t="n">
        <v>200</v>
      </c>
      <c r="O2022" t="inlineStr">
        <is>
          <t>GST on Income</t>
        </is>
      </c>
      <c r="P2022" t="inlineStr">
        <is>
          <t>R11</t>
        </is>
      </c>
      <c r="Q2022" t="inlineStr">
        <is>
          <t>MAT-RF</t>
        </is>
      </c>
      <c r="R2022">
        <f>IF(OR(Q2022="CONTEXT",Q2022="REVIEW"),"",INDEX('Category Rules'!$D$5:$D$17,MATCH(P2022,'Category Rules'!$A$5:$A$17,0)))</f>
        <v>4030</v>
      </c>
      <c r="S2022" t="str">
        <f>IF(Q2022="CONTEXT","Roofing",IF(Q2022="REVIEW","",INDEX('Category Rules'!$E$5:$E$17,MATCH(P2022,'Category Rules'!$A$5:$A$17,0))))</f>
        <v>Roofing</v>
      </c>
      <c r="T2022" t="str">
        <f>IF(Q2022="DEP","BAS Excluded","GST on Income")</f>
        <v>GST on Income</v>
      </c>
      <c r="U2022">
        <f>IF(O2022=T2022,1,0)</f>
        <v>1</v>
      </c>
      <c r="V2022" s="9">
        <f>IF(OR(M2022=0,U2022=1),0,IF(T2022="GST on Income",ROUND(K2022*0.1,2),ROUND(-K2022*0.1,2)))</f>
        <v>0</v>
      </c>
    </row>
    <row r="2023">
      <c r="A2023" t="inlineStr">
        <is>
          <t>INV-5555-3</t>
        </is>
      </c>
      <c r="B2023" t="inlineStr">
        <is>
          <t>INV-5555</t>
        </is>
      </c>
      <c r="C2023" s="11" t="n">
        <v>46136</v>
      </c>
      <c r="D2023" t="inlineStr">
        <is>
          <t>2026-04</t>
        </is>
      </c>
      <c r="E2023" t="inlineStr">
        <is>
          <t>C0137</t>
        </is>
      </c>
      <c r="F2023" t="inlineStr">
        <is>
          <t>C0062</t>
        </is>
      </c>
      <c r="G2023" t="inlineStr">
        <is>
          <t>Wattle Insurance Repairs Pty Ltd</t>
        </is>
      </c>
      <c r="H2023" t="inlineStr">
        <is>
          <t>S0353</t>
        </is>
      </c>
      <c r="I2023" t="inlineStr">
        <is>
          <t>Waste removal and tip fees</t>
        </is>
      </c>
      <c r="J2023" t="n">
        <v>1</v>
      </c>
      <c r="K2023" s="9" t="n">
        <v>120</v>
      </c>
      <c r="L2023" t="inlineStr">
        <is>
          <t>PAID</t>
        </is>
      </c>
      <c r="M2023">
        <f>IF(L2023="VOIDED",0,1)</f>
        <v>1</v>
      </c>
      <c r="N2023" t="n">
        <v>200</v>
      </c>
      <c r="O2023" t="inlineStr">
        <is>
          <t>GST on Income</t>
        </is>
      </c>
      <c r="P2023" t="inlineStr">
        <is>
          <t>R11</t>
        </is>
      </c>
      <c r="Q2023" t="inlineStr">
        <is>
          <t>MAT-RF</t>
        </is>
      </c>
      <c r="R2023">
        <f>IF(OR(Q2023="CONTEXT",Q2023="REVIEW"),"",INDEX('Category Rules'!$D$5:$D$17,MATCH(P2023,'Category Rules'!$A$5:$A$17,0)))</f>
        <v>4030</v>
      </c>
      <c r="S2023" t="str">
        <f>IF(Q2023="CONTEXT","Roofing",IF(Q2023="REVIEW","",INDEX('Category Rules'!$E$5:$E$17,MATCH(P2023,'Category Rules'!$A$5:$A$17,0))))</f>
        <v>Roofing</v>
      </c>
      <c r="T2023" t="str">
        <f>IF(Q2023="DEP","BAS Excluded","GST on Income")</f>
        <v>GST on Income</v>
      </c>
      <c r="U2023">
        <f>IF(O2023=T2023,1,0)</f>
        <v>1</v>
      </c>
      <c r="V2023" s="9">
        <f>IF(OR(M2023=0,U2023=1),0,IF(T2023="GST on Income",ROUND(K2023*0.1,2),ROUND(-K2023*0.1,2)))</f>
        <v>0</v>
      </c>
    </row>
    <row r="2024">
      <c r="A2024" t="inlineStr">
        <is>
          <t>INV-5664-1</t>
        </is>
      </c>
      <c r="B2024" t="inlineStr">
        <is>
          <t>INV-5664</t>
        </is>
      </c>
      <c r="C2024" s="11" t="n">
        <v>46136</v>
      </c>
      <c r="D2024" t="inlineStr">
        <is>
          <t>2026-04</t>
        </is>
      </c>
      <c r="E2024" t="inlineStr">
        <is>
          <t>C0121</t>
        </is>
      </c>
      <c r="F2024" t="inlineStr">
        <is>
          <t>C0121</t>
        </is>
      </c>
      <c r="G2024" t="inlineStr">
        <is>
          <t>Bluegum Constructions</t>
        </is>
      </c>
      <c r="H2024" t="inlineStr">
        <is>
          <t>S0415</t>
        </is>
      </c>
      <c r="I2024" t="inlineStr">
        <is>
          <t>Tarp kit hire 4 wks (27/03/26-23/04/26) - 2 kits</t>
        </is>
      </c>
      <c r="J2024" t="n">
        <v>8</v>
      </c>
      <c r="K2024" s="9" t="n">
        <v>280</v>
      </c>
      <c r="L2024" t="inlineStr">
        <is>
          <t>PAID</t>
        </is>
      </c>
      <c r="M2024">
        <f>IF(L2024="VOIDED",0,1)</f>
        <v>1</v>
      </c>
      <c r="N2024" t="n">
        <v>200</v>
      </c>
      <c r="O2024" t="inlineStr">
        <is>
          <t>GST on Income</t>
        </is>
      </c>
      <c r="P2024" t="inlineStr">
        <is>
          <t>R06</t>
        </is>
      </c>
      <c r="Q2024" t="inlineStr">
        <is>
          <t>HIRE-TK</t>
        </is>
      </c>
      <c r="R2024">
        <f>IF(OR(Q2024="CONTEXT",Q2024="REVIEW"),"",INDEX('Category Rules'!$D$5:$D$17,MATCH(P2024,'Category Rules'!$A$5:$A$17,0)))</f>
        <v>4010</v>
      </c>
      <c r="S2024" t="str">
        <f>IF(Q2024="CONTEXT","Make-safe",IF(Q2024="REVIEW","",INDEX('Category Rules'!$E$5:$E$17,MATCH(P2024,'Category Rules'!$A$5:$A$17,0))))</f>
        <v>Make-safe</v>
      </c>
      <c r="T2024" t="str">
        <f>IF(Q2024="DEP","BAS Excluded","GST on Income")</f>
        <v>GST on Income</v>
      </c>
      <c r="U2024">
        <f>IF(O2024=T2024,1,0)</f>
        <v>1</v>
      </c>
      <c r="V2024" s="9">
        <f>IF(OR(M2024=0,U2024=1),0,IF(T2024="GST on Income",ROUND(K2024*0.1,2),ROUND(-K2024*0.1,2)))</f>
        <v>0</v>
      </c>
    </row>
    <row r="2025">
      <c r="A2025" t="inlineStr">
        <is>
          <t>INV-4205-1</t>
        </is>
      </c>
      <c r="B2025" t="inlineStr">
        <is>
          <t>INV-4205</t>
        </is>
      </c>
      <c r="C2025" s="11" t="n">
        <v>46137</v>
      </c>
      <c r="D2025" t="inlineStr">
        <is>
          <t>2026-04</t>
        </is>
      </c>
      <c r="E2025" t="inlineStr">
        <is>
          <t>C0106</t>
        </is>
      </c>
      <c r="F2025" t="inlineStr">
        <is>
          <t>C0106</t>
        </is>
      </c>
      <c r="G2025" t="inlineStr">
        <is>
          <t>Ella Wilson</t>
        </is>
      </c>
      <c r="H2025" t="inlineStr">
        <is>
          <t>S0019</t>
        </is>
      </c>
      <c r="I2025" t="inlineStr">
        <is>
          <t>Temporary fence hire 4 wks (30/03/26-24/04/26) - 81 panels</t>
        </is>
      </c>
      <c r="J2025" t="n">
        <v>324</v>
      </c>
      <c r="K2025" s="9" t="n">
        <v>1458</v>
      </c>
      <c r="L2025" t="inlineStr">
        <is>
          <t>PAID</t>
        </is>
      </c>
      <c r="M2025">
        <f>IF(L2025="VOIDED",0,1)</f>
        <v>1</v>
      </c>
      <c r="N2025" t="n">
        <v>200</v>
      </c>
      <c r="O2025" t="inlineStr">
        <is>
          <t>GST on Income</t>
        </is>
      </c>
      <c r="P2025" t="inlineStr">
        <is>
          <t>R03</t>
        </is>
      </c>
      <c r="Q2025" t="inlineStr">
        <is>
          <t>HIRE-FP</t>
        </is>
      </c>
      <c r="R2025">
        <f>IF(OR(Q2025="CONTEXT",Q2025="REVIEW"),"",INDEX('Category Rules'!$D$5:$D$17,MATCH(P2025,'Category Rules'!$A$5:$A$17,0)))</f>
        <v>4010</v>
      </c>
      <c r="S2025" t="str">
        <f>IF(Q2025="CONTEXT","Fencing",IF(Q2025="REVIEW","",INDEX('Category Rules'!$E$5:$E$17,MATCH(P2025,'Category Rules'!$A$5:$A$17,0))))</f>
        <v>Fencing</v>
      </c>
      <c r="T2025" t="str">
        <f>IF(Q2025="DEP","BAS Excluded","GST on Income")</f>
        <v>GST on Income</v>
      </c>
      <c r="U2025">
        <f>IF(O2025=T2025,1,0)</f>
        <v>1</v>
      </c>
      <c r="V2025" s="9">
        <f>IF(OR(M2025=0,U2025=1),0,IF(T2025="GST on Income",ROUND(K2025*0.1,2),ROUND(-K2025*0.1,2)))</f>
        <v>0</v>
      </c>
    </row>
    <row r="2026">
      <c r="A2026" t="inlineStr">
        <is>
          <t>INV-4207-1</t>
        </is>
      </c>
      <c r="B2026" t="inlineStr">
        <is>
          <t>INV-4207</t>
        </is>
      </c>
      <c r="C2026" s="11" t="n">
        <v>46137</v>
      </c>
      <c r="D2026" t="inlineStr">
        <is>
          <t>2026-04</t>
        </is>
      </c>
      <c r="E2026" t="inlineStr">
        <is>
          <t>C0140</t>
        </is>
      </c>
      <c r="F2026" t="inlineStr">
        <is>
          <t>C0106</t>
        </is>
      </c>
      <c r="G2026" t="inlineStr">
        <is>
          <t>Ella Wilson</t>
        </is>
      </c>
      <c r="H2026" t="inlineStr">
        <is>
          <t>S0019</t>
        </is>
      </c>
      <c r="I2026" t="inlineStr">
        <is>
          <t>Collection and dismantle - temporary fencing</t>
        </is>
      </c>
      <c r="J2026" t="n">
        <v>1</v>
      </c>
      <c r="K2026" s="9" t="n">
        <v>165</v>
      </c>
      <c r="L2026" t="inlineStr">
        <is>
          <t>PAID</t>
        </is>
      </c>
      <c r="M2026">
        <f>IF(L2026="VOIDED",0,1)</f>
        <v>1</v>
      </c>
      <c r="N2026" t="n">
        <v>200</v>
      </c>
      <c r="O2026" t="inlineStr">
        <is>
          <t>GST on Income</t>
        </is>
      </c>
      <c r="P2026" t="inlineStr">
        <is>
          <t>R07</t>
        </is>
      </c>
      <c r="Q2026" t="inlineStr">
        <is>
          <t>DEL-FP</t>
        </is>
      </c>
      <c r="R2026">
        <f>IF(OR(Q2026="CONTEXT",Q2026="REVIEW"),"",INDEX('Category Rules'!$D$5:$D$17,MATCH(P2026,'Category Rules'!$A$5:$A$17,0)))</f>
        <v>4020</v>
      </c>
      <c r="S2026" t="str">
        <f>IF(Q2026="CONTEXT","Fencing",IF(Q2026="REVIEW","",INDEX('Category Rules'!$E$5:$E$17,MATCH(P2026,'Category Rules'!$A$5:$A$17,0))))</f>
        <v>Fencing</v>
      </c>
      <c r="T2026" t="str">
        <f>IF(Q2026="DEP","BAS Excluded","GST on Income")</f>
        <v>GST on Income</v>
      </c>
      <c r="U2026">
        <f>IF(O2026=T2026,1,0)</f>
        <v>1</v>
      </c>
      <c r="V2026" s="9">
        <f>IF(OR(M2026=0,U2026=1),0,IF(T2026="GST on Income",ROUND(K2026*0.1,2),ROUND(-K2026*0.1,2)))</f>
        <v>0</v>
      </c>
    </row>
    <row r="2027">
      <c r="A2027" t="inlineStr">
        <is>
          <t>INV-4380-1</t>
        </is>
      </c>
      <c r="B2027" t="inlineStr">
        <is>
          <t>INV-4380</t>
        </is>
      </c>
      <c r="C2027" s="11" t="n">
        <v>46137</v>
      </c>
      <c r="D2027" t="inlineStr">
        <is>
          <t>2026-04</t>
        </is>
      </c>
      <c r="E2027" t="inlineStr">
        <is>
          <t>C0022</t>
        </is>
      </c>
      <c r="F2027" t="inlineStr">
        <is>
          <t>C0022</t>
        </is>
      </c>
      <c r="G2027" t="inlineStr">
        <is>
          <t>Highpoint Projects</t>
        </is>
      </c>
      <c r="H2027" t="inlineStr">
        <is>
          <t>S0057</t>
        </is>
      </c>
      <c r="I2027" t="inlineStr">
        <is>
          <t>Temporary fence hire 4 wks (28/03/26-24/04/26) - 133 panels</t>
        </is>
      </c>
      <c r="J2027" t="n">
        <v>532</v>
      </c>
      <c r="K2027" s="9" t="n">
        <v>2394</v>
      </c>
      <c r="L2027" t="inlineStr">
        <is>
          <t>PAID</t>
        </is>
      </c>
      <c r="M2027">
        <f>IF(L2027="VOIDED",0,1)</f>
        <v>1</v>
      </c>
      <c r="N2027" t="n">
        <v>200</v>
      </c>
      <c r="O2027" t="inlineStr">
        <is>
          <t>GST on Income</t>
        </is>
      </c>
      <c r="P2027" t="inlineStr">
        <is>
          <t>R03</t>
        </is>
      </c>
      <c r="Q2027" t="inlineStr">
        <is>
          <t>HIRE-FP</t>
        </is>
      </c>
      <c r="R2027">
        <f>IF(OR(Q2027="CONTEXT",Q2027="REVIEW"),"",INDEX('Category Rules'!$D$5:$D$17,MATCH(P2027,'Category Rules'!$A$5:$A$17,0)))</f>
        <v>4010</v>
      </c>
      <c r="S2027" t="str">
        <f>IF(Q2027="CONTEXT","Fencing",IF(Q2027="REVIEW","",INDEX('Category Rules'!$E$5:$E$17,MATCH(P2027,'Category Rules'!$A$5:$A$17,0))))</f>
        <v>Fencing</v>
      </c>
      <c r="T2027" t="str">
        <f>IF(Q2027="DEP","BAS Excluded","GST on Income")</f>
        <v>GST on Income</v>
      </c>
      <c r="U2027">
        <f>IF(O2027=T2027,1,0)</f>
        <v>1</v>
      </c>
      <c r="V2027" s="9">
        <f>IF(OR(M2027=0,U2027=1),0,IF(T2027="GST on Income",ROUND(K2027*0.1,2),ROUND(-K2027*0.1,2)))</f>
        <v>0</v>
      </c>
    </row>
    <row r="2028">
      <c r="A2028" t="inlineStr">
        <is>
          <t>INV-4885-1</t>
        </is>
      </c>
      <c r="B2028" t="inlineStr">
        <is>
          <t>INV-4885</t>
        </is>
      </c>
      <c r="C2028" s="11" t="n">
        <v>46137</v>
      </c>
      <c r="D2028" t="inlineStr">
        <is>
          <t>2026-04</t>
        </is>
      </c>
      <c r="E2028" t="inlineStr">
        <is>
          <t>C0119</t>
        </is>
      </c>
      <c r="F2028" t="inlineStr">
        <is>
          <t>C0119</t>
        </is>
      </c>
      <c r="G2028" t="inlineStr">
        <is>
          <t>Northgate Builders Pty Ltd</t>
        </is>
      </c>
      <c r="H2028" t="inlineStr">
        <is>
          <t>S0165</t>
        </is>
      </c>
      <c r="I2028" t="inlineStr">
        <is>
          <t>Temporary fence hire 4 wks (28/03/26-24/04/26) - 140 panels</t>
        </is>
      </c>
      <c r="J2028" t="n">
        <v>560</v>
      </c>
      <c r="K2028" s="9" t="n">
        <v>2520</v>
      </c>
      <c r="L2028" t="inlineStr">
        <is>
          <t>PAID</t>
        </is>
      </c>
      <c r="M2028">
        <f>IF(L2028="VOIDED",0,1)</f>
        <v>1</v>
      </c>
      <c r="N2028" t="n">
        <v>200</v>
      </c>
      <c r="O2028" t="inlineStr">
        <is>
          <t>GST on Income</t>
        </is>
      </c>
      <c r="P2028" t="inlineStr">
        <is>
          <t>R03</t>
        </is>
      </c>
      <c r="Q2028" t="inlineStr">
        <is>
          <t>HIRE-FP</t>
        </is>
      </c>
      <c r="R2028">
        <f>IF(OR(Q2028="CONTEXT",Q2028="REVIEW"),"",INDEX('Category Rules'!$D$5:$D$17,MATCH(P2028,'Category Rules'!$A$5:$A$17,0)))</f>
        <v>4010</v>
      </c>
      <c r="S2028" t="str">
        <f>IF(Q2028="CONTEXT","Fencing",IF(Q2028="REVIEW","",INDEX('Category Rules'!$E$5:$E$17,MATCH(P2028,'Category Rules'!$A$5:$A$17,0))))</f>
        <v>Fencing</v>
      </c>
      <c r="T2028" t="str">
        <f>IF(Q2028="DEP","BAS Excluded","GST on Income")</f>
        <v>GST on Income</v>
      </c>
      <c r="U2028">
        <f>IF(O2028=T2028,1,0)</f>
        <v>1</v>
      </c>
      <c r="V2028" s="9">
        <f>IF(OR(M2028=0,U2028=1),0,IF(T2028="GST on Income",ROUND(K2028*0.1,2),ROUND(-K2028*0.1,2)))</f>
        <v>0</v>
      </c>
    </row>
    <row r="2029">
      <c r="A2029" t="inlineStr">
        <is>
          <t>INV-5665-1</t>
        </is>
      </c>
      <c r="B2029" t="inlineStr">
        <is>
          <t>INV-5665</t>
        </is>
      </c>
      <c r="C2029" s="11" t="n">
        <v>46137</v>
      </c>
      <c r="D2029" t="inlineStr">
        <is>
          <t>2026-04</t>
        </is>
      </c>
      <c r="E2029" t="inlineStr">
        <is>
          <t>C0121</t>
        </is>
      </c>
      <c r="F2029" t="inlineStr">
        <is>
          <t>C0121</t>
        </is>
      </c>
      <c r="G2029" t="inlineStr">
        <is>
          <t>Bluegum Constructions</t>
        </is>
      </c>
      <c r="H2029" t="inlineStr">
        <is>
          <t>S0415</t>
        </is>
      </c>
      <c r="I2029" t="inlineStr">
        <is>
          <t>Tarp kit hire 1 wks (24/04/26-24/04/26) - 2 kits</t>
        </is>
      </c>
      <c r="J2029" t="n">
        <v>2</v>
      </c>
      <c r="K2029" s="9" t="n">
        <v>70</v>
      </c>
      <c r="L2029" t="inlineStr">
        <is>
          <t>PAID</t>
        </is>
      </c>
      <c r="M2029">
        <f>IF(L2029="VOIDED",0,1)</f>
        <v>1</v>
      </c>
      <c r="N2029" t="n">
        <v>200</v>
      </c>
      <c r="O2029" t="inlineStr">
        <is>
          <t>GST on Income</t>
        </is>
      </c>
      <c r="P2029" t="inlineStr">
        <is>
          <t>R06</t>
        </is>
      </c>
      <c r="Q2029" t="inlineStr">
        <is>
          <t>HIRE-TK</t>
        </is>
      </c>
      <c r="R2029">
        <f>IF(OR(Q2029="CONTEXT",Q2029="REVIEW"),"",INDEX('Category Rules'!$D$5:$D$17,MATCH(P2029,'Category Rules'!$A$5:$A$17,0)))</f>
        <v>4010</v>
      </c>
      <c r="S2029" t="str">
        <f>IF(Q2029="CONTEXT","Make-safe",IF(Q2029="REVIEW","",INDEX('Category Rules'!$E$5:$E$17,MATCH(P2029,'Category Rules'!$A$5:$A$17,0))))</f>
        <v>Make-safe</v>
      </c>
      <c r="T2029" t="str">
        <f>IF(Q2029="DEP","BAS Excluded","GST on Income")</f>
        <v>GST on Income</v>
      </c>
      <c r="U2029">
        <f>IF(O2029=T2029,1,0)</f>
        <v>1</v>
      </c>
      <c r="V2029" s="9">
        <f>IF(OR(M2029=0,U2029=1),0,IF(T2029="GST on Income",ROUND(K2029*0.1,2),ROUND(-K2029*0.1,2)))</f>
        <v>0</v>
      </c>
    </row>
    <row r="2030">
      <c r="A2030" t="inlineStr">
        <is>
          <t>INV-5818-1</t>
        </is>
      </c>
      <c r="B2030" t="inlineStr">
        <is>
          <t>INV-5818</t>
        </is>
      </c>
      <c r="C2030" s="11" t="n">
        <v>46137</v>
      </c>
      <c r="D2030" t="inlineStr">
        <is>
          <t>2026-04</t>
        </is>
      </c>
      <c r="E2030" t="inlineStr">
        <is>
          <t>C0053</t>
        </is>
      </c>
      <c r="F2030" t="inlineStr">
        <is>
          <t>C0053</t>
        </is>
      </c>
      <c r="G2030" t="inlineStr">
        <is>
          <t>Summit Strata Management Pty Ltd</t>
        </is>
      </c>
      <c r="H2030" t="inlineStr">
        <is>
          <t>S0500</t>
        </is>
      </c>
      <c r="I2030" t="inlineStr">
        <is>
          <t>Emergency make safe call-out - after hours</t>
        </is>
      </c>
      <c r="J2030" t="n">
        <v>1</v>
      </c>
      <c r="K2030" s="9" t="n">
        <v>560</v>
      </c>
      <c r="L2030" t="inlineStr">
        <is>
          <t>PAID</t>
        </is>
      </c>
      <c r="M2030">
        <f>IF(L2030="VOIDED",0,1)</f>
        <v>1</v>
      </c>
      <c r="N2030" t="n">
        <v>200</v>
      </c>
      <c r="O2030" t="inlineStr">
        <is>
          <t>GST on Income</t>
        </is>
      </c>
      <c r="P2030" t="inlineStr">
        <is>
          <t>R09</t>
        </is>
      </c>
      <c r="Q2030" t="inlineStr">
        <is>
          <t>MS</t>
        </is>
      </c>
      <c r="R2030">
        <f>IF(OR(Q2030="CONTEXT",Q2030="REVIEW"),"",INDEX('Category Rules'!$D$5:$D$17,MATCH(P2030,'Category Rules'!$A$5:$A$17,0)))</f>
        <v>4020</v>
      </c>
      <c r="S2030" t="str">
        <f>IF(Q2030="CONTEXT","Make-safe",IF(Q2030="REVIEW","",INDEX('Category Rules'!$E$5:$E$17,MATCH(P2030,'Category Rules'!$A$5:$A$17,0))))</f>
        <v>Make-safe</v>
      </c>
      <c r="T2030" t="str">
        <f>IF(Q2030="DEP","BAS Excluded","GST on Income")</f>
        <v>GST on Income</v>
      </c>
      <c r="U2030">
        <f>IF(O2030=T2030,1,0)</f>
        <v>1</v>
      </c>
      <c r="V2030" s="9">
        <f>IF(OR(M2030=0,U2030=1),0,IF(T2030="GST on Income",ROUND(K2030*0.1,2),ROUND(-K2030*0.1,2)))</f>
        <v>0</v>
      </c>
    </row>
    <row r="2031">
      <c r="A2031" t="inlineStr">
        <is>
          <t>INV-5818-2</t>
        </is>
      </c>
      <c r="B2031" t="inlineStr">
        <is>
          <t>INV-5818</t>
        </is>
      </c>
      <c r="C2031" s="11" t="n">
        <v>46137</v>
      </c>
      <c r="D2031" t="inlineStr">
        <is>
          <t>2026-04</t>
        </is>
      </c>
      <c r="E2031" t="inlineStr">
        <is>
          <t>C0053</t>
        </is>
      </c>
      <c r="F2031" t="inlineStr">
        <is>
          <t>C0053</t>
        </is>
      </c>
      <c r="G2031" t="inlineStr">
        <is>
          <t>Summit Strata Management Pty Ltd</t>
        </is>
      </c>
      <c r="H2031" t="inlineStr">
        <is>
          <t>S0500</t>
        </is>
      </c>
      <c r="I2031" t="inlineStr">
        <is>
          <t>Tarp supply and install - 3 tarp(s)</t>
        </is>
      </c>
      <c r="J2031" t="n">
        <v>3</v>
      </c>
      <c r="K2031" s="9" t="n">
        <v>720</v>
      </c>
      <c r="L2031" t="inlineStr">
        <is>
          <t>PAID</t>
        </is>
      </c>
      <c r="M2031">
        <f>IF(L2031="VOIDED",0,1)</f>
        <v>1</v>
      </c>
      <c r="N2031" t="n">
        <v>200</v>
      </c>
      <c r="O2031" t="inlineStr">
        <is>
          <t>GST on Income</t>
        </is>
      </c>
      <c r="P2031" t="inlineStr">
        <is>
          <t>R09</t>
        </is>
      </c>
      <c r="Q2031" t="inlineStr">
        <is>
          <t>MS</t>
        </is>
      </c>
      <c r="R2031">
        <f>IF(OR(Q2031="CONTEXT",Q2031="REVIEW"),"",INDEX('Category Rules'!$D$5:$D$17,MATCH(P2031,'Category Rules'!$A$5:$A$17,0)))</f>
        <v>4020</v>
      </c>
      <c r="S2031" t="str">
        <f>IF(Q2031="CONTEXT","Make-safe",IF(Q2031="REVIEW","",INDEX('Category Rules'!$E$5:$E$17,MATCH(P2031,'Category Rules'!$A$5:$A$17,0))))</f>
        <v>Make-safe</v>
      </c>
      <c r="T2031" t="str">
        <f>IF(Q2031="DEP","BAS Excluded","GST on Income")</f>
        <v>GST on Income</v>
      </c>
      <c r="U2031">
        <f>IF(O2031=T2031,1,0)</f>
        <v>1</v>
      </c>
      <c r="V2031" s="9">
        <f>IF(OR(M2031=0,U2031=1),0,IF(T2031="GST on Income",ROUND(K2031*0.1,2),ROUND(-K2031*0.1,2)))</f>
        <v>0</v>
      </c>
    </row>
    <row r="2032">
      <c r="A2032" t="inlineStr">
        <is>
          <t>INV-4121-1</t>
        </is>
      </c>
      <c r="B2032" t="inlineStr">
        <is>
          <t>INV-4121</t>
        </is>
      </c>
      <c r="C2032" s="11" t="n">
        <v>46138</v>
      </c>
      <c r="D2032" t="inlineStr">
        <is>
          <t>2026-04</t>
        </is>
      </c>
      <c r="E2032" t="inlineStr">
        <is>
          <t>C0121</t>
        </is>
      </c>
      <c r="F2032" t="inlineStr">
        <is>
          <t>C0121</t>
        </is>
      </c>
      <c r="G2032" t="inlineStr">
        <is>
          <t>Bluegum Constructions</t>
        </is>
      </c>
      <c r="H2032" t="inlineStr">
        <is>
          <t>S0005</t>
        </is>
      </c>
      <c r="I2032" t="inlineStr">
        <is>
          <t>Temporary fence hire 4 wks (29/03/26-25/04/26) - 53 panels</t>
        </is>
      </c>
      <c r="J2032" t="n">
        <v>212</v>
      </c>
      <c r="K2032" s="9" t="n">
        <v>954</v>
      </c>
      <c r="L2032" t="inlineStr">
        <is>
          <t>PAID</t>
        </is>
      </c>
      <c r="M2032">
        <f>IF(L2032="VOIDED",0,1)</f>
        <v>1</v>
      </c>
      <c r="N2032" t="n">
        <v>200</v>
      </c>
      <c r="O2032" t="inlineStr">
        <is>
          <t>GST on Income</t>
        </is>
      </c>
      <c r="P2032" t="inlineStr">
        <is>
          <t>R03</t>
        </is>
      </c>
      <c r="Q2032" t="inlineStr">
        <is>
          <t>HIRE-FP</t>
        </is>
      </c>
      <c r="R2032">
        <f>IF(OR(Q2032="CONTEXT",Q2032="REVIEW"),"",INDEX('Category Rules'!$D$5:$D$17,MATCH(P2032,'Category Rules'!$A$5:$A$17,0)))</f>
        <v>4010</v>
      </c>
      <c r="S2032" t="str">
        <f>IF(Q2032="CONTEXT","Fencing",IF(Q2032="REVIEW","",INDEX('Category Rules'!$E$5:$E$17,MATCH(P2032,'Category Rules'!$A$5:$A$17,0))))</f>
        <v>Fencing</v>
      </c>
      <c r="T2032" t="str">
        <f>IF(Q2032="DEP","BAS Excluded","GST on Income")</f>
        <v>GST on Income</v>
      </c>
      <c r="U2032">
        <f>IF(O2032=T2032,1,0)</f>
        <v>1</v>
      </c>
      <c r="V2032" s="9">
        <f>IF(OR(M2032=0,U2032=1),0,IF(T2032="GST on Income",ROUND(K2032*0.1,2),ROUND(-K2032*0.1,2)))</f>
        <v>0</v>
      </c>
    </row>
    <row r="2033">
      <c r="A2033" t="inlineStr">
        <is>
          <t>INV-4175-1</t>
        </is>
      </c>
      <c r="B2033" t="inlineStr">
        <is>
          <t>INV-4175</t>
        </is>
      </c>
      <c r="C2033" s="11" t="n">
        <v>46138</v>
      </c>
      <c r="D2033" t="inlineStr">
        <is>
          <t>2026-04</t>
        </is>
      </c>
      <c r="E2033" t="inlineStr">
        <is>
          <t>C0141</t>
        </is>
      </c>
      <c r="F2033" t="inlineStr">
        <is>
          <t>C0028</t>
        </is>
      </c>
      <c r="G2033" t="inlineStr">
        <is>
          <t>Banksia Homes</t>
        </is>
      </c>
      <c r="H2033" t="inlineStr">
        <is>
          <t>S0014</t>
        </is>
      </c>
      <c r="I2033" t="inlineStr">
        <is>
          <t>Temporary fence hire 4 wks (29/03/26-25/04/26) - 30 panels</t>
        </is>
      </c>
      <c r="J2033" t="n">
        <v>120</v>
      </c>
      <c r="K2033" s="9" t="n">
        <v>540</v>
      </c>
      <c r="L2033" t="inlineStr">
        <is>
          <t>PAID</t>
        </is>
      </c>
      <c r="M2033">
        <f>IF(L2033="VOIDED",0,1)</f>
        <v>1</v>
      </c>
      <c r="N2033" t="n">
        <v>200</v>
      </c>
      <c r="O2033" t="inlineStr">
        <is>
          <t>GST on Income</t>
        </is>
      </c>
      <c r="P2033" t="inlineStr">
        <is>
          <t>R03</t>
        </is>
      </c>
      <c r="Q2033" t="inlineStr">
        <is>
          <t>HIRE-FP</t>
        </is>
      </c>
      <c r="R2033">
        <f>IF(OR(Q2033="CONTEXT",Q2033="REVIEW"),"",INDEX('Category Rules'!$D$5:$D$17,MATCH(P2033,'Category Rules'!$A$5:$A$17,0)))</f>
        <v>4010</v>
      </c>
      <c r="S2033" t="str">
        <f>IF(Q2033="CONTEXT","Fencing",IF(Q2033="REVIEW","",INDEX('Category Rules'!$E$5:$E$17,MATCH(P2033,'Category Rules'!$A$5:$A$17,0))))</f>
        <v>Fencing</v>
      </c>
      <c r="T2033" t="str">
        <f>IF(Q2033="DEP","BAS Excluded","GST on Income")</f>
        <v>GST on Income</v>
      </c>
      <c r="U2033">
        <f>IF(O2033=T2033,1,0)</f>
        <v>1</v>
      </c>
      <c r="V2033" s="9">
        <f>IF(OR(M2033=0,U2033=1),0,IF(T2033="GST on Income",ROUND(K2033*0.1,2),ROUND(-K2033*0.1,2)))</f>
        <v>0</v>
      </c>
    </row>
    <row r="2034">
      <c r="A2034" t="inlineStr">
        <is>
          <t>INV-4179-1</t>
        </is>
      </c>
      <c r="B2034" t="inlineStr">
        <is>
          <t>INV-4179</t>
        </is>
      </c>
      <c r="C2034" s="11" t="n">
        <v>46138</v>
      </c>
      <c r="D2034" t="inlineStr">
        <is>
          <t>2026-04</t>
        </is>
      </c>
      <c r="E2034" t="inlineStr">
        <is>
          <t>C0028</t>
        </is>
      </c>
      <c r="F2034" t="inlineStr">
        <is>
          <t>C0028</t>
        </is>
      </c>
      <c r="G2034" t="inlineStr">
        <is>
          <t>Banksia Homes</t>
        </is>
      </c>
      <c r="H2034" t="inlineStr">
        <is>
          <t>S0014</t>
        </is>
      </c>
      <c r="I2034" t="inlineStr">
        <is>
          <t>Pedestrian barrier hire 4 wks (29/03/26-25/04/26) - 14 barriers</t>
        </is>
      </c>
      <c r="J2034" t="n">
        <v>56</v>
      </c>
      <c r="K2034" s="9" t="n">
        <v>179.2</v>
      </c>
      <c r="L2034" t="inlineStr">
        <is>
          <t>PAID</t>
        </is>
      </c>
      <c r="M2034">
        <f>IF(L2034="VOIDED",0,1)</f>
        <v>1</v>
      </c>
      <c r="N2034" t="n">
        <v>200</v>
      </c>
      <c r="O2034" t="inlineStr">
        <is>
          <t>GST on Income</t>
        </is>
      </c>
      <c r="P2034" t="inlineStr">
        <is>
          <t>R04</t>
        </is>
      </c>
      <c r="Q2034" t="inlineStr">
        <is>
          <t>HIRE-BR</t>
        </is>
      </c>
      <c r="R2034">
        <f>IF(OR(Q2034="CONTEXT",Q2034="REVIEW"),"",INDEX('Category Rules'!$D$5:$D$17,MATCH(P2034,'Category Rules'!$A$5:$A$17,0)))</f>
        <v>4010</v>
      </c>
      <c r="S2034" t="str">
        <f>IF(Q2034="CONTEXT","Fencing",IF(Q2034="REVIEW","",INDEX('Category Rules'!$E$5:$E$17,MATCH(P2034,'Category Rules'!$A$5:$A$17,0))))</f>
        <v>Fencing</v>
      </c>
      <c r="T2034" t="str">
        <f>IF(Q2034="DEP","BAS Excluded","GST on Income")</f>
        <v>GST on Income</v>
      </c>
      <c r="U2034">
        <f>IF(O2034=T2034,1,0)</f>
        <v>1</v>
      </c>
      <c r="V2034" s="9">
        <f>IF(OR(M2034=0,U2034=1),0,IF(T2034="GST on Income",ROUND(K2034*0.1,2),ROUND(-K2034*0.1,2)))</f>
        <v>0</v>
      </c>
    </row>
    <row r="2035">
      <c r="A2035" t="inlineStr">
        <is>
          <t>INV-4184-1</t>
        </is>
      </c>
      <c r="B2035" t="inlineStr">
        <is>
          <t>INV-4184</t>
        </is>
      </c>
      <c r="C2035" s="11" t="n">
        <v>46138</v>
      </c>
      <c r="D2035" t="inlineStr">
        <is>
          <t>2026-04</t>
        </is>
      </c>
      <c r="E2035" t="inlineStr">
        <is>
          <t>C0017</t>
        </is>
      </c>
      <c r="F2035" t="inlineStr">
        <is>
          <t>C0017</t>
        </is>
      </c>
      <c r="G2035" t="inlineStr">
        <is>
          <t>Cobalt Developments Pty Ltd</t>
        </is>
      </c>
      <c r="H2035" t="inlineStr">
        <is>
          <t>S0016</t>
        </is>
      </c>
      <c r="I2035" t="inlineStr">
        <is>
          <t>Temporary fence hire 4 wks (29/03/26-25/04/26) - 49 panels</t>
        </is>
      </c>
      <c r="J2035" t="n">
        <v>196</v>
      </c>
      <c r="K2035" s="9" t="n">
        <v>882</v>
      </c>
      <c r="L2035" t="inlineStr">
        <is>
          <t>PAID</t>
        </is>
      </c>
      <c r="M2035">
        <f>IF(L2035="VOIDED",0,1)</f>
        <v>1</v>
      </c>
      <c r="N2035" t="n">
        <v>200</v>
      </c>
      <c r="O2035" t="inlineStr">
        <is>
          <t>GST on Income</t>
        </is>
      </c>
      <c r="P2035" t="inlineStr">
        <is>
          <t>R03</t>
        </is>
      </c>
      <c r="Q2035" t="inlineStr">
        <is>
          <t>HIRE-FP</t>
        </is>
      </c>
      <c r="R2035">
        <f>IF(OR(Q2035="CONTEXT",Q2035="REVIEW"),"",INDEX('Category Rules'!$D$5:$D$17,MATCH(P2035,'Category Rules'!$A$5:$A$17,0)))</f>
        <v>4010</v>
      </c>
      <c r="S2035" t="str">
        <f>IF(Q2035="CONTEXT","Fencing",IF(Q2035="REVIEW","",INDEX('Category Rules'!$E$5:$E$17,MATCH(P2035,'Category Rules'!$A$5:$A$17,0))))</f>
        <v>Fencing</v>
      </c>
      <c r="T2035" t="str">
        <f>IF(Q2035="DEP","BAS Excluded","GST on Income")</f>
        <v>GST on Income</v>
      </c>
      <c r="U2035">
        <f>IF(O2035=T2035,1,0)</f>
        <v>1</v>
      </c>
      <c r="V2035" s="9">
        <f>IF(OR(M2035=0,U2035=1),0,IF(T2035="GST on Income",ROUND(K2035*0.1,2),ROUND(-K2035*0.1,2)))</f>
        <v>0</v>
      </c>
    </row>
    <row r="2036">
      <c r="A2036" t="inlineStr">
        <is>
          <t>INV-4188-1</t>
        </is>
      </c>
      <c r="B2036" t="inlineStr">
        <is>
          <t>INV-4188</t>
        </is>
      </c>
      <c r="C2036" s="11" t="n">
        <v>46138</v>
      </c>
      <c r="D2036" t="inlineStr">
        <is>
          <t>2026-04</t>
        </is>
      </c>
      <c r="E2036" t="inlineStr">
        <is>
          <t>C0017</t>
        </is>
      </c>
      <c r="F2036" t="inlineStr">
        <is>
          <t>C0017</t>
        </is>
      </c>
      <c r="G2036" t="inlineStr">
        <is>
          <t>Cobalt Developments Pty Ltd</t>
        </is>
      </c>
      <c r="H2036" t="inlineStr">
        <is>
          <t>S0016</t>
        </is>
      </c>
      <c r="I2036" t="inlineStr">
        <is>
          <t>Pedestrian barrier hire 4 wks (29/03/26-25/04/26) - 13 barriers</t>
        </is>
      </c>
      <c r="J2036" t="n">
        <v>52</v>
      </c>
      <c r="K2036" s="9" t="n">
        <v>166.4</v>
      </c>
      <c r="L2036" t="inlineStr">
        <is>
          <t>PAID</t>
        </is>
      </c>
      <c r="M2036">
        <f>IF(L2036="VOIDED",0,1)</f>
        <v>1</v>
      </c>
      <c r="N2036" t="n">
        <v>200</v>
      </c>
      <c r="O2036" t="inlineStr">
        <is>
          <t>GST on Income</t>
        </is>
      </c>
      <c r="P2036" t="inlineStr">
        <is>
          <t>R04</t>
        </is>
      </c>
      <c r="Q2036" t="inlineStr">
        <is>
          <t>HIRE-BR</t>
        </is>
      </c>
      <c r="R2036">
        <f>IF(OR(Q2036="CONTEXT",Q2036="REVIEW"),"",INDEX('Category Rules'!$D$5:$D$17,MATCH(P2036,'Category Rules'!$A$5:$A$17,0)))</f>
        <v>4010</v>
      </c>
      <c r="S2036" t="str">
        <f>IF(Q2036="CONTEXT","Fencing",IF(Q2036="REVIEW","",INDEX('Category Rules'!$E$5:$E$17,MATCH(P2036,'Category Rules'!$A$5:$A$17,0))))</f>
        <v>Fencing</v>
      </c>
      <c r="T2036" t="str">
        <f>IF(Q2036="DEP","BAS Excluded","GST on Income")</f>
        <v>GST on Income</v>
      </c>
      <c r="U2036">
        <f>IF(O2036=T2036,1,0)</f>
        <v>1</v>
      </c>
      <c r="V2036" s="9">
        <f>IF(OR(M2036=0,U2036=1),0,IF(T2036="GST on Income",ROUND(K2036*0.1,2),ROUND(-K2036*0.1,2)))</f>
        <v>0</v>
      </c>
    </row>
    <row r="2037">
      <c r="A2037" t="inlineStr">
        <is>
          <t>INV-5595-1</t>
        </is>
      </c>
      <c r="B2037" t="inlineStr">
        <is>
          <t>INV-5595</t>
        </is>
      </c>
      <c r="C2037" s="11" t="n">
        <v>46138</v>
      </c>
      <c r="D2037" t="inlineStr">
        <is>
          <t>2026-04</t>
        </is>
      </c>
      <c r="E2037" t="inlineStr">
        <is>
          <t>C0085</t>
        </is>
      </c>
      <c r="F2037" t="inlineStr">
        <is>
          <t>C0085</t>
        </is>
      </c>
      <c r="G2037" t="inlineStr">
        <is>
          <t>Zoe Williams</t>
        </is>
      </c>
      <c r="H2037" t="inlineStr">
        <is>
          <t>S0377</t>
        </is>
      </c>
      <c r="I2037" t="inlineStr">
        <is>
          <t>Make safe call-out</t>
        </is>
      </c>
      <c r="J2037" t="n">
        <v>1</v>
      </c>
      <c r="K2037" s="9" t="n">
        <v>385</v>
      </c>
      <c r="L2037" t="inlineStr">
        <is>
          <t>PAID</t>
        </is>
      </c>
      <c r="M2037">
        <f>IF(L2037="VOIDED",0,1)</f>
        <v>1</v>
      </c>
      <c r="N2037" t="n">
        <v>200</v>
      </c>
      <c r="O2037" t="inlineStr">
        <is>
          <t>GST on Income</t>
        </is>
      </c>
      <c r="P2037" t="inlineStr">
        <is>
          <t>R09</t>
        </is>
      </c>
      <c r="Q2037" t="inlineStr">
        <is>
          <t>MS</t>
        </is>
      </c>
      <c r="R2037">
        <f>IF(OR(Q2037="CONTEXT",Q2037="REVIEW"),"",INDEX('Category Rules'!$D$5:$D$17,MATCH(P2037,'Category Rules'!$A$5:$A$17,0)))</f>
        <v>4020</v>
      </c>
      <c r="S2037" t="str">
        <f>IF(Q2037="CONTEXT","Make-safe",IF(Q2037="REVIEW","",INDEX('Category Rules'!$E$5:$E$17,MATCH(P2037,'Category Rules'!$A$5:$A$17,0))))</f>
        <v>Make-safe</v>
      </c>
      <c r="T2037" t="str">
        <f>IF(Q2037="DEP","BAS Excluded","GST on Income")</f>
        <v>GST on Income</v>
      </c>
      <c r="U2037">
        <f>IF(O2037=T2037,1,0)</f>
        <v>1</v>
      </c>
      <c r="V2037" s="9">
        <f>IF(OR(M2037=0,U2037=1),0,IF(T2037="GST on Income",ROUND(K2037*0.1,2),ROUND(-K2037*0.1,2)))</f>
        <v>0</v>
      </c>
    </row>
    <row r="2038">
      <c r="A2038" t="inlineStr">
        <is>
          <t>INV-5595-2</t>
        </is>
      </c>
      <c r="B2038" t="inlineStr">
        <is>
          <t>INV-5595</t>
        </is>
      </c>
      <c r="C2038" s="11" t="n">
        <v>46138</v>
      </c>
      <c r="D2038" t="inlineStr">
        <is>
          <t>2026-04</t>
        </is>
      </c>
      <c r="E2038" t="inlineStr">
        <is>
          <t>C0085</t>
        </is>
      </c>
      <c r="F2038" t="inlineStr">
        <is>
          <t>C0085</t>
        </is>
      </c>
      <c r="G2038" t="inlineStr">
        <is>
          <t>Zoe Williams</t>
        </is>
      </c>
      <c r="H2038" t="inlineStr">
        <is>
          <t>S0377</t>
        </is>
      </c>
      <c r="I2038" t="inlineStr">
        <is>
          <t>Tarp supply and install - 2 tarp(s)</t>
        </is>
      </c>
      <c r="J2038" t="n">
        <v>2</v>
      </c>
      <c r="K2038" s="9" t="n">
        <v>480</v>
      </c>
      <c r="L2038" t="inlineStr">
        <is>
          <t>PAID</t>
        </is>
      </c>
      <c r="M2038">
        <f>IF(L2038="VOIDED",0,1)</f>
        <v>1</v>
      </c>
      <c r="N2038" t="n">
        <v>200</v>
      </c>
      <c r="O2038" t="inlineStr">
        <is>
          <t>GST on Income</t>
        </is>
      </c>
      <c r="P2038" t="inlineStr">
        <is>
          <t>R09</t>
        </is>
      </c>
      <c r="Q2038" t="inlineStr">
        <is>
          <t>MS</t>
        </is>
      </c>
      <c r="R2038">
        <f>IF(OR(Q2038="CONTEXT",Q2038="REVIEW"),"",INDEX('Category Rules'!$D$5:$D$17,MATCH(P2038,'Category Rules'!$A$5:$A$17,0)))</f>
        <v>4020</v>
      </c>
      <c r="S2038" t="str">
        <f>IF(Q2038="CONTEXT","Make-safe",IF(Q2038="REVIEW","",INDEX('Category Rules'!$E$5:$E$17,MATCH(P2038,'Category Rules'!$A$5:$A$17,0))))</f>
        <v>Make-safe</v>
      </c>
      <c r="T2038" t="str">
        <f>IF(Q2038="DEP","BAS Excluded","GST on Income")</f>
        <v>GST on Income</v>
      </c>
      <c r="U2038">
        <f>IF(O2038=T2038,1,0)</f>
        <v>1</v>
      </c>
      <c r="V2038" s="9">
        <f>IF(OR(M2038=0,U2038=1),0,IF(T2038="GST on Income",ROUND(K2038*0.1,2),ROUND(-K2038*0.1,2)))</f>
        <v>0</v>
      </c>
    </row>
    <row r="2039">
      <c r="A2039" t="inlineStr">
        <is>
          <t>INV-4307-1</t>
        </is>
      </c>
      <c r="B2039" t="inlineStr">
        <is>
          <t>INV-4307</t>
        </is>
      </c>
      <c r="C2039" s="11" t="n">
        <v>46139</v>
      </c>
      <c r="D2039" t="inlineStr">
        <is>
          <t>2026-04</t>
        </is>
      </c>
      <c r="E2039" t="inlineStr">
        <is>
          <t>C0083</t>
        </is>
      </c>
      <c r="F2039" t="inlineStr">
        <is>
          <t>C0083</t>
        </is>
      </c>
      <c r="G2039" t="inlineStr">
        <is>
          <t>Noah Williams</t>
        </is>
      </c>
      <c r="H2039" t="inlineStr">
        <is>
          <t>S0042</t>
        </is>
      </c>
      <c r="I2039" t="inlineStr">
        <is>
          <t>Temporary fence hire 4 wks (30/03/26-26/04/26) - 81 panels</t>
        </is>
      </c>
      <c r="J2039" t="n">
        <v>324</v>
      </c>
      <c r="K2039" s="9" t="n">
        <v>1458</v>
      </c>
      <c r="L2039" t="inlineStr">
        <is>
          <t>PAID</t>
        </is>
      </c>
      <c r="M2039">
        <f>IF(L2039="VOIDED",0,1)</f>
        <v>1</v>
      </c>
      <c r="N2039" t="n">
        <v>200</v>
      </c>
      <c r="O2039" t="inlineStr">
        <is>
          <t>GST on Income</t>
        </is>
      </c>
      <c r="P2039" t="inlineStr">
        <is>
          <t>R03</t>
        </is>
      </c>
      <c r="Q2039" t="inlineStr">
        <is>
          <t>HIRE-FP</t>
        </is>
      </c>
      <c r="R2039">
        <f>IF(OR(Q2039="CONTEXT",Q2039="REVIEW"),"",INDEX('Category Rules'!$D$5:$D$17,MATCH(P2039,'Category Rules'!$A$5:$A$17,0)))</f>
        <v>4010</v>
      </c>
      <c r="S2039" t="str">
        <f>IF(Q2039="CONTEXT","Fencing",IF(Q2039="REVIEW","",INDEX('Category Rules'!$E$5:$E$17,MATCH(P2039,'Category Rules'!$A$5:$A$17,0))))</f>
        <v>Fencing</v>
      </c>
      <c r="T2039" t="str">
        <f>IF(Q2039="DEP","BAS Excluded","GST on Income")</f>
        <v>GST on Income</v>
      </c>
      <c r="U2039">
        <f>IF(O2039=T2039,1,0)</f>
        <v>1</v>
      </c>
      <c r="V2039" s="9">
        <f>IF(OR(M2039=0,U2039=1),0,IF(T2039="GST on Income",ROUND(K2039*0.1,2),ROUND(-K2039*0.1,2)))</f>
        <v>0</v>
      </c>
    </row>
    <row r="2040">
      <c r="A2040" t="inlineStr">
        <is>
          <t>INV-4336-1</t>
        </is>
      </c>
      <c r="B2040" t="inlineStr">
        <is>
          <t>INV-4336</t>
        </is>
      </c>
      <c r="C2040" s="11" t="n">
        <v>46139</v>
      </c>
      <c r="D2040" t="inlineStr">
        <is>
          <t>2026-04</t>
        </is>
      </c>
      <c r="E2040" t="inlineStr">
        <is>
          <t>C0022</t>
        </is>
      </c>
      <c r="F2040" t="inlineStr">
        <is>
          <t>C0022</t>
        </is>
      </c>
      <c r="G2040" t="inlineStr">
        <is>
          <t>Highpoint Projects</t>
        </is>
      </c>
      <c r="H2040" t="inlineStr">
        <is>
          <t>S0050</t>
        </is>
      </c>
      <c r="I2040" t="inlineStr">
        <is>
          <t>Temporary fence hire 4 wks (30/03/26-26/04/26) - 26 panels</t>
        </is>
      </c>
      <c r="J2040" t="n">
        <v>104</v>
      </c>
      <c r="K2040" s="9" t="n">
        <v>468</v>
      </c>
      <c r="L2040" t="inlineStr">
        <is>
          <t>PAID</t>
        </is>
      </c>
      <c r="M2040">
        <f>IF(L2040="VOIDED",0,1)</f>
        <v>1</v>
      </c>
      <c r="N2040" t="n">
        <v>200</v>
      </c>
      <c r="O2040" t="inlineStr">
        <is>
          <t>GST on Income</t>
        </is>
      </c>
      <c r="P2040" t="inlineStr">
        <is>
          <t>R03</t>
        </is>
      </c>
      <c r="Q2040" t="inlineStr">
        <is>
          <t>HIRE-FP</t>
        </is>
      </c>
      <c r="R2040">
        <f>IF(OR(Q2040="CONTEXT",Q2040="REVIEW"),"",INDEX('Category Rules'!$D$5:$D$17,MATCH(P2040,'Category Rules'!$A$5:$A$17,0)))</f>
        <v>4010</v>
      </c>
      <c r="S2040" t="str">
        <f>IF(Q2040="CONTEXT","Fencing",IF(Q2040="REVIEW","",INDEX('Category Rules'!$E$5:$E$17,MATCH(P2040,'Category Rules'!$A$5:$A$17,0))))</f>
        <v>Fencing</v>
      </c>
      <c r="T2040" t="str">
        <f>IF(Q2040="DEP","BAS Excluded","GST on Income")</f>
        <v>GST on Income</v>
      </c>
      <c r="U2040">
        <f>IF(O2040=T2040,1,0)</f>
        <v>1</v>
      </c>
      <c r="V2040" s="9">
        <f>IF(OR(M2040=0,U2040=1),0,IF(T2040="GST on Income",ROUND(K2040*0.1,2),ROUND(-K2040*0.1,2)))</f>
        <v>0</v>
      </c>
    </row>
    <row r="2041">
      <c r="A2041" t="inlineStr">
        <is>
          <t>INV-4900-1</t>
        </is>
      </c>
      <c r="B2041" t="inlineStr">
        <is>
          <t>INV-4900</t>
        </is>
      </c>
      <c r="C2041" s="11" t="n">
        <v>46139</v>
      </c>
      <c r="D2041" t="inlineStr">
        <is>
          <t>2026-04</t>
        </is>
      </c>
      <c r="E2041" t="inlineStr">
        <is>
          <t>C0011</t>
        </is>
      </c>
      <c r="F2041" t="inlineStr">
        <is>
          <t>C0011</t>
        </is>
      </c>
      <c r="G2041" t="inlineStr">
        <is>
          <t>Wattle Homes Pty Ltd</t>
        </is>
      </c>
      <c r="H2041" t="inlineStr">
        <is>
          <t>S0169</t>
        </is>
      </c>
      <c r="I2041" t="inlineStr">
        <is>
          <t>Temporary fence hire 4 wks (30/03/26-26/04/26) - 29 panels</t>
        </is>
      </c>
      <c r="J2041" t="n">
        <v>116</v>
      </c>
      <c r="K2041" s="9" t="n">
        <v>522</v>
      </c>
      <c r="L2041" t="inlineStr">
        <is>
          <t>PAID</t>
        </is>
      </c>
      <c r="M2041">
        <f>IF(L2041="VOIDED",0,1)</f>
        <v>1</v>
      </c>
      <c r="N2041" t="n">
        <v>200</v>
      </c>
      <c r="O2041" t="inlineStr">
        <is>
          <t>GST on Income</t>
        </is>
      </c>
      <c r="P2041" t="inlineStr">
        <is>
          <t>R03</t>
        </is>
      </c>
      <c r="Q2041" t="inlineStr">
        <is>
          <t>HIRE-FP</t>
        </is>
      </c>
      <c r="R2041">
        <f>IF(OR(Q2041="CONTEXT",Q2041="REVIEW"),"",INDEX('Category Rules'!$D$5:$D$17,MATCH(P2041,'Category Rules'!$A$5:$A$17,0)))</f>
        <v>4010</v>
      </c>
      <c r="S2041" t="str">
        <f>IF(Q2041="CONTEXT","Fencing",IF(Q2041="REVIEW","",INDEX('Category Rules'!$E$5:$E$17,MATCH(P2041,'Category Rules'!$A$5:$A$17,0))))</f>
        <v>Fencing</v>
      </c>
      <c r="T2041" t="str">
        <f>IF(Q2041="DEP","BAS Excluded","GST on Income")</f>
        <v>GST on Income</v>
      </c>
      <c r="U2041">
        <f>IF(O2041=T2041,1,0)</f>
        <v>1</v>
      </c>
      <c r="V2041" s="9">
        <f>IF(OR(M2041=0,U2041=1),0,IF(T2041="GST on Income",ROUND(K2041*0.1,2),ROUND(-K2041*0.1,2)))</f>
        <v>0</v>
      </c>
    </row>
    <row r="2042">
      <c r="A2042" t="inlineStr">
        <is>
          <t>INV-4905-1</t>
        </is>
      </c>
      <c r="B2042" t="inlineStr">
        <is>
          <t>INV-4905</t>
        </is>
      </c>
      <c r="C2042" s="11" t="n">
        <v>46139</v>
      </c>
      <c r="D2042" t="inlineStr">
        <is>
          <t>2026-04</t>
        </is>
      </c>
      <c r="E2042" t="inlineStr">
        <is>
          <t>C0011</t>
        </is>
      </c>
      <c r="F2042" t="inlineStr">
        <is>
          <t>C0011</t>
        </is>
      </c>
      <c r="G2042" t="inlineStr">
        <is>
          <t>Wattle Homes Pty Ltd</t>
        </is>
      </c>
      <c r="H2042" t="inlineStr">
        <is>
          <t>S0169</t>
        </is>
      </c>
      <c r="I2042" t="inlineStr">
        <is>
          <t>Pedestrian barrier hire 4 wks (30/03/26-26/04/26) - 16 barriers</t>
        </is>
      </c>
      <c r="J2042" t="n">
        <v>64</v>
      </c>
      <c r="K2042" s="9" t="n">
        <v>204.8</v>
      </c>
      <c r="L2042" t="inlineStr">
        <is>
          <t>PAID</t>
        </is>
      </c>
      <c r="M2042">
        <f>IF(L2042="VOIDED",0,1)</f>
        <v>1</v>
      </c>
      <c r="N2042" t="n">
        <v>200</v>
      </c>
      <c r="O2042" t="inlineStr">
        <is>
          <t>GST on Income</t>
        </is>
      </c>
      <c r="P2042" t="inlineStr">
        <is>
          <t>R04</t>
        </is>
      </c>
      <c r="Q2042" t="inlineStr">
        <is>
          <t>HIRE-BR</t>
        </is>
      </c>
      <c r="R2042">
        <f>IF(OR(Q2042="CONTEXT",Q2042="REVIEW"),"",INDEX('Category Rules'!$D$5:$D$17,MATCH(P2042,'Category Rules'!$A$5:$A$17,0)))</f>
        <v>4010</v>
      </c>
      <c r="S2042" t="str">
        <f>IF(Q2042="CONTEXT","Fencing",IF(Q2042="REVIEW","",INDEX('Category Rules'!$E$5:$E$17,MATCH(P2042,'Category Rules'!$A$5:$A$17,0))))</f>
        <v>Fencing</v>
      </c>
      <c r="T2042" t="str">
        <f>IF(Q2042="DEP","BAS Excluded","GST on Income")</f>
        <v>GST on Income</v>
      </c>
      <c r="U2042">
        <f>IF(O2042=T2042,1,0)</f>
        <v>1</v>
      </c>
      <c r="V2042" s="9">
        <f>IF(OR(M2042=0,U2042=1),0,IF(T2042="GST on Income",ROUND(K2042*0.1,2),ROUND(-K2042*0.1,2)))</f>
        <v>0</v>
      </c>
    </row>
    <row r="2043">
      <c r="A2043" t="inlineStr">
        <is>
          <t>INV-5046-1</t>
        </is>
      </c>
      <c r="B2043" t="inlineStr">
        <is>
          <t>INV-5046</t>
        </is>
      </c>
      <c r="C2043" s="11" t="n">
        <v>46139</v>
      </c>
      <c r="D2043" t="inlineStr">
        <is>
          <t>2026-04</t>
        </is>
      </c>
      <c r="E2043" t="inlineStr">
        <is>
          <t>C0103</t>
        </is>
      </c>
      <c r="F2043" t="inlineStr">
        <is>
          <t>C0103</t>
        </is>
      </c>
      <c r="G2043" t="inlineStr">
        <is>
          <t>Grace Martin</t>
        </is>
      </c>
      <c r="H2043" t="inlineStr">
        <is>
          <t>S0203</t>
        </is>
      </c>
      <c r="I2043" t="inlineStr">
        <is>
          <t>Temporary fence hire 4 wks (30/03/26-26/04/26) - 28 panels</t>
        </is>
      </c>
      <c r="J2043" t="n">
        <v>112</v>
      </c>
      <c r="K2043" s="9" t="n">
        <v>504</v>
      </c>
      <c r="L2043" t="inlineStr">
        <is>
          <t>PAID</t>
        </is>
      </c>
      <c r="M2043">
        <f>IF(L2043="VOIDED",0,1)</f>
        <v>1</v>
      </c>
      <c r="N2043" t="n">
        <v>200</v>
      </c>
      <c r="O2043" t="inlineStr">
        <is>
          <t>GST on Income</t>
        </is>
      </c>
      <c r="P2043" t="inlineStr">
        <is>
          <t>R03</t>
        </is>
      </c>
      <c r="Q2043" t="inlineStr">
        <is>
          <t>HIRE-FP</t>
        </is>
      </c>
      <c r="R2043">
        <f>IF(OR(Q2043="CONTEXT",Q2043="REVIEW"),"",INDEX('Category Rules'!$D$5:$D$17,MATCH(P2043,'Category Rules'!$A$5:$A$17,0)))</f>
        <v>4010</v>
      </c>
      <c r="S2043" t="str">
        <f>IF(Q2043="CONTEXT","Fencing",IF(Q2043="REVIEW","",INDEX('Category Rules'!$E$5:$E$17,MATCH(P2043,'Category Rules'!$A$5:$A$17,0))))</f>
        <v>Fencing</v>
      </c>
      <c r="T2043" t="str">
        <f>IF(Q2043="DEP","BAS Excluded","GST on Income")</f>
        <v>GST on Income</v>
      </c>
      <c r="U2043">
        <f>IF(O2043=T2043,1,0)</f>
        <v>1</v>
      </c>
      <c r="V2043" s="9">
        <f>IF(OR(M2043=0,U2043=1),0,IF(T2043="GST on Income",ROUND(K2043*0.1,2),ROUND(-K2043*0.1,2)))</f>
        <v>0</v>
      </c>
    </row>
    <row r="2044">
      <c r="A2044" t="inlineStr">
        <is>
          <t>INV-5048-1</t>
        </is>
      </c>
      <c r="B2044" t="inlineStr">
        <is>
          <t>INV-5048</t>
        </is>
      </c>
      <c r="C2044" s="11" t="n">
        <v>46139</v>
      </c>
      <c r="D2044" t="inlineStr">
        <is>
          <t>2026-04</t>
        </is>
      </c>
      <c r="E2044" t="inlineStr">
        <is>
          <t>C0103</t>
        </is>
      </c>
      <c r="F2044" t="inlineStr">
        <is>
          <t>C0103</t>
        </is>
      </c>
      <c r="G2044" t="inlineStr">
        <is>
          <t>Grace Martin</t>
        </is>
      </c>
      <c r="H2044" t="inlineStr">
        <is>
          <t>S0203</t>
        </is>
      </c>
      <c r="I2044" t="inlineStr">
        <is>
          <t>Pedestrian barrier hire 4 wks (30/03/26-26/04/26) - 6 barriers</t>
        </is>
      </c>
      <c r="J2044" t="n">
        <v>24</v>
      </c>
      <c r="K2044" s="9" t="n">
        <v>76.8</v>
      </c>
      <c r="L2044" t="inlineStr">
        <is>
          <t>PAID</t>
        </is>
      </c>
      <c r="M2044">
        <f>IF(L2044="VOIDED",0,1)</f>
        <v>1</v>
      </c>
      <c r="N2044" t="n">
        <v>200</v>
      </c>
      <c r="O2044" t="inlineStr">
        <is>
          <t>GST on Income</t>
        </is>
      </c>
      <c r="P2044" t="inlineStr">
        <is>
          <t>R04</t>
        </is>
      </c>
      <c r="Q2044" t="inlineStr">
        <is>
          <t>HIRE-BR</t>
        </is>
      </c>
      <c r="R2044">
        <f>IF(OR(Q2044="CONTEXT",Q2044="REVIEW"),"",INDEX('Category Rules'!$D$5:$D$17,MATCH(P2044,'Category Rules'!$A$5:$A$17,0)))</f>
        <v>4010</v>
      </c>
      <c r="S2044" t="str">
        <f>IF(Q2044="CONTEXT","Fencing",IF(Q2044="REVIEW","",INDEX('Category Rules'!$E$5:$E$17,MATCH(P2044,'Category Rules'!$A$5:$A$17,0))))</f>
        <v>Fencing</v>
      </c>
      <c r="T2044" t="str">
        <f>IF(Q2044="DEP","BAS Excluded","GST on Income")</f>
        <v>GST on Income</v>
      </c>
      <c r="U2044">
        <f>IF(O2044=T2044,1,0)</f>
        <v>1</v>
      </c>
      <c r="V2044" s="9">
        <f>IF(OR(M2044=0,U2044=1),0,IF(T2044="GST on Income",ROUND(K2044*0.1,2),ROUND(-K2044*0.1,2)))</f>
        <v>0</v>
      </c>
    </row>
    <row r="2045">
      <c r="A2045" t="inlineStr">
        <is>
          <t>INV-5334-1</t>
        </is>
      </c>
      <c r="B2045" t="inlineStr">
        <is>
          <t>INV-5334</t>
        </is>
      </c>
      <c r="C2045" s="11" t="n">
        <v>46139</v>
      </c>
      <c r="D2045" t="inlineStr">
        <is>
          <t>2026-04</t>
        </is>
      </c>
      <c r="E2045" t="inlineStr">
        <is>
          <t>C0086</t>
        </is>
      </c>
      <c r="F2045" t="inlineStr">
        <is>
          <t>C0086</t>
        </is>
      </c>
      <c r="G2045" t="inlineStr">
        <is>
          <t>Mei Ali</t>
        </is>
      </c>
      <c r="H2045" t="inlineStr">
        <is>
          <t>S0267</t>
        </is>
      </c>
      <c r="I2045" t="inlineStr">
        <is>
          <t>Scaffold erect - 2 tower(s)</t>
        </is>
      </c>
      <c r="J2045" t="n">
        <v>2</v>
      </c>
      <c r="K2045" s="9" t="n">
        <v>840</v>
      </c>
      <c r="L2045" t="inlineStr">
        <is>
          <t>PAID</t>
        </is>
      </c>
      <c r="M2045">
        <f>IF(L2045="VOIDED",0,1)</f>
        <v>1</v>
      </c>
      <c r="N2045" t="n">
        <v>200</v>
      </c>
      <c r="O2045" t="inlineStr">
        <is>
          <t>GST on Income</t>
        </is>
      </c>
      <c r="P2045" t="inlineStr">
        <is>
          <t>R08</t>
        </is>
      </c>
      <c r="Q2045" t="inlineStr">
        <is>
          <t>LAB-ST</t>
        </is>
      </c>
      <c r="R2045">
        <f>IF(OR(Q2045="CONTEXT",Q2045="REVIEW"),"",INDEX('Category Rules'!$D$5:$D$17,MATCH(P2045,'Category Rules'!$A$5:$A$17,0)))</f>
        <v>4020</v>
      </c>
      <c r="S2045" t="str">
        <f>IF(Q2045="CONTEXT","Scaffolding",IF(Q2045="REVIEW","",INDEX('Category Rules'!$E$5:$E$17,MATCH(P2045,'Category Rules'!$A$5:$A$17,0))))</f>
        <v>Scaffolding</v>
      </c>
      <c r="T2045" t="str">
        <f>IF(Q2045="DEP","BAS Excluded","GST on Income")</f>
        <v>GST on Income</v>
      </c>
      <c r="U2045">
        <f>IF(O2045=T2045,1,0)</f>
        <v>1</v>
      </c>
      <c r="V2045" s="9">
        <f>IF(OR(M2045=0,U2045=1),0,IF(T2045="GST on Income",ROUND(K2045*0.1,2),ROUND(-K2045*0.1,2)))</f>
        <v>0</v>
      </c>
    </row>
    <row r="2046">
      <c r="A2046" t="inlineStr">
        <is>
          <t>INV-5027-1</t>
        </is>
      </c>
      <c r="B2046" t="inlineStr">
        <is>
          <t>INV-5027</t>
        </is>
      </c>
      <c r="C2046" s="11" t="n">
        <v>46141</v>
      </c>
      <c r="D2046" t="inlineStr">
        <is>
          <t>2026-04</t>
        </is>
      </c>
      <c r="E2046" t="inlineStr">
        <is>
          <t>C0043</t>
        </is>
      </c>
      <c r="F2046" t="inlineStr">
        <is>
          <t>C0043</t>
        </is>
      </c>
      <c r="G2046" t="inlineStr">
        <is>
          <t>Banksia Projects Pty Ltd</t>
        </is>
      </c>
      <c r="H2046" t="inlineStr">
        <is>
          <t>S0200</t>
        </is>
      </c>
      <c r="I2046" t="inlineStr">
        <is>
          <t>Temporary fence hire 4 wks (01/04/26-28/04/26) - 116 panels</t>
        </is>
      </c>
      <c r="J2046" t="n">
        <v>464</v>
      </c>
      <c r="K2046" s="9" t="n">
        <v>2088</v>
      </c>
      <c r="L2046" t="inlineStr">
        <is>
          <t>PAID</t>
        </is>
      </c>
      <c r="M2046">
        <f>IF(L2046="VOIDED",0,1)</f>
        <v>1</v>
      </c>
      <c r="N2046" t="n">
        <v>200</v>
      </c>
      <c r="O2046" t="inlineStr">
        <is>
          <t>GST on Income</t>
        </is>
      </c>
      <c r="P2046" t="inlineStr">
        <is>
          <t>R03</t>
        </is>
      </c>
      <c r="Q2046" t="inlineStr">
        <is>
          <t>HIRE-FP</t>
        </is>
      </c>
      <c r="R2046">
        <f>IF(OR(Q2046="CONTEXT",Q2046="REVIEW"),"",INDEX('Category Rules'!$D$5:$D$17,MATCH(P2046,'Category Rules'!$A$5:$A$17,0)))</f>
        <v>4010</v>
      </c>
      <c r="S2046" t="str">
        <f>IF(Q2046="CONTEXT","Fencing",IF(Q2046="REVIEW","",INDEX('Category Rules'!$E$5:$E$17,MATCH(P2046,'Category Rules'!$A$5:$A$17,0))))</f>
        <v>Fencing</v>
      </c>
      <c r="T2046" t="str">
        <f>IF(Q2046="DEP","BAS Excluded","GST on Income")</f>
        <v>GST on Income</v>
      </c>
      <c r="U2046">
        <f>IF(O2046=T2046,1,0)</f>
        <v>1</v>
      </c>
      <c r="V2046" s="9">
        <f>IF(OR(M2046=0,U2046=1),0,IF(T2046="GST on Income",ROUND(K2046*0.1,2),ROUND(-K2046*0.1,2)))</f>
        <v>0</v>
      </c>
    </row>
    <row r="2047">
      <c r="A2047" t="inlineStr">
        <is>
          <t>INV-5444-1</t>
        </is>
      </c>
      <c r="B2047" t="inlineStr">
        <is>
          <t>INV-5444</t>
        </is>
      </c>
      <c r="C2047" s="11" t="n">
        <v>46141</v>
      </c>
      <c r="D2047" t="inlineStr">
        <is>
          <t>2026-04</t>
        </is>
      </c>
      <c r="E2047" t="inlineStr">
        <is>
          <t>C0024</t>
        </is>
      </c>
      <c r="F2047" t="inlineStr">
        <is>
          <t>C0024</t>
        </is>
      </c>
      <c r="G2047" t="inlineStr">
        <is>
          <t>Parkview Homes Pty Ltd</t>
        </is>
      </c>
      <c r="H2047" t="inlineStr">
        <is>
          <t>S0296</t>
        </is>
      </c>
      <c r="I2047" t="inlineStr">
        <is>
          <t>Scaffold tower hire 4 wks (01/04/26-28/04/26) - 2 towers</t>
        </is>
      </c>
      <c r="J2047" t="n">
        <v>8</v>
      </c>
      <c r="K2047" s="9" t="n">
        <v>760</v>
      </c>
      <c r="L2047" t="inlineStr">
        <is>
          <t>PAID</t>
        </is>
      </c>
      <c r="M2047">
        <f>IF(L2047="VOIDED",0,1)</f>
        <v>1</v>
      </c>
      <c r="N2047" t="n">
        <v>200</v>
      </c>
      <c r="O2047" t="inlineStr">
        <is>
          <t>GST on Income</t>
        </is>
      </c>
      <c r="P2047" t="inlineStr">
        <is>
          <t>R05</t>
        </is>
      </c>
      <c r="Q2047" t="inlineStr">
        <is>
          <t>HIRE-ST</t>
        </is>
      </c>
      <c r="R2047">
        <f>IF(OR(Q2047="CONTEXT",Q2047="REVIEW"),"",INDEX('Category Rules'!$D$5:$D$17,MATCH(P2047,'Category Rules'!$A$5:$A$17,0)))</f>
        <v>4010</v>
      </c>
      <c r="S2047" t="str">
        <f>IF(Q2047="CONTEXT","Scaffolding",IF(Q2047="REVIEW","",INDEX('Category Rules'!$E$5:$E$17,MATCH(P2047,'Category Rules'!$A$5:$A$17,0))))</f>
        <v>Scaffolding</v>
      </c>
      <c r="T2047" t="str">
        <f>IF(Q2047="DEP","BAS Excluded","GST on Income")</f>
        <v>GST on Income</v>
      </c>
      <c r="U2047">
        <f>IF(O2047=T2047,1,0)</f>
        <v>1</v>
      </c>
      <c r="V2047" s="9">
        <f>IF(OR(M2047=0,U2047=1),0,IF(T2047="GST on Income",ROUND(K2047*0.1,2),ROUND(-K2047*0.1,2)))</f>
        <v>0</v>
      </c>
    </row>
    <row r="2048">
      <c r="A2048" t="inlineStr">
        <is>
          <t>INV-5822-1</t>
        </is>
      </c>
      <c r="B2048" t="inlineStr">
        <is>
          <t>INV-5822</t>
        </is>
      </c>
      <c r="C2048" s="11" t="n">
        <v>46141</v>
      </c>
      <c r="D2048" t="inlineStr">
        <is>
          <t>2026-04</t>
        </is>
      </c>
      <c r="E2048" t="inlineStr">
        <is>
          <t>C0065</t>
        </is>
      </c>
      <c r="F2048" t="inlineStr">
        <is>
          <t>C0065</t>
        </is>
      </c>
      <c r="G2048" t="inlineStr">
        <is>
          <t>Stonebridge Claims Services</t>
        </is>
      </c>
      <c r="H2048" t="inlineStr">
        <is>
          <t>S0502</t>
        </is>
      </c>
      <c r="I2048" t="inlineStr">
        <is>
          <t>Roof repair labour - 12 hrs</t>
        </is>
      </c>
      <c r="J2048" t="n">
        <v>12</v>
      </c>
      <c r="K2048" s="9" t="n">
        <v>1176</v>
      </c>
      <c r="L2048" t="inlineStr">
        <is>
          <t>VOIDED</t>
        </is>
      </c>
      <c r="M2048">
        <f>IF(L2048="VOIDED",0,1)</f>
        <v>0</v>
      </c>
      <c r="N2048" t="n">
        <v>200</v>
      </c>
      <c r="O2048" t="inlineStr">
        <is>
          <t>GST on Income</t>
        </is>
      </c>
      <c r="P2048" t="inlineStr">
        <is>
          <t>R10</t>
        </is>
      </c>
      <c r="Q2048" t="inlineStr">
        <is>
          <t>LAB-RF</t>
        </is>
      </c>
      <c r="R2048">
        <f>IF(OR(Q2048="CONTEXT",Q2048="REVIEW"),"",INDEX('Category Rules'!$D$5:$D$17,MATCH(P2048,'Category Rules'!$A$5:$A$17,0)))</f>
        <v>4020</v>
      </c>
      <c r="S2048" t="str">
        <f>IF(Q2048="CONTEXT","Roofing",IF(Q2048="REVIEW","",INDEX('Category Rules'!$E$5:$E$17,MATCH(P2048,'Category Rules'!$A$5:$A$17,0))))</f>
        <v>Roofing</v>
      </c>
      <c r="T2048" t="str">
        <f>IF(Q2048="DEP","BAS Excluded","GST on Income")</f>
        <v>GST on Income</v>
      </c>
      <c r="U2048">
        <f>IF(O2048=T2048,1,0)</f>
        <v>1</v>
      </c>
      <c r="V2048" s="9">
        <f>IF(OR(M2048=0,U2048=1),0,IF(T2048="GST on Income",ROUND(K2048*0.1,2),ROUND(-K2048*0.1,2)))</f>
        <v>0</v>
      </c>
    </row>
    <row r="2049">
      <c r="A2049" t="inlineStr">
        <is>
          <t>INV-5822-2</t>
        </is>
      </c>
      <c r="B2049" t="inlineStr">
        <is>
          <t>INV-5822</t>
        </is>
      </c>
      <c r="C2049" s="11" t="n">
        <v>46141</v>
      </c>
      <c r="D2049" t="inlineStr">
        <is>
          <t>2026-04</t>
        </is>
      </c>
      <c r="E2049" t="inlineStr">
        <is>
          <t>C0065</t>
        </is>
      </c>
      <c r="F2049" t="inlineStr">
        <is>
          <t>C0065</t>
        </is>
      </c>
      <c r="G2049" t="inlineStr">
        <is>
          <t>Stonebridge Claims Services</t>
        </is>
      </c>
      <c r="H2049" t="inlineStr">
        <is>
          <t>S0502</t>
        </is>
      </c>
      <c r="I2049" t="inlineStr">
        <is>
          <t>Materials - Colorbond sheet</t>
        </is>
      </c>
      <c r="J2049" t="n">
        <v>1</v>
      </c>
      <c r="K2049" s="9" t="n">
        <v>809.14</v>
      </c>
      <c r="L2049" t="inlineStr">
        <is>
          <t>VOIDED</t>
        </is>
      </c>
      <c r="M2049">
        <f>IF(L2049="VOIDED",0,1)</f>
        <v>0</v>
      </c>
      <c r="N2049" t="n">
        <v>200</v>
      </c>
      <c r="O2049" t="inlineStr">
        <is>
          <t>GST on Income</t>
        </is>
      </c>
      <c r="P2049" t="inlineStr">
        <is>
          <t>R11</t>
        </is>
      </c>
      <c r="Q2049" t="inlineStr">
        <is>
          <t>MAT-RF</t>
        </is>
      </c>
      <c r="R2049">
        <f>IF(OR(Q2049="CONTEXT",Q2049="REVIEW"),"",INDEX('Category Rules'!$D$5:$D$17,MATCH(P2049,'Category Rules'!$A$5:$A$17,0)))</f>
        <v>4030</v>
      </c>
      <c r="S2049" t="str">
        <f>IF(Q2049="CONTEXT","Roofing",IF(Q2049="REVIEW","",INDEX('Category Rules'!$E$5:$E$17,MATCH(P2049,'Category Rules'!$A$5:$A$17,0))))</f>
        <v>Roofing</v>
      </c>
      <c r="T2049" t="str">
        <f>IF(Q2049="DEP","BAS Excluded","GST on Income")</f>
        <v>GST on Income</v>
      </c>
      <c r="U2049">
        <f>IF(O2049=T2049,1,0)</f>
        <v>1</v>
      </c>
      <c r="V2049" s="9">
        <f>IF(OR(M2049=0,U2049=1),0,IF(T2049="GST on Income",ROUND(K2049*0.1,2),ROUND(-K2049*0.1,2)))</f>
        <v>0</v>
      </c>
    </row>
    <row r="2050">
      <c r="A2050" t="inlineStr">
        <is>
          <t>INV-5883-1</t>
        </is>
      </c>
      <c r="B2050" t="inlineStr">
        <is>
          <t>INV-5883</t>
        </is>
      </c>
      <c r="C2050" s="11" t="n">
        <v>46141</v>
      </c>
      <c r="D2050" t="inlineStr">
        <is>
          <t>2026-04</t>
        </is>
      </c>
      <c r="E2050" t="inlineStr">
        <is>
          <t>C0055</t>
        </is>
      </c>
      <c r="F2050" t="inlineStr">
        <is>
          <t>C0055</t>
        </is>
      </c>
      <c r="G2050" t="inlineStr">
        <is>
          <t>Coastline Strata Management Pty Ltd</t>
        </is>
      </c>
      <c r="H2050" t="inlineStr">
        <is>
          <t>S0541</t>
        </is>
      </c>
      <c r="I2050" t="inlineStr">
        <is>
          <t>Make safe call-out</t>
        </is>
      </c>
      <c r="J2050" t="n">
        <v>1</v>
      </c>
      <c r="K2050" s="9" t="n">
        <v>385</v>
      </c>
      <c r="L2050" t="inlineStr">
        <is>
          <t>PAID</t>
        </is>
      </c>
      <c r="M2050">
        <f>IF(L2050="VOIDED",0,1)</f>
        <v>1</v>
      </c>
      <c r="N2050" t="n">
        <v>200</v>
      </c>
      <c r="O2050" t="inlineStr">
        <is>
          <t>GST on Income</t>
        </is>
      </c>
      <c r="P2050" t="inlineStr">
        <is>
          <t>R09</t>
        </is>
      </c>
      <c r="Q2050" t="inlineStr">
        <is>
          <t>MS</t>
        </is>
      </c>
      <c r="R2050">
        <f>IF(OR(Q2050="CONTEXT",Q2050="REVIEW"),"",INDEX('Category Rules'!$D$5:$D$17,MATCH(P2050,'Category Rules'!$A$5:$A$17,0)))</f>
        <v>4020</v>
      </c>
      <c r="S2050" t="str">
        <f>IF(Q2050="CONTEXT","Make-safe",IF(Q2050="REVIEW","",INDEX('Category Rules'!$E$5:$E$17,MATCH(P2050,'Category Rules'!$A$5:$A$17,0))))</f>
        <v>Make-safe</v>
      </c>
      <c r="T2050" t="str">
        <f>IF(Q2050="DEP","BAS Excluded","GST on Income")</f>
        <v>GST on Income</v>
      </c>
      <c r="U2050">
        <f>IF(O2050=T2050,1,0)</f>
        <v>1</v>
      </c>
      <c r="V2050" s="9">
        <f>IF(OR(M2050=0,U2050=1),0,IF(T2050="GST on Income",ROUND(K2050*0.1,2),ROUND(-K2050*0.1,2)))</f>
        <v>0</v>
      </c>
    </row>
    <row r="2051">
      <c r="A2051" t="inlineStr">
        <is>
          <t>INV-5883-2</t>
        </is>
      </c>
      <c r="B2051" t="inlineStr">
        <is>
          <t>INV-5883</t>
        </is>
      </c>
      <c r="C2051" s="11" t="n">
        <v>46141</v>
      </c>
      <c r="D2051" t="inlineStr">
        <is>
          <t>2026-04</t>
        </is>
      </c>
      <c r="E2051" t="inlineStr">
        <is>
          <t>C0055</t>
        </is>
      </c>
      <c r="F2051" t="inlineStr">
        <is>
          <t>C0055</t>
        </is>
      </c>
      <c r="G2051" t="inlineStr">
        <is>
          <t>Coastline Strata Management Pty Ltd</t>
        </is>
      </c>
      <c r="H2051" t="inlineStr">
        <is>
          <t>S0541</t>
        </is>
      </c>
      <c r="I2051" t="inlineStr">
        <is>
          <t>Tarp supply and install - 3 tarp(s)</t>
        </is>
      </c>
      <c r="J2051" t="n">
        <v>3</v>
      </c>
      <c r="K2051" s="9" t="n">
        <v>720</v>
      </c>
      <c r="L2051" t="inlineStr">
        <is>
          <t>PAID</t>
        </is>
      </c>
      <c r="M2051">
        <f>IF(L2051="VOIDED",0,1)</f>
        <v>1</v>
      </c>
      <c r="N2051" t="n">
        <v>200</v>
      </c>
      <c r="O2051" t="inlineStr">
        <is>
          <t>GST on Income</t>
        </is>
      </c>
      <c r="P2051" t="inlineStr">
        <is>
          <t>R09</t>
        </is>
      </c>
      <c r="Q2051" t="inlineStr">
        <is>
          <t>MS</t>
        </is>
      </c>
      <c r="R2051">
        <f>IF(OR(Q2051="CONTEXT",Q2051="REVIEW"),"",INDEX('Category Rules'!$D$5:$D$17,MATCH(P2051,'Category Rules'!$A$5:$A$17,0)))</f>
        <v>4020</v>
      </c>
      <c r="S2051" t="str">
        <f>IF(Q2051="CONTEXT","Make-safe",IF(Q2051="REVIEW","",INDEX('Category Rules'!$E$5:$E$17,MATCH(P2051,'Category Rules'!$A$5:$A$17,0))))</f>
        <v>Make-safe</v>
      </c>
      <c r="T2051" t="str">
        <f>IF(Q2051="DEP","BAS Excluded","GST on Income")</f>
        <v>GST on Income</v>
      </c>
      <c r="U2051">
        <f>IF(O2051=T2051,1,0)</f>
        <v>1</v>
      </c>
      <c r="V2051" s="9">
        <f>IF(OR(M2051=0,U2051=1),0,IF(T2051="GST on Income",ROUND(K2051*0.1,2),ROUND(-K2051*0.1,2)))</f>
        <v>0</v>
      </c>
    </row>
    <row r="2052">
      <c r="A2052" t="inlineStr">
        <is>
          <t>INV-4356-1</t>
        </is>
      </c>
      <c r="B2052" t="inlineStr">
        <is>
          <t>INV-4356</t>
        </is>
      </c>
      <c r="C2052" s="11" t="n">
        <v>46142</v>
      </c>
      <c r="D2052" t="inlineStr">
        <is>
          <t>2026-04</t>
        </is>
      </c>
      <c r="E2052" t="inlineStr">
        <is>
          <t>C0001</t>
        </is>
      </c>
      <c r="F2052" t="inlineStr">
        <is>
          <t>C0001</t>
        </is>
      </c>
      <c r="G2052" t="inlineStr">
        <is>
          <t>Parkview Projects Pty Ltd</t>
        </is>
      </c>
      <c r="H2052" t="inlineStr">
        <is>
          <t>S0053</t>
        </is>
      </c>
      <c r="I2052" t="inlineStr">
        <is>
          <t>Temporary fence hire 4 wks (02/04/26-29/04/26) - 143 panels</t>
        </is>
      </c>
      <c r="J2052" t="n">
        <v>572</v>
      </c>
      <c r="K2052" s="9" t="n">
        <v>2574</v>
      </c>
      <c r="L2052" t="inlineStr">
        <is>
          <t>PAID</t>
        </is>
      </c>
      <c r="M2052">
        <f>IF(L2052="VOIDED",0,1)</f>
        <v>1</v>
      </c>
      <c r="N2052" t="n">
        <v>200</v>
      </c>
      <c r="O2052" t="inlineStr">
        <is>
          <t>GST on Income</t>
        </is>
      </c>
      <c r="P2052" t="inlineStr">
        <is>
          <t>R03</t>
        </is>
      </c>
      <c r="Q2052" t="inlineStr">
        <is>
          <t>HIRE-FP</t>
        </is>
      </c>
      <c r="R2052">
        <f>IF(OR(Q2052="CONTEXT",Q2052="REVIEW"),"",INDEX('Category Rules'!$D$5:$D$17,MATCH(P2052,'Category Rules'!$A$5:$A$17,0)))</f>
        <v>4010</v>
      </c>
      <c r="S2052" t="str">
        <f>IF(Q2052="CONTEXT","Fencing",IF(Q2052="REVIEW","",INDEX('Category Rules'!$E$5:$E$17,MATCH(P2052,'Category Rules'!$A$5:$A$17,0))))</f>
        <v>Fencing</v>
      </c>
      <c r="T2052" t="str">
        <f>IF(Q2052="DEP","BAS Excluded","GST on Income")</f>
        <v>GST on Income</v>
      </c>
      <c r="U2052">
        <f>IF(O2052=T2052,1,0)</f>
        <v>1</v>
      </c>
      <c r="V2052" s="9">
        <f>IF(OR(M2052=0,U2052=1),0,IF(T2052="GST on Income",ROUND(K2052*0.1,2),ROUND(-K2052*0.1,2)))</f>
        <v>0</v>
      </c>
    </row>
    <row r="2053">
      <c r="A2053" t="inlineStr">
        <is>
          <t>INV-4559-1</t>
        </is>
      </c>
      <c r="B2053" t="inlineStr">
        <is>
          <t>INV-4559</t>
        </is>
      </c>
      <c r="C2053" s="11" t="n">
        <v>46142</v>
      </c>
      <c r="D2053" t="inlineStr">
        <is>
          <t>2026-04</t>
        </is>
      </c>
      <c r="E2053" t="inlineStr">
        <is>
          <t>C0028</t>
        </is>
      </c>
      <c r="F2053" t="inlineStr">
        <is>
          <t>C0028</t>
        </is>
      </c>
      <c r="G2053" t="inlineStr">
        <is>
          <t>Banksia Homes</t>
        </is>
      </c>
      <c r="H2053" t="inlineStr">
        <is>
          <t>S0092</t>
        </is>
      </c>
      <c r="I2053" t="inlineStr">
        <is>
          <t>Temporary fence hire 4 wks (02/04/26-29/04/26) - 104 panels</t>
        </is>
      </c>
      <c r="J2053" t="n">
        <v>416</v>
      </c>
      <c r="K2053" s="9" t="n">
        <v>1872</v>
      </c>
      <c r="L2053" t="inlineStr">
        <is>
          <t>PAID</t>
        </is>
      </c>
      <c r="M2053">
        <f>IF(L2053="VOIDED",0,1)</f>
        <v>1</v>
      </c>
      <c r="N2053" t="n">
        <v>200</v>
      </c>
      <c r="O2053" t="inlineStr">
        <is>
          <t>GST on Income</t>
        </is>
      </c>
      <c r="P2053" t="inlineStr">
        <is>
          <t>R03</t>
        </is>
      </c>
      <c r="Q2053" t="inlineStr">
        <is>
          <t>HIRE-FP</t>
        </is>
      </c>
      <c r="R2053">
        <f>IF(OR(Q2053="CONTEXT",Q2053="REVIEW"),"",INDEX('Category Rules'!$D$5:$D$17,MATCH(P2053,'Category Rules'!$A$5:$A$17,0)))</f>
        <v>4010</v>
      </c>
      <c r="S2053" t="str">
        <f>IF(Q2053="CONTEXT","Fencing",IF(Q2053="REVIEW","",INDEX('Category Rules'!$E$5:$E$17,MATCH(P2053,'Category Rules'!$A$5:$A$17,0))))</f>
        <v>Fencing</v>
      </c>
      <c r="T2053" t="str">
        <f>IF(Q2053="DEP","BAS Excluded","GST on Income")</f>
        <v>GST on Income</v>
      </c>
      <c r="U2053">
        <f>IF(O2053=T2053,1,0)</f>
        <v>1</v>
      </c>
      <c r="V2053" s="9">
        <f>IF(OR(M2053=0,U2053=1),0,IF(T2053="GST on Income",ROUND(K2053*0.1,2),ROUND(-K2053*0.1,2)))</f>
        <v>0</v>
      </c>
    </row>
    <row r="2054">
      <c r="A2054" t="inlineStr">
        <is>
          <t>INV-5423-1</t>
        </is>
      </c>
      <c r="B2054" t="inlineStr">
        <is>
          <t>INV-5423</t>
        </is>
      </c>
      <c r="C2054" s="11" t="n">
        <v>46142</v>
      </c>
      <c r="D2054" t="inlineStr">
        <is>
          <t>2026-04</t>
        </is>
      </c>
      <c r="E2054" t="inlineStr">
        <is>
          <t>C0134</t>
        </is>
      </c>
      <c r="F2054" t="inlineStr">
        <is>
          <t>C0113</t>
        </is>
      </c>
      <c r="G2054" t="inlineStr">
        <is>
          <t>Isla Brown</t>
        </is>
      </c>
      <c r="H2054" t="inlineStr">
        <is>
          <t>S0290</t>
        </is>
      </c>
      <c r="I2054" t="inlineStr">
        <is>
          <t>Scaffold tower hire 4 wks (02/04/26-29/04/26) - 4 towers</t>
        </is>
      </c>
      <c r="J2054" t="n">
        <v>16</v>
      </c>
      <c r="K2054" s="9" t="n">
        <v>1520</v>
      </c>
      <c r="L2054" t="inlineStr">
        <is>
          <t>PAID</t>
        </is>
      </c>
      <c r="M2054">
        <f>IF(L2054="VOIDED",0,1)</f>
        <v>1</v>
      </c>
      <c r="N2054" t="n">
        <v>200</v>
      </c>
      <c r="O2054" t="inlineStr">
        <is>
          <t>GST on Income</t>
        </is>
      </c>
      <c r="P2054" t="inlineStr">
        <is>
          <t>R05</t>
        </is>
      </c>
      <c r="Q2054" t="inlineStr">
        <is>
          <t>HIRE-ST</t>
        </is>
      </c>
      <c r="R2054">
        <f>IF(OR(Q2054="CONTEXT",Q2054="REVIEW"),"",INDEX('Category Rules'!$D$5:$D$17,MATCH(P2054,'Category Rules'!$A$5:$A$17,0)))</f>
        <v>4010</v>
      </c>
      <c r="S2054" t="str">
        <f>IF(Q2054="CONTEXT","Scaffolding",IF(Q2054="REVIEW","",INDEX('Category Rules'!$E$5:$E$17,MATCH(P2054,'Category Rules'!$A$5:$A$17,0))))</f>
        <v>Scaffolding</v>
      </c>
      <c r="T2054" t="str">
        <f>IF(Q2054="DEP","BAS Excluded","GST on Income")</f>
        <v>GST on Income</v>
      </c>
      <c r="U2054">
        <f>IF(O2054=T2054,1,0)</f>
        <v>1</v>
      </c>
      <c r="V2054" s="9">
        <f>IF(OR(M2054=0,U2054=1),0,IF(T2054="GST on Income",ROUND(K2054*0.1,2),ROUND(-K2054*0.1,2)))</f>
        <v>0</v>
      </c>
    </row>
    <row r="2055">
      <c r="A2055" t="inlineStr">
        <is>
          <t>INV-5445-1</t>
        </is>
      </c>
      <c r="B2055" t="inlineStr">
        <is>
          <t>INV-5445</t>
        </is>
      </c>
      <c r="C2055" s="11" t="n">
        <v>46142</v>
      </c>
      <c r="D2055" t="inlineStr">
        <is>
          <t>2026-04</t>
        </is>
      </c>
      <c r="E2055" t="inlineStr">
        <is>
          <t>C0024</t>
        </is>
      </c>
      <c r="F2055" t="inlineStr">
        <is>
          <t>C0024</t>
        </is>
      </c>
      <c r="G2055" t="inlineStr">
        <is>
          <t>Parkview Homes Pty Ltd</t>
        </is>
      </c>
      <c r="H2055" t="inlineStr">
        <is>
          <t>S0296</t>
        </is>
      </c>
      <c r="I2055" t="inlineStr">
        <is>
          <t>Scaffold tower hire 1 wks (29/04/26-29/04/26) - 2 towers</t>
        </is>
      </c>
      <c r="J2055" t="n">
        <v>2</v>
      </c>
      <c r="K2055" s="9" t="n">
        <v>190</v>
      </c>
      <c r="L2055" t="inlineStr">
        <is>
          <t>PAID</t>
        </is>
      </c>
      <c r="M2055">
        <f>IF(L2055="VOIDED",0,1)</f>
        <v>1</v>
      </c>
      <c r="N2055" t="n">
        <v>200</v>
      </c>
      <c r="O2055" t="inlineStr">
        <is>
          <t>GST on Income</t>
        </is>
      </c>
      <c r="P2055" t="inlineStr">
        <is>
          <t>R05</t>
        </is>
      </c>
      <c r="Q2055" t="inlineStr">
        <is>
          <t>HIRE-ST</t>
        </is>
      </c>
      <c r="R2055">
        <f>IF(OR(Q2055="CONTEXT",Q2055="REVIEW"),"",INDEX('Category Rules'!$D$5:$D$17,MATCH(P2055,'Category Rules'!$A$5:$A$17,0)))</f>
        <v>4010</v>
      </c>
      <c r="S2055" t="str">
        <f>IF(Q2055="CONTEXT","Scaffolding",IF(Q2055="REVIEW","",INDEX('Category Rules'!$E$5:$E$17,MATCH(P2055,'Category Rules'!$A$5:$A$17,0))))</f>
        <v>Scaffolding</v>
      </c>
      <c r="T2055" t="str">
        <f>IF(Q2055="DEP","BAS Excluded","GST on Income")</f>
        <v>GST on Income</v>
      </c>
      <c r="U2055">
        <f>IF(O2055=T2055,1,0)</f>
        <v>1</v>
      </c>
      <c r="V2055" s="9">
        <f>IF(OR(M2055=0,U2055=1),0,IF(T2055="GST on Income",ROUND(K2055*0.1,2),ROUND(-K2055*0.1,2)))</f>
        <v>0</v>
      </c>
    </row>
    <row r="2056">
      <c r="A2056" t="inlineStr">
        <is>
          <t>INV-5447-1</t>
        </is>
      </c>
      <c r="B2056" t="inlineStr">
        <is>
          <t>INV-5447</t>
        </is>
      </c>
      <c r="C2056" s="11" t="n">
        <v>46142</v>
      </c>
      <c r="D2056" t="inlineStr">
        <is>
          <t>2026-04</t>
        </is>
      </c>
      <c r="E2056" t="inlineStr">
        <is>
          <t>C0024</t>
        </is>
      </c>
      <c r="F2056" t="inlineStr">
        <is>
          <t>C0024</t>
        </is>
      </c>
      <c r="G2056" t="inlineStr">
        <is>
          <t>Parkview Homes Pty Ltd</t>
        </is>
      </c>
      <c r="H2056" t="inlineStr">
        <is>
          <t>S0296</t>
        </is>
      </c>
      <c r="I2056" t="inlineStr">
        <is>
          <t>Scaffold dismantle - 2 tower(s)</t>
        </is>
      </c>
      <c r="J2056" t="n">
        <v>2</v>
      </c>
      <c r="K2056" s="9" t="n">
        <v>640</v>
      </c>
      <c r="L2056" t="inlineStr">
        <is>
          <t>PAID</t>
        </is>
      </c>
      <c r="M2056">
        <f>IF(L2056="VOIDED",0,1)</f>
        <v>1</v>
      </c>
      <c r="N2056" t="n">
        <v>200</v>
      </c>
      <c r="O2056" t="inlineStr">
        <is>
          <t>GST on Income</t>
        </is>
      </c>
      <c r="P2056" t="inlineStr">
        <is>
          <t>R08</t>
        </is>
      </c>
      <c r="Q2056" t="inlineStr">
        <is>
          <t>LAB-ST</t>
        </is>
      </c>
      <c r="R2056">
        <f>IF(OR(Q2056="CONTEXT",Q2056="REVIEW"),"",INDEX('Category Rules'!$D$5:$D$17,MATCH(P2056,'Category Rules'!$A$5:$A$17,0)))</f>
        <v>4020</v>
      </c>
      <c r="S2056" t="str">
        <f>IF(Q2056="CONTEXT","Scaffolding",IF(Q2056="REVIEW","",INDEX('Category Rules'!$E$5:$E$17,MATCH(P2056,'Category Rules'!$A$5:$A$17,0))))</f>
        <v>Scaffolding</v>
      </c>
      <c r="T2056" t="str">
        <f>IF(Q2056="DEP","BAS Excluded","GST on Income")</f>
        <v>GST on Income</v>
      </c>
      <c r="U2056">
        <f>IF(O2056=T2056,1,0)</f>
        <v>1</v>
      </c>
      <c r="V2056" s="9">
        <f>IF(OR(M2056=0,U2056=1),0,IF(T2056="GST on Income",ROUND(K2056*0.1,2),ROUND(-K2056*0.1,2)))</f>
        <v>0</v>
      </c>
    </row>
    <row r="2057">
      <c r="A2057" t="inlineStr">
        <is>
          <t>INV-5642-1</t>
        </is>
      </c>
      <c r="B2057" t="inlineStr">
        <is>
          <t>INV-5642</t>
        </is>
      </c>
      <c r="C2057" s="11" t="n">
        <v>46142</v>
      </c>
      <c r="D2057" t="inlineStr">
        <is>
          <t>2026-04</t>
        </is>
      </c>
      <c r="E2057" t="inlineStr">
        <is>
          <t>C0091</t>
        </is>
      </c>
      <c r="F2057" t="inlineStr">
        <is>
          <t>C0091</t>
        </is>
      </c>
      <c r="G2057" t="inlineStr">
        <is>
          <t>Zoe Martin</t>
        </is>
      </c>
      <c r="H2057" t="inlineStr">
        <is>
          <t>S0403</t>
        </is>
      </c>
      <c r="I2057" t="inlineStr">
        <is>
          <t>Tarp kit hire 4 wks (02/04/26-29/04/26) - 2 kits</t>
        </is>
      </c>
      <c r="J2057" t="n">
        <v>8</v>
      </c>
      <c r="K2057" s="9" t="n">
        <v>280</v>
      </c>
      <c r="L2057" t="inlineStr">
        <is>
          <t>PAID</t>
        </is>
      </c>
      <c r="M2057">
        <f>IF(L2057="VOIDED",0,1)</f>
        <v>1</v>
      </c>
      <c r="N2057" t="n">
        <v>200</v>
      </c>
      <c r="O2057" t="inlineStr">
        <is>
          <t>GST on Income</t>
        </is>
      </c>
      <c r="P2057" t="inlineStr">
        <is>
          <t>R06</t>
        </is>
      </c>
      <c r="Q2057" t="inlineStr">
        <is>
          <t>HIRE-TK</t>
        </is>
      </c>
      <c r="R2057">
        <f>IF(OR(Q2057="CONTEXT",Q2057="REVIEW"),"",INDEX('Category Rules'!$D$5:$D$17,MATCH(P2057,'Category Rules'!$A$5:$A$17,0)))</f>
        <v>4010</v>
      </c>
      <c r="S2057" t="str">
        <f>IF(Q2057="CONTEXT","Make-safe",IF(Q2057="REVIEW","",INDEX('Category Rules'!$E$5:$E$17,MATCH(P2057,'Category Rules'!$A$5:$A$17,0))))</f>
        <v>Make-safe</v>
      </c>
      <c r="T2057" t="str">
        <f>IF(Q2057="DEP","BAS Excluded","GST on Income")</f>
        <v>GST on Income</v>
      </c>
      <c r="U2057">
        <f>IF(O2057=T2057,1,0)</f>
        <v>1</v>
      </c>
      <c r="V2057" s="9">
        <f>IF(OR(M2057=0,U2057=1),0,IF(T2057="GST on Income",ROUND(K2057*0.1,2),ROUND(-K2057*0.1,2)))</f>
        <v>0</v>
      </c>
    </row>
    <row r="2058">
      <c r="A2058" t="inlineStr">
        <is>
          <t>INV-5768-1</t>
        </is>
      </c>
      <c r="B2058" t="inlineStr">
        <is>
          <t>INV-5768</t>
        </is>
      </c>
      <c r="C2058" s="11" t="n">
        <v>46142</v>
      </c>
      <c r="D2058" t="inlineStr">
        <is>
          <t>2026-04</t>
        </is>
      </c>
      <c r="E2058" t="inlineStr">
        <is>
          <t>C0044</t>
        </is>
      </c>
      <c r="F2058" t="inlineStr">
        <is>
          <t>C0044</t>
        </is>
      </c>
      <c r="G2058" t="inlineStr">
        <is>
          <t>Granite Constructions</t>
        </is>
      </c>
      <c r="H2058" t="inlineStr">
        <is>
          <t>S0471</t>
        </is>
      </c>
      <c r="I2058" t="inlineStr">
        <is>
          <t>Emergency make safe call-out - after hours</t>
        </is>
      </c>
      <c r="J2058" t="n">
        <v>1</v>
      </c>
      <c r="K2058" s="9" t="n">
        <v>560</v>
      </c>
      <c r="L2058" t="inlineStr">
        <is>
          <t>PAID</t>
        </is>
      </c>
      <c r="M2058">
        <f>IF(L2058="VOIDED",0,1)</f>
        <v>1</v>
      </c>
      <c r="N2058" t="n">
        <v>200</v>
      </c>
      <c r="O2058" t="inlineStr">
        <is>
          <t>GST on Income</t>
        </is>
      </c>
      <c r="P2058" t="inlineStr">
        <is>
          <t>R09</t>
        </is>
      </c>
      <c r="Q2058" t="inlineStr">
        <is>
          <t>MS</t>
        </is>
      </c>
      <c r="R2058">
        <f>IF(OR(Q2058="CONTEXT",Q2058="REVIEW"),"",INDEX('Category Rules'!$D$5:$D$17,MATCH(P2058,'Category Rules'!$A$5:$A$17,0)))</f>
        <v>4020</v>
      </c>
      <c r="S2058" t="str">
        <f>IF(Q2058="CONTEXT","Make-safe",IF(Q2058="REVIEW","",INDEX('Category Rules'!$E$5:$E$17,MATCH(P2058,'Category Rules'!$A$5:$A$17,0))))</f>
        <v>Make-safe</v>
      </c>
      <c r="T2058" t="str">
        <f>IF(Q2058="DEP","BAS Excluded","GST on Income")</f>
        <v>GST on Income</v>
      </c>
      <c r="U2058">
        <f>IF(O2058=T2058,1,0)</f>
        <v>1</v>
      </c>
      <c r="V2058" s="9">
        <f>IF(OR(M2058=0,U2058=1),0,IF(T2058="GST on Income",ROUND(K2058*0.1,2),ROUND(-K2058*0.1,2)))</f>
        <v>0</v>
      </c>
    </row>
    <row r="2059">
      <c r="A2059" t="inlineStr">
        <is>
          <t>INV-5833-1</t>
        </is>
      </c>
      <c r="B2059" t="inlineStr">
        <is>
          <t>INV-5833</t>
        </is>
      </c>
      <c r="C2059" s="11" t="n">
        <v>46142</v>
      </c>
      <c r="D2059" t="inlineStr">
        <is>
          <t>2026-04</t>
        </is>
      </c>
      <c r="E2059" t="inlineStr">
        <is>
          <t>C0126</t>
        </is>
      </c>
      <c r="F2059" t="inlineStr">
        <is>
          <t>C0058</t>
        </is>
      </c>
      <c r="G2059" t="inlineStr">
        <is>
          <t>Summit Body Corporate Pty Ltd</t>
        </is>
      </c>
      <c r="H2059" t="inlineStr">
        <is>
          <t>S0509</t>
        </is>
      </c>
      <c r="I2059" t="inlineStr">
        <is>
          <t>Roof repair labour - 16 hrs</t>
        </is>
      </c>
      <c r="J2059" t="n">
        <v>16</v>
      </c>
      <c r="K2059" s="9" t="n">
        <v>1568</v>
      </c>
      <c r="L2059" t="inlineStr">
        <is>
          <t>PAID</t>
        </is>
      </c>
      <c r="M2059">
        <f>IF(L2059="VOIDED",0,1)</f>
        <v>1</v>
      </c>
      <c r="N2059" t="n">
        <v>200</v>
      </c>
      <c r="O2059" t="inlineStr">
        <is>
          <t>GST on Income</t>
        </is>
      </c>
      <c r="P2059" t="inlineStr">
        <is>
          <t>R10</t>
        </is>
      </c>
      <c r="Q2059" t="inlineStr">
        <is>
          <t>LAB-RF</t>
        </is>
      </c>
      <c r="R2059">
        <f>IF(OR(Q2059="CONTEXT",Q2059="REVIEW"),"",INDEX('Category Rules'!$D$5:$D$17,MATCH(P2059,'Category Rules'!$A$5:$A$17,0)))</f>
        <v>4020</v>
      </c>
      <c r="S2059" t="str">
        <f>IF(Q2059="CONTEXT","Roofing",IF(Q2059="REVIEW","",INDEX('Category Rules'!$E$5:$E$17,MATCH(P2059,'Category Rules'!$A$5:$A$17,0))))</f>
        <v>Roofing</v>
      </c>
      <c r="T2059" t="str">
        <f>IF(Q2059="DEP","BAS Excluded","GST on Income")</f>
        <v>GST on Income</v>
      </c>
      <c r="U2059">
        <f>IF(O2059=T2059,1,0)</f>
        <v>1</v>
      </c>
      <c r="V2059" s="9">
        <f>IF(OR(M2059=0,U2059=1),0,IF(T2059="GST on Income",ROUND(K2059*0.1,2),ROUND(-K2059*0.1,2)))</f>
        <v>0</v>
      </c>
    </row>
    <row r="2060">
      <c r="A2060" t="inlineStr">
        <is>
          <t>INV-5833-2</t>
        </is>
      </c>
      <c r="B2060" t="inlineStr">
        <is>
          <t>INV-5833</t>
        </is>
      </c>
      <c r="C2060" s="11" t="n">
        <v>46142</v>
      </c>
      <c r="D2060" t="inlineStr">
        <is>
          <t>2026-04</t>
        </is>
      </c>
      <c r="E2060" t="inlineStr">
        <is>
          <t>C0126</t>
        </is>
      </c>
      <c r="F2060" t="inlineStr">
        <is>
          <t>C0058</t>
        </is>
      </c>
      <c r="G2060" t="inlineStr">
        <is>
          <t>Summit Body Corporate Pty Ltd</t>
        </is>
      </c>
      <c r="H2060" t="inlineStr">
        <is>
          <t>S0509</t>
        </is>
      </c>
      <c r="I2060" t="inlineStr">
        <is>
          <t>Materials - sealant and fixings</t>
        </is>
      </c>
      <c r="J2060" t="n">
        <v>1</v>
      </c>
      <c r="K2060" s="9" t="n">
        <v>528.24</v>
      </c>
      <c r="L2060" t="inlineStr">
        <is>
          <t>PAID</t>
        </is>
      </c>
      <c r="M2060">
        <f>IF(L2060="VOIDED",0,1)</f>
        <v>1</v>
      </c>
      <c r="N2060" t="n">
        <v>200</v>
      </c>
      <c r="O2060" t="inlineStr">
        <is>
          <t>GST on Income</t>
        </is>
      </c>
      <c r="P2060" t="inlineStr">
        <is>
          <t>R11</t>
        </is>
      </c>
      <c r="Q2060" t="inlineStr">
        <is>
          <t>MAT-RF</t>
        </is>
      </c>
      <c r="R2060">
        <f>IF(OR(Q2060="CONTEXT",Q2060="REVIEW"),"",INDEX('Category Rules'!$D$5:$D$17,MATCH(P2060,'Category Rules'!$A$5:$A$17,0)))</f>
        <v>4030</v>
      </c>
      <c r="S2060" t="str">
        <f>IF(Q2060="CONTEXT","Roofing",IF(Q2060="REVIEW","",INDEX('Category Rules'!$E$5:$E$17,MATCH(P2060,'Category Rules'!$A$5:$A$17,0))))</f>
        <v>Roofing</v>
      </c>
      <c r="T2060" t="str">
        <f>IF(Q2060="DEP","BAS Excluded","GST on Income")</f>
        <v>GST on Income</v>
      </c>
      <c r="U2060">
        <f>IF(O2060=T2060,1,0)</f>
        <v>1</v>
      </c>
      <c r="V2060" s="9">
        <f>IF(OR(M2060=0,U2060=1),0,IF(T2060="GST on Income",ROUND(K2060*0.1,2),ROUND(-K2060*0.1,2)))</f>
        <v>0</v>
      </c>
    </row>
    <row r="2061">
      <c r="A2061" t="inlineStr">
        <is>
          <t>INV-4347-1</t>
        </is>
      </c>
      <c r="B2061" t="inlineStr">
        <is>
          <t>INV-4347</t>
        </is>
      </c>
      <c r="C2061" s="11" t="n">
        <v>46143</v>
      </c>
      <c r="D2061" t="inlineStr">
        <is>
          <t>2026-05</t>
        </is>
      </c>
      <c r="E2061" t="inlineStr">
        <is>
          <t>C0043</t>
        </is>
      </c>
      <c r="F2061" t="inlineStr">
        <is>
          <t>C0043</t>
        </is>
      </c>
      <c r="G2061" t="inlineStr">
        <is>
          <t>Banksia Projects Pty Ltd</t>
        </is>
      </c>
      <c r="H2061" t="inlineStr">
        <is>
          <t>S0052</t>
        </is>
      </c>
      <c r="I2061" t="inlineStr">
        <is>
          <t>Temporary fence hire 4 wks (03/04/26-30/04/26) - 107 panels</t>
        </is>
      </c>
      <c r="J2061" t="n">
        <v>428</v>
      </c>
      <c r="K2061" s="9" t="n">
        <v>1926</v>
      </c>
      <c r="L2061" t="inlineStr">
        <is>
          <t>PAID</t>
        </is>
      </c>
      <c r="M2061">
        <f>IF(L2061="VOIDED",0,1)</f>
        <v>1</v>
      </c>
      <c r="N2061" t="n">
        <v>200</v>
      </c>
      <c r="O2061" t="inlineStr">
        <is>
          <t>GST on Income</t>
        </is>
      </c>
      <c r="P2061" t="inlineStr">
        <is>
          <t>R03</t>
        </is>
      </c>
      <c r="Q2061" t="inlineStr">
        <is>
          <t>HIRE-FP</t>
        </is>
      </c>
      <c r="R2061">
        <f>IF(OR(Q2061="CONTEXT",Q2061="REVIEW"),"",INDEX('Category Rules'!$D$5:$D$17,MATCH(P2061,'Category Rules'!$A$5:$A$17,0)))</f>
        <v>4010</v>
      </c>
      <c r="S2061" t="str">
        <f>IF(Q2061="CONTEXT","Fencing",IF(Q2061="REVIEW","",INDEX('Category Rules'!$E$5:$E$17,MATCH(P2061,'Category Rules'!$A$5:$A$17,0))))</f>
        <v>Fencing</v>
      </c>
      <c r="T2061" t="str">
        <f>IF(Q2061="DEP","BAS Excluded","GST on Income")</f>
        <v>GST on Income</v>
      </c>
      <c r="U2061">
        <f>IF(O2061=T2061,1,0)</f>
        <v>1</v>
      </c>
      <c r="V2061" s="9">
        <f>IF(OR(M2061=0,U2061=1),0,IF(T2061="GST on Income",ROUND(K2061*0.1,2),ROUND(-K2061*0.1,2)))</f>
        <v>0</v>
      </c>
    </row>
    <row r="2062">
      <c r="A2062" t="inlineStr">
        <is>
          <t>INV-4462-1</t>
        </is>
      </c>
      <c r="B2062" t="inlineStr">
        <is>
          <t>INV-4462</t>
        </is>
      </c>
      <c r="C2062" s="11" t="n">
        <v>46143</v>
      </c>
      <c r="D2062" t="inlineStr">
        <is>
          <t>2026-05</t>
        </is>
      </c>
      <c r="E2062" t="inlineStr">
        <is>
          <t>C0018</t>
        </is>
      </c>
      <c r="F2062" t="inlineStr">
        <is>
          <t>C0018</t>
        </is>
      </c>
      <c r="G2062" t="inlineStr">
        <is>
          <t>Wattle Constructions Pty Ltd</t>
        </is>
      </c>
      <c r="H2062" t="inlineStr">
        <is>
          <t>S0073</t>
        </is>
      </c>
      <c r="I2062" t="inlineStr">
        <is>
          <t>Delivery and installation - temporary fencing</t>
        </is>
      </c>
      <c r="J2062" t="n">
        <v>1</v>
      </c>
      <c r="K2062" s="9" t="n">
        <v>165</v>
      </c>
      <c r="L2062" t="inlineStr">
        <is>
          <t>PAID</t>
        </is>
      </c>
      <c r="M2062">
        <f>IF(L2062="VOIDED",0,1)</f>
        <v>1</v>
      </c>
      <c r="N2062" t="n">
        <v>200</v>
      </c>
      <c r="O2062" t="inlineStr">
        <is>
          <t>GST on Income</t>
        </is>
      </c>
      <c r="P2062" t="inlineStr">
        <is>
          <t>R07</t>
        </is>
      </c>
      <c r="Q2062" t="inlineStr">
        <is>
          <t>DEL-FP</t>
        </is>
      </c>
      <c r="R2062">
        <f>IF(OR(Q2062="CONTEXT",Q2062="REVIEW"),"",INDEX('Category Rules'!$D$5:$D$17,MATCH(P2062,'Category Rules'!$A$5:$A$17,0)))</f>
        <v>4020</v>
      </c>
      <c r="S2062" t="str">
        <f>IF(Q2062="CONTEXT","Fencing",IF(Q2062="REVIEW","",INDEX('Category Rules'!$E$5:$E$17,MATCH(P2062,'Category Rules'!$A$5:$A$17,0))))</f>
        <v>Fencing</v>
      </c>
      <c r="T2062" t="str">
        <f>IF(Q2062="DEP","BAS Excluded","GST on Income")</f>
        <v>GST on Income</v>
      </c>
      <c r="U2062">
        <f>IF(O2062=T2062,1,0)</f>
        <v>1</v>
      </c>
      <c r="V2062" s="9">
        <f>IF(OR(M2062=0,U2062=1),0,IF(T2062="GST on Income",ROUND(K2062*0.1,2),ROUND(-K2062*0.1,2)))</f>
        <v>0</v>
      </c>
    </row>
    <row r="2063">
      <c r="A2063" t="inlineStr">
        <is>
          <t>INV-4462-2</t>
        </is>
      </c>
      <c r="B2063" t="inlineStr">
        <is>
          <t>INV-4462</t>
        </is>
      </c>
      <c r="C2063" s="11" t="n">
        <v>46143</v>
      </c>
      <c r="D2063" t="inlineStr">
        <is>
          <t>2026-05</t>
        </is>
      </c>
      <c r="E2063" t="inlineStr">
        <is>
          <t>C0018</t>
        </is>
      </c>
      <c r="F2063" t="inlineStr">
        <is>
          <t>C0018</t>
        </is>
      </c>
      <c r="G2063" t="inlineStr">
        <is>
          <t>Wattle Constructions Pty Ltd</t>
        </is>
      </c>
      <c r="H2063" t="inlineStr">
        <is>
          <t>S0073</t>
        </is>
      </c>
      <c r="I2063" t="inlineStr">
        <is>
          <t>Installation labour - 70 panels @ 2.20</t>
        </is>
      </c>
      <c r="J2063" t="n">
        <v>70</v>
      </c>
      <c r="K2063" s="9" t="n">
        <v>154</v>
      </c>
      <c r="L2063" t="inlineStr">
        <is>
          <t>PAID</t>
        </is>
      </c>
      <c r="M2063">
        <f>IF(L2063="VOIDED",0,1)</f>
        <v>1</v>
      </c>
      <c r="N2063" t="n">
        <v>200</v>
      </c>
      <c r="O2063" t="inlineStr">
        <is>
          <t>GST on Income</t>
        </is>
      </c>
      <c r="P2063" t="inlineStr">
        <is>
          <t>R07</t>
        </is>
      </c>
      <c r="Q2063" t="inlineStr">
        <is>
          <t>DEL-FP</t>
        </is>
      </c>
      <c r="R2063">
        <f>IF(OR(Q2063="CONTEXT",Q2063="REVIEW"),"",INDEX('Category Rules'!$D$5:$D$17,MATCH(P2063,'Category Rules'!$A$5:$A$17,0)))</f>
        <v>4020</v>
      </c>
      <c r="S2063" t="str">
        <f>IF(Q2063="CONTEXT","Fencing",IF(Q2063="REVIEW","",INDEX('Category Rules'!$E$5:$E$17,MATCH(P2063,'Category Rules'!$A$5:$A$17,0))))</f>
        <v>Fencing</v>
      </c>
      <c r="T2063" t="str">
        <f>IF(Q2063="DEP","BAS Excluded","GST on Income")</f>
        <v>GST on Income</v>
      </c>
      <c r="U2063">
        <f>IF(O2063=T2063,1,0)</f>
        <v>1</v>
      </c>
      <c r="V2063" s="9">
        <f>IF(OR(M2063=0,U2063=1),0,IF(T2063="GST on Income",ROUND(K2063*0.1,2),ROUND(-K2063*0.1,2)))</f>
        <v>0</v>
      </c>
    </row>
    <row r="2064">
      <c r="A2064" t="inlineStr">
        <is>
          <t>INV-4649-1</t>
        </is>
      </c>
      <c r="B2064" t="inlineStr">
        <is>
          <t>INV-4649</t>
        </is>
      </c>
      <c r="C2064" s="11" t="n">
        <v>46143</v>
      </c>
      <c r="D2064" t="inlineStr">
        <is>
          <t>2026-05</t>
        </is>
      </c>
      <c r="E2064" t="inlineStr">
        <is>
          <t>C0040</t>
        </is>
      </c>
      <c r="F2064" t="inlineStr">
        <is>
          <t>C0040</t>
        </is>
      </c>
      <c r="G2064" t="inlineStr">
        <is>
          <t>Coastline Projects Pty Ltd</t>
        </is>
      </c>
      <c r="H2064" t="inlineStr">
        <is>
          <t>S0111</t>
        </is>
      </c>
      <c r="I2064" t="inlineStr">
        <is>
          <t>Temporary fence hire 4 wks (03/04/26-30/04/26) - 35 panels</t>
        </is>
      </c>
      <c r="J2064" t="n">
        <v>140</v>
      </c>
      <c r="K2064" s="9" t="n">
        <v>630</v>
      </c>
      <c r="L2064" t="inlineStr">
        <is>
          <t>PAID</t>
        </is>
      </c>
      <c r="M2064">
        <f>IF(L2064="VOIDED",0,1)</f>
        <v>1</v>
      </c>
      <c r="N2064" t="n">
        <v>200</v>
      </c>
      <c r="O2064" t="inlineStr">
        <is>
          <t>GST on Income</t>
        </is>
      </c>
      <c r="P2064" t="inlineStr">
        <is>
          <t>R03</t>
        </is>
      </c>
      <c r="Q2064" t="inlineStr">
        <is>
          <t>HIRE-FP</t>
        </is>
      </c>
      <c r="R2064">
        <f>IF(OR(Q2064="CONTEXT",Q2064="REVIEW"),"",INDEX('Category Rules'!$D$5:$D$17,MATCH(P2064,'Category Rules'!$A$5:$A$17,0)))</f>
        <v>4010</v>
      </c>
      <c r="S2064" t="str">
        <f>IF(Q2064="CONTEXT","Fencing",IF(Q2064="REVIEW","",INDEX('Category Rules'!$E$5:$E$17,MATCH(P2064,'Category Rules'!$A$5:$A$17,0))))</f>
        <v>Fencing</v>
      </c>
      <c r="T2064" t="str">
        <f>IF(Q2064="DEP","BAS Excluded","GST on Income")</f>
        <v>GST on Income</v>
      </c>
      <c r="U2064">
        <f>IF(O2064=T2064,1,0)</f>
        <v>1</v>
      </c>
      <c r="V2064" s="9">
        <f>IF(OR(M2064=0,U2064=1),0,IF(T2064="GST on Income",ROUND(K2064*0.1,2),ROUND(-K2064*0.1,2)))</f>
        <v>0</v>
      </c>
    </row>
    <row r="2065">
      <c r="A2065" t="inlineStr">
        <is>
          <t>INV-5262-1</t>
        </is>
      </c>
      <c r="B2065" t="inlineStr">
        <is>
          <t>INV-5262</t>
        </is>
      </c>
      <c r="C2065" s="11" t="n">
        <v>46143</v>
      </c>
      <c r="D2065" t="inlineStr">
        <is>
          <t>2026-05</t>
        </is>
      </c>
      <c r="E2065" t="inlineStr">
        <is>
          <t>C0115</t>
        </is>
      </c>
      <c r="F2065" t="inlineStr">
        <is>
          <t>C0115</t>
        </is>
      </c>
      <c r="G2065" t="inlineStr">
        <is>
          <t>Arjun Smith</t>
        </is>
      </c>
      <c r="H2065" t="inlineStr">
        <is>
          <t>S0250</t>
        </is>
      </c>
      <c r="I2065" t="inlineStr">
        <is>
          <t>Scaffold erect - 1 tower(s)</t>
        </is>
      </c>
      <c r="J2065" t="n">
        <v>1</v>
      </c>
      <c r="K2065" s="9" t="n">
        <v>420</v>
      </c>
      <c r="L2065" t="inlineStr">
        <is>
          <t>PAID</t>
        </is>
      </c>
      <c r="M2065">
        <f>IF(L2065="VOIDED",0,1)</f>
        <v>1</v>
      </c>
      <c r="N2065" t="n">
        <v>200</v>
      </c>
      <c r="O2065" t="inlineStr">
        <is>
          <t>GST on Income</t>
        </is>
      </c>
      <c r="P2065" t="inlineStr">
        <is>
          <t>R08</t>
        </is>
      </c>
      <c r="Q2065" t="inlineStr">
        <is>
          <t>LAB-ST</t>
        </is>
      </c>
      <c r="R2065">
        <f>IF(OR(Q2065="CONTEXT",Q2065="REVIEW"),"",INDEX('Category Rules'!$D$5:$D$17,MATCH(P2065,'Category Rules'!$A$5:$A$17,0)))</f>
        <v>4020</v>
      </c>
      <c r="S2065" t="str">
        <f>IF(Q2065="CONTEXT","Scaffolding",IF(Q2065="REVIEW","",INDEX('Category Rules'!$E$5:$E$17,MATCH(P2065,'Category Rules'!$A$5:$A$17,0))))</f>
        <v>Scaffolding</v>
      </c>
      <c r="T2065" t="str">
        <f>IF(Q2065="DEP","BAS Excluded","GST on Income")</f>
        <v>GST on Income</v>
      </c>
      <c r="U2065">
        <f>IF(O2065=T2065,1,0)</f>
        <v>1</v>
      </c>
      <c r="V2065" s="9">
        <f>IF(OR(M2065=0,U2065=1),0,IF(T2065="GST on Income",ROUND(K2065*0.1,2),ROUND(-K2065*0.1,2)))</f>
        <v>0</v>
      </c>
    </row>
    <row r="2066">
      <c r="A2066" t="inlineStr">
        <is>
          <t>INV-5293-1</t>
        </is>
      </c>
      <c r="B2066" t="inlineStr">
        <is>
          <t>INV-5293</t>
        </is>
      </c>
      <c r="C2066" s="11" t="n">
        <v>46143</v>
      </c>
      <c r="D2066" t="inlineStr">
        <is>
          <t>2026-05</t>
        </is>
      </c>
      <c r="E2066" t="inlineStr">
        <is>
          <t>C0095</t>
        </is>
      </c>
      <c r="F2066" t="inlineStr">
        <is>
          <t>C0095</t>
        </is>
      </c>
      <c r="G2066" t="inlineStr">
        <is>
          <t>Noah Singh</t>
        </is>
      </c>
      <c r="H2066" t="inlineStr">
        <is>
          <t>S0258</t>
        </is>
      </c>
      <c r="I2066" t="inlineStr">
        <is>
          <t>Scaffold tower hire 4 wks (03/04/26-30/04/26) - 2 towers</t>
        </is>
      </c>
      <c r="J2066" t="n">
        <v>8</v>
      </c>
      <c r="K2066" s="9" t="n">
        <v>760</v>
      </c>
      <c r="L2066" t="inlineStr">
        <is>
          <t>PAID</t>
        </is>
      </c>
      <c r="M2066">
        <f>IF(L2066="VOIDED",0,1)</f>
        <v>1</v>
      </c>
      <c r="N2066" t="n">
        <v>200</v>
      </c>
      <c r="O2066" t="inlineStr">
        <is>
          <t>GST on Income</t>
        </is>
      </c>
      <c r="P2066" t="inlineStr">
        <is>
          <t>R05</t>
        </is>
      </c>
      <c r="Q2066" t="inlineStr">
        <is>
          <t>HIRE-ST</t>
        </is>
      </c>
      <c r="R2066">
        <f>IF(OR(Q2066="CONTEXT",Q2066="REVIEW"),"",INDEX('Category Rules'!$D$5:$D$17,MATCH(P2066,'Category Rules'!$A$5:$A$17,0)))</f>
        <v>4010</v>
      </c>
      <c r="S2066" t="str">
        <f>IF(Q2066="CONTEXT","Scaffolding",IF(Q2066="REVIEW","",INDEX('Category Rules'!$E$5:$E$17,MATCH(P2066,'Category Rules'!$A$5:$A$17,0))))</f>
        <v>Scaffolding</v>
      </c>
      <c r="T2066" t="str">
        <f>IF(Q2066="DEP","BAS Excluded","GST on Income")</f>
        <v>GST on Income</v>
      </c>
      <c r="U2066">
        <f>IF(O2066=T2066,1,0)</f>
        <v>1</v>
      </c>
      <c r="V2066" s="9">
        <f>IF(OR(M2066=0,U2066=1),0,IF(T2066="GST on Income",ROUND(K2066*0.1,2),ROUND(-K2066*0.1,2)))</f>
        <v>0</v>
      </c>
    </row>
    <row r="2067">
      <c r="A2067" t="inlineStr">
        <is>
          <t>INV-5643-1</t>
        </is>
      </c>
      <c r="B2067" t="inlineStr">
        <is>
          <t>INV-5643</t>
        </is>
      </c>
      <c r="C2067" s="11" t="n">
        <v>46143</v>
      </c>
      <c r="D2067" t="inlineStr">
        <is>
          <t>2026-05</t>
        </is>
      </c>
      <c r="E2067" t="inlineStr">
        <is>
          <t>C0091</t>
        </is>
      </c>
      <c r="F2067" t="inlineStr">
        <is>
          <t>C0091</t>
        </is>
      </c>
      <c r="G2067" t="inlineStr">
        <is>
          <t>Zoe Martin</t>
        </is>
      </c>
      <c r="H2067" t="inlineStr">
        <is>
          <t>S0403</t>
        </is>
      </c>
      <c r="I2067" t="inlineStr">
        <is>
          <t>Tarp kit hire 1 wks (30/04/26-30/04/26) - 2 kits</t>
        </is>
      </c>
      <c r="J2067" t="n">
        <v>2</v>
      </c>
      <c r="K2067" s="9" t="n">
        <v>70</v>
      </c>
      <c r="L2067" t="inlineStr">
        <is>
          <t>PAID</t>
        </is>
      </c>
      <c r="M2067">
        <f>IF(L2067="VOIDED",0,1)</f>
        <v>1</v>
      </c>
      <c r="N2067" t="n">
        <v>200</v>
      </c>
      <c r="O2067" t="inlineStr">
        <is>
          <t>GST on Income</t>
        </is>
      </c>
      <c r="P2067" t="inlineStr">
        <is>
          <t>R06</t>
        </is>
      </c>
      <c r="Q2067" t="inlineStr">
        <is>
          <t>HIRE-TK</t>
        </is>
      </c>
      <c r="R2067">
        <f>IF(OR(Q2067="CONTEXT",Q2067="REVIEW"),"",INDEX('Category Rules'!$D$5:$D$17,MATCH(P2067,'Category Rules'!$A$5:$A$17,0)))</f>
        <v>4010</v>
      </c>
      <c r="S2067" t="str">
        <f>IF(Q2067="CONTEXT","Make-safe",IF(Q2067="REVIEW","",INDEX('Category Rules'!$E$5:$E$17,MATCH(P2067,'Category Rules'!$A$5:$A$17,0))))</f>
        <v>Make-safe</v>
      </c>
      <c r="T2067" t="str">
        <f>IF(Q2067="DEP","BAS Excluded","GST on Income")</f>
        <v>GST on Income</v>
      </c>
      <c r="U2067">
        <f>IF(O2067=T2067,1,0)</f>
        <v>1</v>
      </c>
      <c r="V2067" s="9">
        <f>IF(OR(M2067=0,U2067=1),0,IF(T2067="GST on Income",ROUND(K2067*0.1,2),ROUND(-K2067*0.1,2)))</f>
        <v>0</v>
      </c>
    </row>
    <row r="2068">
      <c r="A2068" t="inlineStr">
        <is>
          <t>INV-4248-1</t>
        </is>
      </c>
      <c r="B2068" t="inlineStr">
        <is>
          <t>INV-4248</t>
        </is>
      </c>
      <c r="C2068" s="11" t="n">
        <v>46144</v>
      </c>
      <c r="D2068" t="inlineStr">
        <is>
          <t>2026-05</t>
        </is>
      </c>
      <c r="E2068" t="inlineStr">
        <is>
          <t>C0003</t>
        </is>
      </c>
      <c r="F2068" t="inlineStr">
        <is>
          <t>C0003</t>
        </is>
      </c>
      <c r="G2068" t="inlineStr">
        <is>
          <t>Summit Projects Pty Ltd</t>
        </is>
      </c>
      <c r="H2068" t="inlineStr">
        <is>
          <t>S0028</t>
        </is>
      </c>
      <c r="I2068" t="inlineStr">
        <is>
          <t>Delivery and installation - temporary fencing</t>
        </is>
      </c>
      <c r="J2068" t="n">
        <v>1</v>
      </c>
      <c r="K2068" s="9" t="n">
        <v>165</v>
      </c>
      <c r="L2068" t="inlineStr">
        <is>
          <t>PAID</t>
        </is>
      </c>
      <c r="M2068">
        <f>IF(L2068="VOIDED",0,1)</f>
        <v>1</v>
      </c>
      <c r="N2068" t="n">
        <v>260</v>
      </c>
      <c r="O2068" t="inlineStr">
        <is>
          <t>GST on Income</t>
        </is>
      </c>
      <c r="P2068" t="inlineStr">
        <is>
          <t>R07</t>
        </is>
      </c>
      <c r="Q2068" t="inlineStr">
        <is>
          <t>DEL-FP</t>
        </is>
      </c>
      <c r="R2068">
        <f>IF(OR(Q2068="CONTEXT",Q2068="REVIEW"),"",INDEX('Category Rules'!$D$5:$D$17,MATCH(P2068,'Category Rules'!$A$5:$A$17,0)))</f>
        <v>4020</v>
      </c>
      <c r="S2068" t="str">
        <f>IF(Q2068="CONTEXT","Fencing",IF(Q2068="REVIEW","",INDEX('Category Rules'!$E$5:$E$17,MATCH(P2068,'Category Rules'!$A$5:$A$17,0))))</f>
        <v>Fencing</v>
      </c>
      <c r="T2068" t="str">
        <f>IF(Q2068="DEP","BAS Excluded","GST on Income")</f>
        <v>GST on Income</v>
      </c>
      <c r="U2068">
        <f>IF(O2068=T2068,1,0)</f>
        <v>1</v>
      </c>
      <c r="V2068" s="9">
        <f>IF(OR(M2068=0,U2068=1),0,IF(T2068="GST on Income",ROUND(K2068*0.1,2),ROUND(-K2068*0.1,2)))</f>
        <v>0</v>
      </c>
    </row>
    <row r="2069">
      <c r="A2069" t="inlineStr">
        <is>
          <t>INV-4248-2</t>
        </is>
      </c>
      <c r="B2069" t="inlineStr">
        <is>
          <t>INV-4248</t>
        </is>
      </c>
      <c r="C2069" s="11" t="n">
        <v>46144</v>
      </c>
      <c r="D2069" t="inlineStr">
        <is>
          <t>2026-05</t>
        </is>
      </c>
      <c r="E2069" t="inlineStr">
        <is>
          <t>C0003</t>
        </is>
      </c>
      <c r="F2069" t="inlineStr">
        <is>
          <t>C0003</t>
        </is>
      </c>
      <c r="G2069" t="inlineStr">
        <is>
          <t>Summit Projects Pty Ltd</t>
        </is>
      </c>
      <c r="H2069" t="inlineStr">
        <is>
          <t>S0028</t>
        </is>
      </c>
      <c r="I2069" t="inlineStr">
        <is>
          <t>Installation labour - 102 panels @ 2.20</t>
        </is>
      </c>
      <c r="J2069" t="n">
        <v>102</v>
      </c>
      <c r="K2069" s="9" t="n">
        <v>224.4</v>
      </c>
      <c r="L2069" t="inlineStr">
        <is>
          <t>PAID</t>
        </is>
      </c>
      <c r="M2069">
        <f>IF(L2069="VOIDED",0,1)</f>
        <v>1</v>
      </c>
      <c r="N2069" t="n">
        <v>200</v>
      </c>
      <c r="O2069" t="inlineStr">
        <is>
          <t>GST on Income</t>
        </is>
      </c>
      <c r="P2069" t="inlineStr">
        <is>
          <t>R07</t>
        </is>
      </c>
      <c r="Q2069" t="inlineStr">
        <is>
          <t>DEL-FP</t>
        </is>
      </c>
      <c r="R2069">
        <f>IF(OR(Q2069="CONTEXT",Q2069="REVIEW"),"",INDEX('Category Rules'!$D$5:$D$17,MATCH(P2069,'Category Rules'!$A$5:$A$17,0)))</f>
        <v>4020</v>
      </c>
      <c r="S2069" t="str">
        <f>IF(Q2069="CONTEXT","Fencing",IF(Q2069="REVIEW","",INDEX('Category Rules'!$E$5:$E$17,MATCH(P2069,'Category Rules'!$A$5:$A$17,0))))</f>
        <v>Fencing</v>
      </c>
      <c r="T2069" t="str">
        <f>IF(Q2069="DEP","BAS Excluded","GST on Income")</f>
        <v>GST on Income</v>
      </c>
      <c r="U2069">
        <f>IF(O2069=T2069,1,0)</f>
        <v>1</v>
      </c>
      <c r="V2069" s="9">
        <f>IF(OR(M2069=0,U2069=1),0,IF(T2069="GST on Income",ROUND(K2069*0.1,2),ROUND(-K2069*0.1,2)))</f>
        <v>0</v>
      </c>
    </row>
    <row r="2070">
      <c r="A2070" t="inlineStr">
        <is>
          <t>INV-4405-1</t>
        </is>
      </c>
      <c r="B2070" t="inlineStr">
        <is>
          <t>INV-4405</t>
        </is>
      </c>
      <c r="C2070" s="11" t="n">
        <v>46144</v>
      </c>
      <c r="D2070" t="inlineStr">
        <is>
          <t>2026-05</t>
        </is>
      </c>
      <c r="E2070" t="inlineStr">
        <is>
          <t>C0119</t>
        </is>
      </c>
      <c r="F2070" t="inlineStr">
        <is>
          <t>C0119</t>
        </is>
      </c>
      <c r="G2070" t="inlineStr">
        <is>
          <t>Northgate Builders Pty Ltd</t>
        </is>
      </c>
      <c r="H2070" t="inlineStr">
        <is>
          <t>S0062</t>
        </is>
      </c>
      <c r="I2070" t="inlineStr">
        <is>
          <t>Temporary fence hire 3 wks (14/04/26-01/05/26) - 61 panels</t>
        </is>
      </c>
      <c r="J2070" t="n">
        <v>183</v>
      </c>
      <c r="K2070" s="9" t="n">
        <v>823.5</v>
      </c>
      <c r="L2070" t="inlineStr">
        <is>
          <t>PAID</t>
        </is>
      </c>
      <c r="M2070">
        <f>IF(L2070="VOIDED",0,1)</f>
        <v>1</v>
      </c>
      <c r="N2070" t="n">
        <v>200</v>
      </c>
      <c r="O2070" t="inlineStr">
        <is>
          <t>GST on Income</t>
        </is>
      </c>
      <c r="P2070" t="inlineStr">
        <is>
          <t>R03</t>
        </is>
      </c>
      <c r="Q2070" t="inlineStr">
        <is>
          <t>HIRE-FP</t>
        </is>
      </c>
      <c r="R2070">
        <f>IF(OR(Q2070="CONTEXT",Q2070="REVIEW"),"",INDEX('Category Rules'!$D$5:$D$17,MATCH(P2070,'Category Rules'!$A$5:$A$17,0)))</f>
        <v>4010</v>
      </c>
      <c r="S2070" t="str">
        <f>IF(Q2070="CONTEXT","Fencing",IF(Q2070="REVIEW","",INDEX('Category Rules'!$E$5:$E$17,MATCH(P2070,'Category Rules'!$A$5:$A$17,0))))</f>
        <v>Fencing</v>
      </c>
      <c r="T2070" t="str">
        <f>IF(Q2070="DEP","BAS Excluded","GST on Income")</f>
        <v>GST on Income</v>
      </c>
      <c r="U2070">
        <f>IF(O2070=T2070,1,0)</f>
        <v>1</v>
      </c>
      <c r="V2070" s="9">
        <f>IF(OR(M2070=0,U2070=1),0,IF(T2070="GST on Income",ROUND(K2070*0.1,2),ROUND(-K2070*0.1,2)))</f>
        <v>0</v>
      </c>
    </row>
    <row r="2071">
      <c r="A2071" t="inlineStr">
        <is>
          <t>INV-4414-1</t>
        </is>
      </c>
      <c r="B2071" t="inlineStr">
        <is>
          <t>INV-4414</t>
        </is>
      </c>
      <c r="C2071" s="11" t="n">
        <v>46144</v>
      </c>
      <c r="D2071" t="inlineStr">
        <is>
          <t>2026-05</t>
        </is>
      </c>
      <c r="E2071" t="inlineStr">
        <is>
          <t>C0119</t>
        </is>
      </c>
      <c r="F2071" t="inlineStr">
        <is>
          <t>C0119</t>
        </is>
      </c>
      <c r="G2071" t="inlineStr">
        <is>
          <t>Northgate Builders Pty Ltd</t>
        </is>
      </c>
      <c r="H2071" t="inlineStr">
        <is>
          <t>S0062</t>
        </is>
      </c>
      <c r="I2071" t="inlineStr">
        <is>
          <t>Pedestrian barrier hire 3 wks (14/04/26-01/05/26) - 19 barriers</t>
        </is>
      </c>
      <c r="J2071" t="n">
        <v>57</v>
      </c>
      <c r="K2071" s="9" t="n">
        <v>182.4</v>
      </c>
      <c r="L2071" t="inlineStr">
        <is>
          <t>PAID</t>
        </is>
      </c>
      <c r="M2071">
        <f>IF(L2071="VOIDED",0,1)</f>
        <v>1</v>
      </c>
      <c r="N2071" t="n">
        <v>200</v>
      </c>
      <c r="O2071" t="inlineStr">
        <is>
          <t>GST on Income</t>
        </is>
      </c>
      <c r="P2071" t="inlineStr">
        <is>
          <t>R04</t>
        </is>
      </c>
      <c r="Q2071" t="inlineStr">
        <is>
          <t>HIRE-BR</t>
        </is>
      </c>
      <c r="R2071">
        <f>IF(OR(Q2071="CONTEXT",Q2071="REVIEW"),"",INDEX('Category Rules'!$D$5:$D$17,MATCH(P2071,'Category Rules'!$A$5:$A$17,0)))</f>
        <v>4010</v>
      </c>
      <c r="S2071" t="str">
        <f>IF(Q2071="CONTEXT","Fencing",IF(Q2071="REVIEW","",INDEX('Category Rules'!$E$5:$E$17,MATCH(P2071,'Category Rules'!$A$5:$A$17,0))))</f>
        <v>Fencing</v>
      </c>
      <c r="T2071" t="str">
        <f>IF(Q2071="DEP","BAS Excluded","GST on Income")</f>
        <v>GST on Income</v>
      </c>
      <c r="U2071">
        <f>IF(O2071=T2071,1,0)</f>
        <v>1</v>
      </c>
      <c r="V2071" s="9">
        <f>IF(OR(M2071=0,U2071=1),0,IF(T2071="GST on Income",ROUND(K2071*0.1,2),ROUND(-K2071*0.1,2)))</f>
        <v>0</v>
      </c>
    </row>
    <row r="2072">
      <c r="A2072" t="inlineStr">
        <is>
          <t>INV-4416-1</t>
        </is>
      </c>
      <c r="B2072" t="inlineStr">
        <is>
          <t>INV-4416</t>
        </is>
      </c>
      <c r="C2072" s="11" t="n">
        <v>46144</v>
      </c>
      <c r="D2072" t="inlineStr">
        <is>
          <t>2026-05</t>
        </is>
      </c>
      <c r="E2072" t="inlineStr">
        <is>
          <t>C0119</t>
        </is>
      </c>
      <c r="F2072" t="inlineStr">
        <is>
          <t>C0119</t>
        </is>
      </c>
      <c r="G2072" t="inlineStr">
        <is>
          <t>Northgate Builders Pty Ltd</t>
        </is>
      </c>
      <c r="H2072" t="inlineStr">
        <is>
          <t>S0062</t>
        </is>
      </c>
      <c r="I2072" t="inlineStr">
        <is>
          <t>Collection and dismantle - temporary fencing</t>
        </is>
      </c>
      <c r="J2072" t="n">
        <v>1</v>
      </c>
      <c r="K2072" s="9" t="n">
        <v>165</v>
      </c>
      <c r="L2072" t="inlineStr">
        <is>
          <t>PAID</t>
        </is>
      </c>
      <c r="M2072">
        <f>IF(L2072="VOIDED",0,1)</f>
        <v>1</v>
      </c>
      <c r="N2072" t="n">
        <v>200</v>
      </c>
      <c r="O2072" t="inlineStr">
        <is>
          <t>GST on Income</t>
        </is>
      </c>
      <c r="P2072" t="inlineStr">
        <is>
          <t>R07</t>
        </is>
      </c>
      <c r="Q2072" t="inlineStr">
        <is>
          <t>DEL-FP</t>
        </is>
      </c>
      <c r="R2072">
        <f>IF(OR(Q2072="CONTEXT",Q2072="REVIEW"),"",INDEX('Category Rules'!$D$5:$D$17,MATCH(P2072,'Category Rules'!$A$5:$A$17,0)))</f>
        <v>4020</v>
      </c>
      <c r="S2072" t="str">
        <f>IF(Q2072="CONTEXT","Fencing",IF(Q2072="REVIEW","",INDEX('Category Rules'!$E$5:$E$17,MATCH(P2072,'Category Rules'!$A$5:$A$17,0))))</f>
        <v>Fencing</v>
      </c>
      <c r="T2072" t="str">
        <f>IF(Q2072="DEP","BAS Excluded","GST on Income")</f>
        <v>GST on Income</v>
      </c>
      <c r="U2072">
        <f>IF(O2072=T2072,1,0)</f>
        <v>1</v>
      </c>
      <c r="V2072" s="9">
        <f>IF(OR(M2072=0,U2072=1),0,IF(T2072="GST on Income",ROUND(K2072*0.1,2),ROUND(-K2072*0.1,2)))</f>
        <v>0</v>
      </c>
    </row>
    <row r="2073">
      <c r="A2073" t="inlineStr">
        <is>
          <t>INV-4772-1</t>
        </is>
      </c>
      <c r="B2073" t="inlineStr">
        <is>
          <t>INV-4772</t>
        </is>
      </c>
      <c r="C2073" s="11" t="n">
        <v>46144</v>
      </c>
      <c r="D2073" t="inlineStr">
        <is>
          <t>2026-05</t>
        </is>
      </c>
      <c r="E2073" t="inlineStr">
        <is>
          <t>C0083</t>
        </is>
      </c>
      <c r="F2073" t="inlineStr">
        <is>
          <t>C0083</t>
        </is>
      </c>
      <c r="G2073" t="inlineStr">
        <is>
          <t>Noah Williams</t>
        </is>
      </c>
      <c r="H2073" t="inlineStr">
        <is>
          <t>S0143</t>
        </is>
      </c>
      <c r="I2073" t="inlineStr">
        <is>
          <t>Temporary fence hire 4 wks (04/04/26-01/05/26) - 140 panels</t>
        </is>
      </c>
      <c r="J2073" t="n">
        <v>560</v>
      </c>
      <c r="K2073" s="9" t="n">
        <v>2520</v>
      </c>
      <c r="L2073" t="inlineStr">
        <is>
          <t>PAID</t>
        </is>
      </c>
      <c r="M2073">
        <f>IF(L2073="VOIDED",0,1)</f>
        <v>1</v>
      </c>
      <c r="N2073" t="n">
        <v>200</v>
      </c>
      <c r="O2073" t="inlineStr">
        <is>
          <t>GST on Income</t>
        </is>
      </c>
      <c r="P2073" t="inlineStr">
        <is>
          <t>R03</t>
        </is>
      </c>
      <c r="Q2073" t="inlineStr">
        <is>
          <t>HIRE-FP</t>
        </is>
      </c>
      <c r="R2073">
        <f>IF(OR(Q2073="CONTEXT",Q2073="REVIEW"),"",INDEX('Category Rules'!$D$5:$D$17,MATCH(P2073,'Category Rules'!$A$5:$A$17,0)))</f>
        <v>4010</v>
      </c>
      <c r="S2073" t="str">
        <f>IF(Q2073="CONTEXT","Fencing",IF(Q2073="REVIEW","",INDEX('Category Rules'!$E$5:$E$17,MATCH(P2073,'Category Rules'!$A$5:$A$17,0))))</f>
        <v>Fencing</v>
      </c>
      <c r="T2073" t="str">
        <f>IF(Q2073="DEP","BAS Excluded","GST on Income")</f>
        <v>GST on Income</v>
      </c>
      <c r="U2073">
        <f>IF(O2073=T2073,1,0)</f>
        <v>1</v>
      </c>
      <c r="V2073" s="9">
        <f>IF(OR(M2073=0,U2073=1),0,IF(T2073="GST on Income",ROUND(K2073*0.1,2),ROUND(-K2073*0.1,2)))</f>
        <v>0</v>
      </c>
    </row>
    <row r="2074">
      <c r="A2074" t="inlineStr">
        <is>
          <t>INV-4831-1</t>
        </is>
      </c>
      <c r="B2074" t="inlineStr">
        <is>
          <t>INV-4831</t>
        </is>
      </c>
      <c r="C2074" s="11" t="n">
        <v>46144</v>
      </c>
      <c r="D2074" t="inlineStr">
        <is>
          <t>2026-05</t>
        </is>
      </c>
      <c r="E2074" t="inlineStr">
        <is>
          <t>C0072</t>
        </is>
      </c>
      <c r="F2074" t="inlineStr">
        <is>
          <t>C0072</t>
        </is>
      </c>
      <c r="G2074" t="inlineStr">
        <is>
          <t>Kingston City Council</t>
        </is>
      </c>
      <c r="H2074" t="inlineStr">
        <is>
          <t>S0157</t>
        </is>
      </c>
      <c r="I2074" t="inlineStr">
        <is>
          <t>Temporary fence hire 4 wks (04/04/26-01/05/26) - 145 panels</t>
        </is>
      </c>
      <c r="J2074" t="n">
        <v>580</v>
      </c>
      <c r="K2074" s="9" t="n">
        <v>2610</v>
      </c>
      <c r="L2074" t="inlineStr">
        <is>
          <t>PAID</t>
        </is>
      </c>
      <c r="M2074">
        <f>IF(L2074="VOIDED",0,1)</f>
        <v>1</v>
      </c>
      <c r="N2074" t="n">
        <v>200</v>
      </c>
      <c r="O2074" t="inlineStr">
        <is>
          <t>GST on Income</t>
        </is>
      </c>
      <c r="P2074" t="inlineStr">
        <is>
          <t>R03</t>
        </is>
      </c>
      <c r="Q2074" t="inlineStr">
        <is>
          <t>HIRE-FP</t>
        </is>
      </c>
      <c r="R2074">
        <f>IF(OR(Q2074="CONTEXT",Q2074="REVIEW"),"",INDEX('Category Rules'!$D$5:$D$17,MATCH(P2074,'Category Rules'!$A$5:$A$17,0)))</f>
        <v>4010</v>
      </c>
      <c r="S2074" t="str">
        <f>IF(Q2074="CONTEXT","Fencing",IF(Q2074="REVIEW","",INDEX('Category Rules'!$E$5:$E$17,MATCH(P2074,'Category Rules'!$A$5:$A$17,0))))</f>
        <v>Fencing</v>
      </c>
      <c r="T2074" t="str">
        <f>IF(Q2074="DEP","BAS Excluded","GST on Income")</f>
        <v>GST on Income</v>
      </c>
      <c r="U2074">
        <f>IF(O2074=T2074,1,0)</f>
        <v>1</v>
      </c>
      <c r="V2074" s="9">
        <f>IF(OR(M2074=0,U2074=1),0,IF(T2074="GST on Income",ROUND(K2074*0.1,2),ROUND(-K2074*0.1,2)))</f>
        <v>0</v>
      </c>
    </row>
    <row r="2075">
      <c r="A2075" t="inlineStr">
        <is>
          <t>INV-5137-1</t>
        </is>
      </c>
      <c r="B2075" t="inlineStr">
        <is>
          <t>INV-5137</t>
        </is>
      </c>
      <c r="C2075" s="11" t="n">
        <v>46144</v>
      </c>
      <c r="D2075" t="inlineStr">
        <is>
          <t>2026-05</t>
        </is>
      </c>
      <c r="E2075" t="inlineStr">
        <is>
          <t>C0136</t>
        </is>
      </c>
      <c r="F2075" t="inlineStr">
        <is>
          <t>C0036</t>
        </is>
      </c>
      <c r="G2075" t="inlineStr">
        <is>
          <t>Summit Homes Pty Ltd</t>
        </is>
      </c>
      <c r="H2075" t="inlineStr">
        <is>
          <t>S0221</t>
        </is>
      </c>
      <c r="I2075" t="inlineStr">
        <is>
          <t>Delivery and installation - temporary fencing</t>
        </is>
      </c>
      <c r="J2075" t="n">
        <v>1</v>
      </c>
      <c r="K2075" s="9" t="n">
        <v>165</v>
      </c>
      <c r="L2075" t="inlineStr">
        <is>
          <t>PAID</t>
        </is>
      </c>
      <c r="M2075">
        <f>IF(L2075="VOIDED",0,1)</f>
        <v>1</v>
      </c>
      <c r="N2075" t="n">
        <v>200</v>
      </c>
      <c r="O2075" t="inlineStr">
        <is>
          <t>GST on Income</t>
        </is>
      </c>
      <c r="P2075" t="inlineStr">
        <is>
          <t>R07</t>
        </is>
      </c>
      <c r="Q2075" t="inlineStr">
        <is>
          <t>DEL-FP</t>
        </is>
      </c>
      <c r="R2075">
        <f>IF(OR(Q2075="CONTEXT",Q2075="REVIEW"),"",INDEX('Category Rules'!$D$5:$D$17,MATCH(P2075,'Category Rules'!$A$5:$A$17,0)))</f>
        <v>4020</v>
      </c>
      <c r="S2075" t="str">
        <f>IF(Q2075="CONTEXT","Fencing",IF(Q2075="REVIEW","",INDEX('Category Rules'!$E$5:$E$17,MATCH(P2075,'Category Rules'!$A$5:$A$17,0))))</f>
        <v>Fencing</v>
      </c>
      <c r="T2075" t="str">
        <f>IF(Q2075="DEP","BAS Excluded","GST on Income")</f>
        <v>GST on Income</v>
      </c>
      <c r="U2075">
        <f>IF(O2075=T2075,1,0)</f>
        <v>1</v>
      </c>
      <c r="V2075" s="9">
        <f>IF(OR(M2075=0,U2075=1),0,IF(T2075="GST on Income",ROUND(K2075*0.1,2),ROUND(-K2075*0.1,2)))</f>
        <v>0</v>
      </c>
    </row>
    <row r="2076">
      <c r="A2076" t="inlineStr">
        <is>
          <t>INV-5137-2</t>
        </is>
      </c>
      <c r="B2076" t="inlineStr">
        <is>
          <t>INV-5137</t>
        </is>
      </c>
      <c r="C2076" s="11" t="n">
        <v>46144</v>
      </c>
      <c r="D2076" t="inlineStr">
        <is>
          <t>2026-05</t>
        </is>
      </c>
      <c r="E2076" t="inlineStr">
        <is>
          <t>C0136</t>
        </is>
      </c>
      <c r="F2076" t="inlineStr">
        <is>
          <t>C0036</t>
        </is>
      </c>
      <c r="G2076" t="inlineStr">
        <is>
          <t>Summit Homes Pty Ltd</t>
        </is>
      </c>
      <c r="H2076" t="inlineStr">
        <is>
          <t>S0221</t>
        </is>
      </c>
      <c r="I2076" t="inlineStr">
        <is>
          <t>Installation labour - 42 panels @ 2.20</t>
        </is>
      </c>
      <c r="J2076" t="n">
        <v>42</v>
      </c>
      <c r="K2076" s="9" t="n">
        <v>92.40000000000001</v>
      </c>
      <c r="L2076" t="inlineStr">
        <is>
          <t>PAID</t>
        </is>
      </c>
      <c r="M2076">
        <f>IF(L2076="VOIDED",0,1)</f>
        <v>1</v>
      </c>
      <c r="N2076" t="n">
        <v>200</v>
      </c>
      <c r="O2076" t="inlineStr">
        <is>
          <t>GST on Income</t>
        </is>
      </c>
      <c r="P2076" t="inlineStr">
        <is>
          <t>R07</t>
        </is>
      </c>
      <c r="Q2076" t="inlineStr">
        <is>
          <t>DEL-FP</t>
        </is>
      </c>
      <c r="R2076">
        <f>IF(OR(Q2076="CONTEXT",Q2076="REVIEW"),"",INDEX('Category Rules'!$D$5:$D$17,MATCH(P2076,'Category Rules'!$A$5:$A$17,0)))</f>
        <v>4020</v>
      </c>
      <c r="S2076" t="str">
        <f>IF(Q2076="CONTEXT","Fencing",IF(Q2076="REVIEW","",INDEX('Category Rules'!$E$5:$E$17,MATCH(P2076,'Category Rules'!$A$5:$A$17,0))))</f>
        <v>Fencing</v>
      </c>
      <c r="T2076" t="str">
        <f>IF(Q2076="DEP","BAS Excluded","GST on Income")</f>
        <v>GST on Income</v>
      </c>
      <c r="U2076">
        <f>IF(O2076=T2076,1,0)</f>
        <v>1</v>
      </c>
      <c r="V2076" s="9">
        <f>IF(OR(M2076=0,U2076=1),0,IF(T2076="GST on Income",ROUND(K2076*0.1,2),ROUND(-K2076*0.1,2)))</f>
        <v>0</v>
      </c>
    </row>
    <row r="2077">
      <c r="A2077" t="inlineStr">
        <is>
          <t>INV-5294-1</t>
        </is>
      </c>
      <c r="B2077" t="inlineStr">
        <is>
          <t>INV-5294</t>
        </is>
      </c>
      <c r="C2077" s="11" t="n">
        <v>46144</v>
      </c>
      <c r="D2077" t="inlineStr">
        <is>
          <t>2026-05</t>
        </is>
      </c>
      <c r="E2077" t="inlineStr">
        <is>
          <t>C0095</t>
        </is>
      </c>
      <c r="F2077" t="inlineStr">
        <is>
          <t>C0095</t>
        </is>
      </c>
      <c r="G2077" t="inlineStr">
        <is>
          <t>Noah Singh</t>
        </is>
      </c>
      <c r="H2077" t="inlineStr">
        <is>
          <t>S0258</t>
        </is>
      </c>
      <c r="I2077" t="inlineStr">
        <is>
          <t>Scaffold tower hire 1 wks (01/05/26-01/05/26) - 2 towers</t>
        </is>
      </c>
      <c r="J2077" t="n">
        <v>2</v>
      </c>
      <c r="K2077" s="9" t="n">
        <v>190</v>
      </c>
      <c r="L2077" t="inlineStr">
        <is>
          <t>PAID</t>
        </is>
      </c>
      <c r="M2077">
        <f>IF(L2077="VOIDED",0,1)</f>
        <v>1</v>
      </c>
      <c r="N2077" t="n">
        <v>200</v>
      </c>
      <c r="O2077" t="inlineStr">
        <is>
          <t>GST on Income</t>
        </is>
      </c>
      <c r="P2077" t="inlineStr">
        <is>
          <t>R05</t>
        </is>
      </c>
      <c r="Q2077" t="inlineStr">
        <is>
          <t>HIRE-ST</t>
        </is>
      </c>
      <c r="R2077">
        <f>IF(OR(Q2077="CONTEXT",Q2077="REVIEW"),"",INDEX('Category Rules'!$D$5:$D$17,MATCH(P2077,'Category Rules'!$A$5:$A$17,0)))</f>
        <v>4010</v>
      </c>
      <c r="S2077" t="str">
        <f>IF(Q2077="CONTEXT","Scaffolding",IF(Q2077="REVIEW","",INDEX('Category Rules'!$E$5:$E$17,MATCH(P2077,'Category Rules'!$A$5:$A$17,0))))</f>
        <v>Scaffolding</v>
      </c>
      <c r="T2077" t="str">
        <f>IF(Q2077="DEP","BAS Excluded","GST on Income")</f>
        <v>GST on Income</v>
      </c>
      <c r="U2077">
        <f>IF(O2077=T2077,1,0)</f>
        <v>1</v>
      </c>
      <c r="V2077" s="9">
        <f>IF(OR(M2077=0,U2077=1),0,IF(T2077="GST on Income",ROUND(K2077*0.1,2),ROUND(-K2077*0.1,2)))</f>
        <v>0</v>
      </c>
    </row>
    <row r="2078">
      <c r="A2078" t="inlineStr">
        <is>
          <t>INV-5296-1</t>
        </is>
      </c>
      <c r="B2078" t="inlineStr">
        <is>
          <t>INV-5296</t>
        </is>
      </c>
      <c r="C2078" s="11" t="n">
        <v>46144</v>
      </c>
      <c r="D2078" t="inlineStr">
        <is>
          <t>2026-05</t>
        </is>
      </c>
      <c r="E2078" t="inlineStr">
        <is>
          <t>C0095</t>
        </is>
      </c>
      <c r="F2078" t="inlineStr">
        <is>
          <t>C0095</t>
        </is>
      </c>
      <c r="G2078" t="inlineStr">
        <is>
          <t>Noah Singh</t>
        </is>
      </c>
      <c r="H2078" t="inlineStr">
        <is>
          <t>S0258</t>
        </is>
      </c>
      <c r="I2078" t="inlineStr">
        <is>
          <t>Scaffold dismantle - 2 tower(s)</t>
        </is>
      </c>
      <c r="J2078" t="n">
        <v>2</v>
      </c>
      <c r="K2078" s="9" t="n">
        <v>640</v>
      </c>
      <c r="L2078" t="inlineStr">
        <is>
          <t>PAID</t>
        </is>
      </c>
      <c r="M2078">
        <f>IF(L2078="VOIDED",0,1)</f>
        <v>1</v>
      </c>
      <c r="N2078" t="n">
        <v>200</v>
      </c>
      <c r="O2078" t="inlineStr">
        <is>
          <t>GST on Income</t>
        </is>
      </c>
      <c r="P2078" t="inlineStr">
        <is>
          <t>R08</t>
        </is>
      </c>
      <c r="Q2078" t="inlineStr">
        <is>
          <t>LAB-ST</t>
        </is>
      </c>
      <c r="R2078">
        <f>IF(OR(Q2078="CONTEXT",Q2078="REVIEW"),"",INDEX('Category Rules'!$D$5:$D$17,MATCH(P2078,'Category Rules'!$A$5:$A$17,0)))</f>
        <v>4020</v>
      </c>
      <c r="S2078" t="str">
        <f>IF(Q2078="CONTEXT","Scaffolding",IF(Q2078="REVIEW","",INDEX('Category Rules'!$E$5:$E$17,MATCH(P2078,'Category Rules'!$A$5:$A$17,0))))</f>
        <v>Scaffolding</v>
      </c>
      <c r="T2078" t="str">
        <f>IF(Q2078="DEP","BAS Excluded","GST on Income")</f>
        <v>GST on Income</v>
      </c>
      <c r="U2078">
        <f>IF(O2078=T2078,1,0)</f>
        <v>1</v>
      </c>
      <c r="V2078" s="9">
        <f>IF(OR(M2078=0,U2078=1),0,IF(T2078="GST on Income",ROUND(K2078*0.1,2),ROUND(-K2078*0.1,2)))</f>
        <v>0</v>
      </c>
    </row>
    <row r="2079">
      <c r="A2079" t="inlineStr">
        <is>
          <t>INV-5901-1</t>
        </is>
      </c>
      <c r="B2079" t="inlineStr">
        <is>
          <t>INV-5901</t>
        </is>
      </c>
      <c r="C2079" s="11" t="n">
        <v>46144</v>
      </c>
      <c r="D2079" t="inlineStr">
        <is>
          <t>2026-05</t>
        </is>
      </c>
      <c r="E2079" t="inlineStr">
        <is>
          <t>C0091</t>
        </is>
      </c>
      <c r="F2079" t="inlineStr">
        <is>
          <t>C0091</t>
        </is>
      </c>
      <c r="G2079" t="inlineStr">
        <is>
          <t>Zoe Martin</t>
        </is>
      </c>
      <c r="H2079" t="inlineStr"/>
      <c r="I2079" t="inlineStr">
        <is>
          <t>Site works</t>
        </is>
      </c>
      <c r="J2079" t="n">
        <v>1</v>
      </c>
      <c r="K2079" s="9" t="n">
        <v>3232.89</v>
      </c>
      <c r="L2079" t="inlineStr">
        <is>
          <t>PAID</t>
        </is>
      </c>
      <c r="M2079">
        <f>IF(L2079="VOIDED",0,1)</f>
        <v>1</v>
      </c>
      <c r="N2079" t="n">
        <v>200</v>
      </c>
      <c r="O2079" t="inlineStr">
        <is>
          <t>GST on Income</t>
        </is>
      </c>
      <c r="P2079" t="inlineStr">
        <is>
          <t>--</t>
        </is>
      </c>
      <c r="Q2079" t="inlineStr">
        <is>
          <t>REVIEW</t>
        </is>
      </c>
      <c r="R2079">
        <f>IF(OR(Q2079="CONTEXT",Q2079="REVIEW"),"",INDEX('Category Rules'!$D$5:$D$17,MATCH(P2079,'Category Rules'!$A$5:$A$17,0)))</f>
      </c>
      <c r="S2079">
        <f>IF(Q2079="CONTEXT","",IF(Q2079="REVIEW","",INDEX('Category Rules'!$E$5:$E$17,MATCH(P2079,'Category Rules'!$A$5:$A$17,0))))</f>
      </c>
      <c r="T2079" t="str">
        <f>IF(Q2079="DEP","BAS Excluded","GST on Income")</f>
        <v>GST on Income</v>
      </c>
      <c r="U2079">
        <f>IF(O2079=T2079,1,0)</f>
        <v>1</v>
      </c>
      <c r="V2079" s="9">
        <f>IF(OR(M2079=0,U2079=1),0,IF(T2079="GST on Income",ROUND(K2079*0.1,2),ROUND(-K2079*0.1,2)))</f>
        <v>0</v>
      </c>
    </row>
    <row r="2080">
      <c r="A2080" t="inlineStr">
        <is>
          <t>INV-4575-1</t>
        </is>
      </c>
      <c r="B2080" t="inlineStr">
        <is>
          <t>INV-4575</t>
        </is>
      </c>
      <c r="C2080" s="11" t="n">
        <v>46145</v>
      </c>
      <c r="D2080" t="inlineStr">
        <is>
          <t>2026-05</t>
        </is>
      </c>
      <c r="E2080" t="inlineStr">
        <is>
          <t>C0043</t>
        </is>
      </c>
      <c r="F2080" t="inlineStr">
        <is>
          <t>C0043</t>
        </is>
      </c>
      <c r="G2080" t="inlineStr">
        <is>
          <t>Banksia Projects Pty Ltd</t>
        </is>
      </c>
      <c r="H2080" t="inlineStr">
        <is>
          <t>S0095</t>
        </is>
      </c>
      <c r="I2080" t="inlineStr">
        <is>
          <t>Temporary fence hire 4 wks (05/04/26-02/05/26) - 129 panels</t>
        </is>
      </c>
      <c r="J2080" t="n">
        <v>516</v>
      </c>
      <c r="K2080" s="9" t="n">
        <v>2322</v>
      </c>
      <c r="L2080" t="inlineStr">
        <is>
          <t>PAID</t>
        </is>
      </c>
      <c r="M2080">
        <f>IF(L2080="VOIDED",0,1)</f>
        <v>1</v>
      </c>
      <c r="N2080" t="n">
        <v>200</v>
      </c>
      <c r="O2080" t="inlineStr">
        <is>
          <t>GST on Income</t>
        </is>
      </c>
      <c r="P2080" t="inlineStr">
        <is>
          <t>R03</t>
        </is>
      </c>
      <c r="Q2080" t="inlineStr">
        <is>
          <t>HIRE-FP</t>
        </is>
      </c>
      <c r="R2080">
        <f>IF(OR(Q2080="CONTEXT",Q2080="REVIEW"),"",INDEX('Category Rules'!$D$5:$D$17,MATCH(P2080,'Category Rules'!$A$5:$A$17,0)))</f>
        <v>4010</v>
      </c>
      <c r="S2080" t="str">
        <f>IF(Q2080="CONTEXT","Fencing",IF(Q2080="REVIEW","",INDEX('Category Rules'!$E$5:$E$17,MATCH(P2080,'Category Rules'!$A$5:$A$17,0))))</f>
        <v>Fencing</v>
      </c>
      <c r="T2080" t="str">
        <f>IF(Q2080="DEP","BAS Excluded","GST on Income")</f>
        <v>GST on Income</v>
      </c>
      <c r="U2080">
        <f>IF(O2080=T2080,1,0)</f>
        <v>1</v>
      </c>
      <c r="V2080" s="9">
        <f>IF(OR(M2080=0,U2080=1),0,IF(T2080="GST on Income",ROUND(K2080*0.1,2),ROUND(-K2080*0.1,2)))</f>
        <v>0</v>
      </c>
    </row>
    <row r="2081">
      <c r="A2081" t="inlineStr">
        <is>
          <t>INV-4832-1</t>
        </is>
      </c>
      <c r="B2081" t="inlineStr">
        <is>
          <t>INV-4832</t>
        </is>
      </c>
      <c r="C2081" s="11" t="n">
        <v>46145</v>
      </c>
      <c r="D2081" t="inlineStr">
        <is>
          <t>2026-05</t>
        </is>
      </c>
      <c r="E2081" t="inlineStr">
        <is>
          <t>C0072</t>
        </is>
      </c>
      <c r="F2081" t="inlineStr">
        <is>
          <t>C0072</t>
        </is>
      </c>
      <c r="G2081" t="inlineStr">
        <is>
          <t>Kingston City Council</t>
        </is>
      </c>
      <c r="H2081" t="inlineStr">
        <is>
          <t>S0157</t>
        </is>
      </c>
      <c r="I2081" t="inlineStr">
        <is>
          <t>Temporary fence hire 1 wks (02/05/26-02/05/26) - 145 panels</t>
        </is>
      </c>
      <c r="J2081" t="n">
        <v>145</v>
      </c>
      <c r="K2081" s="9" t="n">
        <v>652.5</v>
      </c>
      <c r="L2081" t="inlineStr">
        <is>
          <t>PAID</t>
        </is>
      </c>
      <c r="M2081">
        <f>IF(L2081="VOIDED",0,1)</f>
        <v>1</v>
      </c>
      <c r="N2081" t="n">
        <v>200</v>
      </c>
      <c r="O2081" t="inlineStr">
        <is>
          <t>GST on Income</t>
        </is>
      </c>
      <c r="P2081" t="inlineStr">
        <is>
          <t>R03</t>
        </is>
      </c>
      <c r="Q2081" t="inlineStr">
        <is>
          <t>HIRE-FP</t>
        </is>
      </c>
      <c r="R2081">
        <f>IF(OR(Q2081="CONTEXT",Q2081="REVIEW"),"",INDEX('Category Rules'!$D$5:$D$17,MATCH(P2081,'Category Rules'!$A$5:$A$17,0)))</f>
        <v>4010</v>
      </c>
      <c r="S2081" t="str">
        <f>IF(Q2081="CONTEXT","Fencing",IF(Q2081="REVIEW","",INDEX('Category Rules'!$E$5:$E$17,MATCH(P2081,'Category Rules'!$A$5:$A$17,0))))</f>
        <v>Fencing</v>
      </c>
      <c r="T2081" t="str">
        <f>IF(Q2081="DEP","BAS Excluded","GST on Income")</f>
        <v>GST on Income</v>
      </c>
      <c r="U2081">
        <f>IF(O2081=T2081,1,0)</f>
        <v>1</v>
      </c>
      <c r="V2081" s="9">
        <f>IF(OR(M2081=0,U2081=1),0,IF(T2081="GST on Income",ROUND(K2081*0.1,2),ROUND(-K2081*0.1,2)))</f>
        <v>0</v>
      </c>
    </row>
    <row r="2082">
      <c r="A2082" t="inlineStr">
        <is>
          <t>INV-4834-1</t>
        </is>
      </c>
      <c r="B2082" t="inlineStr">
        <is>
          <t>INV-4834</t>
        </is>
      </c>
      <c r="C2082" s="11" t="n">
        <v>46145</v>
      </c>
      <c r="D2082" t="inlineStr">
        <is>
          <t>2026-05</t>
        </is>
      </c>
      <c r="E2082" t="inlineStr">
        <is>
          <t>C0072</t>
        </is>
      </c>
      <c r="F2082" t="inlineStr">
        <is>
          <t>C0072</t>
        </is>
      </c>
      <c r="G2082" t="inlineStr">
        <is>
          <t>Kingston City Council</t>
        </is>
      </c>
      <c r="H2082" t="inlineStr">
        <is>
          <t>S0157</t>
        </is>
      </c>
      <c r="I2082" t="inlineStr">
        <is>
          <t>Collection and dismantle - temporary fencing</t>
        </is>
      </c>
      <c r="J2082" t="n">
        <v>1</v>
      </c>
      <c r="K2082" s="9" t="n">
        <v>165</v>
      </c>
      <c r="L2082" t="inlineStr">
        <is>
          <t>PAID</t>
        </is>
      </c>
      <c r="M2082">
        <f>IF(L2082="VOIDED",0,1)</f>
        <v>1</v>
      </c>
      <c r="N2082" t="n">
        <v>260</v>
      </c>
      <c r="O2082" t="inlineStr">
        <is>
          <t>GST on Income</t>
        </is>
      </c>
      <c r="P2082" t="inlineStr">
        <is>
          <t>R07</t>
        </is>
      </c>
      <c r="Q2082" t="inlineStr">
        <is>
          <t>DEL-FP</t>
        </is>
      </c>
      <c r="R2082">
        <f>IF(OR(Q2082="CONTEXT",Q2082="REVIEW"),"",INDEX('Category Rules'!$D$5:$D$17,MATCH(P2082,'Category Rules'!$A$5:$A$17,0)))</f>
        <v>4020</v>
      </c>
      <c r="S2082" t="str">
        <f>IF(Q2082="CONTEXT","Fencing",IF(Q2082="REVIEW","",INDEX('Category Rules'!$E$5:$E$17,MATCH(P2082,'Category Rules'!$A$5:$A$17,0))))</f>
        <v>Fencing</v>
      </c>
      <c r="T2082" t="str">
        <f>IF(Q2082="DEP","BAS Excluded","GST on Income")</f>
        <v>GST on Income</v>
      </c>
      <c r="U2082">
        <f>IF(O2082=T2082,1,0)</f>
        <v>1</v>
      </c>
      <c r="V2082" s="9">
        <f>IF(OR(M2082=0,U2082=1),0,IF(T2082="GST on Income",ROUND(K2082*0.1,2),ROUND(-K2082*0.1,2)))</f>
        <v>0</v>
      </c>
    </row>
    <row r="2083">
      <c r="A2083" t="inlineStr">
        <is>
          <t>INV-5465-1</t>
        </is>
      </c>
      <c r="B2083" t="inlineStr">
        <is>
          <t>INV-5465</t>
        </is>
      </c>
      <c r="C2083" s="11" t="n">
        <v>46145</v>
      </c>
      <c r="D2083" t="inlineStr">
        <is>
          <t>2026-05</t>
        </is>
      </c>
      <c r="E2083" t="inlineStr">
        <is>
          <t>C0030</t>
        </is>
      </c>
      <c r="F2083" t="inlineStr">
        <is>
          <t>C0030</t>
        </is>
      </c>
      <c r="G2083" t="inlineStr">
        <is>
          <t>Bluegum Developments</t>
        </is>
      </c>
      <c r="H2083" t="inlineStr">
        <is>
          <t>S0304</t>
        </is>
      </c>
      <c r="I2083" t="inlineStr">
        <is>
          <t>Roof repair labour - 12 hrs</t>
        </is>
      </c>
      <c r="J2083" t="n">
        <v>12</v>
      </c>
      <c r="K2083" s="9" t="n">
        <v>1176</v>
      </c>
      <c r="L2083" t="inlineStr">
        <is>
          <t>PAID</t>
        </is>
      </c>
      <c r="M2083">
        <f>IF(L2083="VOIDED",0,1)</f>
        <v>1</v>
      </c>
      <c r="N2083" t="n">
        <v>200</v>
      </c>
      <c r="O2083" t="inlineStr">
        <is>
          <t>GST on Income</t>
        </is>
      </c>
      <c r="P2083" t="inlineStr">
        <is>
          <t>R10</t>
        </is>
      </c>
      <c r="Q2083" t="inlineStr">
        <is>
          <t>LAB-RF</t>
        </is>
      </c>
      <c r="R2083">
        <f>IF(OR(Q2083="CONTEXT",Q2083="REVIEW"),"",INDEX('Category Rules'!$D$5:$D$17,MATCH(P2083,'Category Rules'!$A$5:$A$17,0)))</f>
        <v>4020</v>
      </c>
      <c r="S2083" t="str">
        <f>IF(Q2083="CONTEXT","Roofing",IF(Q2083="REVIEW","",INDEX('Category Rules'!$E$5:$E$17,MATCH(P2083,'Category Rules'!$A$5:$A$17,0))))</f>
        <v>Roofing</v>
      </c>
      <c r="T2083" t="str">
        <f>IF(Q2083="DEP","BAS Excluded","GST on Income")</f>
        <v>GST on Income</v>
      </c>
      <c r="U2083">
        <f>IF(O2083=T2083,1,0)</f>
        <v>1</v>
      </c>
      <c r="V2083" s="9">
        <f>IF(OR(M2083=0,U2083=1),0,IF(T2083="GST on Income",ROUND(K2083*0.1,2),ROUND(-K2083*0.1,2)))</f>
        <v>0</v>
      </c>
    </row>
    <row r="2084">
      <c r="A2084" t="inlineStr">
        <is>
          <t>INV-5465-2</t>
        </is>
      </c>
      <c r="B2084" t="inlineStr">
        <is>
          <t>INV-5465</t>
        </is>
      </c>
      <c r="C2084" s="11" t="n">
        <v>46145</v>
      </c>
      <c r="D2084" t="inlineStr">
        <is>
          <t>2026-05</t>
        </is>
      </c>
      <c r="E2084" t="inlineStr">
        <is>
          <t>C0030</t>
        </is>
      </c>
      <c r="F2084" t="inlineStr">
        <is>
          <t>C0030</t>
        </is>
      </c>
      <c r="G2084" t="inlineStr">
        <is>
          <t>Bluegum Developments</t>
        </is>
      </c>
      <c r="H2084" t="inlineStr">
        <is>
          <t>S0304</t>
        </is>
      </c>
      <c r="I2084" t="inlineStr">
        <is>
          <t>Materials - gutter and downpipe</t>
        </is>
      </c>
      <c r="J2084" t="n">
        <v>1</v>
      </c>
      <c r="K2084" s="9" t="n">
        <v>573.25</v>
      </c>
      <c r="L2084" t="inlineStr">
        <is>
          <t>PAID</t>
        </is>
      </c>
      <c r="M2084">
        <f>IF(L2084="VOIDED",0,1)</f>
        <v>1</v>
      </c>
      <c r="N2084" t="n">
        <v>200</v>
      </c>
      <c r="O2084" t="inlineStr">
        <is>
          <t>GST on Income</t>
        </is>
      </c>
      <c r="P2084" t="inlineStr">
        <is>
          <t>R11</t>
        </is>
      </c>
      <c r="Q2084" t="inlineStr">
        <is>
          <t>MAT-RF</t>
        </is>
      </c>
      <c r="R2084">
        <f>IF(OR(Q2084="CONTEXT",Q2084="REVIEW"),"",INDEX('Category Rules'!$D$5:$D$17,MATCH(P2084,'Category Rules'!$A$5:$A$17,0)))</f>
        <v>4030</v>
      </c>
      <c r="S2084" t="str">
        <f>IF(Q2084="CONTEXT","Roofing",IF(Q2084="REVIEW","",INDEX('Category Rules'!$E$5:$E$17,MATCH(P2084,'Category Rules'!$A$5:$A$17,0))))</f>
        <v>Roofing</v>
      </c>
      <c r="T2084" t="str">
        <f>IF(Q2084="DEP","BAS Excluded","GST on Income")</f>
        <v>GST on Income</v>
      </c>
      <c r="U2084">
        <f>IF(O2084=T2084,1,0)</f>
        <v>1</v>
      </c>
      <c r="V2084" s="9">
        <f>IF(OR(M2084=0,U2084=1),0,IF(T2084="GST on Income",ROUND(K2084*0.1,2),ROUND(-K2084*0.1,2)))</f>
        <v>0</v>
      </c>
    </row>
    <row r="2085">
      <c r="A2085" t="inlineStr">
        <is>
          <t>INV-5629-1</t>
        </is>
      </c>
      <c r="B2085" t="inlineStr">
        <is>
          <t>INV-5629</t>
        </is>
      </c>
      <c r="C2085" s="11" t="n">
        <v>46145</v>
      </c>
      <c r="D2085" t="inlineStr">
        <is>
          <t>2026-05</t>
        </is>
      </c>
      <c r="E2085" t="inlineStr">
        <is>
          <t>C0059</t>
        </is>
      </c>
      <c r="F2085" t="inlineStr">
        <is>
          <t>C0059</t>
        </is>
      </c>
      <c r="G2085" t="inlineStr">
        <is>
          <t>Silverleaf Insurance Repairs Pty Ltd</t>
        </is>
      </c>
      <c r="H2085" t="inlineStr">
        <is>
          <t>S0395</t>
        </is>
      </c>
      <c r="I2085" t="inlineStr">
        <is>
          <t>Make safe call-out</t>
        </is>
      </c>
      <c r="J2085" t="n">
        <v>1</v>
      </c>
      <c r="K2085" s="9" t="n">
        <v>385</v>
      </c>
      <c r="L2085" t="inlineStr">
        <is>
          <t>PAID</t>
        </is>
      </c>
      <c r="M2085">
        <f>IF(L2085="VOIDED",0,1)</f>
        <v>1</v>
      </c>
      <c r="N2085" t="n">
        <v>260</v>
      </c>
      <c r="O2085" t="inlineStr">
        <is>
          <t>GST on Income</t>
        </is>
      </c>
      <c r="P2085" t="inlineStr">
        <is>
          <t>R09</t>
        </is>
      </c>
      <c r="Q2085" t="inlineStr">
        <is>
          <t>MS</t>
        </is>
      </c>
      <c r="R2085">
        <f>IF(OR(Q2085="CONTEXT",Q2085="REVIEW"),"",INDEX('Category Rules'!$D$5:$D$17,MATCH(P2085,'Category Rules'!$A$5:$A$17,0)))</f>
        <v>4020</v>
      </c>
      <c r="S2085" t="str">
        <f>IF(Q2085="CONTEXT","Make-safe",IF(Q2085="REVIEW","",INDEX('Category Rules'!$E$5:$E$17,MATCH(P2085,'Category Rules'!$A$5:$A$17,0))))</f>
        <v>Make-safe</v>
      </c>
      <c r="T2085" t="str">
        <f>IF(Q2085="DEP","BAS Excluded","GST on Income")</f>
        <v>GST on Income</v>
      </c>
      <c r="U2085">
        <f>IF(O2085=T2085,1,0)</f>
        <v>1</v>
      </c>
      <c r="V2085" s="9">
        <f>IF(OR(M2085=0,U2085=1),0,IF(T2085="GST on Income",ROUND(K2085*0.1,2),ROUND(-K2085*0.1,2)))</f>
        <v>0</v>
      </c>
    </row>
    <row r="2086">
      <c r="A2086" t="inlineStr">
        <is>
          <t>INV-5629-2</t>
        </is>
      </c>
      <c r="B2086" t="inlineStr">
        <is>
          <t>INV-5629</t>
        </is>
      </c>
      <c r="C2086" s="11" t="n">
        <v>46145</v>
      </c>
      <c r="D2086" t="inlineStr">
        <is>
          <t>2026-05</t>
        </is>
      </c>
      <c r="E2086" t="inlineStr">
        <is>
          <t>C0059</t>
        </is>
      </c>
      <c r="F2086" t="inlineStr">
        <is>
          <t>C0059</t>
        </is>
      </c>
      <c r="G2086" t="inlineStr">
        <is>
          <t>Silverleaf Insurance Repairs Pty Ltd</t>
        </is>
      </c>
      <c r="H2086" t="inlineStr">
        <is>
          <t>S0395</t>
        </is>
      </c>
      <c r="I2086" t="inlineStr">
        <is>
          <t>Tarp supply and install - 1 tarp(s)</t>
        </is>
      </c>
      <c r="J2086" t="n">
        <v>1</v>
      </c>
      <c r="K2086" s="9" t="n">
        <v>240</v>
      </c>
      <c r="L2086" t="inlineStr">
        <is>
          <t>PAID</t>
        </is>
      </c>
      <c r="M2086">
        <f>IF(L2086="VOIDED",0,1)</f>
        <v>1</v>
      </c>
      <c r="N2086" t="n">
        <v>200</v>
      </c>
      <c r="O2086" t="inlineStr">
        <is>
          <t>GST on Income</t>
        </is>
      </c>
      <c r="P2086" t="inlineStr">
        <is>
          <t>R09</t>
        </is>
      </c>
      <c r="Q2086" t="inlineStr">
        <is>
          <t>MS</t>
        </is>
      </c>
      <c r="R2086">
        <f>IF(OR(Q2086="CONTEXT",Q2086="REVIEW"),"",INDEX('Category Rules'!$D$5:$D$17,MATCH(P2086,'Category Rules'!$A$5:$A$17,0)))</f>
        <v>4020</v>
      </c>
      <c r="S2086" t="str">
        <f>IF(Q2086="CONTEXT","Make-safe",IF(Q2086="REVIEW","",INDEX('Category Rules'!$E$5:$E$17,MATCH(P2086,'Category Rules'!$A$5:$A$17,0))))</f>
        <v>Make-safe</v>
      </c>
      <c r="T2086" t="str">
        <f>IF(Q2086="DEP","BAS Excluded","GST on Income")</f>
        <v>GST on Income</v>
      </c>
      <c r="U2086">
        <f>IF(O2086=T2086,1,0)</f>
        <v>1</v>
      </c>
      <c r="V2086" s="9">
        <f>IF(OR(M2086=0,U2086=1),0,IF(T2086="GST on Income",ROUND(K2086*0.1,2),ROUND(-K2086*0.1,2)))</f>
        <v>0</v>
      </c>
    </row>
    <row r="2087">
      <c r="A2087" t="inlineStr">
        <is>
          <t>INV-5817-1</t>
        </is>
      </c>
      <c r="B2087" t="inlineStr">
        <is>
          <t>INV-5817</t>
        </is>
      </c>
      <c r="C2087" s="11" t="n">
        <v>46145</v>
      </c>
      <c r="D2087" t="inlineStr">
        <is>
          <t>2026-05</t>
        </is>
      </c>
      <c r="E2087" t="inlineStr">
        <is>
          <t>C0053</t>
        </is>
      </c>
      <c r="F2087" t="inlineStr">
        <is>
          <t>C0053</t>
        </is>
      </c>
      <c r="G2087" t="inlineStr">
        <is>
          <t>Summit Strata Management Pty Ltd</t>
        </is>
      </c>
      <c r="H2087" t="inlineStr">
        <is>
          <t>S0500</t>
        </is>
      </c>
      <c r="I2087" t="inlineStr">
        <is>
          <t>Tarp kit hire 2 wks (25/04/26-02/05/26) - 3 kits</t>
        </is>
      </c>
      <c r="J2087" t="n">
        <v>6</v>
      </c>
      <c r="K2087" s="9" t="n">
        <v>210</v>
      </c>
      <c r="L2087" t="inlineStr">
        <is>
          <t>PAID</t>
        </is>
      </c>
      <c r="M2087">
        <f>IF(L2087="VOIDED",0,1)</f>
        <v>1</v>
      </c>
      <c r="N2087" t="n">
        <v>200</v>
      </c>
      <c r="O2087" t="inlineStr">
        <is>
          <t>GST on Income</t>
        </is>
      </c>
      <c r="P2087" t="inlineStr">
        <is>
          <t>R06</t>
        </is>
      </c>
      <c r="Q2087" t="inlineStr">
        <is>
          <t>HIRE-TK</t>
        </is>
      </c>
      <c r="R2087">
        <f>IF(OR(Q2087="CONTEXT",Q2087="REVIEW"),"",INDEX('Category Rules'!$D$5:$D$17,MATCH(P2087,'Category Rules'!$A$5:$A$17,0)))</f>
        <v>4010</v>
      </c>
      <c r="S2087" t="str">
        <f>IF(Q2087="CONTEXT","Make-safe",IF(Q2087="REVIEW","",INDEX('Category Rules'!$E$5:$E$17,MATCH(P2087,'Category Rules'!$A$5:$A$17,0))))</f>
        <v>Make-safe</v>
      </c>
      <c r="T2087" t="str">
        <f>IF(Q2087="DEP","BAS Excluded","GST on Income")</f>
        <v>GST on Income</v>
      </c>
      <c r="U2087">
        <f>IF(O2087=T2087,1,0)</f>
        <v>1</v>
      </c>
      <c r="V2087" s="9">
        <f>IF(OR(M2087=0,U2087=1),0,IF(T2087="GST on Income",ROUND(K2087*0.1,2),ROUND(-K2087*0.1,2)))</f>
        <v>0</v>
      </c>
    </row>
    <row r="2088">
      <c r="A2088" t="inlineStr">
        <is>
          <t>INV-4783-1</t>
        </is>
      </c>
      <c r="B2088" t="inlineStr">
        <is>
          <t>INV-4783</t>
        </is>
      </c>
      <c r="C2088" s="11" t="n">
        <v>46146</v>
      </c>
      <c r="D2088" t="inlineStr">
        <is>
          <t>2026-05</t>
        </is>
      </c>
      <c r="E2088" t="inlineStr">
        <is>
          <t>C0080</t>
        </is>
      </c>
      <c r="F2088" t="inlineStr">
        <is>
          <t>C0080</t>
        </is>
      </c>
      <c r="G2088" t="inlineStr">
        <is>
          <t>Ember Productions Pty Ltd</t>
        </is>
      </c>
      <c r="H2088" t="inlineStr">
        <is>
          <t>S0146</t>
        </is>
      </c>
      <c r="I2088" t="inlineStr">
        <is>
          <t>Temporary fence hire 3 wks (19/04/26-03/05/26) - 107 panels</t>
        </is>
      </c>
      <c r="J2088" t="n">
        <v>321</v>
      </c>
      <c r="K2088" s="9" t="n">
        <v>1444.5</v>
      </c>
      <c r="L2088" t="inlineStr">
        <is>
          <t>PAID</t>
        </is>
      </c>
      <c r="M2088">
        <f>IF(L2088="VOIDED",0,1)</f>
        <v>1</v>
      </c>
      <c r="N2088" t="n">
        <v>200</v>
      </c>
      <c r="O2088" t="inlineStr">
        <is>
          <t>GST on Income</t>
        </is>
      </c>
      <c r="P2088" t="inlineStr">
        <is>
          <t>R03</t>
        </is>
      </c>
      <c r="Q2088" t="inlineStr">
        <is>
          <t>HIRE-FP</t>
        </is>
      </c>
      <c r="R2088">
        <f>IF(OR(Q2088="CONTEXT",Q2088="REVIEW"),"",INDEX('Category Rules'!$D$5:$D$17,MATCH(P2088,'Category Rules'!$A$5:$A$17,0)))</f>
        <v>4010</v>
      </c>
      <c r="S2088" t="str">
        <f>IF(Q2088="CONTEXT","Fencing",IF(Q2088="REVIEW","",INDEX('Category Rules'!$E$5:$E$17,MATCH(P2088,'Category Rules'!$A$5:$A$17,0))))</f>
        <v>Fencing</v>
      </c>
      <c r="T2088" t="str">
        <f>IF(Q2088="DEP","BAS Excluded","GST on Income")</f>
        <v>GST on Income</v>
      </c>
      <c r="U2088">
        <f>IF(O2088=T2088,1,0)</f>
        <v>1</v>
      </c>
      <c r="V2088" s="9">
        <f>IF(OR(M2088=0,U2088=1),0,IF(T2088="GST on Income",ROUND(K2088*0.1,2),ROUND(-K2088*0.1,2)))</f>
        <v>0</v>
      </c>
    </row>
    <row r="2089">
      <c r="A2089" t="inlineStr">
        <is>
          <t>INV-4785-1</t>
        </is>
      </c>
      <c r="B2089" t="inlineStr">
        <is>
          <t>INV-4785</t>
        </is>
      </c>
      <c r="C2089" s="11" t="n">
        <v>46146</v>
      </c>
      <c r="D2089" t="inlineStr">
        <is>
          <t>2026-05</t>
        </is>
      </c>
      <c r="E2089" t="inlineStr">
        <is>
          <t>C0080</t>
        </is>
      </c>
      <c r="F2089" t="inlineStr">
        <is>
          <t>C0080</t>
        </is>
      </c>
      <c r="G2089" t="inlineStr">
        <is>
          <t>Ember Productions Pty Ltd</t>
        </is>
      </c>
      <c r="H2089" t="inlineStr">
        <is>
          <t>S0146</t>
        </is>
      </c>
      <c r="I2089" t="inlineStr">
        <is>
          <t>Collection and dismantle - temporary fencing</t>
        </is>
      </c>
      <c r="J2089" t="n">
        <v>1</v>
      </c>
      <c r="K2089" s="9" t="n">
        <v>165</v>
      </c>
      <c r="L2089" t="inlineStr">
        <is>
          <t>PAID</t>
        </is>
      </c>
      <c r="M2089">
        <f>IF(L2089="VOIDED",0,1)</f>
        <v>1</v>
      </c>
      <c r="N2089" t="n">
        <v>200</v>
      </c>
      <c r="O2089" t="inlineStr">
        <is>
          <t>GST on Income</t>
        </is>
      </c>
      <c r="P2089" t="inlineStr">
        <is>
          <t>R07</t>
        </is>
      </c>
      <c r="Q2089" t="inlineStr">
        <is>
          <t>DEL-FP</t>
        </is>
      </c>
      <c r="R2089">
        <f>IF(OR(Q2089="CONTEXT",Q2089="REVIEW"),"",INDEX('Category Rules'!$D$5:$D$17,MATCH(P2089,'Category Rules'!$A$5:$A$17,0)))</f>
        <v>4020</v>
      </c>
      <c r="S2089" t="str">
        <f>IF(Q2089="CONTEXT","Fencing",IF(Q2089="REVIEW","",INDEX('Category Rules'!$E$5:$E$17,MATCH(P2089,'Category Rules'!$A$5:$A$17,0))))</f>
        <v>Fencing</v>
      </c>
      <c r="T2089" t="str">
        <f>IF(Q2089="DEP","BAS Excluded","GST on Income")</f>
        <v>GST on Income</v>
      </c>
      <c r="U2089">
        <f>IF(O2089=T2089,1,0)</f>
        <v>1</v>
      </c>
      <c r="V2089" s="9">
        <f>IF(OR(M2089=0,U2089=1),0,IF(T2089="GST on Income",ROUND(K2089*0.1,2),ROUND(-K2089*0.1,2)))</f>
        <v>0</v>
      </c>
    </row>
    <row r="2090">
      <c r="A2090" t="inlineStr">
        <is>
          <t>INV-5160-1</t>
        </is>
      </c>
      <c r="B2090" t="inlineStr">
        <is>
          <t>INV-5160</t>
        </is>
      </c>
      <c r="C2090" s="11" t="n">
        <v>46146</v>
      </c>
      <c r="D2090" t="inlineStr">
        <is>
          <t>2026-05</t>
        </is>
      </c>
      <c r="E2090" t="inlineStr">
        <is>
          <t>C0018</t>
        </is>
      </c>
      <c r="F2090" t="inlineStr">
        <is>
          <t>C0018</t>
        </is>
      </c>
      <c r="G2090" t="inlineStr">
        <is>
          <t>Wattle Constructions Pty Ltd</t>
        </is>
      </c>
      <c r="H2090" t="inlineStr">
        <is>
          <t>S0228</t>
        </is>
      </c>
      <c r="I2090" t="inlineStr">
        <is>
          <t>Temporary fence hire 3 wks (19/04/26-03/05/26) - 154 panels</t>
        </is>
      </c>
      <c r="J2090" t="n">
        <v>462</v>
      </c>
      <c r="K2090" s="9" t="n">
        <v>2079</v>
      </c>
      <c r="L2090" t="inlineStr">
        <is>
          <t>PAID</t>
        </is>
      </c>
      <c r="M2090">
        <f>IF(L2090="VOIDED",0,1)</f>
        <v>1</v>
      </c>
      <c r="N2090" t="n">
        <v>200</v>
      </c>
      <c r="O2090" t="inlineStr">
        <is>
          <t>GST on Income</t>
        </is>
      </c>
      <c r="P2090" t="inlineStr">
        <is>
          <t>R03</t>
        </is>
      </c>
      <c r="Q2090" t="inlineStr">
        <is>
          <t>HIRE-FP</t>
        </is>
      </c>
      <c r="R2090">
        <f>IF(OR(Q2090="CONTEXT",Q2090="REVIEW"),"",INDEX('Category Rules'!$D$5:$D$17,MATCH(P2090,'Category Rules'!$A$5:$A$17,0)))</f>
        <v>4010</v>
      </c>
      <c r="S2090" t="str">
        <f>IF(Q2090="CONTEXT","Fencing",IF(Q2090="REVIEW","",INDEX('Category Rules'!$E$5:$E$17,MATCH(P2090,'Category Rules'!$A$5:$A$17,0))))</f>
        <v>Fencing</v>
      </c>
      <c r="T2090" t="str">
        <f>IF(Q2090="DEP","BAS Excluded","GST on Income")</f>
        <v>GST on Income</v>
      </c>
      <c r="U2090">
        <f>IF(O2090=T2090,1,0)</f>
        <v>1</v>
      </c>
      <c r="V2090" s="9">
        <f>IF(OR(M2090=0,U2090=1),0,IF(T2090="GST on Income",ROUND(K2090*0.1,2),ROUND(-K2090*0.1,2)))</f>
        <v>0</v>
      </c>
    </row>
    <row r="2091">
      <c r="A2091" t="inlineStr">
        <is>
          <t>INV-5162-1</t>
        </is>
      </c>
      <c r="B2091" t="inlineStr">
        <is>
          <t>INV-5162</t>
        </is>
      </c>
      <c r="C2091" s="11" t="n">
        <v>46146</v>
      </c>
      <c r="D2091" t="inlineStr">
        <is>
          <t>2026-05</t>
        </is>
      </c>
      <c r="E2091" t="inlineStr">
        <is>
          <t>C0018</t>
        </is>
      </c>
      <c r="F2091" t="inlineStr">
        <is>
          <t>C0018</t>
        </is>
      </c>
      <c r="G2091" t="inlineStr">
        <is>
          <t>Wattle Constructions Pty Ltd</t>
        </is>
      </c>
      <c r="H2091" t="inlineStr">
        <is>
          <t>S0228</t>
        </is>
      </c>
      <c r="I2091" t="inlineStr">
        <is>
          <t>Pedestrian barrier hire 3 wks (19/04/26-03/05/26) - 12 barriers</t>
        </is>
      </c>
      <c r="J2091" t="n">
        <v>36</v>
      </c>
      <c r="K2091" s="9" t="n">
        <v>115.2</v>
      </c>
      <c r="L2091" t="inlineStr">
        <is>
          <t>PAID</t>
        </is>
      </c>
      <c r="M2091">
        <f>IF(L2091="VOIDED",0,1)</f>
        <v>1</v>
      </c>
      <c r="N2091" t="n">
        <v>200</v>
      </c>
      <c r="O2091" t="inlineStr">
        <is>
          <t>GST on Income</t>
        </is>
      </c>
      <c r="P2091" t="inlineStr">
        <is>
          <t>R04</t>
        </is>
      </c>
      <c r="Q2091" t="inlineStr">
        <is>
          <t>HIRE-BR</t>
        </is>
      </c>
      <c r="R2091">
        <f>IF(OR(Q2091="CONTEXT",Q2091="REVIEW"),"",INDEX('Category Rules'!$D$5:$D$17,MATCH(P2091,'Category Rules'!$A$5:$A$17,0)))</f>
        <v>4010</v>
      </c>
      <c r="S2091" t="str">
        <f>IF(Q2091="CONTEXT","Fencing",IF(Q2091="REVIEW","",INDEX('Category Rules'!$E$5:$E$17,MATCH(P2091,'Category Rules'!$A$5:$A$17,0))))</f>
        <v>Fencing</v>
      </c>
      <c r="T2091" t="str">
        <f>IF(Q2091="DEP","BAS Excluded","GST on Income")</f>
        <v>GST on Income</v>
      </c>
      <c r="U2091">
        <f>IF(O2091=T2091,1,0)</f>
        <v>1</v>
      </c>
      <c r="V2091" s="9">
        <f>IF(OR(M2091=0,U2091=1),0,IF(T2091="GST on Income",ROUND(K2091*0.1,2),ROUND(-K2091*0.1,2)))</f>
        <v>0</v>
      </c>
    </row>
    <row r="2092">
      <c r="A2092" t="inlineStr">
        <is>
          <t>INV-5164-1</t>
        </is>
      </c>
      <c r="B2092" t="inlineStr">
        <is>
          <t>INV-5164</t>
        </is>
      </c>
      <c r="C2092" s="11" t="n">
        <v>46146</v>
      </c>
      <c r="D2092" t="inlineStr">
        <is>
          <t>2026-05</t>
        </is>
      </c>
      <c r="E2092" t="inlineStr">
        <is>
          <t>C0018</t>
        </is>
      </c>
      <c r="F2092" t="inlineStr">
        <is>
          <t>C0018</t>
        </is>
      </c>
      <c r="G2092" t="inlineStr">
        <is>
          <t>Wattle Constructions Pty Ltd</t>
        </is>
      </c>
      <c r="H2092" t="inlineStr">
        <is>
          <t>S0228</t>
        </is>
      </c>
      <c r="I2092" t="inlineStr">
        <is>
          <t>Collection and dismantle - temporary fencing</t>
        </is>
      </c>
      <c r="J2092" t="n">
        <v>1</v>
      </c>
      <c r="K2092" s="9" t="n">
        <v>165</v>
      </c>
      <c r="L2092" t="inlineStr">
        <is>
          <t>PAID</t>
        </is>
      </c>
      <c r="M2092">
        <f>IF(L2092="VOIDED",0,1)</f>
        <v>1</v>
      </c>
      <c r="N2092" t="n">
        <v>200</v>
      </c>
      <c r="O2092" t="inlineStr">
        <is>
          <t>GST on Income</t>
        </is>
      </c>
      <c r="P2092" t="inlineStr">
        <is>
          <t>R07</t>
        </is>
      </c>
      <c r="Q2092" t="inlineStr">
        <is>
          <t>DEL-FP</t>
        </is>
      </c>
      <c r="R2092">
        <f>IF(OR(Q2092="CONTEXT",Q2092="REVIEW"),"",INDEX('Category Rules'!$D$5:$D$17,MATCH(P2092,'Category Rules'!$A$5:$A$17,0)))</f>
        <v>4020</v>
      </c>
      <c r="S2092" t="str">
        <f>IF(Q2092="CONTEXT","Fencing",IF(Q2092="REVIEW","",INDEX('Category Rules'!$E$5:$E$17,MATCH(P2092,'Category Rules'!$A$5:$A$17,0))))</f>
        <v>Fencing</v>
      </c>
      <c r="T2092" t="str">
        <f>IF(Q2092="DEP","BAS Excluded","GST on Income")</f>
        <v>GST on Income</v>
      </c>
      <c r="U2092">
        <f>IF(O2092=T2092,1,0)</f>
        <v>1</v>
      </c>
      <c r="V2092" s="9">
        <f>IF(OR(M2092=0,U2092=1),0,IF(T2092="GST on Income",ROUND(K2092*0.1,2),ROUND(-K2092*0.1,2)))</f>
        <v>0</v>
      </c>
    </row>
    <row r="2093">
      <c r="A2093" t="inlineStr">
        <is>
          <t>INV-5584-1</t>
        </is>
      </c>
      <c r="B2093" t="inlineStr">
        <is>
          <t>INV-5584</t>
        </is>
      </c>
      <c r="C2093" s="11" t="n">
        <v>46146</v>
      </c>
      <c r="D2093" t="inlineStr">
        <is>
          <t>2026-05</t>
        </is>
      </c>
      <c r="E2093" t="inlineStr">
        <is>
          <t>C0147</t>
        </is>
      </c>
      <c r="F2093" t="inlineStr">
        <is>
          <t>C0067</t>
        </is>
      </c>
      <c r="G2093" t="inlineStr">
        <is>
          <t>Banksia Claims Services Pty Ltd</t>
        </is>
      </c>
      <c r="H2093" t="inlineStr">
        <is>
          <t>S0373</t>
        </is>
      </c>
      <c r="I2093" t="inlineStr">
        <is>
          <t>Tarp kit hire 4 wks (06/04/26-03/05/26) - 2 kits</t>
        </is>
      </c>
      <c r="J2093" t="n">
        <v>8</v>
      </c>
      <c r="K2093" s="9" t="n">
        <v>280</v>
      </c>
      <c r="L2093" t="inlineStr">
        <is>
          <t>PAID</t>
        </is>
      </c>
      <c r="M2093">
        <f>IF(L2093="VOIDED",0,1)</f>
        <v>1</v>
      </c>
      <c r="N2093" t="n">
        <v>200</v>
      </c>
      <c r="O2093" t="inlineStr">
        <is>
          <t>GST on Income</t>
        </is>
      </c>
      <c r="P2093" t="inlineStr">
        <is>
          <t>R06</t>
        </is>
      </c>
      <c r="Q2093" t="inlineStr">
        <is>
          <t>HIRE-TK</t>
        </is>
      </c>
      <c r="R2093">
        <f>IF(OR(Q2093="CONTEXT",Q2093="REVIEW"),"",INDEX('Category Rules'!$D$5:$D$17,MATCH(P2093,'Category Rules'!$A$5:$A$17,0)))</f>
        <v>4010</v>
      </c>
      <c r="S2093" t="str">
        <f>IF(Q2093="CONTEXT","Make-safe",IF(Q2093="REVIEW","",INDEX('Category Rules'!$E$5:$E$17,MATCH(P2093,'Category Rules'!$A$5:$A$17,0))))</f>
        <v>Make-safe</v>
      </c>
      <c r="T2093" t="str">
        <f>IF(Q2093="DEP","BAS Excluded","GST on Income")</f>
        <v>GST on Income</v>
      </c>
      <c r="U2093">
        <f>IF(O2093=T2093,1,0)</f>
        <v>1</v>
      </c>
      <c r="V2093" s="9">
        <f>IF(OR(M2093=0,U2093=1),0,IF(T2093="GST on Income",ROUND(K2093*0.1,2),ROUND(-K2093*0.1,2)))</f>
        <v>0</v>
      </c>
    </row>
    <row r="2094">
      <c r="A2094" t="inlineStr">
        <is>
          <t>INV-4319-1</t>
        </is>
      </c>
      <c r="B2094" t="inlineStr">
        <is>
          <t>INV-4319</t>
        </is>
      </c>
      <c r="C2094" s="11" t="n">
        <v>46147</v>
      </c>
      <c r="D2094" t="inlineStr">
        <is>
          <t>2026-05</t>
        </is>
      </c>
      <c r="E2094" t="inlineStr">
        <is>
          <t>C0072</t>
        </is>
      </c>
      <c r="F2094" t="inlineStr">
        <is>
          <t>C0072</t>
        </is>
      </c>
      <c r="G2094" t="inlineStr">
        <is>
          <t>Kingston City Council</t>
        </is>
      </c>
      <c r="H2094" t="inlineStr">
        <is>
          <t>S0047</t>
        </is>
      </c>
      <c r="I2094" t="inlineStr">
        <is>
          <t>Temporary fence hire 4 wks (10/04/26-04/05/26) - 111 panels</t>
        </is>
      </c>
      <c r="J2094" t="n">
        <v>444</v>
      </c>
      <c r="K2094" s="9" t="n">
        <v>1998</v>
      </c>
      <c r="L2094" t="inlineStr">
        <is>
          <t>PAID</t>
        </is>
      </c>
      <c r="M2094">
        <f>IF(L2094="VOIDED",0,1)</f>
        <v>1</v>
      </c>
      <c r="N2094" t="n">
        <v>200</v>
      </c>
      <c r="O2094" t="inlineStr">
        <is>
          <t>GST on Income</t>
        </is>
      </c>
      <c r="P2094" t="inlineStr">
        <is>
          <t>R03</t>
        </is>
      </c>
      <c r="Q2094" t="inlineStr">
        <is>
          <t>HIRE-FP</t>
        </is>
      </c>
      <c r="R2094">
        <f>IF(OR(Q2094="CONTEXT",Q2094="REVIEW"),"",INDEX('Category Rules'!$D$5:$D$17,MATCH(P2094,'Category Rules'!$A$5:$A$17,0)))</f>
        <v>4010</v>
      </c>
      <c r="S2094" t="str">
        <f>IF(Q2094="CONTEXT","Fencing",IF(Q2094="REVIEW","",INDEX('Category Rules'!$E$5:$E$17,MATCH(P2094,'Category Rules'!$A$5:$A$17,0))))</f>
        <v>Fencing</v>
      </c>
      <c r="T2094" t="str">
        <f>IF(Q2094="DEP","BAS Excluded","GST on Income")</f>
        <v>GST on Income</v>
      </c>
      <c r="U2094">
        <f>IF(O2094=T2094,1,0)</f>
        <v>1</v>
      </c>
      <c r="V2094" s="9">
        <f>IF(OR(M2094=0,U2094=1),0,IF(T2094="GST on Income",ROUND(K2094*0.1,2),ROUND(-K2094*0.1,2)))</f>
        <v>0</v>
      </c>
    </row>
    <row r="2095">
      <c r="A2095" t="inlineStr">
        <is>
          <t>INV-4321-1</t>
        </is>
      </c>
      <c r="B2095" t="inlineStr">
        <is>
          <t>INV-4321</t>
        </is>
      </c>
      <c r="C2095" s="11" t="n">
        <v>46147</v>
      </c>
      <c r="D2095" t="inlineStr">
        <is>
          <t>2026-05</t>
        </is>
      </c>
      <c r="E2095" t="inlineStr">
        <is>
          <t>C0072</t>
        </is>
      </c>
      <c r="F2095" t="inlineStr">
        <is>
          <t>C0072</t>
        </is>
      </c>
      <c r="G2095" t="inlineStr">
        <is>
          <t>Kingston City Council</t>
        </is>
      </c>
      <c r="H2095" t="inlineStr">
        <is>
          <t>S0047</t>
        </is>
      </c>
      <c r="I2095" t="inlineStr">
        <is>
          <t>Collection and dismantle - temporary fencing</t>
        </is>
      </c>
      <c r="J2095" t="n">
        <v>1</v>
      </c>
      <c r="K2095" s="9" t="n">
        <v>165</v>
      </c>
      <c r="L2095" t="inlineStr">
        <is>
          <t>PAID</t>
        </is>
      </c>
      <c r="M2095">
        <f>IF(L2095="VOIDED",0,1)</f>
        <v>1</v>
      </c>
      <c r="N2095" t="n">
        <v>200</v>
      </c>
      <c r="O2095" t="inlineStr">
        <is>
          <t>GST on Income</t>
        </is>
      </c>
      <c r="P2095" t="inlineStr">
        <is>
          <t>R07</t>
        </is>
      </c>
      <c r="Q2095" t="inlineStr">
        <is>
          <t>DEL-FP</t>
        </is>
      </c>
      <c r="R2095">
        <f>IF(OR(Q2095="CONTEXT",Q2095="REVIEW"),"",INDEX('Category Rules'!$D$5:$D$17,MATCH(P2095,'Category Rules'!$A$5:$A$17,0)))</f>
        <v>4020</v>
      </c>
      <c r="S2095" t="str">
        <f>IF(Q2095="CONTEXT","Fencing",IF(Q2095="REVIEW","",INDEX('Category Rules'!$E$5:$E$17,MATCH(P2095,'Category Rules'!$A$5:$A$17,0))))</f>
        <v>Fencing</v>
      </c>
      <c r="T2095" t="str">
        <f>IF(Q2095="DEP","BAS Excluded","GST on Income")</f>
        <v>GST on Income</v>
      </c>
      <c r="U2095">
        <f>IF(O2095=T2095,1,0)</f>
        <v>1</v>
      </c>
      <c r="V2095" s="9">
        <f>IF(OR(M2095=0,U2095=1),0,IF(T2095="GST on Income",ROUND(K2095*0.1,2),ROUND(-K2095*0.1,2)))</f>
        <v>0</v>
      </c>
    </row>
    <row r="2096">
      <c r="A2096" t="inlineStr">
        <is>
          <t>INV-4959-1</t>
        </is>
      </c>
      <c r="B2096" t="inlineStr">
        <is>
          <t>INV-4959</t>
        </is>
      </c>
      <c r="C2096" s="11" t="n">
        <v>46147</v>
      </c>
      <c r="D2096" t="inlineStr">
        <is>
          <t>2026-05</t>
        </is>
      </c>
      <c r="E2096" t="inlineStr">
        <is>
          <t>C0022</t>
        </is>
      </c>
      <c r="F2096" t="inlineStr">
        <is>
          <t>C0022</t>
        </is>
      </c>
      <c r="G2096" t="inlineStr">
        <is>
          <t>Highpoint Projects</t>
        </is>
      </c>
      <c r="H2096" t="inlineStr">
        <is>
          <t>S0182</t>
        </is>
      </c>
      <c r="I2096" t="inlineStr">
        <is>
          <t>Temporary fence hire 4 wks (07/04/26-04/05/26) - 111 panels</t>
        </is>
      </c>
      <c r="J2096" t="n">
        <v>444</v>
      </c>
      <c r="K2096" s="9" t="n">
        <v>1998</v>
      </c>
      <c r="L2096" t="inlineStr">
        <is>
          <t>PAID</t>
        </is>
      </c>
      <c r="M2096">
        <f>IF(L2096="VOIDED",0,1)</f>
        <v>1</v>
      </c>
      <c r="N2096" t="n">
        <v>200</v>
      </c>
      <c r="O2096" t="inlineStr">
        <is>
          <t>GST on Income</t>
        </is>
      </c>
      <c r="P2096" t="inlineStr">
        <is>
          <t>R03</t>
        </is>
      </c>
      <c r="Q2096" t="inlineStr">
        <is>
          <t>HIRE-FP</t>
        </is>
      </c>
      <c r="R2096">
        <f>IF(OR(Q2096="CONTEXT",Q2096="REVIEW"),"",INDEX('Category Rules'!$D$5:$D$17,MATCH(P2096,'Category Rules'!$A$5:$A$17,0)))</f>
        <v>4010</v>
      </c>
      <c r="S2096" t="str">
        <f>IF(Q2096="CONTEXT","Fencing",IF(Q2096="REVIEW","",INDEX('Category Rules'!$E$5:$E$17,MATCH(P2096,'Category Rules'!$A$5:$A$17,0))))</f>
        <v>Fencing</v>
      </c>
      <c r="T2096" t="str">
        <f>IF(Q2096="DEP","BAS Excluded","GST on Income")</f>
        <v>GST on Income</v>
      </c>
      <c r="U2096">
        <f>IF(O2096=T2096,1,0)</f>
        <v>1</v>
      </c>
      <c r="V2096" s="9">
        <f>IF(OR(M2096=0,U2096=1),0,IF(T2096="GST on Income",ROUND(K2096*0.1,2),ROUND(-K2096*0.1,2)))</f>
        <v>0</v>
      </c>
    </row>
    <row r="2097">
      <c r="A2097" t="inlineStr">
        <is>
          <t>INV-5079-1</t>
        </is>
      </c>
      <c r="B2097" t="inlineStr">
        <is>
          <t>INV-5079</t>
        </is>
      </c>
      <c r="C2097" s="11" t="n">
        <v>46147</v>
      </c>
      <c r="D2097" t="inlineStr">
        <is>
          <t>2026-05</t>
        </is>
      </c>
      <c r="E2097" t="inlineStr">
        <is>
          <t>C0031</t>
        </is>
      </c>
      <c r="F2097" t="inlineStr">
        <is>
          <t>C0031</t>
        </is>
      </c>
      <c r="G2097" t="inlineStr">
        <is>
          <t>Granite Developments Pty Ltd</t>
        </is>
      </c>
      <c r="H2097" t="inlineStr">
        <is>
          <t>S0209</t>
        </is>
      </c>
      <c r="I2097" t="inlineStr">
        <is>
          <t>Delivery and installation - temporary fencing</t>
        </is>
      </c>
      <c r="J2097" t="n">
        <v>1</v>
      </c>
      <c r="K2097" s="9" t="n">
        <v>165</v>
      </c>
      <c r="L2097" t="inlineStr">
        <is>
          <t>PAID</t>
        </is>
      </c>
      <c r="M2097">
        <f>IF(L2097="VOIDED",0,1)</f>
        <v>1</v>
      </c>
      <c r="N2097" t="n">
        <v>200</v>
      </c>
      <c r="O2097" t="inlineStr">
        <is>
          <t>GST on Income</t>
        </is>
      </c>
      <c r="P2097" t="inlineStr">
        <is>
          <t>R07</t>
        </is>
      </c>
      <c r="Q2097" t="inlineStr">
        <is>
          <t>DEL-FP</t>
        </is>
      </c>
      <c r="R2097">
        <f>IF(OR(Q2097="CONTEXT",Q2097="REVIEW"),"",INDEX('Category Rules'!$D$5:$D$17,MATCH(P2097,'Category Rules'!$A$5:$A$17,0)))</f>
        <v>4020</v>
      </c>
      <c r="S2097" t="str">
        <f>IF(Q2097="CONTEXT","Fencing",IF(Q2097="REVIEW","",INDEX('Category Rules'!$E$5:$E$17,MATCH(P2097,'Category Rules'!$A$5:$A$17,0))))</f>
        <v>Fencing</v>
      </c>
      <c r="T2097" t="str">
        <f>IF(Q2097="DEP","BAS Excluded","GST on Income")</f>
        <v>GST on Income</v>
      </c>
      <c r="U2097">
        <f>IF(O2097=T2097,1,0)</f>
        <v>1</v>
      </c>
      <c r="V2097" s="9">
        <f>IF(OR(M2097=0,U2097=1),0,IF(T2097="GST on Income",ROUND(K2097*0.1,2),ROUND(-K2097*0.1,2)))</f>
        <v>0</v>
      </c>
    </row>
    <row r="2098">
      <c r="A2098" t="inlineStr">
        <is>
          <t>INV-5079-2</t>
        </is>
      </c>
      <c r="B2098" t="inlineStr">
        <is>
          <t>INV-5079</t>
        </is>
      </c>
      <c r="C2098" s="11" t="n">
        <v>46147</v>
      </c>
      <c r="D2098" t="inlineStr">
        <is>
          <t>2026-05</t>
        </is>
      </c>
      <c r="E2098" t="inlineStr">
        <is>
          <t>C0031</t>
        </is>
      </c>
      <c r="F2098" t="inlineStr">
        <is>
          <t>C0031</t>
        </is>
      </c>
      <c r="G2098" t="inlineStr">
        <is>
          <t>Granite Developments Pty Ltd</t>
        </is>
      </c>
      <c r="H2098" t="inlineStr">
        <is>
          <t>S0209</t>
        </is>
      </c>
      <c r="I2098" t="inlineStr">
        <is>
          <t>Installation labour - 100 panels @ 2.20</t>
        </is>
      </c>
      <c r="J2098" t="n">
        <v>100</v>
      </c>
      <c r="K2098" s="9" t="n">
        <v>220</v>
      </c>
      <c r="L2098" t="inlineStr">
        <is>
          <t>PAID</t>
        </is>
      </c>
      <c r="M2098">
        <f>IF(L2098="VOIDED",0,1)</f>
        <v>1</v>
      </c>
      <c r="N2098" t="n">
        <v>260</v>
      </c>
      <c r="O2098" t="inlineStr">
        <is>
          <t>GST on Income</t>
        </is>
      </c>
      <c r="P2098" t="inlineStr">
        <is>
          <t>R07</t>
        </is>
      </c>
      <c r="Q2098" t="inlineStr">
        <is>
          <t>DEL-FP</t>
        </is>
      </c>
      <c r="R2098">
        <f>IF(OR(Q2098="CONTEXT",Q2098="REVIEW"),"",INDEX('Category Rules'!$D$5:$D$17,MATCH(P2098,'Category Rules'!$A$5:$A$17,0)))</f>
        <v>4020</v>
      </c>
      <c r="S2098" t="str">
        <f>IF(Q2098="CONTEXT","Fencing",IF(Q2098="REVIEW","",INDEX('Category Rules'!$E$5:$E$17,MATCH(P2098,'Category Rules'!$A$5:$A$17,0))))</f>
        <v>Fencing</v>
      </c>
      <c r="T2098" t="str">
        <f>IF(Q2098="DEP","BAS Excluded","GST on Income")</f>
        <v>GST on Income</v>
      </c>
      <c r="U2098">
        <f>IF(O2098=T2098,1,0)</f>
        <v>1</v>
      </c>
      <c r="V2098" s="9">
        <f>IF(OR(M2098=0,U2098=1),0,IF(T2098="GST on Income",ROUND(K2098*0.1,2),ROUND(-K2098*0.1,2)))</f>
        <v>0</v>
      </c>
    </row>
    <row r="2099">
      <c r="A2099" t="inlineStr">
        <is>
          <t>INV-5132-1</t>
        </is>
      </c>
      <c r="B2099" t="inlineStr">
        <is>
          <t>INV-5132</t>
        </is>
      </c>
      <c r="C2099" s="11" t="n">
        <v>46147</v>
      </c>
      <c r="D2099" t="inlineStr">
        <is>
          <t>2026-05</t>
        </is>
      </c>
      <c r="E2099" t="inlineStr">
        <is>
          <t>C0098</t>
        </is>
      </c>
      <c r="F2099" t="inlineStr">
        <is>
          <t>C0098</t>
        </is>
      </c>
      <c r="G2099" t="inlineStr">
        <is>
          <t>Ethan Walker</t>
        </is>
      </c>
      <c r="H2099" t="inlineStr">
        <is>
          <t>S0220</t>
        </is>
      </c>
      <c r="I2099" t="inlineStr">
        <is>
          <t>Temporary fence hire 4 wks (07/04/26-04/05/26) - 114 panels</t>
        </is>
      </c>
      <c r="J2099" t="n">
        <v>456</v>
      </c>
      <c r="K2099" s="9" t="n">
        <v>2052</v>
      </c>
      <c r="L2099" t="inlineStr">
        <is>
          <t>PAID</t>
        </is>
      </c>
      <c r="M2099">
        <f>IF(L2099="VOIDED",0,1)</f>
        <v>1</v>
      </c>
      <c r="N2099" t="n">
        <v>200</v>
      </c>
      <c r="O2099" t="inlineStr">
        <is>
          <t>BAS Excluded</t>
        </is>
      </c>
      <c r="P2099" t="inlineStr">
        <is>
          <t>R03</t>
        </is>
      </c>
      <c r="Q2099" t="inlineStr">
        <is>
          <t>HIRE-FP</t>
        </is>
      </c>
      <c r="R2099">
        <f>IF(OR(Q2099="CONTEXT",Q2099="REVIEW"),"",INDEX('Category Rules'!$D$5:$D$17,MATCH(P2099,'Category Rules'!$A$5:$A$17,0)))</f>
        <v>4010</v>
      </c>
      <c r="S2099" t="str">
        <f>IF(Q2099="CONTEXT","Fencing",IF(Q2099="REVIEW","",INDEX('Category Rules'!$E$5:$E$17,MATCH(P2099,'Category Rules'!$A$5:$A$17,0))))</f>
        <v>Fencing</v>
      </c>
      <c r="T2099" t="str">
        <f>IF(Q2099="DEP","BAS Excluded","GST on Income")</f>
        <v>GST on Income</v>
      </c>
      <c r="U2099">
        <f>IF(O2099=T2099,1,0)</f>
        <v>0</v>
      </c>
      <c r="V2099" s="9">
        <f>IF(OR(M2099=0,U2099=1),0,IF(T2099="GST on Income",ROUND(K2099*0.1,2),ROUND(-K2099*0.1,2)))</f>
        <v>205.2</v>
      </c>
    </row>
    <row r="2100">
      <c r="A2100" t="inlineStr">
        <is>
          <t>INV-5359-1</t>
        </is>
      </c>
      <c r="B2100" t="inlineStr">
        <is>
          <t>INV-5359</t>
        </is>
      </c>
      <c r="C2100" s="11" t="n">
        <v>46147</v>
      </c>
      <c r="D2100" t="inlineStr">
        <is>
          <t>2026-05</t>
        </is>
      </c>
      <c r="E2100" t="inlineStr">
        <is>
          <t>C0140</t>
        </is>
      </c>
      <c r="F2100" t="inlineStr">
        <is>
          <t>C0106</t>
        </is>
      </c>
      <c r="G2100" t="inlineStr">
        <is>
          <t>Ella Wilson</t>
        </is>
      </c>
      <c r="H2100" t="inlineStr">
        <is>
          <t>S0273</t>
        </is>
      </c>
      <c r="I2100" t="inlineStr">
        <is>
          <t>Scaffold erect - 2 tower(s)</t>
        </is>
      </c>
      <c r="J2100" t="n">
        <v>2</v>
      </c>
      <c r="K2100" s="9" t="n">
        <v>840</v>
      </c>
      <c r="L2100" t="inlineStr">
        <is>
          <t>PAID</t>
        </is>
      </c>
      <c r="M2100">
        <f>IF(L2100="VOIDED",0,1)</f>
        <v>1</v>
      </c>
      <c r="N2100" t="n">
        <v>200</v>
      </c>
      <c r="O2100" t="inlineStr">
        <is>
          <t>GST on Income</t>
        </is>
      </c>
      <c r="P2100" t="inlineStr">
        <is>
          <t>R08</t>
        </is>
      </c>
      <c r="Q2100" t="inlineStr">
        <is>
          <t>LAB-ST</t>
        </is>
      </c>
      <c r="R2100">
        <f>IF(OR(Q2100="CONTEXT",Q2100="REVIEW"),"",INDEX('Category Rules'!$D$5:$D$17,MATCH(P2100,'Category Rules'!$A$5:$A$17,0)))</f>
        <v>4020</v>
      </c>
      <c r="S2100" t="str">
        <f>IF(Q2100="CONTEXT","Scaffolding",IF(Q2100="REVIEW","",INDEX('Category Rules'!$E$5:$E$17,MATCH(P2100,'Category Rules'!$A$5:$A$17,0))))</f>
        <v>Scaffolding</v>
      </c>
      <c r="T2100" t="str">
        <f>IF(Q2100="DEP","BAS Excluded","GST on Income")</f>
        <v>GST on Income</v>
      </c>
      <c r="U2100">
        <f>IF(O2100=T2100,1,0)</f>
        <v>1</v>
      </c>
      <c r="V2100" s="9">
        <f>IF(OR(M2100=0,U2100=1),0,IF(T2100="GST on Income",ROUND(K2100*0.1,2),ROUND(-K2100*0.1,2)))</f>
        <v>0</v>
      </c>
    </row>
    <row r="2101">
      <c r="A2101" t="inlineStr">
        <is>
          <t>INV-4210-1</t>
        </is>
      </c>
      <c r="B2101" t="inlineStr">
        <is>
          <t>INV-4210</t>
        </is>
      </c>
      <c r="C2101" s="11" t="n">
        <v>46148</v>
      </c>
      <c r="D2101" t="inlineStr">
        <is>
          <t>2026-05</t>
        </is>
      </c>
      <c r="E2101" t="inlineStr">
        <is>
          <t>C0033</t>
        </is>
      </c>
      <c r="F2101" t="inlineStr">
        <is>
          <t>C0033</t>
        </is>
      </c>
      <c r="G2101" t="inlineStr">
        <is>
          <t>Granite Projects Pty Ltd</t>
        </is>
      </c>
      <c r="H2101" t="inlineStr">
        <is>
          <t>S0020</t>
        </is>
      </c>
      <c r="I2101" t="inlineStr">
        <is>
          <t>Delivery and installation - temporary fencing</t>
        </is>
      </c>
      <c r="J2101" t="n">
        <v>1</v>
      </c>
      <c r="K2101" s="9" t="n">
        <v>165</v>
      </c>
      <c r="L2101" t="inlineStr">
        <is>
          <t>PAID</t>
        </is>
      </c>
      <c r="M2101">
        <f>IF(L2101="VOIDED",0,1)</f>
        <v>1</v>
      </c>
      <c r="N2101" t="n">
        <v>200</v>
      </c>
      <c r="O2101" t="inlineStr">
        <is>
          <t>GST on Income</t>
        </is>
      </c>
      <c r="P2101" t="inlineStr">
        <is>
          <t>R07</t>
        </is>
      </c>
      <c r="Q2101" t="inlineStr">
        <is>
          <t>DEL-FP</t>
        </is>
      </c>
      <c r="R2101">
        <f>IF(OR(Q2101="CONTEXT",Q2101="REVIEW"),"",INDEX('Category Rules'!$D$5:$D$17,MATCH(P2101,'Category Rules'!$A$5:$A$17,0)))</f>
        <v>4020</v>
      </c>
      <c r="S2101" t="str">
        <f>IF(Q2101="CONTEXT","Fencing",IF(Q2101="REVIEW","",INDEX('Category Rules'!$E$5:$E$17,MATCH(P2101,'Category Rules'!$A$5:$A$17,0))))</f>
        <v>Fencing</v>
      </c>
      <c r="T2101" t="str">
        <f>IF(Q2101="DEP","BAS Excluded","GST on Income")</f>
        <v>GST on Income</v>
      </c>
      <c r="U2101">
        <f>IF(O2101=T2101,1,0)</f>
        <v>1</v>
      </c>
      <c r="V2101" s="9">
        <f>IF(OR(M2101=0,U2101=1),0,IF(T2101="GST on Income",ROUND(K2101*0.1,2),ROUND(-K2101*0.1,2)))</f>
        <v>0</v>
      </c>
    </row>
    <row r="2102">
      <c r="A2102" t="inlineStr">
        <is>
          <t>INV-4210-2</t>
        </is>
      </c>
      <c r="B2102" t="inlineStr">
        <is>
          <t>INV-4210</t>
        </is>
      </c>
      <c r="C2102" s="11" t="n">
        <v>46148</v>
      </c>
      <c r="D2102" t="inlineStr">
        <is>
          <t>2026-05</t>
        </is>
      </c>
      <c r="E2102" t="inlineStr">
        <is>
          <t>C0033</t>
        </is>
      </c>
      <c r="F2102" t="inlineStr">
        <is>
          <t>C0033</t>
        </is>
      </c>
      <c r="G2102" t="inlineStr">
        <is>
          <t>Granite Projects Pty Ltd</t>
        </is>
      </c>
      <c r="H2102" t="inlineStr">
        <is>
          <t>S0020</t>
        </is>
      </c>
      <c r="I2102" t="inlineStr">
        <is>
          <t>Installation labour - 14 panels @ 2.20</t>
        </is>
      </c>
      <c r="J2102" t="n">
        <v>14</v>
      </c>
      <c r="K2102" s="9" t="n">
        <v>30.8</v>
      </c>
      <c r="L2102" t="inlineStr">
        <is>
          <t>PAID</t>
        </is>
      </c>
      <c r="M2102">
        <f>IF(L2102="VOIDED",0,1)</f>
        <v>1</v>
      </c>
      <c r="N2102" t="n">
        <v>260</v>
      </c>
      <c r="O2102" t="inlineStr">
        <is>
          <t>GST on Income</t>
        </is>
      </c>
      <c r="P2102" t="inlineStr">
        <is>
          <t>R07</t>
        </is>
      </c>
      <c r="Q2102" t="inlineStr">
        <is>
          <t>DEL-FP</t>
        </is>
      </c>
      <c r="R2102">
        <f>IF(OR(Q2102="CONTEXT",Q2102="REVIEW"),"",INDEX('Category Rules'!$D$5:$D$17,MATCH(P2102,'Category Rules'!$A$5:$A$17,0)))</f>
        <v>4020</v>
      </c>
      <c r="S2102" t="str">
        <f>IF(Q2102="CONTEXT","Fencing",IF(Q2102="REVIEW","",INDEX('Category Rules'!$E$5:$E$17,MATCH(P2102,'Category Rules'!$A$5:$A$17,0))))</f>
        <v>Fencing</v>
      </c>
      <c r="T2102" t="str">
        <f>IF(Q2102="DEP","BAS Excluded","GST on Income")</f>
        <v>GST on Income</v>
      </c>
      <c r="U2102">
        <f>IF(O2102=T2102,1,0)</f>
        <v>1</v>
      </c>
      <c r="V2102" s="9">
        <f>IF(OR(M2102=0,U2102=1),0,IF(T2102="GST on Income",ROUND(K2102*0.1,2),ROUND(-K2102*0.1,2)))</f>
        <v>0</v>
      </c>
    </row>
    <row r="2103">
      <c r="A2103" t="inlineStr">
        <is>
          <t>INV-4506-1</t>
        </is>
      </c>
      <c r="B2103" t="inlineStr">
        <is>
          <t>INV-4506</t>
        </is>
      </c>
      <c r="C2103" s="11" t="n">
        <v>46148</v>
      </c>
      <c r="D2103" t="inlineStr">
        <is>
          <t>2026-05</t>
        </is>
      </c>
      <c r="E2103" t="inlineStr">
        <is>
          <t>C0149</t>
        </is>
      </c>
      <c r="F2103" t="inlineStr">
        <is>
          <t>C0004</t>
        </is>
      </c>
      <c r="G2103" t="inlineStr">
        <is>
          <t>Lakeside Builders Pty Ltd</t>
        </is>
      </c>
      <c r="H2103" t="inlineStr">
        <is>
          <t>S0084</t>
        </is>
      </c>
      <c r="I2103" t="inlineStr">
        <is>
          <t>Temporary fence hire 4 wks (08/04/26-05/05/26) - 18 panels</t>
        </is>
      </c>
      <c r="J2103" t="n">
        <v>72</v>
      </c>
      <c r="K2103" s="9" t="n">
        <v>324</v>
      </c>
      <c r="L2103" t="inlineStr">
        <is>
          <t>PAID</t>
        </is>
      </c>
      <c r="M2103">
        <f>IF(L2103="VOIDED",0,1)</f>
        <v>1</v>
      </c>
      <c r="N2103" t="n">
        <v>200</v>
      </c>
      <c r="O2103" t="inlineStr">
        <is>
          <t>GST on Income</t>
        </is>
      </c>
      <c r="P2103" t="inlineStr">
        <is>
          <t>R03</t>
        </is>
      </c>
      <c r="Q2103" t="inlineStr">
        <is>
          <t>HIRE-FP</t>
        </is>
      </c>
      <c r="R2103">
        <f>IF(OR(Q2103="CONTEXT",Q2103="REVIEW"),"",INDEX('Category Rules'!$D$5:$D$17,MATCH(P2103,'Category Rules'!$A$5:$A$17,0)))</f>
        <v>4010</v>
      </c>
      <c r="S2103" t="str">
        <f>IF(Q2103="CONTEXT","Fencing",IF(Q2103="REVIEW","",INDEX('Category Rules'!$E$5:$E$17,MATCH(P2103,'Category Rules'!$A$5:$A$17,0))))</f>
        <v>Fencing</v>
      </c>
      <c r="T2103" t="str">
        <f>IF(Q2103="DEP","BAS Excluded","GST on Income")</f>
        <v>GST on Income</v>
      </c>
      <c r="U2103">
        <f>IF(O2103=T2103,1,0)</f>
        <v>1</v>
      </c>
      <c r="V2103" s="9">
        <f>IF(OR(M2103=0,U2103=1),0,IF(T2103="GST on Income",ROUND(K2103*0.1,2),ROUND(-K2103*0.1,2)))</f>
        <v>0</v>
      </c>
    </row>
    <row r="2104">
      <c r="A2104" t="inlineStr">
        <is>
          <t>INV-4654-1</t>
        </is>
      </c>
      <c r="B2104" t="inlineStr">
        <is>
          <t>INV-4654</t>
        </is>
      </c>
      <c r="C2104" s="11" t="n">
        <v>46148</v>
      </c>
      <c r="D2104" t="inlineStr">
        <is>
          <t>2026-05</t>
        </is>
      </c>
      <c r="E2104" t="inlineStr">
        <is>
          <t>C0130</t>
        </is>
      </c>
      <c r="F2104" t="inlineStr">
        <is>
          <t>C0079</t>
        </is>
      </c>
      <c r="G2104" t="inlineStr">
        <is>
          <t>Kestrel Events Pty Ltd</t>
        </is>
      </c>
      <c r="H2104" t="inlineStr">
        <is>
          <t>S0112</t>
        </is>
      </c>
      <c r="I2104" t="inlineStr">
        <is>
          <t>Delivery and installation - temporary fencing</t>
        </is>
      </c>
      <c r="J2104" t="n">
        <v>1</v>
      </c>
      <c r="K2104" s="9" t="n">
        <v>165</v>
      </c>
      <c r="L2104" t="inlineStr">
        <is>
          <t>PAID</t>
        </is>
      </c>
      <c r="M2104">
        <f>IF(L2104="VOIDED",0,1)</f>
        <v>1</v>
      </c>
      <c r="N2104" t="n">
        <v>200</v>
      </c>
      <c r="O2104" t="inlineStr">
        <is>
          <t>GST on Income</t>
        </is>
      </c>
      <c r="P2104" t="inlineStr">
        <is>
          <t>R07</t>
        </is>
      </c>
      <c r="Q2104" t="inlineStr">
        <is>
          <t>DEL-FP</t>
        </is>
      </c>
      <c r="R2104">
        <f>IF(OR(Q2104="CONTEXT",Q2104="REVIEW"),"",INDEX('Category Rules'!$D$5:$D$17,MATCH(P2104,'Category Rules'!$A$5:$A$17,0)))</f>
        <v>4020</v>
      </c>
      <c r="S2104" t="str">
        <f>IF(Q2104="CONTEXT","Fencing",IF(Q2104="REVIEW","",INDEX('Category Rules'!$E$5:$E$17,MATCH(P2104,'Category Rules'!$A$5:$A$17,0))))</f>
        <v>Fencing</v>
      </c>
      <c r="T2104" t="str">
        <f>IF(Q2104="DEP","BAS Excluded","GST on Income")</f>
        <v>GST on Income</v>
      </c>
      <c r="U2104">
        <f>IF(O2104=T2104,1,0)</f>
        <v>1</v>
      </c>
      <c r="V2104" s="9">
        <f>IF(OR(M2104=0,U2104=1),0,IF(T2104="GST on Income",ROUND(K2104*0.1,2),ROUND(-K2104*0.1,2)))</f>
        <v>0</v>
      </c>
    </row>
    <row r="2105">
      <c r="A2105" t="inlineStr">
        <is>
          <t>INV-4654-2</t>
        </is>
      </c>
      <c r="B2105" t="inlineStr">
        <is>
          <t>INV-4654</t>
        </is>
      </c>
      <c r="C2105" s="11" t="n">
        <v>46148</v>
      </c>
      <c r="D2105" t="inlineStr">
        <is>
          <t>2026-05</t>
        </is>
      </c>
      <c r="E2105" t="inlineStr">
        <is>
          <t>C0130</t>
        </is>
      </c>
      <c r="F2105" t="inlineStr">
        <is>
          <t>C0079</t>
        </is>
      </c>
      <c r="G2105" t="inlineStr">
        <is>
          <t>Kestrel Events Pty Ltd</t>
        </is>
      </c>
      <c r="H2105" t="inlineStr">
        <is>
          <t>S0112</t>
        </is>
      </c>
      <c r="I2105" t="inlineStr">
        <is>
          <t>Installation labour - 113 panels @ 2.20</t>
        </is>
      </c>
      <c r="J2105" t="n">
        <v>113</v>
      </c>
      <c r="K2105" s="9" t="n">
        <v>248.6</v>
      </c>
      <c r="L2105" t="inlineStr">
        <is>
          <t>PAID</t>
        </is>
      </c>
      <c r="M2105">
        <f>IF(L2105="VOIDED",0,1)</f>
        <v>1</v>
      </c>
      <c r="N2105" t="n">
        <v>200</v>
      </c>
      <c r="O2105" t="inlineStr">
        <is>
          <t>GST on Income</t>
        </is>
      </c>
      <c r="P2105" t="inlineStr">
        <is>
          <t>R07</t>
        </is>
      </c>
      <c r="Q2105" t="inlineStr">
        <is>
          <t>DEL-FP</t>
        </is>
      </c>
      <c r="R2105">
        <f>IF(OR(Q2105="CONTEXT",Q2105="REVIEW"),"",INDEX('Category Rules'!$D$5:$D$17,MATCH(P2105,'Category Rules'!$A$5:$A$17,0)))</f>
        <v>4020</v>
      </c>
      <c r="S2105" t="str">
        <f>IF(Q2105="CONTEXT","Fencing",IF(Q2105="REVIEW","",INDEX('Category Rules'!$E$5:$E$17,MATCH(P2105,'Category Rules'!$A$5:$A$17,0))))</f>
        <v>Fencing</v>
      </c>
      <c r="T2105" t="str">
        <f>IF(Q2105="DEP","BAS Excluded","GST on Income")</f>
        <v>GST on Income</v>
      </c>
      <c r="U2105">
        <f>IF(O2105=T2105,1,0)</f>
        <v>1</v>
      </c>
      <c r="V2105" s="9">
        <f>IF(OR(M2105=0,U2105=1),0,IF(T2105="GST on Income",ROUND(K2105*0.1,2),ROUND(-K2105*0.1,2)))</f>
        <v>0</v>
      </c>
    </row>
    <row r="2106">
      <c r="A2106" t="inlineStr">
        <is>
          <t>INV-4889-1</t>
        </is>
      </c>
      <c r="B2106" t="inlineStr">
        <is>
          <t>INV-4889</t>
        </is>
      </c>
      <c r="C2106" s="11" t="n">
        <v>46148</v>
      </c>
      <c r="D2106" t="inlineStr">
        <is>
          <t>2026-05</t>
        </is>
      </c>
      <c r="E2106" t="inlineStr">
        <is>
          <t>C0019</t>
        </is>
      </c>
      <c r="F2106" t="inlineStr">
        <is>
          <t>C0019</t>
        </is>
      </c>
      <c r="G2106" t="inlineStr">
        <is>
          <t>Metro Developments</t>
        </is>
      </c>
      <c r="H2106" t="inlineStr">
        <is>
          <t>S0166</t>
        </is>
      </c>
      <c r="I2106" t="inlineStr">
        <is>
          <t>Temporary fence hire 4 wks (08/04/26-05/05/26) - 79 panels</t>
        </is>
      </c>
      <c r="J2106" t="n">
        <v>316</v>
      </c>
      <c r="K2106" s="9" t="n">
        <v>1422</v>
      </c>
      <c r="L2106" t="inlineStr">
        <is>
          <t>PAID</t>
        </is>
      </c>
      <c r="M2106">
        <f>IF(L2106="VOIDED",0,1)</f>
        <v>1</v>
      </c>
      <c r="N2106" t="n">
        <v>200</v>
      </c>
      <c r="O2106" t="inlineStr">
        <is>
          <t>GST on Income</t>
        </is>
      </c>
      <c r="P2106" t="inlineStr">
        <is>
          <t>R03</t>
        </is>
      </c>
      <c r="Q2106" t="inlineStr">
        <is>
          <t>HIRE-FP</t>
        </is>
      </c>
      <c r="R2106">
        <f>IF(OR(Q2106="CONTEXT",Q2106="REVIEW"),"",INDEX('Category Rules'!$D$5:$D$17,MATCH(P2106,'Category Rules'!$A$5:$A$17,0)))</f>
        <v>4010</v>
      </c>
      <c r="S2106" t="str">
        <f>IF(Q2106="CONTEXT","Fencing",IF(Q2106="REVIEW","",INDEX('Category Rules'!$E$5:$E$17,MATCH(P2106,'Category Rules'!$A$5:$A$17,0))))</f>
        <v>Fencing</v>
      </c>
      <c r="T2106" t="str">
        <f>IF(Q2106="DEP","BAS Excluded","GST on Income")</f>
        <v>GST on Income</v>
      </c>
      <c r="U2106">
        <f>IF(O2106=T2106,1,0)</f>
        <v>1</v>
      </c>
      <c r="V2106" s="9">
        <f>IF(OR(M2106=0,U2106=1),0,IF(T2106="GST on Income",ROUND(K2106*0.1,2),ROUND(-K2106*0.1,2)))</f>
        <v>0</v>
      </c>
    </row>
    <row r="2107">
      <c r="A2107" t="inlineStr">
        <is>
          <t>INV-5179-1</t>
        </is>
      </c>
      <c r="B2107" t="inlineStr">
        <is>
          <t>INV-5179</t>
        </is>
      </c>
      <c r="C2107" s="11" t="n">
        <v>46148</v>
      </c>
      <c r="D2107" t="inlineStr">
        <is>
          <t>2026-05</t>
        </is>
      </c>
      <c r="E2107" t="inlineStr">
        <is>
          <t>C0042</t>
        </is>
      </c>
      <c r="F2107" t="inlineStr">
        <is>
          <t>C0042</t>
        </is>
      </c>
      <c r="G2107" t="inlineStr">
        <is>
          <t>Lakeside Constructions Pty Ltd</t>
        </is>
      </c>
      <c r="H2107" t="inlineStr">
        <is>
          <t>S0231</t>
        </is>
      </c>
      <c r="I2107" t="inlineStr">
        <is>
          <t>Temporary fence hire 3 wks (19/04/26-05/05/26) - 125 panels</t>
        </is>
      </c>
      <c r="J2107" t="n">
        <v>375</v>
      </c>
      <c r="K2107" s="9" t="n">
        <v>1687.5</v>
      </c>
      <c r="L2107" t="inlineStr">
        <is>
          <t>PAID</t>
        </is>
      </c>
      <c r="M2107">
        <f>IF(L2107="VOIDED",0,1)</f>
        <v>1</v>
      </c>
      <c r="N2107" t="n">
        <v>200</v>
      </c>
      <c r="O2107" t="inlineStr">
        <is>
          <t>GST on Income</t>
        </is>
      </c>
      <c r="P2107" t="inlineStr">
        <is>
          <t>R03</t>
        </is>
      </c>
      <c r="Q2107" t="inlineStr">
        <is>
          <t>HIRE-FP</t>
        </is>
      </c>
      <c r="R2107">
        <f>IF(OR(Q2107="CONTEXT",Q2107="REVIEW"),"",INDEX('Category Rules'!$D$5:$D$17,MATCH(P2107,'Category Rules'!$A$5:$A$17,0)))</f>
        <v>4010</v>
      </c>
      <c r="S2107" t="str">
        <f>IF(Q2107="CONTEXT","Fencing",IF(Q2107="REVIEW","",INDEX('Category Rules'!$E$5:$E$17,MATCH(P2107,'Category Rules'!$A$5:$A$17,0))))</f>
        <v>Fencing</v>
      </c>
      <c r="T2107" t="str">
        <f>IF(Q2107="DEP","BAS Excluded","GST on Income")</f>
        <v>GST on Income</v>
      </c>
      <c r="U2107">
        <f>IF(O2107=T2107,1,0)</f>
        <v>1</v>
      </c>
      <c r="V2107" s="9">
        <f>IF(OR(M2107=0,U2107=1),0,IF(T2107="GST on Income",ROUND(K2107*0.1,2),ROUND(-K2107*0.1,2)))</f>
        <v>0</v>
      </c>
    </row>
    <row r="2108">
      <c r="A2108" t="inlineStr">
        <is>
          <t>INV-5181-1</t>
        </is>
      </c>
      <c r="B2108" t="inlineStr">
        <is>
          <t>INV-5181</t>
        </is>
      </c>
      <c r="C2108" s="11" t="n">
        <v>46148</v>
      </c>
      <c r="D2108" t="inlineStr">
        <is>
          <t>2026-05</t>
        </is>
      </c>
      <c r="E2108" t="inlineStr">
        <is>
          <t>C0148</t>
        </is>
      </c>
      <c r="F2108" t="inlineStr">
        <is>
          <t>C0042</t>
        </is>
      </c>
      <c r="G2108" t="inlineStr">
        <is>
          <t>Lakeside Constructions Pty Ltd</t>
        </is>
      </c>
      <c r="H2108" t="inlineStr">
        <is>
          <t>S0231</t>
        </is>
      </c>
      <c r="I2108" t="inlineStr">
        <is>
          <t>Collection and dismantle - temporary fencing</t>
        </is>
      </c>
      <c r="J2108" t="n">
        <v>1</v>
      </c>
      <c r="K2108" s="9" t="n">
        <v>165</v>
      </c>
      <c r="L2108" t="inlineStr">
        <is>
          <t>PAID</t>
        </is>
      </c>
      <c r="M2108">
        <f>IF(L2108="VOIDED",0,1)</f>
        <v>1</v>
      </c>
      <c r="N2108" t="n">
        <v>200</v>
      </c>
      <c r="O2108" t="inlineStr">
        <is>
          <t>GST on Income</t>
        </is>
      </c>
      <c r="P2108" t="inlineStr">
        <is>
          <t>R07</t>
        </is>
      </c>
      <c r="Q2108" t="inlineStr">
        <is>
          <t>DEL-FP</t>
        </is>
      </c>
      <c r="R2108">
        <f>IF(OR(Q2108="CONTEXT",Q2108="REVIEW"),"",INDEX('Category Rules'!$D$5:$D$17,MATCH(P2108,'Category Rules'!$A$5:$A$17,0)))</f>
        <v>4020</v>
      </c>
      <c r="S2108" t="str">
        <f>IF(Q2108="CONTEXT","Fencing",IF(Q2108="REVIEW","",INDEX('Category Rules'!$E$5:$E$17,MATCH(P2108,'Category Rules'!$A$5:$A$17,0))))</f>
        <v>Fencing</v>
      </c>
      <c r="T2108" t="str">
        <f>IF(Q2108="DEP","BAS Excluded","GST on Income")</f>
        <v>GST on Income</v>
      </c>
      <c r="U2108">
        <f>IF(O2108=T2108,1,0)</f>
        <v>1</v>
      </c>
      <c r="V2108" s="9">
        <f>IF(OR(M2108=0,U2108=1),0,IF(T2108="GST on Income",ROUND(K2108*0.1,2),ROUND(-K2108*0.1,2)))</f>
        <v>0</v>
      </c>
    </row>
    <row r="2109">
      <c r="A2109" t="inlineStr">
        <is>
          <t>INV-5393-1</t>
        </is>
      </c>
      <c r="B2109" t="inlineStr">
        <is>
          <t>INV-5393</t>
        </is>
      </c>
      <c r="C2109" s="11" t="n">
        <v>46148</v>
      </c>
      <c r="D2109" t="inlineStr">
        <is>
          <t>2026-05</t>
        </is>
      </c>
      <c r="E2109" t="inlineStr">
        <is>
          <t>C0003</t>
        </is>
      </c>
      <c r="F2109" t="inlineStr">
        <is>
          <t>C0003</t>
        </is>
      </c>
      <c r="G2109" t="inlineStr">
        <is>
          <t>Summit Projects Pty Ltd</t>
        </is>
      </c>
      <c r="H2109" t="inlineStr">
        <is>
          <t>S0281</t>
        </is>
      </c>
      <c r="I2109" t="inlineStr">
        <is>
          <t>Scaffold erect - 2 tower(s)</t>
        </is>
      </c>
      <c r="J2109" t="n">
        <v>2</v>
      </c>
      <c r="K2109" s="9" t="n">
        <v>840</v>
      </c>
      <c r="L2109" t="inlineStr">
        <is>
          <t>PAID</t>
        </is>
      </c>
      <c r="M2109">
        <f>IF(L2109="VOIDED",0,1)</f>
        <v>1</v>
      </c>
      <c r="N2109" t="n">
        <v>260</v>
      </c>
      <c r="O2109" t="inlineStr">
        <is>
          <t>GST on Income</t>
        </is>
      </c>
      <c r="P2109" t="inlineStr">
        <is>
          <t>R08</t>
        </is>
      </c>
      <c r="Q2109" t="inlineStr">
        <is>
          <t>LAB-ST</t>
        </is>
      </c>
      <c r="R2109">
        <f>IF(OR(Q2109="CONTEXT",Q2109="REVIEW"),"",INDEX('Category Rules'!$D$5:$D$17,MATCH(P2109,'Category Rules'!$A$5:$A$17,0)))</f>
        <v>4020</v>
      </c>
      <c r="S2109" t="str">
        <f>IF(Q2109="CONTEXT","Scaffolding",IF(Q2109="REVIEW","",INDEX('Category Rules'!$E$5:$E$17,MATCH(P2109,'Category Rules'!$A$5:$A$17,0))))</f>
        <v>Scaffolding</v>
      </c>
      <c r="T2109" t="str">
        <f>IF(Q2109="DEP","BAS Excluded","GST on Income")</f>
        <v>GST on Income</v>
      </c>
      <c r="U2109">
        <f>IF(O2109=T2109,1,0)</f>
        <v>1</v>
      </c>
      <c r="V2109" s="9">
        <f>IF(OR(M2109=0,U2109=1),0,IF(T2109="GST on Income",ROUND(K2109*0.1,2),ROUND(-K2109*0.1,2)))</f>
        <v>0</v>
      </c>
    </row>
    <row r="2110">
      <c r="A2110" t="inlineStr">
        <is>
          <t>INV-5587-1</t>
        </is>
      </c>
      <c r="B2110" t="inlineStr">
        <is>
          <t>INV-5587</t>
        </is>
      </c>
      <c r="C2110" s="11" t="n">
        <v>46148</v>
      </c>
      <c r="D2110" t="inlineStr">
        <is>
          <t>2026-05</t>
        </is>
      </c>
      <c r="E2110" t="inlineStr">
        <is>
          <t>C0147</t>
        </is>
      </c>
      <c r="F2110" t="inlineStr">
        <is>
          <t>C0067</t>
        </is>
      </c>
      <c r="G2110" t="inlineStr">
        <is>
          <t>Banksia Claims Services Pty Ltd</t>
        </is>
      </c>
      <c r="H2110" t="inlineStr">
        <is>
          <t>S0373</t>
        </is>
      </c>
      <c r="I2110" t="inlineStr">
        <is>
          <t>Roof repair labour - 6 hrs</t>
        </is>
      </c>
      <c r="J2110" t="n">
        <v>6</v>
      </c>
      <c r="K2110" s="9" t="n">
        <v>588</v>
      </c>
      <c r="L2110" t="inlineStr">
        <is>
          <t>PAID</t>
        </is>
      </c>
      <c r="M2110">
        <f>IF(L2110="VOIDED",0,1)</f>
        <v>1</v>
      </c>
      <c r="N2110" t="n">
        <v>200</v>
      </c>
      <c r="O2110" t="inlineStr">
        <is>
          <t>GST on Income</t>
        </is>
      </c>
      <c r="P2110" t="inlineStr">
        <is>
          <t>R10</t>
        </is>
      </c>
      <c r="Q2110" t="inlineStr">
        <is>
          <t>LAB-RF</t>
        </is>
      </c>
      <c r="R2110">
        <f>IF(OR(Q2110="CONTEXT",Q2110="REVIEW"),"",INDEX('Category Rules'!$D$5:$D$17,MATCH(P2110,'Category Rules'!$A$5:$A$17,0)))</f>
        <v>4020</v>
      </c>
      <c r="S2110" t="str">
        <f>IF(Q2110="CONTEXT","Roofing",IF(Q2110="REVIEW","",INDEX('Category Rules'!$E$5:$E$17,MATCH(P2110,'Category Rules'!$A$5:$A$17,0))))</f>
        <v>Roofing</v>
      </c>
      <c r="T2110" t="str">
        <f>IF(Q2110="DEP","BAS Excluded","GST on Income")</f>
        <v>GST on Income</v>
      </c>
      <c r="U2110">
        <f>IF(O2110=T2110,1,0)</f>
        <v>1</v>
      </c>
      <c r="V2110" s="9">
        <f>IF(OR(M2110=0,U2110=1),0,IF(T2110="GST on Income",ROUND(K2110*0.1,2),ROUND(-K2110*0.1,2)))</f>
        <v>0</v>
      </c>
    </row>
    <row r="2111">
      <c r="A2111" t="inlineStr">
        <is>
          <t>INV-5587-2</t>
        </is>
      </c>
      <c r="B2111" t="inlineStr">
        <is>
          <t>INV-5587</t>
        </is>
      </c>
      <c r="C2111" s="11" t="n">
        <v>46148</v>
      </c>
      <c r="D2111" t="inlineStr">
        <is>
          <t>2026-05</t>
        </is>
      </c>
      <c r="E2111" t="inlineStr">
        <is>
          <t>C0147</t>
        </is>
      </c>
      <c r="F2111" t="inlineStr">
        <is>
          <t>C0067</t>
        </is>
      </c>
      <c r="G2111" t="inlineStr">
        <is>
          <t>Banksia Claims Services Pty Ltd</t>
        </is>
      </c>
      <c r="H2111" t="inlineStr">
        <is>
          <t>S0373</t>
        </is>
      </c>
      <c r="I2111" t="inlineStr">
        <is>
          <t>Materials - Colorbond sheet</t>
        </is>
      </c>
      <c r="J2111" t="n">
        <v>1</v>
      </c>
      <c r="K2111" s="9" t="n">
        <v>324.21</v>
      </c>
      <c r="L2111" t="inlineStr">
        <is>
          <t>PAID</t>
        </is>
      </c>
      <c r="M2111">
        <f>IF(L2111="VOIDED",0,1)</f>
        <v>1</v>
      </c>
      <c r="N2111" t="n">
        <v>200</v>
      </c>
      <c r="O2111" t="inlineStr">
        <is>
          <t>GST on Income</t>
        </is>
      </c>
      <c r="P2111" t="inlineStr">
        <is>
          <t>R11</t>
        </is>
      </c>
      <c r="Q2111" t="inlineStr">
        <is>
          <t>MAT-RF</t>
        </is>
      </c>
      <c r="R2111">
        <f>IF(OR(Q2111="CONTEXT",Q2111="REVIEW"),"",INDEX('Category Rules'!$D$5:$D$17,MATCH(P2111,'Category Rules'!$A$5:$A$17,0)))</f>
        <v>4030</v>
      </c>
      <c r="S2111" t="str">
        <f>IF(Q2111="CONTEXT","Roofing",IF(Q2111="REVIEW","",INDEX('Category Rules'!$E$5:$E$17,MATCH(P2111,'Category Rules'!$A$5:$A$17,0))))</f>
        <v>Roofing</v>
      </c>
      <c r="T2111" t="str">
        <f>IF(Q2111="DEP","BAS Excluded","GST on Income")</f>
        <v>GST on Income</v>
      </c>
      <c r="U2111">
        <f>IF(O2111=T2111,1,0)</f>
        <v>1</v>
      </c>
      <c r="V2111" s="9">
        <f>IF(OR(M2111=0,U2111=1),0,IF(T2111="GST on Income",ROUND(K2111*0.1,2),ROUND(-K2111*0.1,2)))</f>
        <v>0</v>
      </c>
    </row>
    <row r="2112">
      <c r="A2112" t="inlineStr">
        <is>
          <t>INV-5587-3</t>
        </is>
      </c>
      <c r="B2112" t="inlineStr">
        <is>
          <t>INV-5587</t>
        </is>
      </c>
      <c r="C2112" s="11" t="n">
        <v>46148</v>
      </c>
      <c r="D2112" t="inlineStr">
        <is>
          <t>2026-05</t>
        </is>
      </c>
      <c r="E2112" t="inlineStr">
        <is>
          <t>C0147</t>
        </is>
      </c>
      <c r="F2112" t="inlineStr">
        <is>
          <t>C0067</t>
        </is>
      </c>
      <c r="G2112" t="inlineStr">
        <is>
          <t>Banksia Claims Services Pty Ltd</t>
        </is>
      </c>
      <c r="H2112" t="inlineStr">
        <is>
          <t>S0373</t>
        </is>
      </c>
      <c r="I2112" t="inlineStr">
        <is>
          <t>Materials - ridge capping</t>
        </is>
      </c>
      <c r="J2112" t="n">
        <v>1</v>
      </c>
      <c r="K2112" s="9" t="n">
        <v>1386.06</v>
      </c>
      <c r="L2112" t="inlineStr">
        <is>
          <t>PAID</t>
        </is>
      </c>
      <c r="M2112">
        <f>IF(L2112="VOIDED",0,1)</f>
        <v>1</v>
      </c>
      <c r="N2112" t="n">
        <v>200</v>
      </c>
      <c r="O2112" t="inlineStr">
        <is>
          <t>GST on Income</t>
        </is>
      </c>
      <c r="P2112" t="inlineStr">
        <is>
          <t>R11</t>
        </is>
      </c>
      <c r="Q2112" t="inlineStr">
        <is>
          <t>MAT-RF</t>
        </is>
      </c>
      <c r="R2112">
        <f>IF(OR(Q2112="CONTEXT",Q2112="REVIEW"),"",INDEX('Category Rules'!$D$5:$D$17,MATCH(P2112,'Category Rules'!$A$5:$A$17,0)))</f>
        <v>4030</v>
      </c>
      <c r="S2112" t="str">
        <f>IF(Q2112="CONTEXT","Roofing",IF(Q2112="REVIEW","",INDEX('Category Rules'!$E$5:$E$17,MATCH(P2112,'Category Rules'!$A$5:$A$17,0))))</f>
        <v>Roofing</v>
      </c>
      <c r="T2112" t="str">
        <f>IF(Q2112="DEP","BAS Excluded","GST on Income")</f>
        <v>GST on Income</v>
      </c>
      <c r="U2112">
        <f>IF(O2112=T2112,1,0)</f>
        <v>1</v>
      </c>
      <c r="V2112" s="9">
        <f>IF(OR(M2112=0,U2112=1),0,IF(T2112="GST on Income",ROUND(K2112*0.1,2),ROUND(-K2112*0.1,2)))</f>
        <v>0</v>
      </c>
    </row>
    <row r="2113">
      <c r="A2113" t="inlineStr">
        <is>
          <t>INV-5587-4</t>
        </is>
      </c>
      <c r="B2113" t="inlineStr">
        <is>
          <t>INV-5587</t>
        </is>
      </c>
      <c r="C2113" s="11" t="n">
        <v>46148</v>
      </c>
      <c r="D2113" t="inlineStr">
        <is>
          <t>2026-05</t>
        </is>
      </c>
      <c r="E2113" t="inlineStr">
        <is>
          <t>C0147</t>
        </is>
      </c>
      <c r="F2113" t="inlineStr">
        <is>
          <t>C0067</t>
        </is>
      </c>
      <c r="G2113" t="inlineStr">
        <is>
          <t>Banksia Claims Services Pty Ltd</t>
        </is>
      </c>
      <c r="H2113" t="inlineStr">
        <is>
          <t>S0373</t>
        </is>
      </c>
      <c r="I2113" t="inlineStr">
        <is>
          <t>Materials - roof tiles (matched)</t>
        </is>
      </c>
      <c r="J2113" t="n">
        <v>1</v>
      </c>
      <c r="K2113" s="9" t="n">
        <v>755.21</v>
      </c>
      <c r="L2113" t="inlineStr">
        <is>
          <t>PAID</t>
        </is>
      </c>
      <c r="M2113">
        <f>IF(L2113="VOIDED",0,1)</f>
        <v>1</v>
      </c>
      <c r="N2113" t="n">
        <v>200</v>
      </c>
      <c r="O2113" t="inlineStr">
        <is>
          <t>GST on Income</t>
        </is>
      </c>
      <c r="P2113" t="inlineStr">
        <is>
          <t>R11</t>
        </is>
      </c>
      <c r="Q2113" t="inlineStr">
        <is>
          <t>MAT-RF</t>
        </is>
      </c>
      <c r="R2113">
        <f>IF(OR(Q2113="CONTEXT",Q2113="REVIEW"),"",INDEX('Category Rules'!$D$5:$D$17,MATCH(P2113,'Category Rules'!$A$5:$A$17,0)))</f>
        <v>4030</v>
      </c>
      <c r="S2113" t="str">
        <f>IF(Q2113="CONTEXT","Roofing",IF(Q2113="REVIEW","",INDEX('Category Rules'!$E$5:$E$17,MATCH(P2113,'Category Rules'!$A$5:$A$17,0))))</f>
        <v>Roofing</v>
      </c>
      <c r="T2113" t="str">
        <f>IF(Q2113="DEP","BAS Excluded","GST on Income")</f>
        <v>GST on Income</v>
      </c>
      <c r="U2113">
        <f>IF(O2113=T2113,1,0)</f>
        <v>1</v>
      </c>
      <c r="V2113" s="9">
        <f>IF(OR(M2113=0,U2113=1),0,IF(T2113="GST on Income",ROUND(K2113*0.1,2),ROUND(-K2113*0.1,2)))</f>
        <v>0</v>
      </c>
    </row>
    <row r="2114">
      <c r="A2114" t="inlineStr">
        <is>
          <t>INV-5627-1</t>
        </is>
      </c>
      <c r="B2114" t="inlineStr">
        <is>
          <t>INV-5627</t>
        </is>
      </c>
      <c r="C2114" s="11" t="n">
        <v>46148</v>
      </c>
      <c r="D2114" t="inlineStr">
        <is>
          <t>2026-05</t>
        </is>
      </c>
      <c r="E2114" t="inlineStr">
        <is>
          <t>C0011</t>
        </is>
      </c>
      <c r="F2114" t="inlineStr">
        <is>
          <t>C0011</t>
        </is>
      </c>
      <c r="G2114" t="inlineStr">
        <is>
          <t>Wattle Homes Pty Ltd</t>
        </is>
      </c>
      <c r="H2114" t="inlineStr">
        <is>
          <t>S0394</t>
        </is>
      </c>
      <c r="I2114" t="inlineStr">
        <is>
          <t>Make safe call-out</t>
        </is>
      </c>
      <c r="J2114" t="n">
        <v>1</v>
      </c>
      <c r="K2114" s="9" t="n">
        <v>385</v>
      </c>
      <c r="L2114" t="inlineStr">
        <is>
          <t>PAID</t>
        </is>
      </c>
      <c r="M2114">
        <f>IF(L2114="VOIDED",0,1)</f>
        <v>1</v>
      </c>
      <c r="N2114" t="n">
        <v>200</v>
      </c>
      <c r="O2114" t="inlineStr">
        <is>
          <t>BAS Excluded</t>
        </is>
      </c>
      <c r="P2114" t="inlineStr">
        <is>
          <t>R09</t>
        </is>
      </c>
      <c r="Q2114" t="inlineStr">
        <is>
          <t>MS</t>
        </is>
      </c>
      <c r="R2114">
        <f>IF(OR(Q2114="CONTEXT",Q2114="REVIEW"),"",INDEX('Category Rules'!$D$5:$D$17,MATCH(P2114,'Category Rules'!$A$5:$A$17,0)))</f>
        <v>4020</v>
      </c>
      <c r="S2114" t="str">
        <f>IF(Q2114="CONTEXT","Make-safe",IF(Q2114="REVIEW","",INDEX('Category Rules'!$E$5:$E$17,MATCH(P2114,'Category Rules'!$A$5:$A$17,0))))</f>
        <v>Make-safe</v>
      </c>
      <c r="T2114" t="str">
        <f>IF(Q2114="DEP","BAS Excluded","GST on Income")</f>
        <v>GST on Income</v>
      </c>
      <c r="U2114">
        <f>IF(O2114=T2114,1,0)</f>
        <v>0</v>
      </c>
      <c r="V2114" s="9">
        <f>IF(OR(M2114=0,U2114=1),0,IF(T2114="GST on Income",ROUND(K2114*0.1,2),ROUND(-K2114*0.1,2)))</f>
        <v>38.5</v>
      </c>
    </row>
    <row r="2115">
      <c r="A2115" t="inlineStr">
        <is>
          <t>INV-5681-1</t>
        </is>
      </c>
      <c r="B2115" t="inlineStr">
        <is>
          <t>INV-5681</t>
        </is>
      </c>
      <c r="C2115" s="11" t="n">
        <v>46148</v>
      </c>
      <c r="D2115" t="inlineStr">
        <is>
          <t>2026-05</t>
        </is>
      </c>
      <c r="E2115" t="inlineStr">
        <is>
          <t>C0066</t>
        </is>
      </c>
      <c r="F2115" t="inlineStr">
        <is>
          <t>C0066</t>
        </is>
      </c>
      <c r="G2115" t="inlineStr">
        <is>
          <t>Northgate Insurance Repairs</t>
        </is>
      </c>
      <c r="H2115" t="inlineStr">
        <is>
          <t>S0423</t>
        </is>
      </c>
      <c r="I2115" t="inlineStr">
        <is>
          <t>Make safe call-out</t>
        </is>
      </c>
      <c r="J2115" t="n">
        <v>1</v>
      </c>
      <c r="K2115" s="9" t="n">
        <v>385</v>
      </c>
      <c r="L2115" t="inlineStr">
        <is>
          <t>PAID</t>
        </is>
      </c>
      <c r="M2115">
        <f>IF(L2115="VOIDED",0,1)</f>
        <v>1</v>
      </c>
      <c r="N2115" t="n">
        <v>200</v>
      </c>
      <c r="O2115" t="inlineStr">
        <is>
          <t>GST on Income</t>
        </is>
      </c>
      <c r="P2115" t="inlineStr">
        <is>
          <t>R09</t>
        </is>
      </c>
      <c r="Q2115" t="inlineStr">
        <is>
          <t>MS</t>
        </is>
      </c>
      <c r="R2115">
        <f>IF(OR(Q2115="CONTEXT",Q2115="REVIEW"),"",INDEX('Category Rules'!$D$5:$D$17,MATCH(P2115,'Category Rules'!$A$5:$A$17,0)))</f>
        <v>4020</v>
      </c>
      <c r="S2115" t="str">
        <f>IF(Q2115="CONTEXT","Make-safe",IF(Q2115="REVIEW","",INDEX('Category Rules'!$E$5:$E$17,MATCH(P2115,'Category Rules'!$A$5:$A$17,0))))</f>
        <v>Make-safe</v>
      </c>
      <c r="T2115" t="str">
        <f>IF(Q2115="DEP","BAS Excluded","GST on Income")</f>
        <v>GST on Income</v>
      </c>
      <c r="U2115">
        <f>IF(O2115=T2115,1,0)</f>
        <v>1</v>
      </c>
      <c r="V2115" s="9">
        <f>IF(OR(M2115=0,U2115=1),0,IF(T2115="GST on Income",ROUND(K2115*0.1,2),ROUND(-K2115*0.1,2)))</f>
        <v>0</v>
      </c>
    </row>
    <row r="2116">
      <c r="A2116" t="inlineStr">
        <is>
          <t>INV-5681-2</t>
        </is>
      </c>
      <c r="B2116" t="inlineStr">
        <is>
          <t>INV-5681</t>
        </is>
      </c>
      <c r="C2116" s="11" t="n">
        <v>46148</v>
      </c>
      <c r="D2116" t="inlineStr">
        <is>
          <t>2026-05</t>
        </is>
      </c>
      <c r="E2116" t="inlineStr">
        <is>
          <t>C0066</t>
        </is>
      </c>
      <c r="F2116" t="inlineStr">
        <is>
          <t>C0066</t>
        </is>
      </c>
      <c r="G2116" t="inlineStr">
        <is>
          <t>Northgate Insurance Repairs</t>
        </is>
      </c>
      <c r="H2116" t="inlineStr">
        <is>
          <t>S0423</t>
        </is>
      </c>
      <c r="I2116" t="inlineStr">
        <is>
          <t>Tarp supply and install - 2 tarp(s)</t>
        </is>
      </c>
      <c r="J2116" t="n">
        <v>2</v>
      </c>
      <c r="K2116" s="9" t="n">
        <v>480</v>
      </c>
      <c r="L2116" t="inlineStr">
        <is>
          <t>PAID</t>
        </is>
      </c>
      <c r="M2116">
        <f>IF(L2116="VOIDED",0,1)</f>
        <v>1</v>
      </c>
      <c r="N2116" t="n">
        <v>200</v>
      </c>
      <c r="O2116" t="inlineStr">
        <is>
          <t>GST on Income</t>
        </is>
      </c>
      <c r="P2116" t="inlineStr">
        <is>
          <t>R09</t>
        </is>
      </c>
      <c r="Q2116" t="inlineStr">
        <is>
          <t>MS</t>
        </is>
      </c>
      <c r="R2116">
        <f>IF(OR(Q2116="CONTEXT",Q2116="REVIEW"),"",INDEX('Category Rules'!$D$5:$D$17,MATCH(P2116,'Category Rules'!$A$5:$A$17,0)))</f>
        <v>4020</v>
      </c>
      <c r="S2116" t="str">
        <f>IF(Q2116="CONTEXT","Make-safe",IF(Q2116="REVIEW","",INDEX('Category Rules'!$E$5:$E$17,MATCH(P2116,'Category Rules'!$A$5:$A$17,0))))</f>
        <v>Make-safe</v>
      </c>
      <c r="T2116" t="str">
        <f>IF(Q2116="DEP","BAS Excluded","GST on Income")</f>
        <v>GST on Income</v>
      </c>
      <c r="U2116">
        <f>IF(O2116=T2116,1,0)</f>
        <v>1</v>
      </c>
      <c r="V2116" s="9">
        <f>IF(OR(M2116=0,U2116=1),0,IF(T2116="GST on Income",ROUND(K2116*0.1,2),ROUND(-K2116*0.1,2)))</f>
        <v>0</v>
      </c>
    </row>
    <row r="2117">
      <c r="A2117" t="inlineStr">
        <is>
          <t>INV-4451-1</t>
        </is>
      </c>
      <c r="B2117" t="inlineStr">
        <is>
          <t>INV-4451</t>
        </is>
      </c>
      <c r="C2117" s="11" t="n">
        <v>46149</v>
      </c>
      <c r="D2117" t="inlineStr">
        <is>
          <t>2026-05</t>
        </is>
      </c>
      <c r="E2117" t="inlineStr">
        <is>
          <t>C0071</t>
        </is>
      </c>
      <c r="F2117" t="inlineStr">
        <is>
          <t>C0071</t>
        </is>
      </c>
      <c r="G2117" t="inlineStr">
        <is>
          <t>Maribyrnong City Council</t>
        </is>
      </c>
      <c r="H2117" t="inlineStr">
        <is>
          <t>S0070</t>
        </is>
      </c>
      <c r="I2117" t="inlineStr">
        <is>
          <t>Delivery and installation - temporary fencing</t>
        </is>
      </c>
      <c r="J2117" t="n">
        <v>1</v>
      </c>
      <c r="K2117" s="9" t="n">
        <v>165</v>
      </c>
      <c r="L2117" t="inlineStr">
        <is>
          <t>PAID</t>
        </is>
      </c>
      <c r="M2117">
        <f>IF(L2117="VOIDED",0,1)</f>
        <v>1</v>
      </c>
      <c r="N2117" t="n">
        <v>200</v>
      </c>
      <c r="O2117" t="inlineStr">
        <is>
          <t>GST on Income</t>
        </is>
      </c>
      <c r="P2117" t="inlineStr">
        <is>
          <t>R07</t>
        </is>
      </c>
      <c r="Q2117" t="inlineStr">
        <is>
          <t>DEL-FP</t>
        </is>
      </c>
      <c r="R2117">
        <f>IF(OR(Q2117="CONTEXT",Q2117="REVIEW"),"",INDEX('Category Rules'!$D$5:$D$17,MATCH(P2117,'Category Rules'!$A$5:$A$17,0)))</f>
        <v>4020</v>
      </c>
      <c r="S2117" t="str">
        <f>IF(Q2117="CONTEXT","Fencing",IF(Q2117="REVIEW","",INDEX('Category Rules'!$E$5:$E$17,MATCH(P2117,'Category Rules'!$A$5:$A$17,0))))</f>
        <v>Fencing</v>
      </c>
      <c r="T2117" t="str">
        <f>IF(Q2117="DEP","BAS Excluded","GST on Income")</f>
        <v>GST on Income</v>
      </c>
      <c r="U2117">
        <f>IF(O2117=T2117,1,0)</f>
        <v>1</v>
      </c>
      <c r="V2117" s="9">
        <f>IF(OR(M2117=0,U2117=1),0,IF(T2117="GST on Income",ROUND(K2117*0.1,2),ROUND(-K2117*0.1,2)))</f>
        <v>0</v>
      </c>
    </row>
    <row r="2118">
      <c r="A2118" t="inlineStr">
        <is>
          <t>INV-4451-2</t>
        </is>
      </c>
      <c r="B2118" t="inlineStr">
        <is>
          <t>INV-4451</t>
        </is>
      </c>
      <c r="C2118" s="11" t="n">
        <v>46149</v>
      </c>
      <c r="D2118" t="inlineStr">
        <is>
          <t>2026-05</t>
        </is>
      </c>
      <c r="E2118" t="inlineStr">
        <is>
          <t>C0071</t>
        </is>
      </c>
      <c r="F2118" t="inlineStr">
        <is>
          <t>C0071</t>
        </is>
      </c>
      <c r="G2118" t="inlineStr">
        <is>
          <t>Maribyrnong City Council</t>
        </is>
      </c>
      <c r="H2118" t="inlineStr">
        <is>
          <t>S0070</t>
        </is>
      </c>
      <c r="I2118" t="inlineStr">
        <is>
          <t>Installation labour - 29 panels @ 2.20</t>
        </is>
      </c>
      <c r="J2118" t="n">
        <v>29</v>
      </c>
      <c r="K2118" s="9" t="n">
        <v>63.8</v>
      </c>
      <c r="L2118" t="inlineStr">
        <is>
          <t>PAID</t>
        </is>
      </c>
      <c r="M2118">
        <f>IF(L2118="VOIDED",0,1)</f>
        <v>1</v>
      </c>
      <c r="N2118" t="n">
        <v>200</v>
      </c>
      <c r="O2118" t="inlineStr">
        <is>
          <t>GST on Income</t>
        </is>
      </c>
      <c r="P2118" t="inlineStr">
        <is>
          <t>R07</t>
        </is>
      </c>
      <c r="Q2118" t="inlineStr">
        <is>
          <t>DEL-FP</t>
        </is>
      </c>
      <c r="R2118">
        <f>IF(OR(Q2118="CONTEXT",Q2118="REVIEW"),"",INDEX('Category Rules'!$D$5:$D$17,MATCH(P2118,'Category Rules'!$A$5:$A$17,0)))</f>
        <v>4020</v>
      </c>
      <c r="S2118" t="str">
        <f>IF(Q2118="CONTEXT","Fencing",IF(Q2118="REVIEW","",INDEX('Category Rules'!$E$5:$E$17,MATCH(P2118,'Category Rules'!$A$5:$A$17,0))))</f>
        <v>Fencing</v>
      </c>
      <c r="T2118" t="str">
        <f>IF(Q2118="DEP","BAS Excluded","GST on Income")</f>
        <v>GST on Income</v>
      </c>
      <c r="U2118">
        <f>IF(O2118=T2118,1,0)</f>
        <v>1</v>
      </c>
      <c r="V2118" s="9">
        <f>IF(OR(M2118=0,U2118=1),0,IF(T2118="GST on Income",ROUND(K2118*0.1,2),ROUND(-K2118*0.1,2)))</f>
        <v>0</v>
      </c>
    </row>
    <row r="2119">
      <c r="A2119" t="inlineStr">
        <is>
          <t>INV-4451-3</t>
        </is>
      </c>
      <c r="B2119" t="inlineStr">
        <is>
          <t>INV-4451</t>
        </is>
      </c>
      <c r="C2119" s="11" t="n">
        <v>46149</v>
      </c>
      <c r="D2119" t="inlineStr">
        <is>
          <t>2026-05</t>
        </is>
      </c>
      <c r="E2119" t="inlineStr">
        <is>
          <t>C0071</t>
        </is>
      </c>
      <c r="F2119" t="inlineStr">
        <is>
          <t>C0071</t>
        </is>
      </c>
      <c r="G2119" t="inlineStr">
        <is>
          <t>Maribyrnong City Council</t>
        </is>
      </c>
      <c r="H2119" t="inlineStr">
        <is>
          <t>S0070</t>
        </is>
      </c>
      <c r="I2119" t="inlineStr">
        <is>
          <t>Security deposit - fence panels (refundable)</t>
        </is>
      </c>
      <c r="J2119" t="n">
        <v>1</v>
      </c>
      <c r="K2119" s="9" t="n">
        <v>230</v>
      </c>
      <c r="L2119" t="inlineStr">
        <is>
          <t>PAID</t>
        </is>
      </c>
      <c r="M2119">
        <f>IF(L2119="VOIDED",0,1)</f>
        <v>1</v>
      </c>
      <c r="N2119" t="n">
        <v>200</v>
      </c>
      <c r="O2119" t="inlineStr">
        <is>
          <t>BAS Excluded</t>
        </is>
      </c>
      <c r="P2119" t="inlineStr">
        <is>
          <t>R01</t>
        </is>
      </c>
      <c r="Q2119" t="inlineStr">
        <is>
          <t>DEP</t>
        </is>
      </c>
      <c r="R2119">
        <f>IF(OR(Q2119="CONTEXT",Q2119="REVIEW"),"",INDEX('Category Rules'!$D$5:$D$17,MATCH(P2119,'Category Rules'!$A$5:$A$17,0)))</f>
        <v>835</v>
      </c>
      <c r="S2119" t="str">
        <f>IF(Q2119="CONTEXT","Fencing",IF(Q2119="REVIEW","",INDEX('Category Rules'!$E$5:$E$17,MATCH(P2119,'Category Rules'!$A$5:$A$17,0))))</f>
        <v>Fencing</v>
      </c>
      <c r="T2119" t="str">
        <f>IF(Q2119="DEP","BAS Excluded","GST on Income")</f>
        <v>BAS Excluded</v>
      </c>
      <c r="U2119">
        <f>IF(O2119=T2119,1,0)</f>
        <v>1</v>
      </c>
      <c r="V2119" s="9">
        <f>IF(OR(M2119=0,U2119=1),0,IF(T2119="GST on Income",ROUND(K2119*0.1,2),ROUND(-K2119*0.1,2)))</f>
        <v>0</v>
      </c>
    </row>
    <row r="2120">
      <c r="A2120" t="inlineStr">
        <is>
          <t>INV-5882-1</t>
        </is>
      </c>
      <c r="B2120" t="inlineStr">
        <is>
          <t>INV-5882</t>
        </is>
      </c>
      <c r="C2120" s="11" t="n">
        <v>46149</v>
      </c>
      <c r="D2120" t="inlineStr">
        <is>
          <t>2026-05</t>
        </is>
      </c>
      <c r="E2120" t="inlineStr">
        <is>
          <t>C0055</t>
        </is>
      </c>
      <c r="F2120" t="inlineStr">
        <is>
          <t>C0055</t>
        </is>
      </c>
      <c r="G2120" t="inlineStr">
        <is>
          <t>Coastline Strata Management Pty Ltd</t>
        </is>
      </c>
      <c r="H2120" t="inlineStr">
        <is>
          <t>S0541</t>
        </is>
      </c>
      <c r="I2120" t="inlineStr">
        <is>
          <t>Tarp kit hire 2 wks (29/04/26-06/05/26) - 3 kits</t>
        </is>
      </c>
      <c r="J2120" t="n">
        <v>6</v>
      </c>
      <c r="K2120" s="9" t="n">
        <v>210</v>
      </c>
      <c r="L2120" t="inlineStr">
        <is>
          <t>PAID</t>
        </is>
      </c>
      <c r="M2120">
        <f>IF(L2120="VOIDED",0,1)</f>
        <v>1</v>
      </c>
      <c r="N2120" t="n">
        <v>200</v>
      </c>
      <c r="O2120" t="inlineStr">
        <is>
          <t>GST on Income</t>
        </is>
      </c>
      <c r="P2120" t="inlineStr">
        <is>
          <t>R06</t>
        </is>
      </c>
      <c r="Q2120" t="inlineStr">
        <is>
          <t>HIRE-TK</t>
        </is>
      </c>
      <c r="R2120">
        <f>IF(OR(Q2120="CONTEXT",Q2120="REVIEW"),"",INDEX('Category Rules'!$D$5:$D$17,MATCH(P2120,'Category Rules'!$A$5:$A$17,0)))</f>
        <v>4010</v>
      </c>
      <c r="S2120" t="str">
        <f>IF(Q2120="CONTEXT","Make-safe",IF(Q2120="REVIEW","",INDEX('Category Rules'!$E$5:$E$17,MATCH(P2120,'Category Rules'!$A$5:$A$17,0))))</f>
        <v>Make-safe</v>
      </c>
      <c r="T2120" t="str">
        <f>IF(Q2120="DEP","BAS Excluded","GST on Income")</f>
        <v>GST on Income</v>
      </c>
      <c r="U2120">
        <f>IF(O2120=T2120,1,0)</f>
        <v>1</v>
      </c>
      <c r="V2120" s="9">
        <f>IF(OR(M2120=0,U2120=1),0,IF(T2120="GST on Income",ROUND(K2120*0.1,2),ROUND(-K2120*0.1,2)))</f>
        <v>0</v>
      </c>
    </row>
    <row r="2121">
      <c r="A2121" t="inlineStr">
        <is>
          <t>INV-4566-1</t>
        </is>
      </c>
      <c r="B2121" t="inlineStr">
        <is>
          <t>INV-4566</t>
        </is>
      </c>
      <c r="C2121" s="11" t="n">
        <v>46150</v>
      </c>
      <c r="D2121" t="inlineStr">
        <is>
          <t>2026-05</t>
        </is>
      </c>
      <c r="E2121" t="inlineStr">
        <is>
          <t>C0002</t>
        </is>
      </c>
      <c r="F2121" t="inlineStr">
        <is>
          <t>C0002</t>
        </is>
      </c>
      <c r="G2121" t="inlineStr">
        <is>
          <t>Summit Building Group</t>
        </is>
      </c>
      <c r="H2121" t="inlineStr">
        <is>
          <t>S0094</t>
        </is>
      </c>
      <c r="I2121" t="inlineStr">
        <is>
          <t>Temporary fence hire 4 wks (10/04/26-07/05/26) - 115 panels</t>
        </is>
      </c>
      <c r="J2121" t="n">
        <v>460</v>
      </c>
      <c r="K2121" s="9" t="n">
        <v>2070</v>
      </c>
      <c r="L2121" t="inlineStr">
        <is>
          <t>PAID</t>
        </is>
      </c>
      <c r="M2121">
        <f>IF(L2121="VOIDED",0,1)</f>
        <v>1</v>
      </c>
      <c r="N2121" t="n">
        <v>200</v>
      </c>
      <c r="O2121" t="inlineStr">
        <is>
          <t>GST on Income</t>
        </is>
      </c>
      <c r="P2121" t="inlineStr">
        <is>
          <t>R03</t>
        </is>
      </c>
      <c r="Q2121" t="inlineStr">
        <is>
          <t>HIRE-FP</t>
        </is>
      </c>
      <c r="R2121">
        <f>IF(OR(Q2121="CONTEXT",Q2121="REVIEW"),"",INDEX('Category Rules'!$D$5:$D$17,MATCH(P2121,'Category Rules'!$A$5:$A$17,0)))</f>
        <v>4010</v>
      </c>
      <c r="S2121" t="str">
        <f>IF(Q2121="CONTEXT","Fencing",IF(Q2121="REVIEW","",INDEX('Category Rules'!$E$5:$E$17,MATCH(P2121,'Category Rules'!$A$5:$A$17,0))))</f>
        <v>Fencing</v>
      </c>
      <c r="T2121" t="str">
        <f>IF(Q2121="DEP","BAS Excluded","GST on Income")</f>
        <v>GST on Income</v>
      </c>
      <c r="U2121">
        <f>IF(O2121=T2121,1,0)</f>
        <v>1</v>
      </c>
      <c r="V2121" s="9">
        <f>IF(OR(M2121=0,U2121=1),0,IF(T2121="GST on Income",ROUND(K2121*0.1,2),ROUND(-K2121*0.1,2)))</f>
        <v>0</v>
      </c>
    </row>
    <row r="2122">
      <c r="A2122" t="inlineStr">
        <is>
          <t>INV-4660-1</t>
        </is>
      </c>
      <c r="B2122" t="inlineStr">
        <is>
          <t>INV-4660</t>
        </is>
      </c>
      <c r="C2122" s="11" t="n">
        <v>46150</v>
      </c>
      <c r="D2122" t="inlineStr">
        <is>
          <t>2026-05</t>
        </is>
      </c>
      <c r="E2122" t="inlineStr">
        <is>
          <t>C0018</t>
        </is>
      </c>
      <c r="F2122" t="inlineStr">
        <is>
          <t>C0018</t>
        </is>
      </c>
      <c r="G2122" t="inlineStr">
        <is>
          <t>Wattle Constructions Pty Ltd</t>
        </is>
      </c>
      <c r="H2122" t="inlineStr">
        <is>
          <t>S0114</t>
        </is>
      </c>
      <c r="I2122" t="inlineStr">
        <is>
          <t>Delivery and installation - temporary fencing</t>
        </is>
      </c>
      <c r="J2122" t="n">
        <v>1</v>
      </c>
      <c r="K2122" s="9" t="n">
        <v>165</v>
      </c>
      <c r="L2122" t="inlineStr">
        <is>
          <t>PAID</t>
        </is>
      </c>
      <c r="M2122">
        <f>IF(L2122="VOIDED",0,1)</f>
        <v>1</v>
      </c>
      <c r="N2122" t="n">
        <v>200</v>
      </c>
      <c r="O2122" t="inlineStr">
        <is>
          <t>GST on Income</t>
        </is>
      </c>
      <c r="P2122" t="inlineStr">
        <is>
          <t>R07</t>
        </is>
      </c>
      <c r="Q2122" t="inlineStr">
        <is>
          <t>DEL-FP</t>
        </is>
      </c>
      <c r="R2122">
        <f>IF(OR(Q2122="CONTEXT",Q2122="REVIEW"),"",INDEX('Category Rules'!$D$5:$D$17,MATCH(P2122,'Category Rules'!$A$5:$A$17,0)))</f>
        <v>4020</v>
      </c>
      <c r="S2122" t="str">
        <f>IF(Q2122="CONTEXT","Fencing",IF(Q2122="REVIEW","",INDEX('Category Rules'!$E$5:$E$17,MATCH(P2122,'Category Rules'!$A$5:$A$17,0))))</f>
        <v>Fencing</v>
      </c>
      <c r="T2122" t="str">
        <f>IF(Q2122="DEP","BAS Excluded","GST on Income")</f>
        <v>GST on Income</v>
      </c>
      <c r="U2122">
        <f>IF(O2122=T2122,1,0)</f>
        <v>1</v>
      </c>
      <c r="V2122" s="9">
        <f>IF(OR(M2122=0,U2122=1),0,IF(T2122="GST on Income",ROUND(K2122*0.1,2),ROUND(-K2122*0.1,2)))</f>
        <v>0</v>
      </c>
    </row>
    <row r="2123">
      <c r="A2123" t="inlineStr">
        <is>
          <t>INV-4660-2</t>
        </is>
      </c>
      <c r="B2123" t="inlineStr">
        <is>
          <t>INV-4660</t>
        </is>
      </c>
      <c r="C2123" s="11" t="n">
        <v>46150</v>
      </c>
      <c r="D2123" t="inlineStr">
        <is>
          <t>2026-05</t>
        </is>
      </c>
      <c r="E2123" t="inlineStr">
        <is>
          <t>C0018</t>
        </is>
      </c>
      <c r="F2123" t="inlineStr">
        <is>
          <t>C0018</t>
        </is>
      </c>
      <c r="G2123" t="inlineStr">
        <is>
          <t>Wattle Constructions Pty Ltd</t>
        </is>
      </c>
      <c r="H2123" t="inlineStr">
        <is>
          <t>S0114</t>
        </is>
      </c>
      <c r="I2123" t="inlineStr">
        <is>
          <t>Installation labour - 16 panels @ 2.20</t>
        </is>
      </c>
      <c r="J2123" t="n">
        <v>16</v>
      </c>
      <c r="K2123" s="9" t="n">
        <v>35.2</v>
      </c>
      <c r="L2123" t="inlineStr">
        <is>
          <t>PAID</t>
        </is>
      </c>
      <c r="M2123">
        <f>IF(L2123="VOIDED",0,1)</f>
        <v>1</v>
      </c>
      <c r="N2123" t="n">
        <v>200</v>
      </c>
      <c r="O2123" t="inlineStr">
        <is>
          <t>GST on Income</t>
        </is>
      </c>
      <c r="P2123" t="inlineStr">
        <is>
          <t>R07</t>
        </is>
      </c>
      <c r="Q2123" t="inlineStr">
        <is>
          <t>DEL-FP</t>
        </is>
      </c>
      <c r="R2123">
        <f>IF(OR(Q2123="CONTEXT",Q2123="REVIEW"),"",INDEX('Category Rules'!$D$5:$D$17,MATCH(P2123,'Category Rules'!$A$5:$A$17,0)))</f>
        <v>4020</v>
      </c>
      <c r="S2123" t="str">
        <f>IF(Q2123="CONTEXT","Fencing",IF(Q2123="REVIEW","",INDEX('Category Rules'!$E$5:$E$17,MATCH(P2123,'Category Rules'!$A$5:$A$17,0))))</f>
        <v>Fencing</v>
      </c>
      <c r="T2123" t="str">
        <f>IF(Q2123="DEP","BAS Excluded","GST on Income")</f>
        <v>GST on Income</v>
      </c>
      <c r="U2123">
        <f>IF(O2123=T2123,1,0)</f>
        <v>1</v>
      </c>
      <c r="V2123" s="9">
        <f>IF(OR(M2123=0,U2123=1),0,IF(T2123="GST on Income",ROUND(K2123*0.1,2),ROUND(-K2123*0.1,2)))</f>
        <v>0</v>
      </c>
    </row>
    <row r="2124">
      <c r="A2124" t="inlineStr">
        <is>
          <t>INV-4660-3</t>
        </is>
      </c>
      <c r="B2124" t="inlineStr">
        <is>
          <t>INV-4660</t>
        </is>
      </c>
      <c r="C2124" s="11" t="n">
        <v>46150</v>
      </c>
      <c r="D2124" t="inlineStr">
        <is>
          <t>2026-05</t>
        </is>
      </c>
      <c r="E2124" t="inlineStr">
        <is>
          <t>C0018</t>
        </is>
      </c>
      <c r="F2124" t="inlineStr">
        <is>
          <t>C0018</t>
        </is>
      </c>
      <c r="G2124" t="inlineStr">
        <is>
          <t>Wattle Constructions Pty Ltd</t>
        </is>
      </c>
      <c r="H2124" t="inlineStr">
        <is>
          <t>S0114</t>
        </is>
      </c>
      <c r="I2124" t="inlineStr">
        <is>
          <t>Security deposit - fence panels (refundable)</t>
        </is>
      </c>
      <c r="J2124" t="n">
        <v>1</v>
      </c>
      <c r="K2124" s="9" t="n">
        <v>130</v>
      </c>
      <c r="L2124" t="inlineStr">
        <is>
          <t>PAID</t>
        </is>
      </c>
      <c r="M2124">
        <f>IF(L2124="VOIDED",0,1)</f>
        <v>1</v>
      </c>
      <c r="N2124" t="n">
        <v>200</v>
      </c>
      <c r="O2124" t="inlineStr">
        <is>
          <t>GST on Income</t>
        </is>
      </c>
      <c r="P2124" t="inlineStr">
        <is>
          <t>R01</t>
        </is>
      </c>
      <c r="Q2124" t="inlineStr">
        <is>
          <t>DEP</t>
        </is>
      </c>
      <c r="R2124">
        <f>IF(OR(Q2124="CONTEXT",Q2124="REVIEW"),"",INDEX('Category Rules'!$D$5:$D$17,MATCH(P2124,'Category Rules'!$A$5:$A$17,0)))</f>
        <v>835</v>
      </c>
      <c r="S2124" t="str">
        <f>IF(Q2124="CONTEXT","Fencing",IF(Q2124="REVIEW","",INDEX('Category Rules'!$E$5:$E$17,MATCH(P2124,'Category Rules'!$A$5:$A$17,0))))</f>
        <v>Fencing</v>
      </c>
      <c r="T2124" t="str">
        <f>IF(Q2124="DEP","BAS Excluded","GST on Income")</f>
        <v>BAS Excluded</v>
      </c>
      <c r="U2124">
        <f>IF(O2124=T2124,1,0)</f>
        <v>0</v>
      </c>
      <c r="V2124" s="9">
        <f>IF(OR(M2124=0,U2124=1),0,IF(T2124="GST on Income",ROUND(K2124*0.1,2),ROUND(-K2124*0.1,2)))</f>
        <v>-13</v>
      </c>
    </row>
    <row r="2125">
      <c r="A2125" t="inlineStr">
        <is>
          <t>INV-4707-1</t>
        </is>
      </c>
      <c r="B2125" t="inlineStr">
        <is>
          <t>INV-4707</t>
        </is>
      </c>
      <c r="C2125" s="11" t="n">
        <v>46150</v>
      </c>
      <c r="D2125" t="inlineStr">
        <is>
          <t>2026-05</t>
        </is>
      </c>
      <c r="E2125" t="inlineStr">
        <is>
          <t>C0076</t>
        </is>
      </c>
      <c r="F2125" t="inlineStr">
        <is>
          <t>C0076</t>
        </is>
      </c>
      <c r="G2125" t="inlineStr">
        <is>
          <t>Westside Productions</t>
        </is>
      </c>
      <c r="H2125" t="inlineStr">
        <is>
          <t>S0125</t>
        </is>
      </c>
      <c r="I2125" t="inlineStr">
        <is>
          <t>Delivery and installation - temporary fencing</t>
        </is>
      </c>
      <c r="J2125" t="n">
        <v>1</v>
      </c>
      <c r="K2125" s="9" t="n">
        <v>165</v>
      </c>
      <c r="L2125" t="inlineStr">
        <is>
          <t>PAID</t>
        </is>
      </c>
      <c r="M2125">
        <f>IF(L2125="VOIDED",0,1)</f>
        <v>1</v>
      </c>
      <c r="N2125" t="n">
        <v>200</v>
      </c>
      <c r="O2125" t="inlineStr">
        <is>
          <t>GST on Income</t>
        </is>
      </c>
      <c r="P2125" t="inlineStr">
        <is>
          <t>R07</t>
        </is>
      </c>
      <c r="Q2125" t="inlineStr">
        <is>
          <t>DEL-FP</t>
        </is>
      </c>
      <c r="R2125">
        <f>IF(OR(Q2125="CONTEXT",Q2125="REVIEW"),"",INDEX('Category Rules'!$D$5:$D$17,MATCH(P2125,'Category Rules'!$A$5:$A$17,0)))</f>
        <v>4020</v>
      </c>
      <c r="S2125" t="str">
        <f>IF(Q2125="CONTEXT","Fencing",IF(Q2125="REVIEW","",INDEX('Category Rules'!$E$5:$E$17,MATCH(P2125,'Category Rules'!$A$5:$A$17,0))))</f>
        <v>Fencing</v>
      </c>
      <c r="T2125" t="str">
        <f>IF(Q2125="DEP","BAS Excluded","GST on Income")</f>
        <v>GST on Income</v>
      </c>
      <c r="U2125">
        <f>IF(O2125=T2125,1,0)</f>
        <v>1</v>
      </c>
      <c r="V2125" s="9">
        <f>IF(OR(M2125=0,U2125=1),0,IF(T2125="GST on Income",ROUND(K2125*0.1,2),ROUND(-K2125*0.1,2)))</f>
        <v>0</v>
      </c>
    </row>
    <row r="2126">
      <c r="A2126" t="inlineStr">
        <is>
          <t>INV-4707-2</t>
        </is>
      </c>
      <c r="B2126" t="inlineStr">
        <is>
          <t>INV-4707</t>
        </is>
      </c>
      <c r="C2126" s="11" t="n">
        <v>46150</v>
      </c>
      <c r="D2126" t="inlineStr">
        <is>
          <t>2026-05</t>
        </is>
      </c>
      <c r="E2126" t="inlineStr">
        <is>
          <t>C0076</t>
        </is>
      </c>
      <c r="F2126" t="inlineStr">
        <is>
          <t>C0076</t>
        </is>
      </c>
      <c r="G2126" t="inlineStr">
        <is>
          <t>Westside Productions</t>
        </is>
      </c>
      <c r="H2126" t="inlineStr">
        <is>
          <t>S0125</t>
        </is>
      </c>
      <c r="I2126" t="inlineStr">
        <is>
          <t>Installation labour - 31 panels @ 2.20</t>
        </is>
      </c>
      <c r="J2126" t="n">
        <v>31</v>
      </c>
      <c r="K2126" s="9" t="n">
        <v>68.2</v>
      </c>
      <c r="L2126" t="inlineStr">
        <is>
          <t>PAID</t>
        </is>
      </c>
      <c r="M2126">
        <f>IF(L2126="VOIDED",0,1)</f>
        <v>1</v>
      </c>
      <c r="N2126" t="n">
        <v>200</v>
      </c>
      <c r="O2126" t="inlineStr">
        <is>
          <t>GST on Income</t>
        </is>
      </c>
      <c r="P2126" t="inlineStr">
        <is>
          <t>R07</t>
        </is>
      </c>
      <c r="Q2126" t="inlineStr">
        <is>
          <t>DEL-FP</t>
        </is>
      </c>
      <c r="R2126">
        <f>IF(OR(Q2126="CONTEXT",Q2126="REVIEW"),"",INDEX('Category Rules'!$D$5:$D$17,MATCH(P2126,'Category Rules'!$A$5:$A$17,0)))</f>
        <v>4020</v>
      </c>
      <c r="S2126" t="str">
        <f>IF(Q2126="CONTEXT","Fencing",IF(Q2126="REVIEW","",INDEX('Category Rules'!$E$5:$E$17,MATCH(P2126,'Category Rules'!$A$5:$A$17,0))))</f>
        <v>Fencing</v>
      </c>
      <c r="T2126" t="str">
        <f>IF(Q2126="DEP","BAS Excluded","GST on Income")</f>
        <v>GST on Income</v>
      </c>
      <c r="U2126">
        <f>IF(O2126=T2126,1,0)</f>
        <v>1</v>
      </c>
      <c r="V2126" s="9">
        <f>IF(OR(M2126=0,U2126=1),0,IF(T2126="GST on Income",ROUND(K2126*0.1,2),ROUND(-K2126*0.1,2)))</f>
        <v>0</v>
      </c>
    </row>
    <row r="2127">
      <c r="A2127" t="inlineStr">
        <is>
          <t>INV-4927-1</t>
        </is>
      </c>
      <c r="B2127" t="inlineStr">
        <is>
          <t>INV-4927</t>
        </is>
      </c>
      <c r="C2127" s="11" t="n">
        <v>46150</v>
      </c>
      <c r="D2127" t="inlineStr">
        <is>
          <t>2026-05</t>
        </is>
      </c>
      <c r="E2127" t="inlineStr">
        <is>
          <t>C0070</t>
        </is>
      </c>
      <c r="F2127" t="inlineStr">
        <is>
          <t>C0070</t>
        </is>
      </c>
      <c r="G2127" t="inlineStr">
        <is>
          <t>Banyule City Council</t>
        </is>
      </c>
      <c r="H2127" t="inlineStr">
        <is>
          <t>S0175</t>
        </is>
      </c>
      <c r="I2127" t="inlineStr">
        <is>
          <t>Delivery and installation - temporary fencing</t>
        </is>
      </c>
      <c r="J2127" t="n">
        <v>1</v>
      </c>
      <c r="K2127" s="9" t="n">
        <v>165</v>
      </c>
      <c r="L2127" t="inlineStr">
        <is>
          <t>PAID</t>
        </is>
      </c>
      <c r="M2127">
        <f>IF(L2127="VOIDED",0,1)</f>
        <v>1</v>
      </c>
      <c r="N2127" t="n">
        <v>200</v>
      </c>
      <c r="O2127" t="inlineStr">
        <is>
          <t>GST on Income</t>
        </is>
      </c>
      <c r="P2127" t="inlineStr">
        <is>
          <t>R07</t>
        </is>
      </c>
      <c r="Q2127" t="inlineStr">
        <is>
          <t>DEL-FP</t>
        </is>
      </c>
      <c r="R2127">
        <f>IF(OR(Q2127="CONTEXT",Q2127="REVIEW"),"",INDEX('Category Rules'!$D$5:$D$17,MATCH(P2127,'Category Rules'!$A$5:$A$17,0)))</f>
        <v>4020</v>
      </c>
      <c r="S2127" t="str">
        <f>IF(Q2127="CONTEXT","Fencing",IF(Q2127="REVIEW","",INDEX('Category Rules'!$E$5:$E$17,MATCH(P2127,'Category Rules'!$A$5:$A$17,0))))</f>
        <v>Fencing</v>
      </c>
      <c r="T2127" t="str">
        <f>IF(Q2127="DEP","BAS Excluded","GST on Income")</f>
        <v>GST on Income</v>
      </c>
      <c r="U2127">
        <f>IF(O2127=T2127,1,0)</f>
        <v>1</v>
      </c>
      <c r="V2127" s="9">
        <f>IF(OR(M2127=0,U2127=1),0,IF(T2127="GST on Income",ROUND(K2127*0.1,2),ROUND(-K2127*0.1,2)))</f>
        <v>0</v>
      </c>
    </row>
    <row r="2128">
      <c r="A2128" t="inlineStr">
        <is>
          <t>INV-4927-2</t>
        </is>
      </c>
      <c r="B2128" t="inlineStr">
        <is>
          <t>INV-4927</t>
        </is>
      </c>
      <c r="C2128" s="11" t="n">
        <v>46150</v>
      </c>
      <c r="D2128" t="inlineStr">
        <is>
          <t>2026-05</t>
        </is>
      </c>
      <c r="E2128" t="inlineStr">
        <is>
          <t>C0070</t>
        </is>
      </c>
      <c r="F2128" t="inlineStr">
        <is>
          <t>C0070</t>
        </is>
      </c>
      <c r="G2128" t="inlineStr">
        <is>
          <t>Banyule City Council</t>
        </is>
      </c>
      <c r="H2128" t="inlineStr">
        <is>
          <t>S0175</t>
        </is>
      </c>
      <c r="I2128" t="inlineStr">
        <is>
          <t>Installation labour - 129 panels @ 2.20</t>
        </is>
      </c>
      <c r="J2128" t="n">
        <v>129</v>
      </c>
      <c r="K2128" s="9" t="n">
        <v>283.8</v>
      </c>
      <c r="L2128" t="inlineStr">
        <is>
          <t>PAID</t>
        </is>
      </c>
      <c r="M2128">
        <f>IF(L2128="VOIDED",0,1)</f>
        <v>1</v>
      </c>
      <c r="N2128" t="n">
        <v>200</v>
      </c>
      <c r="O2128" t="inlineStr">
        <is>
          <t>GST on Income</t>
        </is>
      </c>
      <c r="P2128" t="inlineStr">
        <is>
          <t>R07</t>
        </is>
      </c>
      <c r="Q2128" t="inlineStr">
        <is>
          <t>DEL-FP</t>
        </is>
      </c>
      <c r="R2128">
        <f>IF(OR(Q2128="CONTEXT",Q2128="REVIEW"),"",INDEX('Category Rules'!$D$5:$D$17,MATCH(P2128,'Category Rules'!$A$5:$A$17,0)))</f>
        <v>4020</v>
      </c>
      <c r="S2128" t="str">
        <f>IF(Q2128="CONTEXT","Fencing",IF(Q2128="REVIEW","",INDEX('Category Rules'!$E$5:$E$17,MATCH(P2128,'Category Rules'!$A$5:$A$17,0))))</f>
        <v>Fencing</v>
      </c>
      <c r="T2128" t="str">
        <f>IF(Q2128="DEP","BAS Excluded","GST on Income")</f>
        <v>GST on Income</v>
      </c>
      <c r="U2128">
        <f>IF(O2128=T2128,1,0)</f>
        <v>1</v>
      </c>
      <c r="V2128" s="9">
        <f>IF(OR(M2128=0,U2128=1),0,IF(T2128="GST on Income",ROUND(K2128*0.1,2),ROUND(-K2128*0.1,2)))</f>
        <v>0</v>
      </c>
    </row>
    <row r="2129">
      <c r="A2129" t="inlineStr">
        <is>
          <t>INV-5657-1</t>
        </is>
      </c>
      <c r="B2129" t="inlineStr">
        <is>
          <t>INV-5657</t>
        </is>
      </c>
      <c r="C2129" s="11" t="n">
        <v>46150</v>
      </c>
      <c r="D2129" t="inlineStr">
        <is>
          <t>2026-05</t>
        </is>
      </c>
      <c r="E2129" t="inlineStr">
        <is>
          <t>C0066</t>
        </is>
      </c>
      <c r="F2129" t="inlineStr">
        <is>
          <t>C0066</t>
        </is>
      </c>
      <c r="G2129" t="inlineStr">
        <is>
          <t>Northgate Insurance Repairs</t>
        </is>
      </c>
      <c r="H2129" t="inlineStr">
        <is>
          <t>S0412</t>
        </is>
      </c>
      <c r="I2129" t="inlineStr">
        <is>
          <t>Tarp kit hire 4 wks (10/04/26-07/05/26) - 1 kits</t>
        </is>
      </c>
      <c r="J2129" t="n">
        <v>4</v>
      </c>
      <c r="K2129" s="9" t="n">
        <v>140</v>
      </c>
      <c r="L2129" t="inlineStr">
        <is>
          <t>PAID</t>
        </is>
      </c>
      <c r="M2129">
        <f>IF(L2129="VOIDED",0,1)</f>
        <v>1</v>
      </c>
      <c r="N2129" t="n">
        <v>200</v>
      </c>
      <c r="O2129" t="inlineStr">
        <is>
          <t>GST on Income</t>
        </is>
      </c>
      <c r="P2129" t="inlineStr">
        <is>
          <t>R06</t>
        </is>
      </c>
      <c r="Q2129" t="inlineStr">
        <is>
          <t>HIRE-TK</t>
        </is>
      </c>
      <c r="R2129">
        <f>IF(OR(Q2129="CONTEXT",Q2129="REVIEW"),"",INDEX('Category Rules'!$D$5:$D$17,MATCH(P2129,'Category Rules'!$A$5:$A$17,0)))</f>
        <v>4010</v>
      </c>
      <c r="S2129" t="str">
        <f>IF(Q2129="CONTEXT","Make-safe",IF(Q2129="REVIEW","",INDEX('Category Rules'!$E$5:$E$17,MATCH(P2129,'Category Rules'!$A$5:$A$17,0))))</f>
        <v>Make-safe</v>
      </c>
      <c r="T2129" t="str">
        <f>IF(Q2129="DEP","BAS Excluded","GST on Income")</f>
        <v>GST on Income</v>
      </c>
      <c r="U2129">
        <f>IF(O2129=T2129,1,0)</f>
        <v>1</v>
      </c>
      <c r="V2129" s="9">
        <f>IF(OR(M2129=0,U2129=1),0,IF(T2129="GST on Income",ROUND(K2129*0.1,2),ROUND(-K2129*0.1,2)))</f>
        <v>0</v>
      </c>
    </row>
    <row r="2130">
      <c r="A2130" t="inlineStr">
        <is>
          <t>INV-4165-1</t>
        </is>
      </c>
      <c r="B2130" t="inlineStr">
        <is>
          <t>INV-4165</t>
        </is>
      </c>
      <c r="C2130" s="11" t="n">
        <v>46151</v>
      </c>
      <c r="D2130" t="inlineStr">
        <is>
          <t>2026-05</t>
        </is>
      </c>
      <c r="E2130" t="inlineStr">
        <is>
          <t>C0030</t>
        </is>
      </c>
      <c r="F2130" t="inlineStr">
        <is>
          <t>C0030</t>
        </is>
      </c>
      <c r="G2130" t="inlineStr">
        <is>
          <t>Bluegum Developments</t>
        </is>
      </c>
      <c r="H2130" t="inlineStr">
        <is>
          <t>S0012</t>
        </is>
      </c>
      <c r="I2130" t="inlineStr">
        <is>
          <t>Temporary fence hire 4 wks (11/04/26-08/05/26) - 86 panels</t>
        </is>
      </c>
      <c r="J2130" t="n">
        <v>344</v>
      </c>
      <c r="K2130" s="9" t="n">
        <v>1548</v>
      </c>
      <c r="L2130" t="inlineStr">
        <is>
          <t>PAID</t>
        </is>
      </c>
      <c r="M2130">
        <f>IF(L2130="VOIDED",0,1)</f>
        <v>1</v>
      </c>
      <c r="N2130" t="n">
        <v>200</v>
      </c>
      <c r="O2130" t="inlineStr">
        <is>
          <t>GST on Income</t>
        </is>
      </c>
      <c r="P2130" t="inlineStr">
        <is>
          <t>R03</t>
        </is>
      </c>
      <c r="Q2130" t="inlineStr">
        <is>
          <t>HIRE-FP</t>
        </is>
      </c>
      <c r="R2130">
        <f>IF(OR(Q2130="CONTEXT",Q2130="REVIEW"),"",INDEX('Category Rules'!$D$5:$D$17,MATCH(P2130,'Category Rules'!$A$5:$A$17,0)))</f>
        <v>4010</v>
      </c>
      <c r="S2130" t="str">
        <f>IF(Q2130="CONTEXT","Fencing",IF(Q2130="REVIEW","",INDEX('Category Rules'!$E$5:$E$17,MATCH(P2130,'Category Rules'!$A$5:$A$17,0))))</f>
        <v>Fencing</v>
      </c>
      <c r="T2130" t="str">
        <f>IF(Q2130="DEP","BAS Excluded","GST on Income")</f>
        <v>GST on Income</v>
      </c>
      <c r="U2130">
        <f>IF(O2130=T2130,1,0)</f>
        <v>1</v>
      </c>
      <c r="V2130" s="9">
        <f>IF(OR(M2130=0,U2130=1),0,IF(T2130="GST on Income",ROUND(K2130*0.1,2),ROUND(-K2130*0.1,2)))</f>
        <v>0</v>
      </c>
    </row>
    <row r="2131">
      <c r="A2131" t="inlineStr">
        <is>
          <t>INV-4167-1</t>
        </is>
      </c>
      <c r="B2131" t="inlineStr">
        <is>
          <t>INV-4167</t>
        </is>
      </c>
      <c r="C2131" s="11" t="n">
        <v>46151</v>
      </c>
      <c r="D2131" t="inlineStr">
        <is>
          <t>2026-05</t>
        </is>
      </c>
      <c r="E2131" t="inlineStr">
        <is>
          <t>C0030</t>
        </is>
      </c>
      <c r="F2131" t="inlineStr">
        <is>
          <t>C0030</t>
        </is>
      </c>
      <c r="G2131" t="inlineStr">
        <is>
          <t>Bluegum Developments</t>
        </is>
      </c>
      <c r="H2131" t="inlineStr">
        <is>
          <t>S0012</t>
        </is>
      </c>
      <c r="I2131" t="inlineStr">
        <is>
          <t>Pedestrian barrier hire 4 wks (11/04/26-08/05/26) - 4 barriers</t>
        </is>
      </c>
      <c r="J2131" t="n">
        <v>16</v>
      </c>
      <c r="K2131" s="9" t="n">
        <v>51.2</v>
      </c>
      <c r="L2131" t="inlineStr">
        <is>
          <t>PAID</t>
        </is>
      </c>
      <c r="M2131">
        <f>IF(L2131="VOIDED",0,1)</f>
        <v>1</v>
      </c>
      <c r="N2131" t="n">
        <v>200</v>
      </c>
      <c r="O2131" t="inlineStr">
        <is>
          <t>GST on Income</t>
        </is>
      </c>
      <c r="P2131" t="inlineStr">
        <is>
          <t>R04</t>
        </is>
      </c>
      <c r="Q2131" t="inlineStr">
        <is>
          <t>HIRE-BR</t>
        </is>
      </c>
      <c r="R2131">
        <f>IF(OR(Q2131="CONTEXT",Q2131="REVIEW"),"",INDEX('Category Rules'!$D$5:$D$17,MATCH(P2131,'Category Rules'!$A$5:$A$17,0)))</f>
        <v>4010</v>
      </c>
      <c r="S2131" t="str">
        <f>IF(Q2131="CONTEXT","Fencing",IF(Q2131="REVIEW","",INDEX('Category Rules'!$E$5:$E$17,MATCH(P2131,'Category Rules'!$A$5:$A$17,0))))</f>
        <v>Fencing</v>
      </c>
      <c r="T2131" t="str">
        <f>IF(Q2131="DEP","BAS Excluded","GST on Income")</f>
        <v>GST on Income</v>
      </c>
      <c r="U2131">
        <f>IF(O2131=T2131,1,0)</f>
        <v>1</v>
      </c>
      <c r="V2131" s="9">
        <f>IF(OR(M2131=0,U2131=1),0,IF(T2131="GST on Income",ROUND(K2131*0.1,2),ROUND(-K2131*0.1,2)))</f>
        <v>0</v>
      </c>
    </row>
    <row r="2132">
      <c r="A2132" t="inlineStr">
        <is>
          <t>INV-4897-1</t>
        </is>
      </c>
      <c r="B2132" t="inlineStr">
        <is>
          <t>INV-4897</t>
        </is>
      </c>
      <c r="C2132" s="11" t="n">
        <v>46151</v>
      </c>
      <c r="D2132" t="inlineStr">
        <is>
          <t>2026-05</t>
        </is>
      </c>
      <c r="E2132" t="inlineStr">
        <is>
          <t>C0017</t>
        </is>
      </c>
      <c r="F2132" t="inlineStr">
        <is>
          <t>C0017</t>
        </is>
      </c>
      <c r="G2132" t="inlineStr">
        <is>
          <t>Cobalt Developments Pty Ltd</t>
        </is>
      </c>
      <c r="H2132" t="inlineStr">
        <is>
          <t>S0168</t>
        </is>
      </c>
      <c r="I2132" t="inlineStr">
        <is>
          <t>Delivery and installation - temporary fencing</t>
        </is>
      </c>
      <c r="J2132" t="n">
        <v>1</v>
      </c>
      <c r="K2132" s="9" t="n">
        <v>165</v>
      </c>
      <c r="L2132" t="inlineStr">
        <is>
          <t>PAID</t>
        </is>
      </c>
      <c r="M2132">
        <f>IF(L2132="VOIDED",0,1)</f>
        <v>1</v>
      </c>
      <c r="N2132" t="n">
        <v>200</v>
      </c>
      <c r="O2132" t="inlineStr">
        <is>
          <t>GST on Income</t>
        </is>
      </c>
      <c r="P2132" t="inlineStr">
        <is>
          <t>R07</t>
        </is>
      </c>
      <c r="Q2132" t="inlineStr">
        <is>
          <t>DEL-FP</t>
        </is>
      </c>
      <c r="R2132">
        <f>IF(OR(Q2132="CONTEXT",Q2132="REVIEW"),"",INDEX('Category Rules'!$D$5:$D$17,MATCH(P2132,'Category Rules'!$A$5:$A$17,0)))</f>
        <v>4020</v>
      </c>
      <c r="S2132" t="str">
        <f>IF(Q2132="CONTEXT","Fencing",IF(Q2132="REVIEW","",INDEX('Category Rules'!$E$5:$E$17,MATCH(P2132,'Category Rules'!$A$5:$A$17,0))))</f>
        <v>Fencing</v>
      </c>
      <c r="T2132" t="str">
        <f>IF(Q2132="DEP","BAS Excluded","GST on Income")</f>
        <v>GST on Income</v>
      </c>
      <c r="U2132">
        <f>IF(O2132=T2132,1,0)</f>
        <v>1</v>
      </c>
      <c r="V2132" s="9">
        <f>IF(OR(M2132=0,U2132=1),0,IF(T2132="GST on Income",ROUND(K2132*0.1,2),ROUND(-K2132*0.1,2)))</f>
        <v>0</v>
      </c>
    </row>
    <row r="2133">
      <c r="A2133" t="inlineStr">
        <is>
          <t>INV-4897-2</t>
        </is>
      </c>
      <c r="B2133" t="inlineStr">
        <is>
          <t>INV-4897</t>
        </is>
      </c>
      <c r="C2133" s="11" t="n">
        <v>46151</v>
      </c>
      <c r="D2133" t="inlineStr">
        <is>
          <t>2026-05</t>
        </is>
      </c>
      <c r="E2133" t="inlineStr">
        <is>
          <t>C0017</t>
        </is>
      </c>
      <c r="F2133" t="inlineStr">
        <is>
          <t>C0017</t>
        </is>
      </c>
      <c r="G2133" t="inlineStr">
        <is>
          <t>Cobalt Developments Pty Ltd</t>
        </is>
      </c>
      <c r="H2133" t="inlineStr">
        <is>
          <t>S0168</t>
        </is>
      </c>
      <c r="I2133" t="inlineStr">
        <is>
          <t>Installation labour - 127 panels @ 2.20</t>
        </is>
      </c>
      <c r="J2133" t="n">
        <v>127</v>
      </c>
      <c r="K2133" s="9" t="n">
        <v>279.4</v>
      </c>
      <c r="L2133" t="inlineStr">
        <is>
          <t>PAID</t>
        </is>
      </c>
      <c r="M2133">
        <f>IF(L2133="VOIDED",0,1)</f>
        <v>1</v>
      </c>
      <c r="N2133" t="n">
        <v>200</v>
      </c>
      <c r="O2133" t="inlineStr">
        <is>
          <t>GST on Income</t>
        </is>
      </c>
      <c r="P2133" t="inlineStr">
        <is>
          <t>R07</t>
        </is>
      </c>
      <c r="Q2133" t="inlineStr">
        <is>
          <t>DEL-FP</t>
        </is>
      </c>
      <c r="R2133">
        <f>IF(OR(Q2133="CONTEXT",Q2133="REVIEW"),"",INDEX('Category Rules'!$D$5:$D$17,MATCH(P2133,'Category Rules'!$A$5:$A$17,0)))</f>
        <v>4020</v>
      </c>
      <c r="S2133" t="str">
        <f>IF(Q2133="CONTEXT","Fencing",IF(Q2133="REVIEW","",INDEX('Category Rules'!$E$5:$E$17,MATCH(P2133,'Category Rules'!$A$5:$A$17,0))))</f>
        <v>Fencing</v>
      </c>
      <c r="T2133" t="str">
        <f>IF(Q2133="DEP","BAS Excluded","GST on Income")</f>
        <v>GST on Income</v>
      </c>
      <c r="U2133">
        <f>IF(O2133=T2133,1,0)</f>
        <v>1</v>
      </c>
      <c r="V2133" s="9">
        <f>IF(OR(M2133=0,U2133=1),0,IF(T2133="GST on Income",ROUND(K2133*0.1,2),ROUND(-K2133*0.1,2)))</f>
        <v>0</v>
      </c>
    </row>
    <row r="2134">
      <c r="A2134" t="inlineStr">
        <is>
          <t>INV-5047-1</t>
        </is>
      </c>
      <c r="B2134" t="inlineStr">
        <is>
          <t>INV-5047</t>
        </is>
      </c>
      <c r="C2134" s="11" t="n">
        <v>46151</v>
      </c>
      <c r="D2134" t="inlineStr">
        <is>
          <t>2026-05</t>
        </is>
      </c>
      <c r="E2134" t="inlineStr">
        <is>
          <t>C0103</t>
        </is>
      </c>
      <c r="F2134" t="inlineStr">
        <is>
          <t>C0103</t>
        </is>
      </c>
      <c r="G2134" t="inlineStr">
        <is>
          <t>Grace Martin</t>
        </is>
      </c>
      <c r="H2134" t="inlineStr">
        <is>
          <t>S0203</t>
        </is>
      </c>
      <c r="I2134" t="inlineStr">
        <is>
          <t>Temporary fence hire 2 wks (27/04/26-08/05/26) - 28 panels</t>
        </is>
      </c>
      <c r="J2134" t="n">
        <v>56</v>
      </c>
      <c r="K2134" s="9" t="n">
        <v>252</v>
      </c>
      <c r="L2134" t="inlineStr">
        <is>
          <t>PAID</t>
        </is>
      </c>
      <c r="M2134">
        <f>IF(L2134="VOIDED",0,1)</f>
        <v>1</v>
      </c>
      <c r="N2134" t="n">
        <v>200</v>
      </c>
      <c r="O2134" t="inlineStr">
        <is>
          <t>GST on Income</t>
        </is>
      </c>
      <c r="P2134" t="inlineStr">
        <is>
          <t>R03</t>
        </is>
      </c>
      <c r="Q2134" t="inlineStr">
        <is>
          <t>HIRE-FP</t>
        </is>
      </c>
      <c r="R2134">
        <f>IF(OR(Q2134="CONTEXT",Q2134="REVIEW"),"",INDEX('Category Rules'!$D$5:$D$17,MATCH(P2134,'Category Rules'!$A$5:$A$17,0)))</f>
        <v>4010</v>
      </c>
      <c r="S2134" t="str">
        <f>IF(Q2134="CONTEXT","Fencing",IF(Q2134="REVIEW","",INDEX('Category Rules'!$E$5:$E$17,MATCH(P2134,'Category Rules'!$A$5:$A$17,0))))</f>
        <v>Fencing</v>
      </c>
      <c r="T2134" t="str">
        <f>IF(Q2134="DEP","BAS Excluded","GST on Income")</f>
        <v>GST on Income</v>
      </c>
      <c r="U2134">
        <f>IF(O2134=T2134,1,0)</f>
        <v>1</v>
      </c>
      <c r="V2134" s="9">
        <f>IF(OR(M2134=0,U2134=1),0,IF(T2134="GST on Income",ROUND(K2134*0.1,2),ROUND(-K2134*0.1,2)))</f>
        <v>0</v>
      </c>
    </row>
    <row r="2135">
      <c r="A2135" t="inlineStr">
        <is>
          <t>INV-5050-1</t>
        </is>
      </c>
      <c r="B2135" t="inlineStr">
        <is>
          <t>INV-5050</t>
        </is>
      </c>
      <c r="C2135" s="11" t="n">
        <v>46151</v>
      </c>
      <c r="D2135" t="inlineStr">
        <is>
          <t>2026-05</t>
        </is>
      </c>
      <c r="E2135" t="inlineStr">
        <is>
          <t>C0103</t>
        </is>
      </c>
      <c r="F2135" t="inlineStr">
        <is>
          <t>C0103</t>
        </is>
      </c>
      <c r="G2135" t="inlineStr">
        <is>
          <t>Grace Martin</t>
        </is>
      </c>
      <c r="H2135" t="inlineStr">
        <is>
          <t>S0203</t>
        </is>
      </c>
      <c r="I2135" t="inlineStr">
        <is>
          <t>Collection and dismantle - temporary fencing</t>
        </is>
      </c>
      <c r="J2135" t="n">
        <v>1</v>
      </c>
      <c r="K2135" s="9" t="n">
        <v>165</v>
      </c>
      <c r="L2135" t="inlineStr">
        <is>
          <t>PAID</t>
        </is>
      </c>
      <c r="M2135">
        <f>IF(L2135="VOIDED",0,1)</f>
        <v>1</v>
      </c>
      <c r="N2135" t="n">
        <v>200</v>
      </c>
      <c r="O2135" t="inlineStr">
        <is>
          <t>GST on Income</t>
        </is>
      </c>
      <c r="P2135" t="inlineStr">
        <is>
          <t>R07</t>
        </is>
      </c>
      <c r="Q2135" t="inlineStr">
        <is>
          <t>DEL-FP</t>
        </is>
      </c>
      <c r="R2135">
        <f>IF(OR(Q2135="CONTEXT",Q2135="REVIEW"),"",INDEX('Category Rules'!$D$5:$D$17,MATCH(P2135,'Category Rules'!$A$5:$A$17,0)))</f>
        <v>4020</v>
      </c>
      <c r="S2135" t="str">
        <f>IF(Q2135="CONTEXT","Fencing",IF(Q2135="REVIEW","",INDEX('Category Rules'!$E$5:$E$17,MATCH(P2135,'Category Rules'!$A$5:$A$17,0))))</f>
        <v>Fencing</v>
      </c>
      <c r="T2135" t="str">
        <f>IF(Q2135="DEP","BAS Excluded","GST on Income")</f>
        <v>GST on Income</v>
      </c>
      <c r="U2135">
        <f>IF(O2135=T2135,1,0)</f>
        <v>1</v>
      </c>
      <c r="V2135" s="9">
        <f>IF(OR(M2135=0,U2135=1),0,IF(T2135="GST on Income",ROUND(K2135*0.1,2),ROUND(-K2135*0.1,2)))</f>
        <v>0</v>
      </c>
    </row>
    <row r="2136">
      <c r="A2136" t="inlineStr">
        <is>
          <t>INV-5277-1</t>
        </is>
      </c>
      <c r="B2136" t="inlineStr">
        <is>
          <t>INV-5277</t>
        </is>
      </c>
      <c r="C2136" s="11" t="n">
        <v>46151</v>
      </c>
      <c r="D2136" t="inlineStr">
        <is>
          <t>2026-05</t>
        </is>
      </c>
      <c r="E2136" t="inlineStr">
        <is>
          <t>C0120</t>
        </is>
      </c>
      <c r="F2136" t="inlineStr">
        <is>
          <t>C0120</t>
        </is>
      </c>
      <c r="G2136" t="inlineStr">
        <is>
          <t>Northgate Building Group</t>
        </is>
      </c>
      <c r="H2136" t="inlineStr">
        <is>
          <t>S0254</t>
        </is>
      </c>
      <c r="I2136" t="inlineStr">
        <is>
          <t>Scaffold tower hire 4 wks (11/04/26-08/05/26) - 2 towers</t>
        </is>
      </c>
      <c r="J2136" t="n">
        <v>8</v>
      </c>
      <c r="K2136" s="9" t="n">
        <v>760</v>
      </c>
      <c r="L2136" t="inlineStr">
        <is>
          <t>PAID</t>
        </is>
      </c>
      <c r="M2136">
        <f>IF(L2136="VOIDED",0,1)</f>
        <v>1</v>
      </c>
      <c r="N2136" t="n">
        <v>200</v>
      </c>
      <c r="O2136" t="inlineStr">
        <is>
          <t>GST on Income</t>
        </is>
      </c>
      <c r="P2136" t="inlineStr">
        <is>
          <t>R05</t>
        </is>
      </c>
      <c r="Q2136" t="inlineStr">
        <is>
          <t>HIRE-ST</t>
        </is>
      </c>
      <c r="R2136">
        <f>IF(OR(Q2136="CONTEXT",Q2136="REVIEW"),"",INDEX('Category Rules'!$D$5:$D$17,MATCH(P2136,'Category Rules'!$A$5:$A$17,0)))</f>
        <v>4010</v>
      </c>
      <c r="S2136" t="str">
        <f>IF(Q2136="CONTEXT","Scaffolding",IF(Q2136="REVIEW","",INDEX('Category Rules'!$E$5:$E$17,MATCH(P2136,'Category Rules'!$A$5:$A$17,0))))</f>
        <v>Scaffolding</v>
      </c>
      <c r="T2136" t="str">
        <f>IF(Q2136="DEP","BAS Excluded","GST on Income")</f>
        <v>GST on Income</v>
      </c>
      <c r="U2136">
        <f>IF(O2136=T2136,1,0)</f>
        <v>1</v>
      </c>
      <c r="V2136" s="9">
        <f>IF(OR(M2136=0,U2136=1),0,IF(T2136="GST on Income",ROUND(K2136*0.1,2),ROUND(-K2136*0.1,2)))</f>
        <v>0</v>
      </c>
    </row>
    <row r="2137">
      <c r="A2137" t="inlineStr">
        <is>
          <t>INV-5456-1</t>
        </is>
      </c>
      <c r="B2137" t="inlineStr">
        <is>
          <t>INV-5456</t>
        </is>
      </c>
      <c r="C2137" s="11" t="n">
        <v>46151</v>
      </c>
      <c r="D2137" t="inlineStr">
        <is>
          <t>2026-05</t>
        </is>
      </c>
      <c r="E2137" t="inlineStr">
        <is>
          <t>C0083</t>
        </is>
      </c>
      <c r="F2137" t="inlineStr">
        <is>
          <t>C0083</t>
        </is>
      </c>
      <c r="G2137" t="inlineStr">
        <is>
          <t>Noah Williams</t>
        </is>
      </c>
      <c r="H2137" t="inlineStr">
        <is>
          <t>S0301</t>
        </is>
      </c>
      <c r="I2137" t="inlineStr">
        <is>
          <t>Tarp kit hire 4 wks (17/04/26-08/05/26) - 1 kits</t>
        </is>
      </c>
      <c r="J2137" t="n">
        <v>4</v>
      </c>
      <c r="K2137" s="9" t="n">
        <v>140</v>
      </c>
      <c r="L2137" t="inlineStr">
        <is>
          <t>PAID</t>
        </is>
      </c>
      <c r="M2137">
        <f>IF(L2137="VOIDED",0,1)</f>
        <v>1</v>
      </c>
      <c r="N2137" t="n">
        <v>200</v>
      </c>
      <c r="O2137" t="inlineStr">
        <is>
          <t>GST on Income</t>
        </is>
      </c>
      <c r="P2137" t="inlineStr">
        <is>
          <t>R06</t>
        </is>
      </c>
      <c r="Q2137" t="inlineStr">
        <is>
          <t>HIRE-TK</t>
        </is>
      </c>
      <c r="R2137">
        <f>IF(OR(Q2137="CONTEXT",Q2137="REVIEW"),"",INDEX('Category Rules'!$D$5:$D$17,MATCH(P2137,'Category Rules'!$A$5:$A$17,0)))</f>
        <v>4010</v>
      </c>
      <c r="S2137" t="str">
        <f>IF(Q2137="CONTEXT","Make-safe",IF(Q2137="REVIEW","",INDEX('Category Rules'!$E$5:$E$17,MATCH(P2137,'Category Rules'!$A$5:$A$17,0))))</f>
        <v>Make-safe</v>
      </c>
      <c r="T2137" t="str">
        <f>IF(Q2137="DEP","BAS Excluded","GST on Income")</f>
        <v>GST on Income</v>
      </c>
      <c r="U2137">
        <f>IF(O2137=T2137,1,0)</f>
        <v>1</v>
      </c>
      <c r="V2137" s="9">
        <f>IF(OR(M2137=0,U2137=1),0,IF(T2137="GST on Income",ROUND(K2137*0.1,2),ROUND(-K2137*0.1,2)))</f>
        <v>0</v>
      </c>
    </row>
    <row r="2138">
      <c r="A2138" t="inlineStr">
        <is>
          <t>INV-5832-1</t>
        </is>
      </c>
      <c r="B2138" t="inlineStr">
        <is>
          <t>INV-5832</t>
        </is>
      </c>
      <c r="C2138" s="11" t="n">
        <v>46151</v>
      </c>
      <c r="D2138" t="inlineStr">
        <is>
          <t>2026-05</t>
        </is>
      </c>
      <c r="E2138" t="inlineStr">
        <is>
          <t>C0015</t>
        </is>
      </c>
      <c r="F2138" t="inlineStr">
        <is>
          <t>C0015</t>
        </is>
      </c>
      <c r="G2138" t="inlineStr">
        <is>
          <t>Bluegum Building Group</t>
        </is>
      </c>
      <c r="H2138" t="inlineStr">
        <is>
          <t>S0508</t>
        </is>
      </c>
      <c r="I2138" t="inlineStr">
        <is>
          <t>Roof repair labour - 16 hrs</t>
        </is>
      </c>
      <c r="J2138" t="n">
        <v>16</v>
      </c>
      <c r="K2138" s="9" t="n">
        <v>1568</v>
      </c>
      <c r="L2138" t="inlineStr">
        <is>
          <t>PAID</t>
        </is>
      </c>
      <c r="M2138">
        <f>IF(L2138="VOIDED",0,1)</f>
        <v>1</v>
      </c>
      <c r="N2138" t="n">
        <v>260</v>
      </c>
      <c r="O2138" t="inlineStr">
        <is>
          <t>GST on Income</t>
        </is>
      </c>
      <c r="P2138" t="inlineStr">
        <is>
          <t>R10</t>
        </is>
      </c>
      <c r="Q2138" t="inlineStr">
        <is>
          <t>LAB-RF</t>
        </is>
      </c>
      <c r="R2138">
        <f>IF(OR(Q2138="CONTEXT",Q2138="REVIEW"),"",INDEX('Category Rules'!$D$5:$D$17,MATCH(P2138,'Category Rules'!$A$5:$A$17,0)))</f>
        <v>4020</v>
      </c>
      <c r="S2138" t="str">
        <f>IF(Q2138="CONTEXT","Roofing",IF(Q2138="REVIEW","",INDEX('Category Rules'!$E$5:$E$17,MATCH(P2138,'Category Rules'!$A$5:$A$17,0))))</f>
        <v>Roofing</v>
      </c>
      <c r="T2138" t="str">
        <f>IF(Q2138="DEP","BAS Excluded","GST on Income")</f>
        <v>GST on Income</v>
      </c>
      <c r="U2138">
        <f>IF(O2138=T2138,1,0)</f>
        <v>1</v>
      </c>
      <c r="V2138" s="9">
        <f>IF(OR(M2138=0,U2138=1),0,IF(T2138="GST on Income",ROUND(K2138*0.1,2),ROUND(-K2138*0.1,2)))</f>
        <v>0</v>
      </c>
    </row>
    <row r="2139">
      <c r="A2139" t="inlineStr">
        <is>
          <t>INV-5832-2</t>
        </is>
      </c>
      <c r="B2139" t="inlineStr">
        <is>
          <t>INV-5832</t>
        </is>
      </c>
      <c r="C2139" s="11" t="n">
        <v>46151</v>
      </c>
      <c r="D2139" t="inlineStr">
        <is>
          <t>2026-05</t>
        </is>
      </c>
      <c r="E2139" t="inlineStr">
        <is>
          <t>C0015</t>
        </is>
      </c>
      <c r="F2139" t="inlineStr">
        <is>
          <t>C0015</t>
        </is>
      </c>
      <c r="G2139" t="inlineStr">
        <is>
          <t>Bluegum Building Group</t>
        </is>
      </c>
      <c r="H2139" t="inlineStr">
        <is>
          <t>S0508</t>
        </is>
      </c>
      <c r="I2139" t="inlineStr">
        <is>
          <t>Materials - flashing</t>
        </is>
      </c>
      <c r="J2139" t="n">
        <v>1</v>
      </c>
      <c r="K2139" s="9" t="n">
        <v>727.36</v>
      </c>
      <c r="L2139" t="inlineStr">
        <is>
          <t>PAID</t>
        </is>
      </c>
      <c r="M2139">
        <f>IF(L2139="VOIDED",0,1)</f>
        <v>1</v>
      </c>
      <c r="N2139" t="n">
        <v>200</v>
      </c>
      <c r="O2139" t="inlineStr">
        <is>
          <t>GST on Income</t>
        </is>
      </c>
      <c r="P2139" t="inlineStr">
        <is>
          <t>R11</t>
        </is>
      </c>
      <c r="Q2139" t="inlineStr">
        <is>
          <t>MAT-RF</t>
        </is>
      </c>
      <c r="R2139">
        <f>IF(OR(Q2139="CONTEXT",Q2139="REVIEW"),"",INDEX('Category Rules'!$D$5:$D$17,MATCH(P2139,'Category Rules'!$A$5:$A$17,0)))</f>
        <v>4030</v>
      </c>
      <c r="S2139" t="str">
        <f>IF(Q2139="CONTEXT","Roofing",IF(Q2139="REVIEW","",INDEX('Category Rules'!$E$5:$E$17,MATCH(P2139,'Category Rules'!$A$5:$A$17,0))))</f>
        <v>Roofing</v>
      </c>
      <c r="T2139" t="str">
        <f>IF(Q2139="DEP","BAS Excluded","GST on Income")</f>
        <v>GST on Income</v>
      </c>
      <c r="U2139">
        <f>IF(O2139=T2139,1,0)</f>
        <v>1</v>
      </c>
      <c r="V2139" s="9">
        <f>IF(OR(M2139=0,U2139=1),0,IF(T2139="GST on Income",ROUND(K2139*0.1,2),ROUND(-K2139*0.1,2)))</f>
        <v>0</v>
      </c>
    </row>
    <row r="2140">
      <c r="A2140" t="inlineStr">
        <is>
          <t>INV-5832-3</t>
        </is>
      </c>
      <c r="B2140" t="inlineStr">
        <is>
          <t>INV-5832</t>
        </is>
      </c>
      <c r="C2140" s="11" t="n">
        <v>46151</v>
      </c>
      <c r="D2140" t="inlineStr">
        <is>
          <t>2026-05</t>
        </is>
      </c>
      <c r="E2140" t="inlineStr">
        <is>
          <t>C0015</t>
        </is>
      </c>
      <c r="F2140" t="inlineStr">
        <is>
          <t>C0015</t>
        </is>
      </c>
      <c r="G2140" t="inlineStr">
        <is>
          <t>Bluegum Building Group</t>
        </is>
      </c>
      <c r="H2140" t="inlineStr">
        <is>
          <t>S0508</t>
        </is>
      </c>
      <c r="I2140" t="inlineStr">
        <is>
          <t>Materials - ridge capping</t>
        </is>
      </c>
      <c r="J2140" t="n">
        <v>1</v>
      </c>
      <c r="K2140" s="9" t="n">
        <v>538.3200000000001</v>
      </c>
      <c r="L2140" t="inlineStr">
        <is>
          <t>PAID</t>
        </is>
      </c>
      <c r="M2140">
        <f>IF(L2140="VOIDED",0,1)</f>
        <v>1</v>
      </c>
      <c r="N2140" t="n">
        <v>200</v>
      </c>
      <c r="O2140" t="inlineStr">
        <is>
          <t>GST on Income</t>
        </is>
      </c>
      <c r="P2140" t="inlineStr">
        <is>
          <t>R11</t>
        </is>
      </c>
      <c r="Q2140" t="inlineStr">
        <is>
          <t>MAT-RF</t>
        </is>
      </c>
      <c r="R2140">
        <f>IF(OR(Q2140="CONTEXT",Q2140="REVIEW"),"",INDEX('Category Rules'!$D$5:$D$17,MATCH(P2140,'Category Rules'!$A$5:$A$17,0)))</f>
        <v>4030</v>
      </c>
      <c r="S2140" t="str">
        <f>IF(Q2140="CONTEXT","Roofing",IF(Q2140="REVIEW","",INDEX('Category Rules'!$E$5:$E$17,MATCH(P2140,'Category Rules'!$A$5:$A$17,0))))</f>
        <v>Roofing</v>
      </c>
      <c r="T2140" t="str">
        <f>IF(Q2140="DEP","BAS Excluded","GST on Income")</f>
        <v>GST on Income</v>
      </c>
      <c r="U2140">
        <f>IF(O2140=T2140,1,0)</f>
        <v>1</v>
      </c>
      <c r="V2140" s="9">
        <f>IF(OR(M2140=0,U2140=1),0,IF(T2140="GST on Income",ROUND(K2140*0.1,2),ROUND(-K2140*0.1,2)))</f>
        <v>0</v>
      </c>
    </row>
    <row r="2141">
      <c r="A2141" t="inlineStr">
        <is>
          <t>INV-4377-1</t>
        </is>
      </c>
      <c r="B2141" t="inlineStr">
        <is>
          <t>INV-4377</t>
        </is>
      </c>
      <c r="C2141" s="11" t="n">
        <v>46152</v>
      </c>
      <c r="D2141" t="inlineStr">
        <is>
          <t>2026-05</t>
        </is>
      </c>
      <c r="E2141" t="inlineStr">
        <is>
          <t>C0030</t>
        </is>
      </c>
      <c r="F2141" t="inlineStr">
        <is>
          <t>C0030</t>
        </is>
      </c>
      <c r="G2141" t="inlineStr">
        <is>
          <t>Bluegum Developments</t>
        </is>
      </c>
      <c r="H2141" t="inlineStr">
        <is>
          <t>S0056</t>
        </is>
      </c>
      <c r="I2141" t="inlineStr">
        <is>
          <t>Delivery and installation - temporary fencing</t>
        </is>
      </c>
      <c r="J2141" t="n">
        <v>1</v>
      </c>
      <c r="K2141" s="9" t="n">
        <v>165</v>
      </c>
      <c r="L2141" t="inlineStr">
        <is>
          <t>PAID</t>
        </is>
      </c>
      <c r="M2141">
        <f>IF(L2141="VOIDED",0,1)</f>
        <v>1</v>
      </c>
      <c r="N2141" t="n">
        <v>200</v>
      </c>
      <c r="O2141" t="inlineStr">
        <is>
          <t>GST on Income</t>
        </is>
      </c>
      <c r="P2141" t="inlineStr">
        <is>
          <t>R07</t>
        </is>
      </c>
      <c r="Q2141" t="inlineStr">
        <is>
          <t>DEL-FP</t>
        </is>
      </c>
      <c r="R2141">
        <f>IF(OR(Q2141="CONTEXT",Q2141="REVIEW"),"",INDEX('Category Rules'!$D$5:$D$17,MATCH(P2141,'Category Rules'!$A$5:$A$17,0)))</f>
        <v>4020</v>
      </c>
      <c r="S2141" t="str">
        <f>IF(Q2141="CONTEXT","Fencing",IF(Q2141="REVIEW","",INDEX('Category Rules'!$E$5:$E$17,MATCH(P2141,'Category Rules'!$A$5:$A$17,0))))</f>
        <v>Fencing</v>
      </c>
      <c r="T2141" t="str">
        <f>IF(Q2141="DEP","BAS Excluded","GST on Income")</f>
        <v>GST on Income</v>
      </c>
      <c r="U2141">
        <f>IF(O2141=T2141,1,0)</f>
        <v>1</v>
      </c>
      <c r="V2141" s="9">
        <f>IF(OR(M2141=0,U2141=1),0,IF(T2141="GST on Income",ROUND(K2141*0.1,2),ROUND(-K2141*0.1,2)))</f>
        <v>0</v>
      </c>
    </row>
    <row r="2142">
      <c r="A2142" t="inlineStr">
        <is>
          <t>INV-4377-2</t>
        </is>
      </c>
      <c r="B2142" t="inlineStr">
        <is>
          <t>INV-4377</t>
        </is>
      </c>
      <c r="C2142" s="11" t="n">
        <v>46152</v>
      </c>
      <c r="D2142" t="inlineStr">
        <is>
          <t>2026-05</t>
        </is>
      </c>
      <c r="E2142" t="inlineStr">
        <is>
          <t>C0030</t>
        </is>
      </c>
      <c r="F2142" t="inlineStr">
        <is>
          <t>C0030</t>
        </is>
      </c>
      <c r="G2142" t="inlineStr">
        <is>
          <t>Bluegum Developments</t>
        </is>
      </c>
      <c r="H2142" t="inlineStr">
        <is>
          <t>S0056</t>
        </is>
      </c>
      <c r="I2142" t="inlineStr">
        <is>
          <t>Installation labour - 51 panels @ 2.20</t>
        </is>
      </c>
      <c r="J2142" t="n">
        <v>51</v>
      </c>
      <c r="K2142" s="9" t="n">
        <v>112.2</v>
      </c>
      <c r="L2142" t="inlineStr">
        <is>
          <t>PAID</t>
        </is>
      </c>
      <c r="M2142">
        <f>IF(L2142="VOIDED",0,1)</f>
        <v>1</v>
      </c>
      <c r="N2142" t="n">
        <v>200</v>
      </c>
      <c r="O2142" t="inlineStr">
        <is>
          <t>GST on Income</t>
        </is>
      </c>
      <c r="P2142" t="inlineStr">
        <is>
          <t>R07</t>
        </is>
      </c>
      <c r="Q2142" t="inlineStr">
        <is>
          <t>DEL-FP</t>
        </is>
      </c>
      <c r="R2142">
        <f>IF(OR(Q2142="CONTEXT",Q2142="REVIEW"),"",INDEX('Category Rules'!$D$5:$D$17,MATCH(P2142,'Category Rules'!$A$5:$A$17,0)))</f>
        <v>4020</v>
      </c>
      <c r="S2142" t="str">
        <f>IF(Q2142="CONTEXT","Fencing",IF(Q2142="REVIEW","",INDEX('Category Rules'!$E$5:$E$17,MATCH(P2142,'Category Rules'!$A$5:$A$17,0))))</f>
        <v>Fencing</v>
      </c>
      <c r="T2142" t="str">
        <f>IF(Q2142="DEP","BAS Excluded","GST on Income")</f>
        <v>GST on Income</v>
      </c>
      <c r="U2142">
        <f>IF(O2142=T2142,1,0)</f>
        <v>1</v>
      </c>
      <c r="V2142" s="9">
        <f>IF(OR(M2142=0,U2142=1),0,IF(T2142="GST on Income",ROUND(K2142*0.1,2),ROUND(-K2142*0.1,2)))</f>
        <v>0</v>
      </c>
    </row>
    <row r="2143">
      <c r="A2143" t="inlineStr">
        <is>
          <t>INV-4422-1</t>
        </is>
      </c>
      <c r="B2143" t="inlineStr">
        <is>
          <t>INV-4422</t>
        </is>
      </c>
      <c r="C2143" s="11" t="n">
        <v>46152</v>
      </c>
      <c r="D2143" t="inlineStr">
        <is>
          <t>2026-05</t>
        </is>
      </c>
      <c r="E2143" t="inlineStr">
        <is>
          <t>C0043</t>
        </is>
      </c>
      <c r="F2143" t="inlineStr">
        <is>
          <t>C0043</t>
        </is>
      </c>
      <c r="G2143" t="inlineStr">
        <is>
          <t>Banksia Projects Pty Ltd</t>
        </is>
      </c>
      <c r="H2143" t="inlineStr">
        <is>
          <t>S0064</t>
        </is>
      </c>
      <c r="I2143" t="inlineStr">
        <is>
          <t>Delivery and installation - temporary fencing</t>
        </is>
      </c>
      <c r="J2143" t="n">
        <v>1</v>
      </c>
      <c r="K2143" s="9" t="n">
        <v>165</v>
      </c>
      <c r="L2143" t="inlineStr">
        <is>
          <t>PAID</t>
        </is>
      </c>
      <c r="M2143">
        <f>IF(L2143="VOIDED",0,1)</f>
        <v>1</v>
      </c>
      <c r="N2143" t="n">
        <v>200</v>
      </c>
      <c r="O2143" t="inlineStr">
        <is>
          <t>GST on Income</t>
        </is>
      </c>
      <c r="P2143" t="inlineStr">
        <is>
          <t>R07</t>
        </is>
      </c>
      <c r="Q2143" t="inlineStr">
        <is>
          <t>DEL-FP</t>
        </is>
      </c>
      <c r="R2143">
        <f>IF(OR(Q2143="CONTEXT",Q2143="REVIEW"),"",INDEX('Category Rules'!$D$5:$D$17,MATCH(P2143,'Category Rules'!$A$5:$A$17,0)))</f>
        <v>4020</v>
      </c>
      <c r="S2143" t="str">
        <f>IF(Q2143="CONTEXT","Fencing",IF(Q2143="REVIEW","",INDEX('Category Rules'!$E$5:$E$17,MATCH(P2143,'Category Rules'!$A$5:$A$17,0))))</f>
        <v>Fencing</v>
      </c>
      <c r="T2143" t="str">
        <f>IF(Q2143="DEP","BAS Excluded","GST on Income")</f>
        <v>GST on Income</v>
      </c>
      <c r="U2143">
        <f>IF(O2143=T2143,1,0)</f>
        <v>1</v>
      </c>
      <c r="V2143" s="9">
        <f>IF(OR(M2143=0,U2143=1),0,IF(T2143="GST on Income",ROUND(K2143*0.1,2),ROUND(-K2143*0.1,2)))</f>
        <v>0</v>
      </c>
    </row>
    <row r="2144">
      <c r="A2144" t="inlineStr">
        <is>
          <t>INV-4422-2</t>
        </is>
      </c>
      <c r="B2144" t="inlineStr">
        <is>
          <t>INV-4422</t>
        </is>
      </c>
      <c r="C2144" s="11" t="n">
        <v>46152</v>
      </c>
      <c r="D2144" t="inlineStr">
        <is>
          <t>2026-05</t>
        </is>
      </c>
      <c r="E2144" t="inlineStr">
        <is>
          <t>C0043</t>
        </is>
      </c>
      <c r="F2144" t="inlineStr">
        <is>
          <t>C0043</t>
        </is>
      </c>
      <c r="G2144" t="inlineStr">
        <is>
          <t>Banksia Projects Pty Ltd</t>
        </is>
      </c>
      <c r="H2144" t="inlineStr">
        <is>
          <t>S0064</t>
        </is>
      </c>
      <c r="I2144" t="inlineStr">
        <is>
          <t>Installation labour - 42 panels @ 2.20</t>
        </is>
      </c>
      <c r="J2144" t="n">
        <v>42</v>
      </c>
      <c r="K2144" s="9" t="n">
        <v>92.40000000000001</v>
      </c>
      <c r="L2144" t="inlineStr">
        <is>
          <t>PAID</t>
        </is>
      </c>
      <c r="M2144">
        <f>IF(L2144="VOIDED",0,1)</f>
        <v>1</v>
      </c>
      <c r="N2144" t="n">
        <v>260</v>
      </c>
      <c r="O2144" t="inlineStr">
        <is>
          <t>GST on Income</t>
        </is>
      </c>
      <c r="P2144" t="inlineStr">
        <is>
          <t>R07</t>
        </is>
      </c>
      <c r="Q2144" t="inlineStr">
        <is>
          <t>DEL-FP</t>
        </is>
      </c>
      <c r="R2144">
        <f>IF(OR(Q2144="CONTEXT",Q2144="REVIEW"),"",INDEX('Category Rules'!$D$5:$D$17,MATCH(P2144,'Category Rules'!$A$5:$A$17,0)))</f>
        <v>4020</v>
      </c>
      <c r="S2144" t="str">
        <f>IF(Q2144="CONTEXT","Fencing",IF(Q2144="REVIEW","",INDEX('Category Rules'!$E$5:$E$17,MATCH(P2144,'Category Rules'!$A$5:$A$17,0))))</f>
        <v>Fencing</v>
      </c>
      <c r="T2144" t="str">
        <f>IF(Q2144="DEP","BAS Excluded","GST on Income")</f>
        <v>GST on Income</v>
      </c>
      <c r="U2144">
        <f>IF(O2144=T2144,1,0)</f>
        <v>1</v>
      </c>
      <c r="V2144" s="9">
        <f>IF(OR(M2144=0,U2144=1),0,IF(T2144="GST on Income",ROUND(K2144*0.1,2),ROUND(-K2144*0.1,2)))</f>
        <v>0</v>
      </c>
    </row>
    <row r="2145">
      <c r="A2145" t="inlineStr">
        <is>
          <t>INV-4543-1</t>
        </is>
      </c>
      <c r="B2145" t="inlineStr">
        <is>
          <t>INV-4543</t>
        </is>
      </c>
      <c r="C2145" s="11" t="n">
        <v>46152</v>
      </c>
      <c r="D2145" t="inlineStr">
        <is>
          <t>2026-05</t>
        </is>
      </c>
      <c r="E2145" t="inlineStr">
        <is>
          <t>C0040</t>
        </is>
      </c>
      <c r="F2145" t="inlineStr">
        <is>
          <t>C0040</t>
        </is>
      </c>
      <c r="G2145" t="inlineStr">
        <is>
          <t>Coastline Projects Pty Ltd</t>
        </is>
      </c>
      <c r="H2145" t="inlineStr">
        <is>
          <t>S0089</t>
        </is>
      </c>
      <c r="I2145" t="inlineStr">
        <is>
          <t>Temporary fence hire 4 wks (12/04/26-09/05/26) - 19 panels</t>
        </is>
      </c>
      <c r="J2145" t="n">
        <v>76</v>
      </c>
      <c r="K2145" s="9" t="n">
        <v>342</v>
      </c>
      <c r="L2145" t="inlineStr">
        <is>
          <t>PAID</t>
        </is>
      </c>
      <c r="M2145">
        <f>IF(L2145="VOIDED",0,1)</f>
        <v>1</v>
      </c>
      <c r="N2145" t="n">
        <v>200</v>
      </c>
      <c r="O2145" t="inlineStr">
        <is>
          <t>GST on Income</t>
        </is>
      </c>
      <c r="P2145" t="inlineStr">
        <is>
          <t>R03</t>
        </is>
      </c>
      <c r="Q2145" t="inlineStr">
        <is>
          <t>HIRE-FP</t>
        </is>
      </c>
      <c r="R2145">
        <f>IF(OR(Q2145="CONTEXT",Q2145="REVIEW"),"",INDEX('Category Rules'!$D$5:$D$17,MATCH(P2145,'Category Rules'!$A$5:$A$17,0)))</f>
        <v>4010</v>
      </c>
      <c r="S2145" t="str">
        <f>IF(Q2145="CONTEXT","Fencing",IF(Q2145="REVIEW","",INDEX('Category Rules'!$E$5:$E$17,MATCH(P2145,'Category Rules'!$A$5:$A$17,0))))</f>
        <v>Fencing</v>
      </c>
      <c r="T2145" t="str">
        <f>IF(Q2145="DEP","BAS Excluded","GST on Income")</f>
        <v>GST on Income</v>
      </c>
      <c r="U2145">
        <f>IF(O2145=T2145,1,0)</f>
        <v>1</v>
      </c>
      <c r="V2145" s="9">
        <f>IF(OR(M2145=0,U2145=1),0,IF(T2145="GST on Income",ROUND(K2145*0.1,2),ROUND(-K2145*0.1,2)))</f>
        <v>0</v>
      </c>
    </row>
    <row r="2146">
      <c r="A2146" t="inlineStr">
        <is>
          <t>INV-4857-1</t>
        </is>
      </c>
      <c r="B2146" t="inlineStr">
        <is>
          <t>INV-4857</t>
        </is>
      </c>
      <c r="C2146" s="11" t="n">
        <v>46152</v>
      </c>
      <c r="D2146" t="inlineStr">
        <is>
          <t>2026-05</t>
        </is>
      </c>
      <c r="E2146" t="inlineStr">
        <is>
          <t>C0122</t>
        </is>
      </c>
      <c r="F2146" t="inlineStr">
        <is>
          <t>C0122</t>
        </is>
      </c>
      <c r="G2146" t="inlineStr">
        <is>
          <t>Bluegum Construction Pty Ltd</t>
        </is>
      </c>
      <c r="H2146" t="inlineStr">
        <is>
          <t>S0160</t>
        </is>
      </c>
      <c r="I2146" t="inlineStr">
        <is>
          <t>Temporary fence hire 4 wks (12/04/26-09/05/26) - 54 panels</t>
        </is>
      </c>
      <c r="J2146" t="n">
        <v>216</v>
      </c>
      <c r="K2146" s="9" t="n">
        <v>972</v>
      </c>
      <c r="L2146" t="inlineStr">
        <is>
          <t>PAID</t>
        </is>
      </c>
      <c r="M2146">
        <f>IF(L2146="VOIDED",0,1)</f>
        <v>1</v>
      </c>
      <c r="N2146" t="n">
        <v>200</v>
      </c>
      <c r="O2146" t="inlineStr">
        <is>
          <t>GST Free Income</t>
        </is>
      </c>
      <c r="P2146" t="inlineStr">
        <is>
          <t>R03</t>
        </is>
      </c>
      <c r="Q2146" t="inlineStr">
        <is>
          <t>HIRE-FP</t>
        </is>
      </c>
      <c r="R2146">
        <f>IF(OR(Q2146="CONTEXT",Q2146="REVIEW"),"",INDEX('Category Rules'!$D$5:$D$17,MATCH(P2146,'Category Rules'!$A$5:$A$17,0)))</f>
        <v>4010</v>
      </c>
      <c r="S2146" t="str">
        <f>IF(Q2146="CONTEXT","Fencing",IF(Q2146="REVIEW","",INDEX('Category Rules'!$E$5:$E$17,MATCH(P2146,'Category Rules'!$A$5:$A$17,0))))</f>
        <v>Fencing</v>
      </c>
      <c r="T2146" t="str">
        <f>IF(Q2146="DEP","BAS Excluded","GST on Income")</f>
        <v>GST on Income</v>
      </c>
      <c r="U2146">
        <f>IF(O2146=T2146,1,0)</f>
        <v>0</v>
      </c>
      <c r="V2146" s="9">
        <f>IF(OR(M2146=0,U2146=1),0,IF(T2146="GST on Income",ROUND(K2146*0.1,2),ROUND(-K2146*0.1,2)))</f>
        <v>97.2</v>
      </c>
    </row>
    <row r="2147">
      <c r="A2147" t="inlineStr">
        <is>
          <t>INV-4717-1</t>
        </is>
      </c>
      <c r="B2147" t="inlineStr">
        <is>
          <t>INV-4717</t>
        </is>
      </c>
      <c r="C2147" s="11" t="n">
        <v>46154</v>
      </c>
      <c r="D2147" t="inlineStr">
        <is>
          <t>2026-05</t>
        </is>
      </c>
      <c r="E2147" t="inlineStr">
        <is>
          <t>C0042</t>
        </is>
      </c>
      <c r="F2147" t="inlineStr">
        <is>
          <t>C0042</t>
        </is>
      </c>
      <c r="G2147" t="inlineStr">
        <is>
          <t>Lakeside Constructions Pty Ltd</t>
        </is>
      </c>
      <c r="H2147" t="inlineStr">
        <is>
          <t>S0129</t>
        </is>
      </c>
      <c r="I2147" t="inlineStr">
        <is>
          <t>Temporary fence hire 3 wks (23/04/26-11/05/26) - 47 panels</t>
        </is>
      </c>
      <c r="J2147" t="n">
        <v>141</v>
      </c>
      <c r="K2147" s="9" t="n">
        <v>634.5</v>
      </c>
      <c r="L2147" t="inlineStr">
        <is>
          <t>PAID</t>
        </is>
      </c>
      <c r="M2147">
        <f>IF(L2147="VOIDED",0,1)</f>
        <v>1</v>
      </c>
      <c r="N2147" t="n">
        <v>200</v>
      </c>
      <c r="O2147" t="inlineStr">
        <is>
          <t>GST on Income</t>
        </is>
      </c>
      <c r="P2147" t="inlineStr">
        <is>
          <t>R03</t>
        </is>
      </c>
      <c r="Q2147" t="inlineStr">
        <is>
          <t>HIRE-FP</t>
        </is>
      </c>
      <c r="R2147">
        <f>IF(OR(Q2147="CONTEXT",Q2147="REVIEW"),"",INDEX('Category Rules'!$D$5:$D$17,MATCH(P2147,'Category Rules'!$A$5:$A$17,0)))</f>
        <v>4010</v>
      </c>
      <c r="S2147" t="str">
        <f>IF(Q2147="CONTEXT","Fencing",IF(Q2147="REVIEW","",INDEX('Category Rules'!$E$5:$E$17,MATCH(P2147,'Category Rules'!$A$5:$A$17,0))))</f>
        <v>Fencing</v>
      </c>
      <c r="T2147" t="str">
        <f>IF(Q2147="DEP","BAS Excluded","GST on Income")</f>
        <v>GST on Income</v>
      </c>
      <c r="U2147">
        <f>IF(O2147=T2147,1,0)</f>
        <v>1</v>
      </c>
      <c r="V2147" s="9">
        <f>IF(OR(M2147=0,U2147=1),0,IF(T2147="GST on Income",ROUND(K2147*0.1,2),ROUND(-K2147*0.1,2)))</f>
        <v>0</v>
      </c>
    </row>
    <row r="2148">
      <c r="A2148" t="inlineStr">
        <is>
          <t>INV-4719-1</t>
        </is>
      </c>
      <c r="B2148" t="inlineStr">
        <is>
          <t>INV-4719</t>
        </is>
      </c>
      <c r="C2148" s="11" t="n">
        <v>46154</v>
      </c>
      <c r="D2148" t="inlineStr">
        <is>
          <t>2026-05</t>
        </is>
      </c>
      <c r="E2148" t="inlineStr">
        <is>
          <t>C0148</t>
        </is>
      </c>
      <c r="F2148" t="inlineStr">
        <is>
          <t>C0042</t>
        </is>
      </c>
      <c r="G2148" t="inlineStr">
        <is>
          <t>Lakeside Constructions Pty Ltd</t>
        </is>
      </c>
      <c r="H2148" t="inlineStr">
        <is>
          <t>S0129</t>
        </is>
      </c>
      <c r="I2148" t="inlineStr">
        <is>
          <t>Collection and dismantle - temporary fencing</t>
        </is>
      </c>
      <c r="J2148" t="n">
        <v>1</v>
      </c>
      <c r="K2148" s="9" t="n">
        <v>165</v>
      </c>
      <c r="L2148" t="inlineStr">
        <is>
          <t>PAID</t>
        </is>
      </c>
      <c r="M2148">
        <f>IF(L2148="VOIDED",0,1)</f>
        <v>1</v>
      </c>
      <c r="N2148" t="n">
        <v>200</v>
      </c>
      <c r="O2148" t="inlineStr">
        <is>
          <t>GST on Income</t>
        </is>
      </c>
      <c r="P2148" t="inlineStr">
        <is>
          <t>R07</t>
        </is>
      </c>
      <c r="Q2148" t="inlineStr">
        <is>
          <t>DEL-FP</t>
        </is>
      </c>
      <c r="R2148">
        <f>IF(OR(Q2148="CONTEXT",Q2148="REVIEW"),"",INDEX('Category Rules'!$D$5:$D$17,MATCH(P2148,'Category Rules'!$A$5:$A$17,0)))</f>
        <v>4020</v>
      </c>
      <c r="S2148" t="str">
        <f>IF(Q2148="CONTEXT","Fencing",IF(Q2148="REVIEW","",INDEX('Category Rules'!$E$5:$E$17,MATCH(P2148,'Category Rules'!$A$5:$A$17,0))))</f>
        <v>Fencing</v>
      </c>
      <c r="T2148" t="str">
        <f>IF(Q2148="DEP","BAS Excluded","GST on Income")</f>
        <v>GST on Income</v>
      </c>
      <c r="U2148">
        <f>IF(O2148=T2148,1,0)</f>
        <v>1</v>
      </c>
      <c r="V2148" s="9">
        <f>IF(OR(M2148=0,U2148=1),0,IF(T2148="GST on Income",ROUND(K2148*0.1,2),ROUND(-K2148*0.1,2)))</f>
        <v>0</v>
      </c>
    </row>
    <row r="2149">
      <c r="A2149" t="inlineStr">
        <is>
          <t>INV-5585-1</t>
        </is>
      </c>
      <c r="B2149" t="inlineStr">
        <is>
          <t>INV-5585</t>
        </is>
      </c>
      <c r="C2149" s="11" t="n">
        <v>46154</v>
      </c>
      <c r="D2149" t="inlineStr">
        <is>
          <t>2026-05</t>
        </is>
      </c>
      <c r="E2149" t="inlineStr">
        <is>
          <t>C0147</t>
        </is>
      </c>
      <c r="F2149" t="inlineStr">
        <is>
          <t>C0067</t>
        </is>
      </c>
      <c r="G2149" t="inlineStr">
        <is>
          <t>Banksia Claims Services Pty Ltd</t>
        </is>
      </c>
      <c r="H2149" t="inlineStr">
        <is>
          <t>S0373</t>
        </is>
      </c>
      <c r="I2149" t="inlineStr">
        <is>
          <t>Tarp kit hire 2 wks (04/05/26-11/05/26) - 2 kits</t>
        </is>
      </c>
      <c r="J2149" t="n">
        <v>4</v>
      </c>
      <c r="K2149" s="9" t="n">
        <v>140</v>
      </c>
      <c r="L2149" t="inlineStr">
        <is>
          <t>PAID</t>
        </is>
      </c>
      <c r="M2149">
        <f>IF(L2149="VOIDED",0,1)</f>
        <v>1</v>
      </c>
      <c r="N2149" t="n">
        <v>200</v>
      </c>
      <c r="O2149" t="inlineStr">
        <is>
          <t>GST on Income</t>
        </is>
      </c>
      <c r="P2149" t="inlineStr">
        <is>
          <t>R06</t>
        </is>
      </c>
      <c r="Q2149" t="inlineStr">
        <is>
          <t>HIRE-TK</t>
        </is>
      </c>
      <c r="R2149">
        <f>IF(OR(Q2149="CONTEXT",Q2149="REVIEW"),"",INDEX('Category Rules'!$D$5:$D$17,MATCH(P2149,'Category Rules'!$A$5:$A$17,0)))</f>
        <v>4010</v>
      </c>
      <c r="S2149" t="str">
        <f>IF(Q2149="CONTEXT","Make-safe",IF(Q2149="REVIEW","",INDEX('Category Rules'!$E$5:$E$17,MATCH(P2149,'Category Rules'!$A$5:$A$17,0))))</f>
        <v>Make-safe</v>
      </c>
      <c r="T2149" t="str">
        <f>IF(Q2149="DEP","BAS Excluded","GST on Income")</f>
        <v>GST on Income</v>
      </c>
      <c r="U2149">
        <f>IF(O2149=T2149,1,0)</f>
        <v>1</v>
      </c>
      <c r="V2149" s="9">
        <f>IF(OR(M2149=0,U2149=1),0,IF(T2149="GST on Income",ROUND(K2149*0.1,2),ROUND(-K2149*0.1,2)))</f>
        <v>0</v>
      </c>
    </row>
    <row r="2150">
      <c r="A2150" t="inlineStr">
        <is>
          <t>INV-4137-1</t>
        </is>
      </c>
      <c r="B2150" t="inlineStr">
        <is>
          <t>INV-4137</t>
        </is>
      </c>
      <c r="C2150" s="11" t="n">
        <v>46155</v>
      </c>
      <c r="D2150" t="inlineStr">
        <is>
          <t>2026-05</t>
        </is>
      </c>
      <c r="E2150" t="inlineStr">
        <is>
          <t>C0014</t>
        </is>
      </c>
      <c r="F2150" t="inlineStr">
        <is>
          <t>C0014</t>
        </is>
      </c>
      <c r="G2150" t="inlineStr">
        <is>
          <t>Riverbend Homes Pty Ltd</t>
        </is>
      </c>
      <c r="H2150" t="inlineStr">
        <is>
          <t>S0008</t>
        </is>
      </c>
      <c r="I2150" t="inlineStr">
        <is>
          <t>Temporary fence hire 4 wks (15/04/26-12/05/26) - 62 panels</t>
        </is>
      </c>
      <c r="J2150" t="n">
        <v>248</v>
      </c>
      <c r="K2150" s="9" t="n">
        <v>1116</v>
      </c>
      <c r="L2150" t="inlineStr">
        <is>
          <t>PAID</t>
        </is>
      </c>
      <c r="M2150">
        <f>IF(L2150="VOIDED",0,1)</f>
        <v>1</v>
      </c>
      <c r="N2150" t="n">
        <v>200</v>
      </c>
      <c r="O2150" t="inlineStr">
        <is>
          <t>GST on Income</t>
        </is>
      </c>
      <c r="P2150" t="inlineStr">
        <is>
          <t>R03</t>
        </is>
      </c>
      <c r="Q2150" t="inlineStr">
        <is>
          <t>HIRE-FP</t>
        </is>
      </c>
      <c r="R2150">
        <f>IF(OR(Q2150="CONTEXT",Q2150="REVIEW"),"",INDEX('Category Rules'!$D$5:$D$17,MATCH(P2150,'Category Rules'!$A$5:$A$17,0)))</f>
        <v>4010</v>
      </c>
      <c r="S2150" t="str">
        <f>IF(Q2150="CONTEXT","Fencing",IF(Q2150="REVIEW","",INDEX('Category Rules'!$E$5:$E$17,MATCH(P2150,'Category Rules'!$A$5:$A$17,0))))</f>
        <v>Fencing</v>
      </c>
      <c r="T2150" t="str">
        <f>IF(Q2150="DEP","BAS Excluded","GST on Income")</f>
        <v>GST on Income</v>
      </c>
      <c r="U2150">
        <f>IF(O2150=T2150,1,0)</f>
        <v>1</v>
      </c>
      <c r="V2150" s="9">
        <f>IF(OR(M2150=0,U2150=1),0,IF(T2150="GST on Income",ROUND(K2150*0.1,2),ROUND(-K2150*0.1,2)))</f>
        <v>0</v>
      </c>
    </row>
    <row r="2151">
      <c r="A2151" t="inlineStr">
        <is>
          <t>INV-4142-1</t>
        </is>
      </c>
      <c r="B2151" t="inlineStr">
        <is>
          <t>INV-4142</t>
        </is>
      </c>
      <c r="C2151" s="11" t="n">
        <v>46155</v>
      </c>
      <c r="D2151" t="inlineStr">
        <is>
          <t>2026-05</t>
        </is>
      </c>
      <c r="E2151" t="inlineStr">
        <is>
          <t>C0014</t>
        </is>
      </c>
      <c r="F2151" t="inlineStr">
        <is>
          <t>C0014</t>
        </is>
      </c>
      <c r="G2151" t="inlineStr">
        <is>
          <t>Riverbend Homes Pty Ltd</t>
        </is>
      </c>
      <c r="H2151" t="inlineStr">
        <is>
          <t>S0008</t>
        </is>
      </c>
      <c r="I2151" t="inlineStr">
        <is>
          <t>Pedestrian barrier hire 4 wks (15/04/26-12/05/26) - 21 barriers</t>
        </is>
      </c>
      <c r="J2151" t="n">
        <v>84</v>
      </c>
      <c r="K2151" s="9" t="n">
        <v>268.8</v>
      </c>
      <c r="L2151" t="inlineStr">
        <is>
          <t>PAID</t>
        </is>
      </c>
      <c r="M2151">
        <f>IF(L2151="VOIDED",0,1)</f>
        <v>1</v>
      </c>
      <c r="N2151" t="n">
        <v>200</v>
      </c>
      <c r="O2151" t="inlineStr">
        <is>
          <t>GST on Income</t>
        </is>
      </c>
      <c r="P2151" t="inlineStr">
        <is>
          <t>R04</t>
        </is>
      </c>
      <c r="Q2151" t="inlineStr">
        <is>
          <t>HIRE-BR</t>
        </is>
      </c>
      <c r="R2151">
        <f>IF(OR(Q2151="CONTEXT",Q2151="REVIEW"),"",INDEX('Category Rules'!$D$5:$D$17,MATCH(P2151,'Category Rules'!$A$5:$A$17,0)))</f>
        <v>4010</v>
      </c>
      <c r="S2151" t="str">
        <f>IF(Q2151="CONTEXT","Fencing",IF(Q2151="REVIEW","",INDEX('Category Rules'!$E$5:$E$17,MATCH(P2151,'Category Rules'!$A$5:$A$17,0))))</f>
        <v>Fencing</v>
      </c>
      <c r="T2151" t="str">
        <f>IF(Q2151="DEP","BAS Excluded","GST on Income")</f>
        <v>GST on Income</v>
      </c>
      <c r="U2151">
        <f>IF(O2151=T2151,1,0)</f>
        <v>1</v>
      </c>
      <c r="V2151" s="9">
        <f>IF(OR(M2151=0,U2151=1),0,IF(T2151="GST on Income",ROUND(K2151*0.1,2),ROUND(-K2151*0.1,2)))</f>
        <v>0</v>
      </c>
    </row>
    <row r="2152">
      <c r="A2152" t="inlineStr">
        <is>
          <t>INV-4756-1</t>
        </is>
      </c>
      <c r="B2152" t="inlineStr">
        <is>
          <t>INV-4756</t>
        </is>
      </c>
      <c r="C2152" s="11" t="n">
        <v>46155</v>
      </c>
      <c r="D2152" t="inlineStr">
        <is>
          <t>2026-05</t>
        </is>
      </c>
      <c r="E2152" t="inlineStr">
        <is>
          <t>C0077</t>
        </is>
      </c>
      <c r="F2152" t="inlineStr">
        <is>
          <t>C0077</t>
        </is>
      </c>
      <c r="G2152" t="inlineStr">
        <is>
          <t>Corner Events Pty Ltd</t>
        </is>
      </c>
      <c r="H2152" t="inlineStr">
        <is>
          <t>S0136</t>
        </is>
      </c>
      <c r="I2152" t="inlineStr">
        <is>
          <t>Delivery and installation - temporary fencing</t>
        </is>
      </c>
      <c r="J2152" t="n">
        <v>1</v>
      </c>
      <c r="K2152" s="9" t="n">
        <v>165</v>
      </c>
      <c r="L2152" t="inlineStr">
        <is>
          <t>PAID</t>
        </is>
      </c>
      <c r="M2152">
        <f>IF(L2152="VOIDED",0,1)</f>
        <v>1</v>
      </c>
      <c r="N2152" t="n">
        <v>200</v>
      </c>
      <c r="O2152" t="inlineStr">
        <is>
          <t>GST on Income</t>
        </is>
      </c>
      <c r="P2152" t="inlineStr">
        <is>
          <t>R07</t>
        </is>
      </c>
      <c r="Q2152" t="inlineStr">
        <is>
          <t>DEL-FP</t>
        </is>
      </c>
      <c r="R2152">
        <f>IF(OR(Q2152="CONTEXT",Q2152="REVIEW"),"",INDEX('Category Rules'!$D$5:$D$17,MATCH(P2152,'Category Rules'!$A$5:$A$17,0)))</f>
        <v>4020</v>
      </c>
      <c r="S2152" t="str">
        <f>IF(Q2152="CONTEXT","Fencing",IF(Q2152="REVIEW","",INDEX('Category Rules'!$E$5:$E$17,MATCH(P2152,'Category Rules'!$A$5:$A$17,0))))</f>
        <v>Fencing</v>
      </c>
      <c r="T2152" t="str">
        <f>IF(Q2152="DEP","BAS Excluded","GST on Income")</f>
        <v>GST on Income</v>
      </c>
      <c r="U2152">
        <f>IF(O2152=T2152,1,0)</f>
        <v>1</v>
      </c>
      <c r="V2152" s="9">
        <f>IF(OR(M2152=0,U2152=1),0,IF(T2152="GST on Income",ROUND(K2152*0.1,2),ROUND(-K2152*0.1,2)))</f>
        <v>0</v>
      </c>
    </row>
    <row r="2153">
      <c r="A2153" t="inlineStr">
        <is>
          <t>INV-4756-2</t>
        </is>
      </c>
      <c r="B2153" t="inlineStr">
        <is>
          <t>INV-4756</t>
        </is>
      </c>
      <c r="C2153" s="11" t="n">
        <v>46155</v>
      </c>
      <c r="D2153" t="inlineStr">
        <is>
          <t>2026-05</t>
        </is>
      </c>
      <c r="E2153" t="inlineStr">
        <is>
          <t>C0077</t>
        </is>
      </c>
      <c r="F2153" t="inlineStr">
        <is>
          <t>C0077</t>
        </is>
      </c>
      <c r="G2153" t="inlineStr">
        <is>
          <t>Corner Events Pty Ltd</t>
        </is>
      </c>
      <c r="H2153" t="inlineStr">
        <is>
          <t>S0136</t>
        </is>
      </c>
      <c r="I2153" t="inlineStr">
        <is>
          <t>Installation labour - 74 panels @ 2.20</t>
        </is>
      </c>
      <c r="J2153" t="n">
        <v>74</v>
      </c>
      <c r="K2153" s="9" t="n">
        <v>162.8</v>
      </c>
      <c r="L2153" t="inlineStr">
        <is>
          <t>PAID</t>
        </is>
      </c>
      <c r="M2153">
        <f>IF(L2153="VOIDED",0,1)</f>
        <v>1</v>
      </c>
      <c r="N2153" t="n">
        <v>200</v>
      </c>
      <c r="O2153" t="inlineStr">
        <is>
          <t>GST on Income</t>
        </is>
      </c>
      <c r="P2153" t="inlineStr">
        <is>
          <t>R07</t>
        </is>
      </c>
      <c r="Q2153" t="inlineStr">
        <is>
          <t>DEL-FP</t>
        </is>
      </c>
      <c r="R2153">
        <f>IF(OR(Q2153="CONTEXT",Q2153="REVIEW"),"",INDEX('Category Rules'!$D$5:$D$17,MATCH(P2153,'Category Rules'!$A$5:$A$17,0)))</f>
        <v>4020</v>
      </c>
      <c r="S2153" t="str">
        <f>IF(Q2153="CONTEXT","Fencing",IF(Q2153="REVIEW","",INDEX('Category Rules'!$E$5:$E$17,MATCH(P2153,'Category Rules'!$A$5:$A$17,0))))</f>
        <v>Fencing</v>
      </c>
      <c r="T2153" t="str">
        <f>IF(Q2153="DEP","BAS Excluded","GST on Income")</f>
        <v>GST on Income</v>
      </c>
      <c r="U2153">
        <f>IF(O2153=T2153,1,0)</f>
        <v>1</v>
      </c>
      <c r="V2153" s="9">
        <f>IF(OR(M2153=0,U2153=1),0,IF(T2153="GST on Income",ROUND(K2153*0.1,2),ROUND(-K2153*0.1,2)))</f>
        <v>0</v>
      </c>
    </row>
    <row r="2154">
      <c r="A2154" t="inlineStr">
        <is>
          <t>INV-4650-1</t>
        </is>
      </c>
      <c r="B2154" t="inlineStr">
        <is>
          <t>INV-4650</t>
        </is>
      </c>
      <c r="C2154" s="11" t="n">
        <v>46156</v>
      </c>
      <c r="D2154" t="inlineStr">
        <is>
          <t>2026-05</t>
        </is>
      </c>
      <c r="E2154" t="inlineStr">
        <is>
          <t>C0151</t>
        </is>
      </c>
      <c r="F2154" t="inlineStr">
        <is>
          <t>C0040</t>
        </is>
      </c>
      <c r="G2154" t="inlineStr">
        <is>
          <t>Coastline Projects Pty Ltd</t>
        </is>
      </c>
      <c r="H2154" t="inlineStr">
        <is>
          <t>S0111</t>
        </is>
      </c>
      <c r="I2154" t="inlineStr">
        <is>
          <t>Temporary fence hire 2 wks (01/05/26-13/05/26) - 35 panels</t>
        </is>
      </c>
      <c r="J2154" t="n">
        <v>70</v>
      </c>
      <c r="K2154" s="9" t="n">
        <v>315</v>
      </c>
      <c r="L2154" t="inlineStr">
        <is>
          <t>PAID</t>
        </is>
      </c>
      <c r="M2154">
        <f>IF(L2154="VOIDED",0,1)</f>
        <v>1</v>
      </c>
      <c r="N2154" t="n">
        <v>200</v>
      </c>
      <c r="O2154" t="inlineStr">
        <is>
          <t>GST on Income</t>
        </is>
      </c>
      <c r="P2154" t="inlineStr">
        <is>
          <t>R03</t>
        </is>
      </c>
      <c r="Q2154" t="inlineStr">
        <is>
          <t>HIRE-FP</t>
        </is>
      </c>
      <c r="R2154">
        <f>IF(OR(Q2154="CONTEXT",Q2154="REVIEW"),"",INDEX('Category Rules'!$D$5:$D$17,MATCH(P2154,'Category Rules'!$A$5:$A$17,0)))</f>
        <v>4010</v>
      </c>
      <c r="S2154" t="str">
        <f>IF(Q2154="CONTEXT","Fencing",IF(Q2154="REVIEW","",INDEX('Category Rules'!$E$5:$E$17,MATCH(P2154,'Category Rules'!$A$5:$A$17,0))))</f>
        <v>Fencing</v>
      </c>
      <c r="T2154" t="str">
        <f>IF(Q2154="DEP","BAS Excluded","GST on Income")</f>
        <v>GST on Income</v>
      </c>
      <c r="U2154">
        <f>IF(O2154=T2154,1,0)</f>
        <v>1</v>
      </c>
      <c r="V2154" s="9">
        <f>IF(OR(M2154=0,U2154=1),0,IF(T2154="GST on Income",ROUND(K2154*0.1,2),ROUND(-K2154*0.1,2)))</f>
        <v>0</v>
      </c>
    </row>
    <row r="2155">
      <c r="A2155" t="inlineStr">
        <is>
          <t>INV-4652-1</t>
        </is>
      </c>
      <c r="B2155" t="inlineStr">
        <is>
          <t>INV-4652</t>
        </is>
      </c>
      <c r="C2155" s="11" t="n">
        <v>46156</v>
      </c>
      <c r="D2155" t="inlineStr">
        <is>
          <t>2026-05</t>
        </is>
      </c>
      <c r="E2155" t="inlineStr">
        <is>
          <t>C0151</t>
        </is>
      </c>
      <c r="F2155" t="inlineStr">
        <is>
          <t>C0040</t>
        </is>
      </c>
      <c r="G2155" t="inlineStr">
        <is>
          <t>Coastline Projects Pty Ltd</t>
        </is>
      </c>
      <c r="H2155" t="inlineStr">
        <is>
          <t>S0111</t>
        </is>
      </c>
      <c r="I2155" t="inlineStr">
        <is>
          <t>Collection and dismantle - temporary fencing</t>
        </is>
      </c>
      <c r="J2155" t="n">
        <v>1</v>
      </c>
      <c r="K2155" s="9" t="n">
        <v>165</v>
      </c>
      <c r="L2155" t="inlineStr">
        <is>
          <t>PAID</t>
        </is>
      </c>
      <c r="M2155">
        <f>IF(L2155="VOIDED",0,1)</f>
        <v>1</v>
      </c>
      <c r="N2155" t="n">
        <v>200</v>
      </c>
      <c r="O2155" t="inlineStr">
        <is>
          <t>GST on Income</t>
        </is>
      </c>
      <c r="P2155" t="inlineStr">
        <is>
          <t>R07</t>
        </is>
      </c>
      <c r="Q2155" t="inlineStr">
        <is>
          <t>DEL-FP</t>
        </is>
      </c>
      <c r="R2155">
        <f>IF(OR(Q2155="CONTEXT",Q2155="REVIEW"),"",INDEX('Category Rules'!$D$5:$D$17,MATCH(P2155,'Category Rules'!$A$5:$A$17,0)))</f>
        <v>4020</v>
      </c>
      <c r="S2155" t="str">
        <f>IF(Q2155="CONTEXT","Fencing",IF(Q2155="REVIEW","",INDEX('Category Rules'!$E$5:$E$17,MATCH(P2155,'Category Rules'!$A$5:$A$17,0))))</f>
        <v>Fencing</v>
      </c>
      <c r="T2155" t="str">
        <f>IF(Q2155="DEP","BAS Excluded","GST on Income")</f>
        <v>GST on Income</v>
      </c>
      <c r="U2155">
        <f>IF(O2155=T2155,1,0)</f>
        <v>1</v>
      </c>
      <c r="V2155" s="9">
        <f>IF(OR(M2155=0,U2155=1),0,IF(T2155="GST on Income",ROUND(K2155*0.1,2),ROUND(-K2155*0.1,2)))</f>
        <v>0</v>
      </c>
    </row>
    <row r="2156">
      <c r="A2156" t="inlineStr">
        <is>
          <t>INV-4838-1</t>
        </is>
      </c>
      <c r="B2156" t="inlineStr">
        <is>
          <t>INV-4838</t>
        </is>
      </c>
      <c r="C2156" s="11" t="n">
        <v>46156</v>
      </c>
      <c r="D2156" t="inlineStr">
        <is>
          <t>2026-05</t>
        </is>
      </c>
      <c r="E2156" t="inlineStr">
        <is>
          <t>C0136</t>
        </is>
      </c>
      <c r="F2156" t="inlineStr">
        <is>
          <t>C0036</t>
        </is>
      </c>
      <c r="G2156" t="inlineStr">
        <is>
          <t>Summit Homes Pty Ltd</t>
        </is>
      </c>
      <c r="H2156" t="inlineStr">
        <is>
          <t>S0158</t>
        </is>
      </c>
      <c r="I2156" t="inlineStr">
        <is>
          <t>Temporary fence hire 4 wks (16/04/26-13/05/26) - 29 panels</t>
        </is>
      </c>
      <c r="J2156" t="n">
        <v>116</v>
      </c>
      <c r="K2156" s="9" t="n">
        <v>522</v>
      </c>
      <c r="L2156" t="inlineStr">
        <is>
          <t>PAID</t>
        </is>
      </c>
      <c r="M2156">
        <f>IF(L2156="VOIDED",0,1)</f>
        <v>1</v>
      </c>
      <c r="N2156" t="n">
        <v>200</v>
      </c>
      <c r="O2156" t="inlineStr">
        <is>
          <t>GST on Income</t>
        </is>
      </c>
      <c r="P2156" t="inlineStr">
        <is>
          <t>R03</t>
        </is>
      </c>
      <c r="Q2156" t="inlineStr">
        <is>
          <t>HIRE-FP</t>
        </is>
      </c>
      <c r="R2156">
        <f>IF(OR(Q2156="CONTEXT",Q2156="REVIEW"),"",INDEX('Category Rules'!$D$5:$D$17,MATCH(P2156,'Category Rules'!$A$5:$A$17,0)))</f>
        <v>4010</v>
      </c>
      <c r="S2156" t="str">
        <f>IF(Q2156="CONTEXT","Fencing",IF(Q2156="REVIEW","",INDEX('Category Rules'!$E$5:$E$17,MATCH(P2156,'Category Rules'!$A$5:$A$17,0))))</f>
        <v>Fencing</v>
      </c>
      <c r="T2156" t="str">
        <f>IF(Q2156="DEP","BAS Excluded","GST on Income")</f>
        <v>GST on Income</v>
      </c>
      <c r="U2156">
        <f>IF(O2156=T2156,1,0)</f>
        <v>1</v>
      </c>
      <c r="V2156" s="9">
        <f>IF(OR(M2156=0,U2156=1),0,IF(T2156="GST on Income",ROUND(K2156*0.1,2),ROUND(-K2156*0.1,2)))</f>
        <v>0</v>
      </c>
    </row>
    <row r="2157">
      <c r="A2157" t="inlineStr">
        <is>
          <t>INV-4843-1</t>
        </is>
      </c>
      <c r="B2157" t="inlineStr">
        <is>
          <t>INV-4843</t>
        </is>
      </c>
      <c r="C2157" s="11" t="n">
        <v>46156</v>
      </c>
      <c r="D2157" t="inlineStr">
        <is>
          <t>2026-05</t>
        </is>
      </c>
      <c r="E2157" t="inlineStr">
        <is>
          <t>C0136</t>
        </is>
      </c>
      <c r="F2157" t="inlineStr">
        <is>
          <t>C0036</t>
        </is>
      </c>
      <c r="G2157" t="inlineStr">
        <is>
          <t>Summit Homes Pty Ltd</t>
        </is>
      </c>
      <c r="H2157" t="inlineStr">
        <is>
          <t>S0158</t>
        </is>
      </c>
      <c r="I2157" t="inlineStr">
        <is>
          <t>Pedestrian barrier hire 4 wks (16/04/26-13/05/26) - 23 barriers</t>
        </is>
      </c>
      <c r="J2157" t="n">
        <v>92</v>
      </c>
      <c r="K2157" s="9" t="n">
        <v>294.4</v>
      </c>
      <c r="L2157" t="inlineStr">
        <is>
          <t>PAID</t>
        </is>
      </c>
      <c r="M2157">
        <f>IF(L2157="VOIDED",0,1)</f>
        <v>1</v>
      </c>
      <c r="N2157" t="n">
        <v>200</v>
      </c>
      <c r="O2157" t="inlineStr">
        <is>
          <t>GST on Income</t>
        </is>
      </c>
      <c r="P2157" t="inlineStr">
        <is>
          <t>R04</t>
        </is>
      </c>
      <c r="Q2157" t="inlineStr">
        <is>
          <t>HIRE-BR</t>
        </is>
      </c>
      <c r="R2157">
        <f>IF(OR(Q2157="CONTEXT",Q2157="REVIEW"),"",INDEX('Category Rules'!$D$5:$D$17,MATCH(P2157,'Category Rules'!$A$5:$A$17,0)))</f>
        <v>4010</v>
      </c>
      <c r="S2157" t="str">
        <f>IF(Q2157="CONTEXT","Fencing",IF(Q2157="REVIEW","",INDEX('Category Rules'!$E$5:$E$17,MATCH(P2157,'Category Rules'!$A$5:$A$17,0))))</f>
        <v>Fencing</v>
      </c>
      <c r="T2157" t="str">
        <f>IF(Q2157="DEP","BAS Excluded","GST on Income")</f>
        <v>GST on Income</v>
      </c>
      <c r="U2157">
        <f>IF(O2157=T2157,1,0)</f>
        <v>1</v>
      </c>
      <c r="V2157" s="9">
        <f>IF(OR(M2157=0,U2157=1),0,IF(T2157="GST on Income",ROUND(K2157*0.1,2),ROUND(-K2157*0.1,2)))</f>
        <v>0</v>
      </c>
    </row>
    <row r="2158">
      <c r="A2158" t="inlineStr">
        <is>
          <t>INV-5402-1</t>
        </is>
      </c>
      <c r="B2158" t="inlineStr">
        <is>
          <t>INV-5402</t>
        </is>
      </c>
      <c r="C2158" s="11" t="n">
        <v>46156</v>
      </c>
      <c r="D2158" t="inlineStr">
        <is>
          <t>2026-05</t>
        </is>
      </c>
      <c r="E2158" t="inlineStr">
        <is>
          <t>C0122</t>
        </is>
      </c>
      <c r="F2158" t="inlineStr">
        <is>
          <t>C0122</t>
        </is>
      </c>
      <c r="G2158" t="inlineStr">
        <is>
          <t>Bluegum Construction Pty Ltd</t>
        </is>
      </c>
      <c r="H2158" t="inlineStr">
        <is>
          <t>S0283</t>
        </is>
      </c>
      <c r="I2158" t="inlineStr">
        <is>
          <t>Scaffold erect - 2 tower(s)</t>
        </is>
      </c>
      <c r="J2158" t="n">
        <v>2</v>
      </c>
      <c r="K2158" s="9" t="n">
        <v>840</v>
      </c>
      <c r="L2158" t="inlineStr">
        <is>
          <t>PAID</t>
        </is>
      </c>
      <c r="M2158">
        <f>IF(L2158="VOIDED",0,1)</f>
        <v>1</v>
      </c>
      <c r="N2158" t="n">
        <v>200</v>
      </c>
      <c r="O2158" t="inlineStr">
        <is>
          <t>GST on Income</t>
        </is>
      </c>
      <c r="P2158" t="inlineStr">
        <is>
          <t>R08</t>
        </is>
      </c>
      <c r="Q2158" t="inlineStr">
        <is>
          <t>LAB-ST</t>
        </is>
      </c>
      <c r="R2158">
        <f>IF(OR(Q2158="CONTEXT",Q2158="REVIEW"),"",INDEX('Category Rules'!$D$5:$D$17,MATCH(P2158,'Category Rules'!$A$5:$A$17,0)))</f>
        <v>4020</v>
      </c>
      <c r="S2158" t="str">
        <f>IF(Q2158="CONTEXT","Scaffolding",IF(Q2158="REVIEW","",INDEX('Category Rules'!$E$5:$E$17,MATCH(P2158,'Category Rules'!$A$5:$A$17,0))))</f>
        <v>Scaffolding</v>
      </c>
      <c r="T2158" t="str">
        <f>IF(Q2158="DEP","BAS Excluded","GST on Income")</f>
        <v>GST on Income</v>
      </c>
      <c r="U2158">
        <f>IF(O2158=T2158,1,0)</f>
        <v>1</v>
      </c>
      <c r="V2158" s="9">
        <f>IF(OR(M2158=0,U2158=1),0,IF(T2158="GST on Income",ROUND(K2158*0.1,2),ROUND(-K2158*0.1,2)))</f>
        <v>0</v>
      </c>
    </row>
    <row r="2159">
      <c r="A2159" t="inlineStr">
        <is>
          <t>INV-5854-1</t>
        </is>
      </c>
      <c r="B2159" t="inlineStr">
        <is>
          <t>INV-5854</t>
        </is>
      </c>
      <c r="C2159" s="11" t="n">
        <v>46156</v>
      </c>
      <c r="D2159" t="inlineStr">
        <is>
          <t>2026-05</t>
        </is>
      </c>
      <c r="E2159" t="inlineStr">
        <is>
          <t>C0012</t>
        </is>
      </c>
      <c r="F2159" t="inlineStr">
        <is>
          <t>C0012</t>
        </is>
      </c>
      <c r="G2159" t="inlineStr">
        <is>
          <t>Kestrel Constructions Pty Ltd</t>
        </is>
      </c>
      <c r="H2159" t="inlineStr">
        <is>
          <t>S0521</t>
        </is>
      </c>
      <c r="I2159" t="inlineStr">
        <is>
          <t>Roof repair labour - 16 hrs</t>
        </is>
      </c>
      <c r="J2159" t="n">
        <v>16</v>
      </c>
      <c r="K2159" s="9" t="n">
        <v>1568</v>
      </c>
      <c r="L2159" t="inlineStr">
        <is>
          <t>PAID</t>
        </is>
      </c>
      <c r="M2159">
        <f>IF(L2159="VOIDED",0,1)</f>
        <v>1</v>
      </c>
      <c r="N2159" t="n">
        <v>200</v>
      </c>
      <c r="O2159" t="inlineStr">
        <is>
          <t>GST on Income</t>
        </is>
      </c>
      <c r="P2159" t="inlineStr">
        <is>
          <t>R10</t>
        </is>
      </c>
      <c r="Q2159" t="inlineStr">
        <is>
          <t>LAB-RF</t>
        </is>
      </c>
      <c r="R2159">
        <f>IF(OR(Q2159="CONTEXT",Q2159="REVIEW"),"",INDEX('Category Rules'!$D$5:$D$17,MATCH(P2159,'Category Rules'!$A$5:$A$17,0)))</f>
        <v>4020</v>
      </c>
      <c r="S2159" t="str">
        <f>IF(Q2159="CONTEXT","Roofing",IF(Q2159="REVIEW","",INDEX('Category Rules'!$E$5:$E$17,MATCH(P2159,'Category Rules'!$A$5:$A$17,0))))</f>
        <v>Roofing</v>
      </c>
      <c r="T2159" t="str">
        <f>IF(Q2159="DEP","BAS Excluded","GST on Income")</f>
        <v>GST on Income</v>
      </c>
      <c r="U2159">
        <f>IF(O2159=T2159,1,0)</f>
        <v>1</v>
      </c>
      <c r="V2159" s="9">
        <f>IF(OR(M2159=0,U2159=1),0,IF(T2159="GST on Income",ROUND(K2159*0.1,2),ROUND(-K2159*0.1,2)))</f>
        <v>0</v>
      </c>
    </row>
    <row r="2160">
      <c r="A2160" t="inlineStr">
        <is>
          <t>INV-5854-2</t>
        </is>
      </c>
      <c r="B2160" t="inlineStr">
        <is>
          <t>INV-5854</t>
        </is>
      </c>
      <c r="C2160" s="11" t="n">
        <v>46156</v>
      </c>
      <c r="D2160" t="inlineStr">
        <is>
          <t>2026-05</t>
        </is>
      </c>
      <c r="E2160" t="inlineStr">
        <is>
          <t>C0012</t>
        </is>
      </c>
      <c r="F2160" t="inlineStr">
        <is>
          <t>C0012</t>
        </is>
      </c>
      <c r="G2160" t="inlineStr">
        <is>
          <t>Kestrel Constructions Pty Ltd</t>
        </is>
      </c>
      <c r="H2160" t="inlineStr">
        <is>
          <t>S0521</t>
        </is>
      </c>
      <c r="I2160" t="inlineStr">
        <is>
          <t>Materials - ridge capping</t>
        </is>
      </c>
      <c r="J2160" t="n">
        <v>1</v>
      </c>
      <c r="K2160" s="9" t="n">
        <v>409.72</v>
      </c>
      <c r="L2160" t="inlineStr">
        <is>
          <t>PAID</t>
        </is>
      </c>
      <c r="M2160">
        <f>IF(L2160="VOIDED",0,1)</f>
        <v>1</v>
      </c>
      <c r="N2160" t="n">
        <v>200</v>
      </c>
      <c r="O2160" t="inlineStr">
        <is>
          <t>GST on Income</t>
        </is>
      </c>
      <c r="P2160" t="inlineStr">
        <is>
          <t>R11</t>
        </is>
      </c>
      <c r="Q2160" t="inlineStr">
        <is>
          <t>MAT-RF</t>
        </is>
      </c>
      <c r="R2160">
        <f>IF(OR(Q2160="CONTEXT",Q2160="REVIEW"),"",INDEX('Category Rules'!$D$5:$D$17,MATCH(P2160,'Category Rules'!$A$5:$A$17,0)))</f>
        <v>4030</v>
      </c>
      <c r="S2160" t="str">
        <f>IF(Q2160="CONTEXT","Roofing",IF(Q2160="REVIEW","",INDEX('Category Rules'!$E$5:$E$17,MATCH(P2160,'Category Rules'!$A$5:$A$17,0))))</f>
        <v>Roofing</v>
      </c>
      <c r="T2160" t="str">
        <f>IF(Q2160="DEP","BAS Excluded","GST on Income")</f>
        <v>GST on Income</v>
      </c>
      <c r="U2160">
        <f>IF(O2160=T2160,1,0)</f>
        <v>1</v>
      </c>
      <c r="V2160" s="9">
        <f>IF(OR(M2160=0,U2160=1),0,IF(T2160="GST on Income",ROUND(K2160*0.1,2),ROUND(-K2160*0.1,2)))</f>
        <v>0</v>
      </c>
    </row>
    <row r="2161">
      <c r="A2161" t="inlineStr">
        <is>
          <t>INV-5854-3</t>
        </is>
      </c>
      <c r="B2161" t="inlineStr">
        <is>
          <t>INV-5854</t>
        </is>
      </c>
      <c r="C2161" s="11" t="n">
        <v>46156</v>
      </c>
      <c r="D2161" t="inlineStr">
        <is>
          <t>2026-05</t>
        </is>
      </c>
      <c r="E2161" t="inlineStr">
        <is>
          <t>C0012</t>
        </is>
      </c>
      <c r="F2161" t="inlineStr">
        <is>
          <t>C0012</t>
        </is>
      </c>
      <c r="G2161" t="inlineStr">
        <is>
          <t>Kestrel Constructions Pty Ltd</t>
        </is>
      </c>
      <c r="H2161" t="inlineStr">
        <is>
          <t>S0521</t>
        </is>
      </c>
      <c r="I2161" t="inlineStr">
        <is>
          <t>Materials - flashing</t>
        </is>
      </c>
      <c r="J2161" t="n">
        <v>1</v>
      </c>
      <c r="K2161" s="9" t="n">
        <v>1259.61</v>
      </c>
      <c r="L2161" t="inlineStr">
        <is>
          <t>PAID</t>
        </is>
      </c>
      <c r="M2161">
        <f>IF(L2161="VOIDED",0,1)</f>
        <v>1</v>
      </c>
      <c r="N2161" t="n">
        <v>200</v>
      </c>
      <c r="O2161" t="inlineStr">
        <is>
          <t>GST on Income</t>
        </is>
      </c>
      <c r="P2161" t="inlineStr">
        <is>
          <t>R11</t>
        </is>
      </c>
      <c r="Q2161" t="inlineStr">
        <is>
          <t>MAT-RF</t>
        </is>
      </c>
      <c r="R2161">
        <f>IF(OR(Q2161="CONTEXT",Q2161="REVIEW"),"",INDEX('Category Rules'!$D$5:$D$17,MATCH(P2161,'Category Rules'!$A$5:$A$17,0)))</f>
        <v>4030</v>
      </c>
      <c r="S2161" t="str">
        <f>IF(Q2161="CONTEXT","Roofing",IF(Q2161="REVIEW","",INDEX('Category Rules'!$E$5:$E$17,MATCH(P2161,'Category Rules'!$A$5:$A$17,0))))</f>
        <v>Roofing</v>
      </c>
      <c r="T2161" t="str">
        <f>IF(Q2161="DEP","BAS Excluded","GST on Income")</f>
        <v>GST on Income</v>
      </c>
      <c r="U2161">
        <f>IF(O2161=T2161,1,0)</f>
        <v>1</v>
      </c>
      <c r="V2161" s="9">
        <f>IF(OR(M2161=0,U2161=1),0,IF(T2161="GST on Income",ROUND(K2161*0.1,2),ROUND(-K2161*0.1,2)))</f>
        <v>0</v>
      </c>
    </row>
    <row r="2162">
      <c r="A2162" t="inlineStr">
        <is>
          <t>INV-4736-1</t>
        </is>
      </c>
      <c r="B2162" t="inlineStr">
        <is>
          <t>INV-4736</t>
        </is>
      </c>
      <c r="C2162" s="11" t="n">
        <v>46157</v>
      </c>
      <c r="D2162" t="inlineStr">
        <is>
          <t>2026-05</t>
        </is>
      </c>
      <c r="E2162" t="inlineStr">
        <is>
          <t>C0033</t>
        </is>
      </c>
      <c r="F2162" t="inlineStr">
        <is>
          <t>C0033</t>
        </is>
      </c>
      <c r="G2162" t="inlineStr">
        <is>
          <t>Granite Projects Pty Ltd</t>
        </is>
      </c>
      <c r="H2162" t="inlineStr">
        <is>
          <t>S0133</t>
        </is>
      </c>
      <c r="I2162" t="inlineStr">
        <is>
          <t>Temporary fence hire 4 wks (17/04/26-14/05/26) - 140 panels</t>
        </is>
      </c>
      <c r="J2162" t="n">
        <v>560</v>
      </c>
      <c r="K2162" s="9" t="n">
        <v>2520</v>
      </c>
      <c r="L2162" t="inlineStr">
        <is>
          <t>AUTHORISED</t>
        </is>
      </c>
      <c r="M2162">
        <f>IF(L2162="VOIDED",0,1)</f>
        <v>1</v>
      </c>
      <c r="N2162" t="n">
        <v>200</v>
      </c>
      <c r="O2162" t="inlineStr">
        <is>
          <t>GST on Income</t>
        </is>
      </c>
      <c r="P2162" t="inlineStr">
        <is>
          <t>R03</t>
        </is>
      </c>
      <c r="Q2162" t="inlineStr">
        <is>
          <t>HIRE-FP</t>
        </is>
      </c>
      <c r="R2162">
        <f>IF(OR(Q2162="CONTEXT",Q2162="REVIEW"),"",INDEX('Category Rules'!$D$5:$D$17,MATCH(P2162,'Category Rules'!$A$5:$A$17,0)))</f>
        <v>4010</v>
      </c>
      <c r="S2162" t="str">
        <f>IF(Q2162="CONTEXT","Fencing",IF(Q2162="REVIEW","",INDEX('Category Rules'!$E$5:$E$17,MATCH(P2162,'Category Rules'!$A$5:$A$17,0))))</f>
        <v>Fencing</v>
      </c>
      <c r="T2162" t="str">
        <f>IF(Q2162="DEP","BAS Excluded","GST on Income")</f>
        <v>GST on Income</v>
      </c>
      <c r="U2162">
        <f>IF(O2162=T2162,1,0)</f>
        <v>1</v>
      </c>
      <c r="V2162" s="9">
        <f>IF(OR(M2162=0,U2162=1),0,IF(T2162="GST on Income",ROUND(K2162*0.1,2),ROUND(-K2162*0.1,2)))</f>
        <v>0</v>
      </c>
    </row>
    <row r="2163">
      <c r="A2163" t="inlineStr">
        <is>
          <t>INV-4796-1</t>
        </is>
      </c>
      <c r="B2163" t="inlineStr">
        <is>
          <t>INV-4796</t>
        </is>
      </c>
      <c r="C2163" s="11" t="n">
        <v>46157</v>
      </c>
      <c r="D2163" t="inlineStr">
        <is>
          <t>2026-05</t>
        </is>
      </c>
      <c r="E2163" t="inlineStr">
        <is>
          <t>C0024</t>
        </is>
      </c>
      <c r="F2163" t="inlineStr">
        <is>
          <t>C0024</t>
        </is>
      </c>
      <c r="G2163" t="inlineStr">
        <is>
          <t>Parkview Homes Pty Ltd</t>
        </is>
      </c>
      <c r="H2163" t="inlineStr">
        <is>
          <t>S0148</t>
        </is>
      </c>
      <c r="I2163" t="inlineStr">
        <is>
          <t>Temporary fence hire 4 wks (17/04/26-14/05/26) - 155 panels</t>
        </is>
      </c>
      <c r="J2163" t="n">
        <v>620</v>
      </c>
      <c r="K2163" s="9" t="n">
        <v>2790</v>
      </c>
      <c r="L2163" t="inlineStr">
        <is>
          <t>PAID</t>
        </is>
      </c>
      <c r="M2163">
        <f>IF(L2163="VOIDED",0,1)</f>
        <v>1</v>
      </c>
      <c r="N2163" t="n">
        <v>200</v>
      </c>
      <c r="O2163" t="inlineStr">
        <is>
          <t>GST on Income</t>
        </is>
      </c>
      <c r="P2163" t="inlineStr">
        <is>
          <t>R03</t>
        </is>
      </c>
      <c r="Q2163" t="inlineStr">
        <is>
          <t>HIRE-FP</t>
        </is>
      </c>
      <c r="R2163">
        <f>IF(OR(Q2163="CONTEXT",Q2163="REVIEW"),"",INDEX('Category Rules'!$D$5:$D$17,MATCH(P2163,'Category Rules'!$A$5:$A$17,0)))</f>
        <v>4010</v>
      </c>
      <c r="S2163" t="str">
        <f>IF(Q2163="CONTEXT","Fencing",IF(Q2163="REVIEW","",INDEX('Category Rules'!$E$5:$E$17,MATCH(P2163,'Category Rules'!$A$5:$A$17,0))))</f>
        <v>Fencing</v>
      </c>
      <c r="T2163" t="str">
        <f>IF(Q2163="DEP","BAS Excluded","GST on Income")</f>
        <v>GST on Income</v>
      </c>
      <c r="U2163">
        <f>IF(O2163=T2163,1,0)</f>
        <v>1</v>
      </c>
      <c r="V2163" s="9">
        <f>IF(OR(M2163=0,U2163=1),0,IF(T2163="GST on Income",ROUND(K2163*0.1,2),ROUND(-K2163*0.1,2)))</f>
        <v>0</v>
      </c>
    </row>
    <row r="2164">
      <c r="A2164" t="inlineStr">
        <is>
          <t>INV-5565-1</t>
        </is>
      </c>
      <c r="B2164" t="inlineStr">
        <is>
          <t>INV-5565</t>
        </is>
      </c>
      <c r="C2164" s="11" t="n">
        <v>46157</v>
      </c>
      <c r="D2164" t="inlineStr">
        <is>
          <t>2026-05</t>
        </is>
      </c>
      <c r="E2164" t="inlineStr">
        <is>
          <t>C0046</t>
        </is>
      </c>
      <c r="F2164" t="inlineStr">
        <is>
          <t>C0046</t>
        </is>
      </c>
      <c r="G2164" t="inlineStr">
        <is>
          <t>Bayside Owners Corporation Services Pty Ltd</t>
        </is>
      </c>
      <c r="H2164" t="inlineStr">
        <is>
          <t>S0361</t>
        </is>
      </c>
      <c r="I2164" t="inlineStr">
        <is>
          <t>Make safe call-out</t>
        </is>
      </c>
      <c r="J2164" t="n">
        <v>1</v>
      </c>
      <c r="K2164" s="9" t="n">
        <v>385</v>
      </c>
      <c r="L2164" t="inlineStr">
        <is>
          <t>AUTHORISED</t>
        </is>
      </c>
      <c r="M2164">
        <f>IF(L2164="VOIDED",0,1)</f>
        <v>1</v>
      </c>
      <c r="N2164" t="n">
        <v>200</v>
      </c>
      <c r="O2164" t="inlineStr">
        <is>
          <t>GST on Income</t>
        </is>
      </c>
      <c r="P2164" t="inlineStr">
        <is>
          <t>R09</t>
        </is>
      </c>
      <c r="Q2164" t="inlineStr">
        <is>
          <t>MS</t>
        </is>
      </c>
      <c r="R2164">
        <f>IF(OR(Q2164="CONTEXT",Q2164="REVIEW"),"",INDEX('Category Rules'!$D$5:$D$17,MATCH(P2164,'Category Rules'!$A$5:$A$17,0)))</f>
        <v>4020</v>
      </c>
      <c r="S2164" t="str">
        <f>IF(Q2164="CONTEXT","Make-safe",IF(Q2164="REVIEW","",INDEX('Category Rules'!$E$5:$E$17,MATCH(P2164,'Category Rules'!$A$5:$A$17,0))))</f>
        <v>Make-safe</v>
      </c>
      <c r="T2164" t="str">
        <f>IF(Q2164="DEP","BAS Excluded","GST on Income")</f>
        <v>GST on Income</v>
      </c>
      <c r="U2164">
        <f>IF(O2164=T2164,1,0)</f>
        <v>1</v>
      </c>
      <c r="V2164" s="9">
        <f>IF(OR(M2164=0,U2164=1),0,IF(T2164="GST on Income",ROUND(K2164*0.1,2),ROUND(-K2164*0.1,2)))</f>
        <v>0</v>
      </c>
    </row>
    <row r="2165">
      <c r="A2165" t="inlineStr">
        <is>
          <t>INV-5566-1</t>
        </is>
      </c>
      <c r="B2165" t="inlineStr">
        <is>
          <t>INV-5566</t>
        </is>
      </c>
      <c r="C2165" s="11" t="n">
        <v>46157</v>
      </c>
      <c r="D2165" t="inlineStr">
        <is>
          <t>2026-05</t>
        </is>
      </c>
      <c r="E2165" t="inlineStr">
        <is>
          <t>C0029</t>
        </is>
      </c>
      <c r="F2165" t="inlineStr">
        <is>
          <t>C0029</t>
        </is>
      </c>
      <c r="G2165" t="inlineStr">
        <is>
          <t>Ironbark Constructions</t>
        </is>
      </c>
      <c r="H2165" t="inlineStr">
        <is>
          <t>S0362</t>
        </is>
      </c>
      <c r="I2165" t="inlineStr">
        <is>
          <t>Make safe call-out</t>
        </is>
      </c>
      <c r="J2165" t="n">
        <v>1</v>
      </c>
      <c r="K2165" s="9" t="n">
        <v>385</v>
      </c>
      <c r="L2165" t="inlineStr">
        <is>
          <t>PAID</t>
        </is>
      </c>
      <c r="M2165">
        <f>IF(L2165="VOIDED",0,1)</f>
        <v>1</v>
      </c>
      <c r="N2165" t="n">
        <v>200</v>
      </c>
      <c r="O2165" t="inlineStr">
        <is>
          <t>GST on Income</t>
        </is>
      </c>
      <c r="P2165" t="inlineStr">
        <is>
          <t>R09</t>
        </is>
      </c>
      <c r="Q2165" t="inlineStr">
        <is>
          <t>MS</t>
        </is>
      </c>
      <c r="R2165">
        <f>IF(OR(Q2165="CONTEXT",Q2165="REVIEW"),"",INDEX('Category Rules'!$D$5:$D$17,MATCH(P2165,'Category Rules'!$A$5:$A$17,0)))</f>
        <v>4020</v>
      </c>
      <c r="S2165" t="str">
        <f>IF(Q2165="CONTEXT","Make-safe",IF(Q2165="REVIEW","",INDEX('Category Rules'!$E$5:$E$17,MATCH(P2165,'Category Rules'!$A$5:$A$17,0))))</f>
        <v>Make-safe</v>
      </c>
      <c r="T2165" t="str">
        <f>IF(Q2165="DEP","BAS Excluded","GST on Income")</f>
        <v>GST on Income</v>
      </c>
      <c r="U2165">
        <f>IF(O2165=T2165,1,0)</f>
        <v>1</v>
      </c>
      <c r="V2165" s="9">
        <f>IF(OR(M2165=0,U2165=1),0,IF(T2165="GST on Income",ROUND(K2165*0.1,2),ROUND(-K2165*0.1,2)))</f>
        <v>0</v>
      </c>
    </row>
    <row r="2166">
      <c r="A2166" t="inlineStr">
        <is>
          <t>INV-5663-1</t>
        </is>
      </c>
      <c r="B2166" t="inlineStr">
        <is>
          <t>INV-5663</t>
        </is>
      </c>
      <c r="C2166" s="11" t="n">
        <v>46157</v>
      </c>
      <c r="D2166" t="inlineStr">
        <is>
          <t>2026-05</t>
        </is>
      </c>
      <c r="E2166" t="inlineStr">
        <is>
          <t>C0065</t>
        </is>
      </c>
      <c r="F2166" t="inlineStr">
        <is>
          <t>C0065</t>
        </is>
      </c>
      <c r="G2166" t="inlineStr">
        <is>
          <t>Stonebridge Claims Services</t>
        </is>
      </c>
      <c r="H2166" t="inlineStr">
        <is>
          <t>S0414</t>
        </is>
      </c>
      <c r="I2166" t="inlineStr">
        <is>
          <t>Roof repair labour - 12 hrs</t>
        </is>
      </c>
      <c r="J2166" t="n">
        <v>12</v>
      </c>
      <c r="K2166" s="9" t="n">
        <v>1176</v>
      </c>
      <c r="L2166" t="inlineStr">
        <is>
          <t>PAID</t>
        </is>
      </c>
      <c r="M2166">
        <f>IF(L2166="VOIDED",0,1)</f>
        <v>1</v>
      </c>
      <c r="N2166" t="n">
        <v>200</v>
      </c>
      <c r="O2166" t="inlineStr">
        <is>
          <t>GST on Income</t>
        </is>
      </c>
      <c r="P2166" t="inlineStr">
        <is>
          <t>R10</t>
        </is>
      </c>
      <c r="Q2166" t="inlineStr">
        <is>
          <t>LAB-RF</t>
        </is>
      </c>
      <c r="R2166">
        <f>IF(OR(Q2166="CONTEXT",Q2166="REVIEW"),"",INDEX('Category Rules'!$D$5:$D$17,MATCH(P2166,'Category Rules'!$A$5:$A$17,0)))</f>
        <v>4020</v>
      </c>
      <c r="S2166" t="str">
        <f>IF(Q2166="CONTEXT","Roofing",IF(Q2166="REVIEW","",INDEX('Category Rules'!$E$5:$E$17,MATCH(P2166,'Category Rules'!$A$5:$A$17,0))))</f>
        <v>Roofing</v>
      </c>
      <c r="T2166" t="str">
        <f>IF(Q2166="DEP","BAS Excluded","GST on Income")</f>
        <v>GST on Income</v>
      </c>
      <c r="U2166">
        <f>IF(O2166=T2166,1,0)</f>
        <v>1</v>
      </c>
      <c r="V2166" s="9">
        <f>IF(OR(M2166=0,U2166=1),0,IF(T2166="GST on Income",ROUND(K2166*0.1,2),ROUND(-K2166*0.1,2)))</f>
        <v>0</v>
      </c>
    </row>
    <row r="2167">
      <c r="A2167" t="inlineStr">
        <is>
          <t>INV-5663-2</t>
        </is>
      </c>
      <c r="B2167" t="inlineStr">
        <is>
          <t>INV-5663</t>
        </is>
      </c>
      <c r="C2167" s="11" t="n">
        <v>46157</v>
      </c>
      <c r="D2167" t="inlineStr">
        <is>
          <t>2026-05</t>
        </is>
      </c>
      <c r="E2167" t="inlineStr">
        <is>
          <t>C0065</t>
        </is>
      </c>
      <c r="F2167" t="inlineStr">
        <is>
          <t>C0065</t>
        </is>
      </c>
      <c r="G2167" t="inlineStr">
        <is>
          <t>Stonebridge Claims Services</t>
        </is>
      </c>
      <c r="H2167" t="inlineStr">
        <is>
          <t>S0414</t>
        </is>
      </c>
      <c r="I2167" t="inlineStr">
        <is>
          <t>Materials - roof tiles (matched)</t>
        </is>
      </c>
      <c r="J2167" t="n">
        <v>1</v>
      </c>
      <c r="K2167" s="9" t="n">
        <v>252.45</v>
      </c>
      <c r="L2167" t="inlineStr">
        <is>
          <t>PAID</t>
        </is>
      </c>
      <c r="M2167">
        <f>IF(L2167="VOIDED",0,1)</f>
        <v>1</v>
      </c>
      <c r="N2167" t="n">
        <v>200</v>
      </c>
      <c r="O2167" t="inlineStr">
        <is>
          <t>GST on Income</t>
        </is>
      </c>
      <c r="P2167" t="inlineStr">
        <is>
          <t>R11</t>
        </is>
      </c>
      <c r="Q2167" t="inlineStr">
        <is>
          <t>MAT-RF</t>
        </is>
      </c>
      <c r="R2167">
        <f>IF(OR(Q2167="CONTEXT",Q2167="REVIEW"),"",INDEX('Category Rules'!$D$5:$D$17,MATCH(P2167,'Category Rules'!$A$5:$A$17,0)))</f>
        <v>4030</v>
      </c>
      <c r="S2167" t="str">
        <f>IF(Q2167="CONTEXT","Roofing",IF(Q2167="REVIEW","",INDEX('Category Rules'!$E$5:$E$17,MATCH(P2167,'Category Rules'!$A$5:$A$17,0))))</f>
        <v>Roofing</v>
      </c>
      <c r="T2167" t="str">
        <f>IF(Q2167="DEP","BAS Excluded","GST on Income")</f>
        <v>GST on Income</v>
      </c>
      <c r="U2167">
        <f>IF(O2167=T2167,1,0)</f>
        <v>1</v>
      </c>
      <c r="V2167" s="9">
        <f>IF(OR(M2167=0,U2167=1),0,IF(T2167="GST on Income",ROUND(K2167*0.1,2),ROUND(-K2167*0.1,2)))</f>
        <v>0</v>
      </c>
    </row>
    <row r="2168">
      <c r="A2168" t="inlineStr">
        <is>
          <t>INV-5663-3</t>
        </is>
      </c>
      <c r="B2168" t="inlineStr">
        <is>
          <t>INV-5663</t>
        </is>
      </c>
      <c r="C2168" s="11" t="n">
        <v>46157</v>
      </c>
      <c r="D2168" t="inlineStr">
        <is>
          <t>2026-05</t>
        </is>
      </c>
      <c r="E2168" t="inlineStr">
        <is>
          <t>C0065</t>
        </is>
      </c>
      <c r="F2168" t="inlineStr">
        <is>
          <t>C0065</t>
        </is>
      </c>
      <c r="G2168" t="inlineStr">
        <is>
          <t>Stonebridge Claims Services</t>
        </is>
      </c>
      <c r="H2168" t="inlineStr">
        <is>
          <t>S0414</t>
        </is>
      </c>
      <c r="I2168" t="inlineStr">
        <is>
          <t>Materials - Colorbond sheet</t>
        </is>
      </c>
      <c r="J2168" t="n">
        <v>1</v>
      </c>
      <c r="K2168" s="9" t="n">
        <v>477.51</v>
      </c>
      <c r="L2168" t="inlineStr">
        <is>
          <t>PAID</t>
        </is>
      </c>
      <c r="M2168">
        <f>IF(L2168="VOIDED",0,1)</f>
        <v>1</v>
      </c>
      <c r="N2168" t="n">
        <v>200</v>
      </c>
      <c r="O2168" t="inlineStr">
        <is>
          <t>GST on Income</t>
        </is>
      </c>
      <c r="P2168" t="inlineStr">
        <is>
          <t>R11</t>
        </is>
      </c>
      <c r="Q2168" t="inlineStr">
        <is>
          <t>MAT-RF</t>
        </is>
      </c>
      <c r="R2168">
        <f>IF(OR(Q2168="CONTEXT",Q2168="REVIEW"),"",INDEX('Category Rules'!$D$5:$D$17,MATCH(P2168,'Category Rules'!$A$5:$A$17,0)))</f>
        <v>4030</v>
      </c>
      <c r="S2168" t="str">
        <f>IF(Q2168="CONTEXT","Roofing",IF(Q2168="REVIEW","",INDEX('Category Rules'!$E$5:$E$17,MATCH(P2168,'Category Rules'!$A$5:$A$17,0))))</f>
        <v>Roofing</v>
      </c>
      <c r="T2168" t="str">
        <f>IF(Q2168="DEP","BAS Excluded","GST on Income")</f>
        <v>GST on Income</v>
      </c>
      <c r="U2168">
        <f>IF(O2168=T2168,1,0)</f>
        <v>1</v>
      </c>
      <c r="V2168" s="9">
        <f>IF(OR(M2168=0,U2168=1),0,IF(T2168="GST on Income",ROUND(K2168*0.1,2),ROUND(-K2168*0.1,2)))</f>
        <v>0</v>
      </c>
    </row>
    <row r="2169">
      <c r="A2169" t="inlineStr">
        <is>
          <t>INV-5663-4</t>
        </is>
      </c>
      <c r="B2169" t="inlineStr">
        <is>
          <t>INV-5663</t>
        </is>
      </c>
      <c r="C2169" s="11" t="n">
        <v>46157</v>
      </c>
      <c r="D2169" t="inlineStr">
        <is>
          <t>2026-05</t>
        </is>
      </c>
      <c r="E2169" t="inlineStr">
        <is>
          <t>C0065</t>
        </is>
      </c>
      <c r="F2169" t="inlineStr">
        <is>
          <t>C0065</t>
        </is>
      </c>
      <c r="G2169" t="inlineStr">
        <is>
          <t>Stonebridge Claims Services</t>
        </is>
      </c>
      <c r="H2169" t="inlineStr">
        <is>
          <t>S0414</t>
        </is>
      </c>
      <c r="I2169" t="inlineStr">
        <is>
          <t>Materials - flashing</t>
        </is>
      </c>
      <c r="J2169" t="n">
        <v>1</v>
      </c>
      <c r="K2169" s="9" t="n">
        <v>1268.52</v>
      </c>
      <c r="L2169" t="inlineStr">
        <is>
          <t>PAID</t>
        </is>
      </c>
      <c r="M2169">
        <f>IF(L2169="VOIDED",0,1)</f>
        <v>1</v>
      </c>
      <c r="N2169" t="n">
        <v>200</v>
      </c>
      <c r="O2169" t="inlineStr">
        <is>
          <t>GST on Income</t>
        </is>
      </c>
      <c r="P2169" t="inlineStr">
        <is>
          <t>R11</t>
        </is>
      </c>
      <c r="Q2169" t="inlineStr">
        <is>
          <t>MAT-RF</t>
        </is>
      </c>
      <c r="R2169">
        <f>IF(OR(Q2169="CONTEXT",Q2169="REVIEW"),"",INDEX('Category Rules'!$D$5:$D$17,MATCH(P2169,'Category Rules'!$A$5:$A$17,0)))</f>
        <v>4030</v>
      </c>
      <c r="S2169" t="str">
        <f>IF(Q2169="CONTEXT","Roofing",IF(Q2169="REVIEW","",INDEX('Category Rules'!$E$5:$E$17,MATCH(P2169,'Category Rules'!$A$5:$A$17,0))))</f>
        <v>Roofing</v>
      </c>
      <c r="T2169" t="str">
        <f>IF(Q2169="DEP","BAS Excluded","GST on Income")</f>
        <v>GST on Income</v>
      </c>
      <c r="U2169">
        <f>IF(O2169=T2169,1,0)</f>
        <v>1</v>
      </c>
      <c r="V2169" s="9">
        <f>IF(OR(M2169=0,U2169=1),0,IF(T2169="GST on Income",ROUND(K2169*0.1,2),ROUND(-K2169*0.1,2)))</f>
        <v>0</v>
      </c>
    </row>
    <row r="2170">
      <c r="A2170" t="inlineStr">
        <is>
          <t>INV-5745-1</t>
        </is>
      </c>
      <c r="B2170" t="inlineStr">
        <is>
          <t>INV-5745</t>
        </is>
      </c>
      <c r="C2170" s="11" t="n">
        <v>46157</v>
      </c>
      <c r="D2170" t="inlineStr">
        <is>
          <t>2026-05</t>
        </is>
      </c>
      <c r="E2170" t="inlineStr">
        <is>
          <t>C0119</t>
        </is>
      </c>
      <c r="F2170" t="inlineStr">
        <is>
          <t>C0119</t>
        </is>
      </c>
      <c r="G2170" t="inlineStr">
        <is>
          <t>Northgate Builders Pty Ltd</t>
        </is>
      </c>
      <c r="H2170" t="inlineStr">
        <is>
          <t>S0458</t>
        </is>
      </c>
      <c r="I2170" t="inlineStr">
        <is>
          <t>Make safe call-out</t>
        </is>
      </c>
      <c r="J2170" t="n">
        <v>1</v>
      </c>
      <c r="K2170" s="9" t="n">
        <v>385</v>
      </c>
      <c r="L2170" t="inlineStr">
        <is>
          <t>PAID</t>
        </is>
      </c>
      <c r="M2170">
        <f>IF(L2170="VOIDED",0,1)</f>
        <v>1</v>
      </c>
      <c r="N2170" t="n">
        <v>200</v>
      </c>
      <c r="O2170" t="inlineStr">
        <is>
          <t>GST on Income</t>
        </is>
      </c>
      <c r="P2170" t="inlineStr">
        <is>
          <t>R09</t>
        </is>
      </c>
      <c r="Q2170" t="inlineStr">
        <is>
          <t>MS</t>
        </is>
      </c>
      <c r="R2170">
        <f>IF(OR(Q2170="CONTEXT",Q2170="REVIEW"),"",INDEX('Category Rules'!$D$5:$D$17,MATCH(P2170,'Category Rules'!$A$5:$A$17,0)))</f>
        <v>4020</v>
      </c>
      <c r="S2170" t="str">
        <f>IF(Q2170="CONTEXT","Make-safe",IF(Q2170="REVIEW","",INDEX('Category Rules'!$E$5:$E$17,MATCH(P2170,'Category Rules'!$A$5:$A$17,0))))</f>
        <v>Make-safe</v>
      </c>
      <c r="T2170" t="str">
        <f>IF(Q2170="DEP","BAS Excluded","GST on Income")</f>
        <v>GST on Income</v>
      </c>
      <c r="U2170">
        <f>IF(O2170=T2170,1,0)</f>
        <v>1</v>
      </c>
      <c r="V2170" s="9">
        <f>IF(OR(M2170=0,U2170=1),0,IF(T2170="GST on Income",ROUND(K2170*0.1,2),ROUND(-K2170*0.1,2)))</f>
        <v>0</v>
      </c>
    </row>
    <row r="2171">
      <c r="A2171" t="inlineStr">
        <is>
          <t>INV-4241-1</t>
        </is>
      </c>
      <c r="B2171" t="inlineStr">
        <is>
          <t>INV-4241</t>
        </is>
      </c>
      <c r="C2171" s="11" t="n">
        <v>46158</v>
      </c>
      <c r="D2171" t="inlineStr">
        <is>
          <t>2026-05</t>
        </is>
      </c>
      <c r="E2171" t="inlineStr">
        <is>
          <t>C0122</t>
        </is>
      </c>
      <c r="F2171" t="inlineStr">
        <is>
          <t>C0122</t>
        </is>
      </c>
      <c r="G2171" t="inlineStr">
        <is>
          <t>Bluegum Construction Pty Ltd</t>
        </is>
      </c>
      <c r="H2171" t="inlineStr">
        <is>
          <t>S0027</t>
        </is>
      </c>
      <c r="I2171" t="inlineStr">
        <is>
          <t>Temporary fence hire 4 wks (18/04/26-15/05/26) - 79 panels</t>
        </is>
      </c>
      <c r="J2171" t="n">
        <v>316</v>
      </c>
      <c r="K2171" s="9" t="n">
        <v>1422</v>
      </c>
      <c r="L2171" t="inlineStr">
        <is>
          <t>AUTHORISED</t>
        </is>
      </c>
      <c r="M2171">
        <f>IF(L2171="VOIDED",0,1)</f>
        <v>1</v>
      </c>
      <c r="N2171" t="n">
        <v>200</v>
      </c>
      <c r="O2171" t="inlineStr">
        <is>
          <t>GST on Income</t>
        </is>
      </c>
      <c r="P2171" t="inlineStr">
        <is>
          <t>R03</t>
        </is>
      </c>
      <c r="Q2171" t="inlineStr">
        <is>
          <t>HIRE-FP</t>
        </is>
      </c>
      <c r="R2171">
        <f>IF(OR(Q2171="CONTEXT",Q2171="REVIEW"),"",INDEX('Category Rules'!$D$5:$D$17,MATCH(P2171,'Category Rules'!$A$5:$A$17,0)))</f>
        <v>4010</v>
      </c>
      <c r="S2171" t="str">
        <f>IF(Q2171="CONTEXT","Fencing",IF(Q2171="REVIEW","",INDEX('Category Rules'!$E$5:$E$17,MATCH(P2171,'Category Rules'!$A$5:$A$17,0))))</f>
        <v>Fencing</v>
      </c>
      <c r="T2171" t="str">
        <f>IF(Q2171="DEP","BAS Excluded","GST on Income")</f>
        <v>GST on Income</v>
      </c>
      <c r="U2171">
        <f>IF(O2171=T2171,1,0)</f>
        <v>1</v>
      </c>
      <c r="V2171" s="9">
        <f>IF(OR(M2171=0,U2171=1),0,IF(T2171="GST on Income",ROUND(K2171*0.1,2),ROUND(-K2171*0.1,2)))</f>
        <v>0</v>
      </c>
    </row>
    <row r="2172">
      <c r="A2172" t="inlineStr">
        <is>
          <t>INV-4357-1</t>
        </is>
      </c>
      <c r="B2172" t="inlineStr">
        <is>
          <t>INV-4357</t>
        </is>
      </c>
      <c r="C2172" s="11" t="n">
        <v>46158</v>
      </c>
      <c r="D2172" t="inlineStr">
        <is>
          <t>2026-05</t>
        </is>
      </c>
      <c r="E2172" t="inlineStr">
        <is>
          <t>C0001</t>
        </is>
      </c>
      <c r="F2172" t="inlineStr">
        <is>
          <t>C0001</t>
        </is>
      </c>
      <c r="G2172" t="inlineStr">
        <is>
          <t>Parkview Projects Pty Ltd</t>
        </is>
      </c>
      <c r="H2172" t="inlineStr">
        <is>
          <t>S0053</t>
        </is>
      </c>
      <c r="I2172" t="inlineStr">
        <is>
          <t>Temporary fence hire 3 wks (30/04/26-15/05/26) - 143 panels</t>
        </is>
      </c>
      <c r="J2172" t="n">
        <v>429</v>
      </c>
      <c r="K2172" s="9" t="n">
        <v>1930.5</v>
      </c>
      <c r="L2172" t="inlineStr">
        <is>
          <t>PAID</t>
        </is>
      </c>
      <c r="M2172">
        <f>IF(L2172="VOIDED",0,1)</f>
        <v>1</v>
      </c>
      <c r="N2172" t="n">
        <v>200</v>
      </c>
      <c r="O2172" t="inlineStr">
        <is>
          <t>GST on Income</t>
        </is>
      </c>
      <c r="P2172" t="inlineStr">
        <is>
          <t>R03</t>
        </is>
      </c>
      <c r="Q2172" t="inlineStr">
        <is>
          <t>HIRE-FP</t>
        </is>
      </c>
      <c r="R2172">
        <f>IF(OR(Q2172="CONTEXT",Q2172="REVIEW"),"",INDEX('Category Rules'!$D$5:$D$17,MATCH(P2172,'Category Rules'!$A$5:$A$17,0)))</f>
        <v>4010</v>
      </c>
      <c r="S2172" t="str">
        <f>IF(Q2172="CONTEXT","Fencing",IF(Q2172="REVIEW","",INDEX('Category Rules'!$E$5:$E$17,MATCH(P2172,'Category Rules'!$A$5:$A$17,0))))</f>
        <v>Fencing</v>
      </c>
      <c r="T2172" t="str">
        <f>IF(Q2172="DEP","BAS Excluded","GST on Income")</f>
        <v>GST on Income</v>
      </c>
      <c r="U2172">
        <f>IF(O2172=T2172,1,0)</f>
        <v>1</v>
      </c>
      <c r="V2172" s="9">
        <f>IF(OR(M2172=0,U2172=1),0,IF(T2172="GST on Income",ROUND(K2172*0.1,2),ROUND(-K2172*0.1,2)))</f>
        <v>0</v>
      </c>
    </row>
    <row r="2173">
      <c r="A2173" t="inlineStr">
        <is>
          <t>INV-4359-1</t>
        </is>
      </c>
      <c r="B2173" t="inlineStr">
        <is>
          <t>INV-4359</t>
        </is>
      </c>
      <c r="C2173" s="11" t="n">
        <v>46158</v>
      </c>
      <c r="D2173" t="inlineStr">
        <is>
          <t>2026-05</t>
        </is>
      </c>
      <c r="E2173" t="inlineStr">
        <is>
          <t>C0144</t>
        </is>
      </c>
      <c r="F2173" t="inlineStr">
        <is>
          <t>C0001</t>
        </is>
      </c>
      <c r="G2173" t="inlineStr">
        <is>
          <t>Parkview Projects Pty Ltd</t>
        </is>
      </c>
      <c r="H2173" t="inlineStr">
        <is>
          <t>S0053</t>
        </is>
      </c>
      <c r="I2173" t="inlineStr">
        <is>
          <t>Collection and dismantle - temporary fencing</t>
        </is>
      </c>
      <c r="J2173" t="n">
        <v>1</v>
      </c>
      <c r="K2173" s="9" t="n">
        <v>165</v>
      </c>
      <c r="L2173" t="inlineStr">
        <is>
          <t>PAID</t>
        </is>
      </c>
      <c r="M2173">
        <f>IF(L2173="VOIDED",0,1)</f>
        <v>1</v>
      </c>
      <c r="N2173" t="n">
        <v>200</v>
      </c>
      <c r="O2173" t="inlineStr">
        <is>
          <t>GST on Income</t>
        </is>
      </c>
      <c r="P2173" t="inlineStr">
        <is>
          <t>R07</t>
        </is>
      </c>
      <c r="Q2173" t="inlineStr">
        <is>
          <t>DEL-FP</t>
        </is>
      </c>
      <c r="R2173">
        <f>IF(OR(Q2173="CONTEXT",Q2173="REVIEW"),"",INDEX('Category Rules'!$D$5:$D$17,MATCH(P2173,'Category Rules'!$A$5:$A$17,0)))</f>
        <v>4020</v>
      </c>
      <c r="S2173" t="str">
        <f>IF(Q2173="CONTEXT","Fencing",IF(Q2173="REVIEW","",INDEX('Category Rules'!$E$5:$E$17,MATCH(P2173,'Category Rules'!$A$5:$A$17,0))))</f>
        <v>Fencing</v>
      </c>
      <c r="T2173" t="str">
        <f>IF(Q2173="DEP","BAS Excluded","GST on Income")</f>
        <v>GST on Income</v>
      </c>
      <c r="U2173">
        <f>IF(O2173=T2173,1,0)</f>
        <v>1</v>
      </c>
      <c r="V2173" s="9">
        <f>IF(OR(M2173=0,U2173=1),0,IF(T2173="GST on Income",ROUND(K2173*0.1,2),ROUND(-K2173*0.1,2)))</f>
        <v>0</v>
      </c>
    </row>
    <row r="2174">
      <c r="A2174" t="inlineStr">
        <is>
          <t>INV-4716-1</t>
        </is>
      </c>
      <c r="B2174" t="inlineStr">
        <is>
          <t>INV-4716</t>
        </is>
      </c>
      <c r="C2174" s="11" t="n">
        <v>46158</v>
      </c>
      <c r="D2174" t="inlineStr">
        <is>
          <t>2026-05</t>
        </is>
      </c>
      <c r="E2174" t="inlineStr">
        <is>
          <t>C0033</t>
        </is>
      </c>
      <c r="F2174" t="inlineStr">
        <is>
          <t>C0033</t>
        </is>
      </c>
      <c r="G2174" t="inlineStr">
        <is>
          <t>Granite Projects Pty Ltd</t>
        </is>
      </c>
      <c r="H2174" t="inlineStr">
        <is>
          <t>S0127</t>
        </is>
      </c>
      <c r="I2174" t="inlineStr">
        <is>
          <t>Delivery and installation - temporary fencing</t>
        </is>
      </c>
      <c r="J2174" t="n">
        <v>1</v>
      </c>
      <c r="K2174" s="9" t="n">
        <v>165</v>
      </c>
      <c r="L2174" t="inlineStr">
        <is>
          <t>PAID</t>
        </is>
      </c>
      <c r="M2174">
        <f>IF(L2174="VOIDED",0,1)</f>
        <v>1</v>
      </c>
      <c r="N2174" t="n">
        <v>200</v>
      </c>
      <c r="O2174" t="inlineStr">
        <is>
          <t>GST on Income</t>
        </is>
      </c>
      <c r="P2174" t="inlineStr">
        <is>
          <t>R07</t>
        </is>
      </c>
      <c r="Q2174" t="inlineStr">
        <is>
          <t>DEL-FP</t>
        </is>
      </c>
      <c r="R2174">
        <f>IF(OR(Q2174="CONTEXT",Q2174="REVIEW"),"",INDEX('Category Rules'!$D$5:$D$17,MATCH(P2174,'Category Rules'!$A$5:$A$17,0)))</f>
        <v>4020</v>
      </c>
      <c r="S2174" t="str">
        <f>IF(Q2174="CONTEXT","Fencing",IF(Q2174="REVIEW","",INDEX('Category Rules'!$E$5:$E$17,MATCH(P2174,'Category Rules'!$A$5:$A$17,0))))</f>
        <v>Fencing</v>
      </c>
      <c r="T2174" t="str">
        <f>IF(Q2174="DEP","BAS Excluded","GST on Income")</f>
        <v>GST on Income</v>
      </c>
      <c r="U2174">
        <f>IF(O2174=T2174,1,0)</f>
        <v>1</v>
      </c>
      <c r="V2174" s="9">
        <f>IF(OR(M2174=0,U2174=1),0,IF(T2174="GST on Income",ROUND(K2174*0.1,2),ROUND(-K2174*0.1,2)))</f>
        <v>0</v>
      </c>
    </row>
    <row r="2175">
      <c r="A2175" t="inlineStr">
        <is>
          <t>INV-4716-2</t>
        </is>
      </c>
      <c r="B2175" t="inlineStr">
        <is>
          <t>INV-4716</t>
        </is>
      </c>
      <c r="C2175" s="11" t="n">
        <v>46158</v>
      </c>
      <c r="D2175" t="inlineStr">
        <is>
          <t>2026-05</t>
        </is>
      </c>
      <c r="E2175" t="inlineStr">
        <is>
          <t>C0033</t>
        </is>
      </c>
      <c r="F2175" t="inlineStr">
        <is>
          <t>C0033</t>
        </is>
      </c>
      <c r="G2175" t="inlineStr">
        <is>
          <t>Granite Projects Pty Ltd</t>
        </is>
      </c>
      <c r="H2175" t="inlineStr">
        <is>
          <t>S0127</t>
        </is>
      </c>
      <c r="I2175" t="inlineStr">
        <is>
          <t>Installation labour - 51 panels @ 2.20</t>
        </is>
      </c>
      <c r="J2175" t="n">
        <v>51</v>
      </c>
      <c r="K2175" s="9" t="n">
        <v>112.2</v>
      </c>
      <c r="L2175" t="inlineStr">
        <is>
          <t>PAID</t>
        </is>
      </c>
      <c r="M2175">
        <f>IF(L2175="VOIDED",0,1)</f>
        <v>1</v>
      </c>
      <c r="N2175" t="n">
        <v>200</v>
      </c>
      <c r="O2175" t="inlineStr">
        <is>
          <t>GST on Income</t>
        </is>
      </c>
      <c r="P2175" t="inlineStr">
        <is>
          <t>R07</t>
        </is>
      </c>
      <c r="Q2175" t="inlineStr">
        <is>
          <t>DEL-FP</t>
        </is>
      </c>
      <c r="R2175">
        <f>IF(OR(Q2175="CONTEXT",Q2175="REVIEW"),"",INDEX('Category Rules'!$D$5:$D$17,MATCH(P2175,'Category Rules'!$A$5:$A$17,0)))</f>
        <v>4020</v>
      </c>
      <c r="S2175" t="str">
        <f>IF(Q2175="CONTEXT","Fencing",IF(Q2175="REVIEW","",INDEX('Category Rules'!$E$5:$E$17,MATCH(P2175,'Category Rules'!$A$5:$A$17,0))))</f>
        <v>Fencing</v>
      </c>
      <c r="T2175" t="str">
        <f>IF(Q2175="DEP","BAS Excluded","GST on Income")</f>
        <v>GST on Income</v>
      </c>
      <c r="U2175">
        <f>IF(O2175=T2175,1,0)</f>
        <v>1</v>
      </c>
      <c r="V2175" s="9">
        <f>IF(OR(M2175=0,U2175=1),0,IF(T2175="GST on Income",ROUND(K2175*0.1,2),ROUND(-K2175*0.1,2)))</f>
        <v>0</v>
      </c>
    </row>
    <row r="2176">
      <c r="A2176" t="inlineStr">
        <is>
          <t>INV-5261-1</t>
        </is>
      </c>
      <c r="B2176" t="inlineStr">
        <is>
          <t>INV-5261</t>
        </is>
      </c>
      <c r="C2176" s="11" t="n">
        <v>46158</v>
      </c>
      <c r="D2176" t="inlineStr">
        <is>
          <t>2026-05</t>
        </is>
      </c>
      <c r="E2176" t="inlineStr">
        <is>
          <t>C0115</t>
        </is>
      </c>
      <c r="F2176" t="inlineStr">
        <is>
          <t>C0115</t>
        </is>
      </c>
      <c r="G2176" t="inlineStr">
        <is>
          <t>Arjun Smith</t>
        </is>
      </c>
      <c r="H2176" t="inlineStr">
        <is>
          <t>S0250</t>
        </is>
      </c>
      <c r="I2176" t="inlineStr">
        <is>
          <t>Scaffold tower hire 3 wks (01/05/26-15/05/26) - 1 towers</t>
        </is>
      </c>
      <c r="J2176" t="n">
        <v>3</v>
      </c>
      <c r="K2176" s="9" t="n">
        <v>285</v>
      </c>
      <c r="L2176" t="inlineStr">
        <is>
          <t>AUTHORISED</t>
        </is>
      </c>
      <c r="M2176">
        <f>IF(L2176="VOIDED",0,1)</f>
        <v>1</v>
      </c>
      <c r="N2176" t="n">
        <v>200</v>
      </c>
      <c r="O2176" t="inlineStr">
        <is>
          <t>GST on Income</t>
        </is>
      </c>
      <c r="P2176" t="inlineStr">
        <is>
          <t>R05</t>
        </is>
      </c>
      <c r="Q2176" t="inlineStr">
        <is>
          <t>HIRE-ST</t>
        </is>
      </c>
      <c r="R2176">
        <f>IF(OR(Q2176="CONTEXT",Q2176="REVIEW"),"",INDEX('Category Rules'!$D$5:$D$17,MATCH(P2176,'Category Rules'!$A$5:$A$17,0)))</f>
        <v>4010</v>
      </c>
      <c r="S2176" t="str">
        <f>IF(Q2176="CONTEXT","Scaffolding",IF(Q2176="REVIEW","",INDEX('Category Rules'!$E$5:$E$17,MATCH(P2176,'Category Rules'!$A$5:$A$17,0))))</f>
        <v>Scaffolding</v>
      </c>
      <c r="T2176" t="str">
        <f>IF(Q2176="DEP","BAS Excluded","GST on Income")</f>
        <v>GST on Income</v>
      </c>
      <c r="U2176">
        <f>IF(O2176=T2176,1,0)</f>
        <v>1</v>
      </c>
      <c r="V2176" s="9">
        <f>IF(OR(M2176=0,U2176=1),0,IF(T2176="GST on Income",ROUND(K2176*0.1,2),ROUND(-K2176*0.1,2)))</f>
        <v>0</v>
      </c>
    </row>
    <row r="2177">
      <c r="A2177" t="inlineStr">
        <is>
          <t>INV-5263-1</t>
        </is>
      </c>
      <c r="B2177" t="inlineStr">
        <is>
          <t>INV-5263</t>
        </is>
      </c>
      <c r="C2177" s="11" t="n">
        <v>46158</v>
      </c>
      <c r="D2177" t="inlineStr">
        <is>
          <t>2026-05</t>
        </is>
      </c>
      <c r="E2177" t="inlineStr">
        <is>
          <t>C0128</t>
        </is>
      </c>
      <c r="F2177" t="inlineStr">
        <is>
          <t>C0115</t>
        </is>
      </c>
      <c r="G2177" t="inlineStr">
        <is>
          <t>Arjun Smith</t>
        </is>
      </c>
      <c r="H2177" t="inlineStr">
        <is>
          <t>S0250</t>
        </is>
      </c>
      <c r="I2177" t="inlineStr">
        <is>
          <t>Scaffold dismantle - 1 tower(s)</t>
        </is>
      </c>
      <c r="J2177" t="n">
        <v>1</v>
      </c>
      <c r="K2177" s="9" t="n">
        <v>320</v>
      </c>
      <c r="L2177" t="inlineStr">
        <is>
          <t>VOIDED</t>
        </is>
      </c>
      <c r="M2177">
        <f>IF(L2177="VOIDED",0,1)</f>
        <v>0</v>
      </c>
      <c r="N2177" t="n">
        <v>200</v>
      </c>
      <c r="O2177" t="inlineStr">
        <is>
          <t>GST on Income</t>
        </is>
      </c>
      <c r="P2177" t="inlineStr">
        <is>
          <t>R08</t>
        </is>
      </c>
      <c r="Q2177" t="inlineStr">
        <is>
          <t>LAB-ST</t>
        </is>
      </c>
      <c r="R2177">
        <f>IF(OR(Q2177="CONTEXT",Q2177="REVIEW"),"",INDEX('Category Rules'!$D$5:$D$17,MATCH(P2177,'Category Rules'!$A$5:$A$17,0)))</f>
        <v>4020</v>
      </c>
      <c r="S2177" t="str">
        <f>IF(Q2177="CONTEXT","Scaffolding",IF(Q2177="REVIEW","",INDEX('Category Rules'!$E$5:$E$17,MATCH(P2177,'Category Rules'!$A$5:$A$17,0))))</f>
        <v>Scaffolding</v>
      </c>
      <c r="T2177" t="str">
        <f>IF(Q2177="DEP","BAS Excluded","GST on Income")</f>
        <v>GST on Income</v>
      </c>
      <c r="U2177">
        <f>IF(O2177=T2177,1,0)</f>
        <v>1</v>
      </c>
      <c r="V2177" s="9">
        <f>IF(OR(M2177=0,U2177=1),0,IF(T2177="GST on Income",ROUND(K2177*0.1,2),ROUND(-K2177*0.1,2)))</f>
        <v>0</v>
      </c>
    </row>
    <row r="2178">
      <c r="A2178" t="inlineStr">
        <is>
          <t>INV-5553-1</t>
        </is>
      </c>
      <c r="B2178" t="inlineStr">
        <is>
          <t>INV-5553</t>
        </is>
      </c>
      <c r="C2178" s="11" t="n">
        <v>46158</v>
      </c>
      <c r="D2178" t="inlineStr">
        <is>
          <t>2026-05</t>
        </is>
      </c>
      <c r="E2178" t="inlineStr">
        <is>
          <t>C0124</t>
        </is>
      </c>
      <c r="F2178" t="inlineStr">
        <is>
          <t>C0124</t>
        </is>
      </c>
      <c r="G2178" t="inlineStr">
        <is>
          <t>Harbor Strata Management</t>
        </is>
      </c>
      <c r="H2178" t="inlineStr">
        <is>
          <t>S0351</t>
        </is>
      </c>
      <c r="I2178" t="inlineStr">
        <is>
          <t>Roof repair labour - 3 hrs</t>
        </is>
      </c>
      <c r="J2178" t="n">
        <v>3</v>
      </c>
      <c r="K2178" s="9" t="n">
        <v>294</v>
      </c>
      <c r="L2178" t="inlineStr">
        <is>
          <t>AUTHORISED</t>
        </is>
      </c>
      <c r="M2178">
        <f>IF(L2178="VOIDED",0,1)</f>
        <v>1</v>
      </c>
      <c r="N2178" t="n">
        <v>200</v>
      </c>
      <c r="O2178" t="inlineStr">
        <is>
          <t>GST on Income</t>
        </is>
      </c>
      <c r="P2178" t="inlineStr">
        <is>
          <t>R10</t>
        </is>
      </c>
      <c r="Q2178" t="inlineStr">
        <is>
          <t>LAB-RF</t>
        </is>
      </c>
      <c r="R2178">
        <f>IF(OR(Q2178="CONTEXT",Q2178="REVIEW"),"",INDEX('Category Rules'!$D$5:$D$17,MATCH(P2178,'Category Rules'!$A$5:$A$17,0)))</f>
        <v>4020</v>
      </c>
      <c r="S2178" t="str">
        <f>IF(Q2178="CONTEXT","Roofing",IF(Q2178="REVIEW","",INDEX('Category Rules'!$E$5:$E$17,MATCH(P2178,'Category Rules'!$A$5:$A$17,0))))</f>
        <v>Roofing</v>
      </c>
      <c r="T2178" t="str">
        <f>IF(Q2178="DEP","BAS Excluded","GST on Income")</f>
        <v>GST on Income</v>
      </c>
      <c r="U2178">
        <f>IF(O2178=T2178,1,0)</f>
        <v>1</v>
      </c>
      <c r="V2178" s="9">
        <f>IF(OR(M2178=0,U2178=1),0,IF(T2178="GST on Income",ROUND(K2178*0.1,2),ROUND(-K2178*0.1,2)))</f>
        <v>0</v>
      </c>
    </row>
    <row r="2179">
      <c r="A2179" t="inlineStr">
        <is>
          <t>INV-5553-2</t>
        </is>
      </c>
      <c r="B2179" t="inlineStr">
        <is>
          <t>INV-5553</t>
        </is>
      </c>
      <c r="C2179" s="11" t="n">
        <v>46158</v>
      </c>
      <c r="D2179" t="inlineStr">
        <is>
          <t>2026-05</t>
        </is>
      </c>
      <c r="E2179" t="inlineStr">
        <is>
          <t>C0124</t>
        </is>
      </c>
      <c r="F2179" t="inlineStr">
        <is>
          <t>C0124</t>
        </is>
      </c>
      <c r="G2179" t="inlineStr">
        <is>
          <t>Harbor Strata Management</t>
        </is>
      </c>
      <c r="H2179" t="inlineStr">
        <is>
          <t>S0351</t>
        </is>
      </c>
      <c r="I2179" t="inlineStr">
        <is>
          <t>Materials - sealant and fixings</t>
        </is>
      </c>
      <c r="J2179" t="n">
        <v>1</v>
      </c>
      <c r="K2179" s="9" t="n">
        <v>858.01</v>
      </c>
      <c r="L2179" t="inlineStr">
        <is>
          <t>AUTHORISED</t>
        </is>
      </c>
      <c r="M2179">
        <f>IF(L2179="VOIDED",0,1)</f>
        <v>1</v>
      </c>
      <c r="N2179" t="n">
        <v>200</v>
      </c>
      <c r="O2179" t="inlineStr">
        <is>
          <t>GST on Income</t>
        </is>
      </c>
      <c r="P2179" t="inlineStr">
        <is>
          <t>R11</t>
        </is>
      </c>
      <c r="Q2179" t="inlineStr">
        <is>
          <t>MAT-RF</t>
        </is>
      </c>
      <c r="R2179">
        <f>IF(OR(Q2179="CONTEXT",Q2179="REVIEW"),"",INDEX('Category Rules'!$D$5:$D$17,MATCH(P2179,'Category Rules'!$A$5:$A$17,0)))</f>
        <v>4030</v>
      </c>
      <c r="S2179" t="str">
        <f>IF(Q2179="CONTEXT","Roofing",IF(Q2179="REVIEW","",INDEX('Category Rules'!$E$5:$E$17,MATCH(P2179,'Category Rules'!$A$5:$A$17,0))))</f>
        <v>Roofing</v>
      </c>
      <c r="T2179" t="str">
        <f>IF(Q2179="DEP","BAS Excluded","GST on Income")</f>
        <v>GST on Income</v>
      </c>
      <c r="U2179">
        <f>IF(O2179=T2179,1,0)</f>
        <v>1</v>
      </c>
      <c r="V2179" s="9">
        <f>IF(OR(M2179=0,U2179=1),0,IF(T2179="GST on Income",ROUND(K2179*0.1,2),ROUND(-K2179*0.1,2)))</f>
        <v>0</v>
      </c>
    </row>
    <row r="2180">
      <c r="A2180" t="inlineStr">
        <is>
          <t>INV-5553-3</t>
        </is>
      </c>
      <c r="B2180" t="inlineStr">
        <is>
          <t>INV-5553</t>
        </is>
      </c>
      <c r="C2180" s="11" t="n">
        <v>46158</v>
      </c>
      <c r="D2180" t="inlineStr">
        <is>
          <t>2026-05</t>
        </is>
      </c>
      <c r="E2180" t="inlineStr">
        <is>
          <t>C0124</t>
        </is>
      </c>
      <c r="F2180" t="inlineStr">
        <is>
          <t>C0124</t>
        </is>
      </c>
      <c r="G2180" t="inlineStr">
        <is>
          <t>Harbor Strata Management</t>
        </is>
      </c>
      <c r="H2180" t="inlineStr">
        <is>
          <t>S0351</t>
        </is>
      </c>
      <c r="I2180" t="inlineStr">
        <is>
          <t>Materials - Colorbond sheet</t>
        </is>
      </c>
      <c r="J2180" t="n">
        <v>1</v>
      </c>
      <c r="K2180" s="9" t="n">
        <v>1318.25</v>
      </c>
      <c r="L2180" t="inlineStr">
        <is>
          <t>AUTHORISED</t>
        </is>
      </c>
      <c r="M2180">
        <f>IF(L2180="VOIDED",0,1)</f>
        <v>1</v>
      </c>
      <c r="N2180" t="n">
        <v>260</v>
      </c>
      <c r="O2180" t="inlineStr">
        <is>
          <t>GST on Income</t>
        </is>
      </c>
      <c r="P2180" t="inlineStr">
        <is>
          <t>R11</t>
        </is>
      </c>
      <c r="Q2180" t="inlineStr">
        <is>
          <t>MAT-RF</t>
        </is>
      </c>
      <c r="R2180">
        <f>IF(OR(Q2180="CONTEXT",Q2180="REVIEW"),"",INDEX('Category Rules'!$D$5:$D$17,MATCH(P2180,'Category Rules'!$A$5:$A$17,0)))</f>
        <v>4030</v>
      </c>
      <c r="S2180" t="str">
        <f>IF(Q2180="CONTEXT","Roofing",IF(Q2180="REVIEW","",INDEX('Category Rules'!$E$5:$E$17,MATCH(P2180,'Category Rules'!$A$5:$A$17,0))))</f>
        <v>Roofing</v>
      </c>
      <c r="T2180" t="str">
        <f>IF(Q2180="DEP","BAS Excluded","GST on Income")</f>
        <v>GST on Income</v>
      </c>
      <c r="U2180">
        <f>IF(O2180=T2180,1,0)</f>
        <v>1</v>
      </c>
      <c r="V2180" s="9">
        <f>IF(OR(M2180=0,U2180=1),0,IF(T2180="GST on Income",ROUND(K2180*0.1,2),ROUND(-K2180*0.1,2)))</f>
        <v>0</v>
      </c>
    </row>
    <row r="2181">
      <c r="A2181" t="inlineStr">
        <is>
          <t>INV-5553-4</t>
        </is>
      </c>
      <c r="B2181" t="inlineStr">
        <is>
          <t>INV-5553</t>
        </is>
      </c>
      <c r="C2181" s="11" t="n">
        <v>46158</v>
      </c>
      <c r="D2181" t="inlineStr">
        <is>
          <t>2026-05</t>
        </is>
      </c>
      <c r="E2181" t="inlineStr">
        <is>
          <t>C0124</t>
        </is>
      </c>
      <c r="F2181" t="inlineStr">
        <is>
          <t>C0124</t>
        </is>
      </c>
      <c r="G2181" t="inlineStr">
        <is>
          <t>Harbor Strata Management</t>
        </is>
      </c>
      <c r="H2181" t="inlineStr">
        <is>
          <t>S0351</t>
        </is>
      </c>
      <c r="I2181" t="inlineStr">
        <is>
          <t>Materials - gutter and downpipe</t>
        </is>
      </c>
      <c r="J2181" t="n">
        <v>1</v>
      </c>
      <c r="K2181" s="9" t="n">
        <v>1242.69</v>
      </c>
      <c r="L2181" t="inlineStr">
        <is>
          <t>AUTHORISED</t>
        </is>
      </c>
      <c r="M2181">
        <f>IF(L2181="VOIDED",0,1)</f>
        <v>1</v>
      </c>
      <c r="N2181" t="n">
        <v>200</v>
      </c>
      <c r="O2181" t="inlineStr">
        <is>
          <t>GST on Income</t>
        </is>
      </c>
      <c r="P2181" t="inlineStr">
        <is>
          <t>R11</t>
        </is>
      </c>
      <c r="Q2181" t="inlineStr">
        <is>
          <t>MAT-RF</t>
        </is>
      </c>
      <c r="R2181">
        <f>IF(OR(Q2181="CONTEXT",Q2181="REVIEW"),"",INDEX('Category Rules'!$D$5:$D$17,MATCH(P2181,'Category Rules'!$A$5:$A$17,0)))</f>
        <v>4030</v>
      </c>
      <c r="S2181" t="str">
        <f>IF(Q2181="CONTEXT","Roofing",IF(Q2181="REVIEW","",INDEX('Category Rules'!$E$5:$E$17,MATCH(P2181,'Category Rules'!$A$5:$A$17,0))))</f>
        <v>Roofing</v>
      </c>
      <c r="T2181" t="str">
        <f>IF(Q2181="DEP","BAS Excluded","GST on Income")</f>
        <v>GST on Income</v>
      </c>
      <c r="U2181">
        <f>IF(O2181=T2181,1,0)</f>
        <v>1</v>
      </c>
      <c r="V2181" s="9">
        <f>IF(OR(M2181=0,U2181=1),0,IF(T2181="GST on Income",ROUND(K2181*0.1,2),ROUND(-K2181*0.1,2)))</f>
        <v>0</v>
      </c>
    </row>
    <row r="2182">
      <c r="A2182" t="inlineStr">
        <is>
          <t>INV-5553-5</t>
        </is>
      </c>
      <c r="B2182" t="inlineStr">
        <is>
          <t>INV-5553</t>
        </is>
      </c>
      <c r="C2182" s="11" t="n">
        <v>46158</v>
      </c>
      <c r="D2182" t="inlineStr">
        <is>
          <t>2026-05</t>
        </is>
      </c>
      <c r="E2182" t="inlineStr">
        <is>
          <t>C0124</t>
        </is>
      </c>
      <c r="F2182" t="inlineStr">
        <is>
          <t>C0124</t>
        </is>
      </c>
      <c r="G2182" t="inlineStr">
        <is>
          <t>Harbor Strata Management</t>
        </is>
      </c>
      <c r="H2182" t="inlineStr">
        <is>
          <t>S0351</t>
        </is>
      </c>
      <c r="I2182" t="inlineStr">
        <is>
          <t>Waste removal and tip fees</t>
        </is>
      </c>
      <c r="J2182" t="n">
        <v>1</v>
      </c>
      <c r="K2182" s="9" t="n">
        <v>120</v>
      </c>
      <c r="L2182" t="inlineStr">
        <is>
          <t>AUTHORISED</t>
        </is>
      </c>
      <c r="M2182">
        <f>IF(L2182="VOIDED",0,1)</f>
        <v>1</v>
      </c>
      <c r="N2182" t="n">
        <v>200</v>
      </c>
      <c r="O2182" t="inlineStr">
        <is>
          <t>GST on Income</t>
        </is>
      </c>
      <c r="P2182" t="inlineStr">
        <is>
          <t>R11</t>
        </is>
      </c>
      <c r="Q2182" t="inlineStr">
        <is>
          <t>MAT-RF</t>
        </is>
      </c>
      <c r="R2182">
        <f>IF(OR(Q2182="CONTEXT",Q2182="REVIEW"),"",INDEX('Category Rules'!$D$5:$D$17,MATCH(P2182,'Category Rules'!$A$5:$A$17,0)))</f>
        <v>4030</v>
      </c>
      <c r="S2182" t="str">
        <f>IF(Q2182="CONTEXT","Roofing",IF(Q2182="REVIEW","",INDEX('Category Rules'!$E$5:$E$17,MATCH(P2182,'Category Rules'!$A$5:$A$17,0))))</f>
        <v>Roofing</v>
      </c>
      <c r="T2182" t="str">
        <f>IF(Q2182="DEP","BAS Excluded","GST on Income")</f>
        <v>GST on Income</v>
      </c>
      <c r="U2182">
        <f>IF(O2182=T2182,1,0)</f>
        <v>1</v>
      </c>
      <c r="V2182" s="9">
        <f>IF(OR(M2182=0,U2182=1),0,IF(T2182="GST on Income",ROUND(K2182*0.1,2),ROUND(-K2182*0.1,2)))</f>
        <v>0</v>
      </c>
    </row>
    <row r="2183">
      <c r="A2183" t="inlineStr">
        <is>
          <t>INV-4532-1</t>
        </is>
      </c>
      <c r="B2183" t="inlineStr">
        <is>
          <t>INV-4532</t>
        </is>
      </c>
      <c r="C2183" s="11" t="n">
        <v>46159</v>
      </c>
      <c r="D2183" t="inlineStr">
        <is>
          <t>2026-05</t>
        </is>
      </c>
      <c r="E2183" t="inlineStr">
        <is>
          <t>C0033</t>
        </is>
      </c>
      <c r="F2183" t="inlineStr">
        <is>
          <t>C0033</t>
        </is>
      </c>
      <c r="G2183" t="inlineStr">
        <is>
          <t>Granite Projects Pty Ltd</t>
        </is>
      </c>
      <c r="H2183" t="inlineStr">
        <is>
          <t>S0086</t>
        </is>
      </c>
      <c r="I2183" t="inlineStr">
        <is>
          <t>Delivery and installation - temporary fencing</t>
        </is>
      </c>
      <c r="J2183" t="n">
        <v>1</v>
      </c>
      <c r="K2183" s="9" t="n">
        <v>165</v>
      </c>
      <c r="L2183" t="inlineStr">
        <is>
          <t>PAID</t>
        </is>
      </c>
      <c r="M2183">
        <f>IF(L2183="VOIDED",0,1)</f>
        <v>1</v>
      </c>
      <c r="N2183" t="n">
        <v>200</v>
      </c>
      <c r="O2183" t="inlineStr">
        <is>
          <t>GST on Income</t>
        </is>
      </c>
      <c r="P2183" t="inlineStr">
        <is>
          <t>R07</t>
        </is>
      </c>
      <c r="Q2183" t="inlineStr">
        <is>
          <t>DEL-FP</t>
        </is>
      </c>
      <c r="R2183">
        <f>IF(OR(Q2183="CONTEXT",Q2183="REVIEW"),"",INDEX('Category Rules'!$D$5:$D$17,MATCH(P2183,'Category Rules'!$A$5:$A$17,0)))</f>
        <v>4020</v>
      </c>
      <c r="S2183" t="str">
        <f>IF(Q2183="CONTEXT","Fencing",IF(Q2183="REVIEW","",INDEX('Category Rules'!$E$5:$E$17,MATCH(P2183,'Category Rules'!$A$5:$A$17,0))))</f>
        <v>Fencing</v>
      </c>
      <c r="T2183" t="str">
        <f>IF(Q2183="DEP","BAS Excluded","GST on Income")</f>
        <v>GST on Income</v>
      </c>
      <c r="U2183">
        <f>IF(O2183=T2183,1,0)</f>
        <v>1</v>
      </c>
      <c r="V2183" s="9">
        <f>IF(OR(M2183=0,U2183=1),0,IF(T2183="GST on Income",ROUND(K2183*0.1,2),ROUND(-K2183*0.1,2)))</f>
        <v>0</v>
      </c>
    </row>
    <row r="2184">
      <c r="A2184" t="inlineStr">
        <is>
          <t>INV-4532-2</t>
        </is>
      </c>
      <c r="B2184" t="inlineStr">
        <is>
          <t>INV-4532</t>
        </is>
      </c>
      <c r="C2184" s="11" t="n">
        <v>46159</v>
      </c>
      <c r="D2184" t="inlineStr">
        <is>
          <t>2026-05</t>
        </is>
      </c>
      <c r="E2184" t="inlineStr">
        <is>
          <t>C0033</t>
        </is>
      </c>
      <c r="F2184" t="inlineStr">
        <is>
          <t>C0033</t>
        </is>
      </c>
      <c r="G2184" t="inlineStr">
        <is>
          <t>Granite Projects Pty Ltd</t>
        </is>
      </c>
      <c r="H2184" t="inlineStr">
        <is>
          <t>S0086</t>
        </is>
      </c>
      <c r="I2184" t="inlineStr">
        <is>
          <t>Installation labour - 29 panels @ 2.20</t>
        </is>
      </c>
      <c r="J2184" t="n">
        <v>29</v>
      </c>
      <c r="K2184" s="9" t="n">
        <v>63.8</v>
      </c>
      <c r="L2184" t="inlineStr">
        <is>
          <t>PAID</t>
        </is>
      </c>
      <c r="M2184">
        <f>IF(L2184="VOIDED",0,1)</f>
        <v>1</v>
      </c>
      <c r="N2184" t="n">
        <v>200</v>
      </c>
      <c r="O2184" t="inlineStr">
        <is>
          <t>GST on Income</t>
        </is>
      </c>
      <c r="P2184" t="inlineStr">
        <is>
          <t>R07</t>
        </is>
      </c>
      <c r="Q2184" t="inlineStr">
        <is>
          <t>DEL-FP</t>
        </is>
      </c>
      <c r="R2184">
        <f>IF(OR(Q2184="CONTEXT",Q2184="REVIEW"),"",INDEX('Category Rules'!$D$5:$D$17,MATCH(P2184,'Category Rules'!$A$5:$A$17,0)))</f>
        <v>4020</v>
      </c>
      <c r="S2184" t="str">
        <f>IF(Q2184="CONTEXT","Fencing",IF(Q2184="REVIEW","",INDEX('Category Rules'!$E$5:$E$17,MATCH(P2184,'Category Rules'!$A$5:$A$17,0))))</f>
        <v>Fencing</v>
      </c>
      <c r="T2184" t="str">
        <f>IF(Q2184="DEP","BAS Excluded","GST on Income")</f>
        <v>GST on Income</v>
      </c>
      <c r="U2184">
        <f>IF(O2184=T2184,1,0)</f>
        <v>1</v>
      </c>
      <c r="V2184" s="9">
        <f>IF(OR(M2184=0,U2184=1),0,IF(T2184="GST on Income",ROUND(K2184*0.1,2),ROUND(-K2184*0.1,2)))</f>
        <v>0</v>
      </c>
    </row>
    <row r="2185">
      <c r="A2185" t="inlineStr">
        <is>
          <t>INV-5577-1</t>
        </is>
      </c>
      <c r="B2185" t="inlineStr">
        <is>
          <t>INV-5577</t>
        </is>
      </c>
      <c r="C2185" s="11" t="n">
        <v>46159</v>
      </c>
      <c r="D2185" t="inlineStr">
        <is>
          <t>2026-05</t>
        </is>
      </c>
      <c r="E2185" t="inlineStr">
        <is>
          <t>C0124</t>
        </is>
      </c>
      <c r="F2185" t="inlineStr">
        <is>
          <t>C0124</t>
        </is>
      </c>
      <c r="G2185" t="inlineStr">
        <is>
          <t>Harbor Strata Management</t>
        </is>
      </c>
      <c r="H2185" t="inlineStr">
        <is>
          <t>S0368</t>
        </is>
      </c>
      <c r="I2185" t="inlineStr">
        <is>
          <t>Roof repair labour - 4 hrs</t>
        </is>
      </c>
      <c r="J2185" t="n">
        <v>4</v>
      </c>
      <c r="K2185" s="9" t="n">
        <v>392</v>
      </c>
      <c r="L2185" t="inlineStr">
        <is>
          <t>PAID</t>
        </is>
      </c>
      <c r="M2185">
        <f>IF(L2185="VOIDED",0,1)</f>
        <v>1</v>
      </c>
      <c r="N2185" t="n">
        <v>200</v>
      </c>
      <c r="O2185" t="inlineStr">
        <is>
          <t>GST on Income</t>
        </is>
      </c>
      <c r="P2185" t="inlineStr">
        <is>
          <t>R10</t>
        </is>
      </c>
      <c r="Q2185" t="inlineStr">
        <is>
          <t>LAB-RF</t>
        </is>
      </c>
      <c r="R2185">
        <f>IF(OR(Q2185="CONTEXT",Q2185="REVIEW"),"",INDEX('Category Rules'!$D$5:$D$17,MATCH(P2185,'Category Rules'!$A$5:$A$17,0)))</f>
        <v>4020</v>
      </c>
      <c r="S2185" t="str">
        <f>IF(Q2185="CONTEXT","Roofing",IF(Q2185="REVIEW","",INDEX('Category Rules'!$E$5:$E$17,MATCH(P2185,'Category Rules'!$A$5:$A$17,0))))</f>
        <v>Roofing</v>
      </c>
      <c r="T2185" t="str">
        <f>IF(Q2185="DEP","BAS Excluded","GST on Income")</f>
        <v>GST on Income</v>
      </c>
      <c r="U2185">
        <f>IF(O2185=T2185,1,0)</f>
        <v>1</v>
      </c>
      <c r="V2185" s="9">
        <f>IF(OR(M2185=0,U2185=1),0,IF(T2185="GST on Income",ROUND(K2185*0.1,2),ROUND(-K2185*0.1,2)))</f>
        <v>0</v>
      </c>
    </row>
    <row r="2186">
      <c r="A2186" t="inlineStr">
        <is>
          <t>INV-5577-2</t>
        </is>
      </c>
      <c r="B2186" t="inlineStr">
        <is>
          <t>INV-5577</t>
        </is>
      </c>
      <c r="C2186" s="11" t="n">
        <v>46159</v>
      </c>
      <c r="D2186" t="inlineStr">
        <is>
          <t>2026-05</t>
        </is>
      </c>
      <c r="E2186" t="inlineStr">
        <is>
          <t>C0124</t>
        </is>
      </c>
      <c r="F2186" t="inlineStr">
        <is>
          <t>C0124</t>
        </is>
      </c>
      <c r="G2186" t="inlineStr">
        <is>
          <t>Harbor Strata Management</t>
        </is>
      </c>
      <c r="H2186" t="inlineStr">
        <is>
          <t>S0368</t>
        </is>
      </c>
      <c r="I2186" t="inlineStr">
        <is>
          <t>Materials - gutter and downpipe</t>
        </is>
      </c>
      <c r="J2186" t="n">
        <v>1</v>
      </c>
      <c r="K2186" s="9" t="n">
        <v>672.4299999999999</v>
      </c>
      <c r="L2186" t="inlineStr">
        <is>
          <t>PAID</t>
        </is>
      </c>
      <c r="M2186">
        <f>IF(L2186="VOIDED",0,1)</f>
        <v>1</v>
      </c>
      <c r="N2186" t="n">
        <v>200</v>
      </c>
      <c r="O2186" t="inlineStr">
        <is>
          <t>GST Free Income</t>
        </is>
      </c>
      <c r="P2186" t="inlineStr">
        <is>
          <t>R11</t>
        </is>
      </c>
      <c r="Q2186" t="inlineStr">
        <is>
          <t>MAT-RF</t>
        </is>
      </c>
      <c r="R2186">
        <f>IF(OR(Q2186="CONTEXT",Q2186="REVIEW"),"",INDEX('Category Rules'!$D$5:$D$17,MATCH(P2186,'Category Rules'!$A$5:$A$17,0)))</f>
        <v>4030</v>
      </c>
      <c r="S2186" t="str">
        <f>IF(Q2186="CONTEXT","Roofing",IF(Q2186="REVIEW","",INDEX('Category Rules'!$E$5:$E$17,MATCH(P2186,'Category Rules'!$A$5:$A$17,0))))</f>
        <v>Roofing</v>
      </c>
      <c r="T2186" t="str">
        <f>IF(Q2186="DEP","BAS Excluded","GST on Income")</f>
        <v>GST on Income</v>
      </c>
      <c r="U2186">
        <f>IF(O2186=T2186,1,0)</f>
        <v>0</v>
      </c>
      <c r="V2186" s="9">
        <f>IF(OR(M2186=0,U2186=1),0,IF(T2186="GST on Income",ROUND(K2186*0.1,2),ROUND(-K2186*0.1,2)))</f>
        <v>67.24</v>
      </c>
    </row>
    <row r="2187">
      <c r="A2187" t="inlineStr">
        <is>
          <t>INV-5714-1</t>
        </is>
      </c>
      <c r="B2187" t="inlineStr">
        <is>
          <t>INV-5714</t>
        </is>
      </c>
      <c r="C2187" s="11" t="n">
        <v>46159</v>
      </c>
      <c r="D2187" t="inlineStr">
        <is>
          <t>2026-05</t>
        </is>
      </c>
      <c r="E2187" t="inlineStr">
        <is>
          <t>C0047</t>
        </is>
      </c>
      <c r="F2187" t="inlineStr">
        <is>
          <t>C0047</t>
        </is>
      </c>
      <c r="G2187" t="inlineStr">
        <is>
          <t>Fairway Owners Corporation Services</t>
        </is>
      </c>
      <c r="H2187" t="inlineStr">
        <is>
          <t>S0442</t>
        </is>
      </c>
      <c r="I2187" t="inlineStr">
        <is>
          <t>Tarp kit hire 4 wks (19/04/26-16/05/26) - 3 kits</t>
        </is>
      </c>
      <c r="J2187" t="n">
        <v>12</v>
      </c>
      <c r="K2187" s="9" t="n">
        <v>420</v>
      </c>
      <c r="L2187" t="inlineStr">
        <is>
          <t>AUTHORISED</t>
        </is>
      </c>
      <c r="M2187">
        <f>IF(L2187="VOIDED",0,1)</f>
        <v>1</v>
      </c>
      <c r="N2187" t="n">
        <v>200</v>
      </c>
      <c r="O2187" t="inlineStr">
        <is>
          <t>GST on Income</t>
        </is>
      </c>
      <c r="P2187" t="inlineStr">
        <is>
          <t>R06</t>
        </is>
      </c>
      <c r="Q2187" t="inlineStr">
        <is>
          <t>HIRE-TK</t>
        </is>
      </c>
      <c r="R2187">
        <f>IF(OR(Q2187="CONTEXT",Q2187="REVIEW"),"",INDEX('Category Rules'!$D$5:$D$17,MATCH(P2187,'Category Rules'!$A$5:$A$17,0)))</f>
        <v>4010</v>
      </c>
      <c r="S2187" t="str">
        <f>IF(Q2187="CONTEXT","Make-safe",IF(Q2187="REVIEW","",INDEX('Category Rules'!$E$5:$E$17,MATCH(P2187,'Category Rules'!$A$5:$A$17,0))))</f>
        <v>Make-safe</v>
      </c>
      <c r="T2187" t="str">
        <f>IF(Q2187="DEP","BAS Excluded","GST on Income")</f>
        <v>GST on Income</v>
      </c>
      <c r="U2187">
        <f>IF(O2187=T2187,1,0)</f>
        <v>1</v>
      </c>
      <c r="V2187" s="9">
        <f>IF(OR(M2187=0,U2187=1),0,IF(T2187="GST on Income",ROUND(K2187*0.1,2),ROUND(-K2187*0.1,2)))</f>
        <v>0</v>
      </c>
    </row>
    <row r="2188">
      <c r="A2188" t="inlineStr">
        <is>
          <t>INV-4590-1</t>
        </is>
      </c>
      <c r="B2188" t="inlineStr">
        <is>
          <t>INV-4590</t>
        </is>
      </c>
      <c r="C2188" s="11" t="n">
        <v>46160</v>
      </c>
      <c r="D2188" t="inlineStr">
        <is>
          <t>2026-05</t>
        </is>
      </c>
      <c r="E2188" t="inlineStr">
        <is>
          <t>C0022</t>
        </is>
      </c>
      <c r="F2188" t="inlineStr">
        <is>
          <t>C0022</t>
        </is>
      </c>
      <c r="G2188" t="inlineStr">
        <is>
          <t>Highpoint Projects</t>
        </is>
      </c>
      <c r="H2188" t="inlineStr">
        <is>
          <t>S0099</t>
        </is>
      </c>
      <c r="I2188" t="inlineStr">
        <is>
          <t>Temporary fence hire 4 wks (20/04/26-17/05/26) - 70 panels</t>
        </is>
      </c>
      <c r="J2188" t="n">
        <v>280</v>
      </c>
      <c r="K2188" s="9" t="n">
        <v>1260</v>
      </c>
      <c r="L2188" t="inlineStr">
        <is>
          <t>PAID</t>
        </is>
      </c>
      <c r="M2188">
        <f>IF(L2188="VOIDED",0,1)</f>
        <v>1</v>
      </c>
      <c r="N2188" t="n">
        <v>260</v>
      </c>
      <c r="O2188" t="inlineStr">
        <is>
          <t>GST on Income</t>
        </is>
      </c>
      <c r="P2188" t="inlineStr">
        <is>
          <t>R03</t>
        </is>
      </c>
      <c r="Q2188" t="inlineStr">
        <is>
          <t>HIRE-FP</t>
        </is>
      </c>
      <c r="R2188">
        <f>IF(OR(Q2188="CONTEXT",Q2188="REVIEW"),"",INDEX('Category Rules'!$D$5:$D$17,MATCH(P2188,'Category Rules'!$A$5:$A$17,0)))</f>
        <v>4010</v>
      </c>
      <c r="S2188" t="str">
        <f>IF(Q2188="CONTEXT","Fencing",IF(Q2188="REVIEW","",INDEX('Category Rules'!$E$5:$E$17,MATCH(P2188,'Category Rules'!$A$5:$A$17,0))))</f>
        <v>Fencing</v>
      </c>
      <c r="T2188" t="str">
        <f>IF(Q2188="DEP","BAS Excluded","GST on Income")</f>
        <v>GST on Income</v>
      </c>
      <c r="U2188">
        <f>IF(O2188=T2188,1,0)</f>
        <v>1</v>
      </c>
      <c r="V2188" s="9">
        <f>IF(OR(M2188=0,U2188=1),0,IF(T2188="GST on Income",ROUND(K2188*0.1,2),ROUND(-K2188*0.1,2)))</f>
        <v>0</v>
      </c>
    </row>
    <row r="2189">
      <c r="A2189" t="inlineStr">
        <is>
          <t>INV-4595-1</t>
        </is>
      </c>
      <c r="B2189" t="inlineStr">
        <is>
          <t>INV-4595</t>
        </is>
      </c>
      <c r="C2189" s="11" t="n">
        <v>46160</v>
      </c>
      <c r="D2189" t="inlineStr">
        <is>
          <t>2026-05</t>
        </is>
      </c>
      <c r="E2189" t="inlineStr">
        <is>
          <t>C0022</t>
        </is>
      </c>
      <c r="F2189" t="inlineStr">
        <is>
          <t>C0022</t>
        </is>
      </c>
      <c r="G2189" t="inlineStr">
        <is>
          <t>Highpoint Projects</t>
        </is>
      </c>
      <c r="H2189" t="inlineStr">
        <is>
          <t>S0099</t>
        </is>
      </c>
      <c r="I2189" t="inlineStr">
        <is>
          <t>Pedestrian barrier hire 4 wks (20/04/26-17/05/26) - 10 barriers</t>
        </is>
      </c>
      <c r="J2189" t="n">
        <v>40</v>
      </c>
      <c r="K2189" s="9" t="n">
        <v>128</v>
      </c>
      <c r="L2189" t="inlineStr">
        <is>
          <t>AUTHORISED</t>
        </is>
      </c>
      <c r="M2189">
        <f>IF(L2189="VOIDED",0,1)</f>
        <v>1</v>
      </c>
      <c r="N2189" t="n">
        <v>200</v>
      </c>
      <c r="O2189" t="inlineStr">
        <is>
          <t>GST on Income</t>
        </is>
      </c>
      <c r="P2189" t="inlineStr">
        <is>
          <t>R04</t>
        </is>
      </c>
      <c r="Q2189" t="inlineStr">
        <is>
          <t>HIRE-BR</t>
        </is>
      </c>
      <c r="R2189">
        <f>IF(OR(Q2189="CONTEXT",Q2189="REVIEW"),"",INDEX('Category Rules'!$D$5:$D$17,MATCH(P2189,'Category Rules'!$A$5:$A$17,0)))</f>
        <v>4010</v>
      </c>
      <c r="S2189" t="str">
        <f>IF(Q2189="CONTEXT","Fencing",IF(Q2189="REVIEW","",INDEX('Category Rules'!$E$5:$E$17,MATCH(P2189,'Category Rules'!$A$5:$A$17,0))))</f>
        <v>Fencing</v>
      </c>
      <c r="T2189" t="str">
        <f>IF(Q2189="DEP","BAS Excluded","GST on Income")</f>
        <v>GST on Income</v>
      </c>
      <c r="U2189">
        <f>IF(O2189=T2189,1,0)</f>
        <v>1</v>
      </c>
      <c r="V2189" s="9">
        <f>IF(OR(M2189=0,U2189=1),0,IF(T2189="GST on Income",ROUND(K2189*0.1,2),ROUND(-K2189*0.1,2)))</f>
        <v>0</v>
      </c>
    </row>
    <row r="2190">
      <c r="A2190" t="inlineStr">
        <is>
          <t>INV-5298-1</t>
        </is>
      </c>
      <c r="B2190" t="inlineStr">
        <is>
          <t>INV-5298</t>
        </is>
      </c>
      <c r="C2190" s="11" t="n">
        <v>46160</v>
      </c>
      <c r="D2190" t="inlineStr">
        <is>
          <t>2026-05</t>
        </is>
      </c>
      <c r="E2190" t="inlineStr">
        <is>
          <t>C0047</t>
        </is>
      </c>
      <c r="F2190" t="inlineStr">
        <is>
          <t>C0047</t>
        </is>
      </c>
      <c r="G2190" t="inlineStr">
        <is>
          <t>Fairway Owners Corporation Services</t>
        </is>
      </c>
      <c r="H2190" t="inlineStr">
        <is>
          <t>S0259</t>
        </is>
      </c>
      <c r="I2190" t="inlineStr">
        <is>
          <t>Scaffold erect - 3 tower(s)</t>
        </is>
      </c>
      <c r="J2190" t="n">
        <v>3</v>
      </c>
      <c r="K2190" s="9" t="n">
        <v>1260</v>
      </c>
      <c r="L2190" t="inlineStr">
        <is>
          <t>PAID</t>
        </is>
      </c>
      <c r="M2190">
        <f>IF(L2190="VOIDED",0,1)</f>
        <v>1</v>
      </c>
      <c r="N2190" t="n">
        <v>200</v>
      </c>
      <c r="O2190" t="inlineStr">
        <is>
          <t>GST on Income</t>
        </is>
      </c>
      <c r="P2190" t="inlineStr">
        <is>
          <t>R08</t>
        </is>
      </c>
      <c r="Q2190" t="inlineStr">
        <is>
          <t>LAB-ST</t>
        </is>
      </c>
      <c r="R2190">
        <f>IF(OR(Q2190="CONTEXT",Q2190="REVIEW"),"",INDEX('Category Rules'!$D$5:$D$17,MATCH(P2190,'Category Rules'!$A$5:$A$17,0)))</f>
        <v>4020</v>
      </c>
      <c r="S2190" t="str">
        <f>IF(Q2190="CONTEXT","Scaffolding",IF(Q2190="REVIEW","",INDEX('Category Rules'!$E$5:$E$17,MATCH(P2190,'Category Rules'!$A$5:$A$17,0))))</f>
        <v>Scaffolding</v>
      </c>
      <c r="T2190" t="str">
        <f>IF(Q2190="DEP","BAS Excluded","GST on Income")</f>
        <v>GST on Income</v>
      </c>
      <c r="U2190">
        <f>IF(O2190=T2190,1,0)</f>
        <v>1</v>
      </c>
      <c r="V2190" s="9">
        <f>IF(OR(M2190=0,U2190=1),0,IF(T2190="GST on Income",ROUND(K2190*0.1,2),ROUND(-K2190*0.1,2)))</f>
        <v>0</v>
      </c>
    </row>
    <row r="2191">
      <c r="A2191" t="inlineStr">
        <is>
          <t>INV-5628-1</t>
        </is>
      </c>
      <c r="B2191" t="inlineStr">
        <is>
          <t>INV-5628</t>
        </is>
      </c>
      <c r="C2191" s="11" t="n">
        <v>46160</v>
      </c>
      <c r="D2191" t="inlineStr">
        <is>
          <t>2026-05</t>
        </is>
      </c>
      <c r="E2191" t="inlineStr">
        <is>
          <t>C0059</t>
        </is>
      </c>
      <c r="F2191" t="inlineStr">
        <is>
          <t>C0059</t>
        </is>
      </c>
      <c r="G2191" t="inlineStr">
        <is>
          <t>Silverleaf Insurance Repairs Pty Ltd</t>
        </is>
      </c>
      <c r="H2191" t="inlineStr">
        <is>
          <t>S0395</t>
        </is>
      </c>
      <c r="I2191" t="inlineStr">
        <is>
          <t>Tarp kit hire 3 wks (03/05/26-17/05/26) - 1 kits</t>
        </is>
      </c>
      <c r="J2191" t="n">
        <v>3</v>
      </c>
      <c r="K2191" s="9" t="n">
        <v>105</v>
      </c>
      <c r="L2191" t="inlineStr">
        <is>
          <t>PAID</t>
        </is>
      </c>
      <c r="M2191">
        <f>IF(L2191="VOIDED",0,1)</f>
        <v>1</v>
      </c>
      <c r="N2191" t="n">
        <v>200</v>
      </c>
      <c r="O2191" t="inlineStr">
        <is>
          <t>GST on Income</t>
        </is>
      </c>
      <c r="P2191" t="inlineStr">
        <is>
          <t>R06</t>
        </is>
      </c>
      <c r="Q2191" t="inlineStr">
        <is>
          <t>HIRE-TK</t>
        </is>
      </c>
      <c r="R2191">
        <f>IF(OR(Q2191="CONTEXT",Q2191="REVIEW"),"",INDEX('Category Rules'!$D$5:$D$17,MATCH(P2191,'Category Rules'!$A$5:$A$17,0)))</f>
        <v>4010</v>
      </c>
      <c r="S2191" t="str">
        <f>IF(Q2191="CONTEXT","Make-safe",IF(Q2191="REVIEW","",INDEX('Category Rules'!$E$5:$E$17,MATCH(P2191,'Category Rules'!$A$5:$A$17,0))))</f>
        <v>Make-safe</v>
      </c>
      <c r="T2191" t="str">
        <f>IF(Q2191="DEP","BAS Excluded","GST on Income")</f>
        <v>GST on Income</v>
      </c>
      <c r="U2191">
        <f>IF(O2191=T2191,1,0)</f>
        <v>1</v>
      </c>
      <c r="V2191" s="9">
        <f>IF(OR(M2191=0,U2191=1),0,IF(T2191="GST on Income",ROUND(K2191*0.1,2),ROUND(-K2191*0.1,2)))</f>
        <v>0</v>
      </c>
    </row>
    <row r="2192">
      <c r="A2192" t="inlineStr">
        <is>
          <t>INV-5668-1</t>
        </is>
      </c>
      <c r="B2192" t="inlineStr">
        <is>
          <t>INV-5668</t>
        </is>
      </c>
      <c r="C2192" s="11" t="n">
        <v>46160</v>
      </c>
      <c r="D2192" t="inlineStr">
        <is>
          <t>2026-05</t>
        </is>
      </c>
      <c r="E2192" t="inlineStr">
        <is>
          <t>C0039</t>
        </is>
      </c>
      <c r="F2192" t="inlineStr">
        <is>
          <t>C0039</t>
        </is>
      </c>
      <c r="G2192" t="inlineStr">
        <is>
          <t>Coastline Developments Pty Ltd</t>
        </is>
      </c>
      <c r="H2192" t="inlineStr">
        <is>
          <t>S0417</t>
        </is>
      </c>
      <c r="I2192" t="inlineStr">
        <is>
          <t>Roof repair labour - 16 hrs</t>
        </is>
      </c>
      <c r="J2192" t="n">
        <v>16</v>
      </c>
      <c r="K2192" s="9" t="n">
        <v>1568</v>
      </c>
      <c r="L2192" t="inlineStr">
        <is>
          <t>PAID</t>
        </is>
      </c>
      <c r="M2192">
        <f>IF(L2192="VOIDED",0,1)</f>
        <v>1</v>
      </c>
      <c r="N2192" t="n">
        <v>200</v>
      </c>
      <c r="O2192" t="inlineStr">
        <is>
          <t>GST on Income</t>
        </is>
      </c>
      <c r="P2192" t="inlineStr">
        <is>
          <t>R10</t>
        </is>
      </c>
      <c r="Q2192" t="inlineStr">
        <is>
          <t>LAB-RF</t>
        </is>
      </c>
      <c r="R2192">
        <f>IF(OR(Q2192="CONTEXT",Q2192="REVIEW"),"",INDEX('Category Rules'!$D$5:$D$17,MATCH(P2192,'Category Rules'!$A$5:$A$17,0)))</f>
        <v>4020</v>
      </c>
      <c r="S2192" t="str">
        <f>IF(Q2192="CONTEXT","Roofing",IF(Q2192="REVIEW","",INDEX('Category Rules'!$E$5:$E$17,MATCH(P2192,'Category Rules'!$A$5:$A$17,0))))</f>
        <v>Roofing</v>
      </c>
      <c r="T2192" t="str">
        <f>IF(Q2192="DEP","BAS Excluded","GST on Income")</f>
        <v>GST on Income</v>
      </c>
      <c r="U2192">
        <f>IF(O2192=T2192,1,0)</f>
        <v>1</v>
      </c>
      <c r="V2192" s="9">
        <f>IF(OR(M2192=0,U2192=1),0,IF(T2192="GST on Income",ROUND(K2192*0.1,2),ROUND(-K2192*0.1,2)))</f>
        <v>0</v>
      </c>
    </row>
    <row r="2193">
      <c r="A2193" t="inlineStr">
        <is>
          <t>INV-5668-2</t>
        </is>
      </c>
      <c r="B2193" t="inlineStr">
        <is>
          <t>INV-5668</t>
        </is>
      </c>
      <c r="C2193" s="11" t="n">
        <v>46160</v>
      </c>
      <c r="D2193" t="inlineStr">
        <is>
          <t>2026-05</t>
        </is>
      </c>
      <c r="E2193" t="inlineStr">
        <is>
          <t>C0039</t>
        </is>
      </c>
      <c r="F2193" t="inlineStr">
        <is>
          <t>C0039</t>
        </is>
      </c>
      <c r="G2193" t="inlineStr">
        <is>
          <t>Coastline Developments Pty Ltd</t>
        </is>
      </c>
      <c r="H2193" t="inlineStr">
        <is>
          <t>S0417</t>
        </is>
      </c>
      <c r="I2193" t="inlineStr">
        <is>
          <t>Materials - Colorbond sheet</t>
        </is>
      </c>
      <c r="J2193" t="n">
        <v>1</v>
      </c>
      <c r="K2193" s="9" t="n">
        <v>299.95</v>
      </c>
      <c r="L2193" t="inlineStr">
        <is>
          <t>PAID</t>
        </is>
      </c>
      <c r="M2193">
        <f>IF(L2193="VOIDED",0,1)</f>
        <v>1</v>
      </c>
      <c r="N2193" t="n">
        <v>200</v>
      </c>
      <c r="O2193" t="inlineStr">
        <is>
          <t>GST on Income</t>
        </is>
      </c>
      <c r="P2193" t="inlineStr">
        <is>
          <t>R11</t>
        </is>
      </c>
      <c r="Q2193" t="inlineStr">
        <is>
          <t>MAT-RF</t>
        </is>
      </c>
      <c r="R2193">
        <f>IF(OR(Q2193="CONTEXT",Q2193="REVIEW"),"",INDEX('Category Rules'!$D$5:$D$17,MATCH(P2193,'Category Rules'!$A$5:$A$17,0)))</f>
        <v>4030</v>
      </c>
      <c r="S2193" t="str">
        <f>IF(Q2193="CONTEXT","Roofing",IF(Q2193="REVIEW","",INDEX('Category Rules'!$E$5:$E$17,MATCH(P2193,'Category Rules'!$A$5:$A$17,0))))</f>
        <v>Roofing</v>
      </c>
      <c r="T2193" t="str">
        <f>IF(Q2193="DEP","BAS Excluded","GST on Income")</f>
        <v>GST on Income</v>
      </c>
      <c r="U2193">
        <f>IF(O2193=T2193,1,0)</f>
        <v>1</v>
      </c>
      <c r="V2193" s="9">
        <f>IF(OR(M2193=0,U2193=1),0,IF(T2193="GST on Income",ROUND(K2193*0.1,2),ROUND(-K2193*0.1,2)))</f>
        <v>0</v>
      </c>
    </row>
    <row r="2194">
      <c r="A2194" t="inlineStr">
        <is>
          <t>INV-5925-1</t>
        </is>
      </c>
      <c r="B2194" t="inlineStr">
        <is>
          <t>INV-5925</t>
        </is>
      </c>
      <c r="C2194" s="11" t="n">
        <v>46160</v>
      </c>
      <c r="D2194" t="inlineStr">
        <is>
          <t>2026-05</t>
        </is>
      </c>
      <c r="E2194" t="inlineStr">
        <is>
          <t>C0019</t>
        </is>
      </c>
      <c r="F2194" t="inlineStr">
        <is>
          <t>C0019</t>
        </is>
      </c>
      <c r="G2194" t="inlineStr">
        <is>
          <t>Metro Developments</t>
        </is>
      </c>
      <c r="H2194" t="inlineStr"/>
      <c r="I2194" t="inlineStr">
        <is>
          <t>Works completed as discussed</t>
        </is>
      </c>
      <c r="J2194" t="n">
        <v>1</v>
      </c>
      <c r="K2194" s="9" t="n">
        <v>1460.92</v>
      </c>
      <c r="L2194" t="inlineStr">
        <is>
          <t>PAID</t>
        </is>
      </c>
      <c r="M2194">
        <f>IF(L2194="VOIDED",0,1)</f>
        <v>1</v>
      </c>
      <c r="N2194" t="n">
        <v>200</v>
      </c>
      <c r="O2194" t="inlineStr">
        <is>
          <t>GST on Income</t>
        </is>
      </c>
      <c r="P2194" t="inlineStr">
        <is>
          <t>--</t>
        </is>
      </c>
      <c r="Q2194" t="inlineStr">
        <is>
          <t>REVIEW</t>
        </is>
      </c>
      <c r="R2194">
        <f>IF(OR(Q2194="CONTEXT",Q2194="REVIEW"),"",INDEX('Category Rules'!$D$5:$D$17,MATCH(P2194,'Category Rules'!$A$5:$A$17,0)))</f>
      </c>
      <c r="S2194">
        <f>IF(Q2194="CONTEXT","",IF(Q2194="REVIEW","",INDEX('Category Rules'!$E$5:$E$17,MATCH(P2194,'Category Rules'!$A$5:$A$17,0))))</f>
      </c>
      <c r="T2194" t="str">
        <f>IF(Q2194="DEP","BAS Excluded","GST on Income")</f>
        <v>GST on Income</v>
      </c>
      <c r="U2194">
        <f>IF(O2194=T2194,1,0)</f>
        <v>1</v>
      </c>
      <c r="V2194" s="9">
        <f>IF(OR(M2194=0,U2194=1),0,IF(T2194="GST on Income",ROUND(K2194*0.1,2),ROUND(-K2194*0.1,2)))</f>
        <v>0</v>
      </c>
    </row>
    <row r="2195">
      <c r="A2195" t="inlineStr">
        <is>
          <t>INV-4981-1</t>
        </is>
      </c>
      <c r="B2195" t="inlineStr">
        <is>
          <t>INV-4981</t>
        </is>
      </c>
      <c r="C2195" s="11" t="n">
        <v>46161</v>
      </c>
      <c r="D2195" t="inlineStr">
        <is>
          <t>2026-05</t>
        </is>
      </c>
      <c r="E2195" t="inlineStr">
        <is>
          <t>C0010</t>
        </is>
      </c>
      <c r="F2195" t="inlineStr">
        <is>
          <t>C0010</t>
        </is>
      </c>
      <c r="G2195" t="inlineStr">
        <is>
          <t>Eastlink Developments</t>
        </is>
      </c>
      <c r="H2195" t="inlineStr">
        <is>
          <t>S0187</t>
        </is>
      </c>
      <c r="I2195" t="inlineStr">
        <is>
          <t>Temporary fence hire 4 wks (21/04/26-18/05/26) - 120 panels</t>
        </is>
      </c>
      <c r="J2195" t="n">
        <v>480</v>
      </c>
      <c r="K2195" s="9" t="n">
        <v>2160</v>
      </c>
      <c r="L2195" t="inlineStr">
        <is>
          <t>PAID</t>
        </is>
      </c>
      <c r="M2195">
        <f>IF(L2195="VOIDED",0,1)</f>
        <v>1</v>
      </c>
      <c r="N2195" t="n">
        <v>200</v>
      </c>
      <c r="O2195" t="inlineStr">
        <is>
          <t>GST on Income</t>
        </is>
      </c>
      <c r="P2195" t="inlineStr">
        <is>
          <t>R03</t>
        </is>
      </c>
      <c r="Q2195" t="inlineStr">
        <is>
          <t>HIRE-FP</t>
        </is>
      </c>
      <c r="R2195">
        <f>IF(OR(Q2195="CONTEXT",Q2195="REVIEW"),"",INDEX('Category Rules'!$D$5:$D$17,MATCH(P2195,'Category Rules'!$A$5:$A$17,0)))</f>
        <v>4010</v>
      </c>
      <c r="S2195" t="str">
        <f>IF(Q2195="CONTEXT","Fencing",IF(Q2195="REVIEW","",INDEX('Category Rules'!$E$5:$E$17,MATCH(P2195,'Category Rules'!$A$5:$A$17,0))))</f>
        <v>Fencing</v>
      </c>
      <c r="T2195" t="str">
        <f>IF(Q2195="DEP","BAS Excluded","GST on Income")</f>
        <v>GST on Income</v>
      </c>
      <c r="U2195">
        <f>IF(O2195=T2195,1,0)</f>
        <v>1</v>
      </c>
      <c r="V2195" s="9">
        <f>IF(OR(M2195=0,U2195=1),0,IF(T2195="GST on Income",ROUND(K2195*0.1,2),ROUND(-K2195*0.1,2)))</f>
        <v>0</v>
      </c>
    </row>
    <row r="2196">
      <c r="A2196" t="inlineStr">
        <is>
          <t>INV-5038-1</t>
        </is>
      </c>
      <c r="B2196" t="inlineStr">
        <is>
          <t>INV-5038</t>
        </is>
      </c>
      <c r="C2196" s="11" t="n">
        <v>46161</v>
      </c>
      <c r="D2196" t="inlineStr">
        <is>
          <t>2026-05</t>
        </is>
      </c>
      <c r="E2196" t="inlineStr">
        <is>
          <t>C0071</t>
        </is>
      </c>
      <c r="F2196" t="inlineStr">
        <is>
          <t>C0071</t>
        </is>
      </c>
      <c r="G2196" t="inlineStr">
        <is>
          <t>Maribyrnong City Council</t>
        </is>
      </c>
      <c r="H2196" t="inlineStr">
        <is>
          <t>S0202</t>
        </is>
      </c>
      <c r="I2196" t="inlineStr">
        <is>
          <t>Temporary fence hire 4 wks (21/04/26-18/05/26) - 42 panels</t>
        </is>
      </c>
      <c r="J2196" t="n">
        <v>168</v>
      </c>
      <c r="K2196" s="9" t="n">
        <v>756</v>
      </c>
      <c r="L2196" t="inlineStr">
        <is>
          <t>AUTHORISED</t>
        </is>
      </c>
      <c r="M2196">
        <f>IF(L2196="VOIDED",0,1)</f>
        <v>1</v>
      </c>
      <c r="N2196" t="n">
        <v>200</v>
      </c>
      <c r="O2196" t="inlineStr">
        <is>
          <t>GST on Income</t>
        </is>
      </c>
      <c r="P2196" t="inlineStr">
        <is>
          <t>R03</t>
        </is>
      </c>
      <c r="Q2196" t="inlineStr">
        <is>
          <t>HIRE-FP</t>
        </is>
      </c>
      <c r="R2196">
        <f>IF(OR(Q2196="CONTEXT",Q2196="REVIEW"),"",INDEX('Category Rules'!$D$5:$D$17,MATCH(P2196,'Category Rules'!$A$5:$A$17,0)))</f>
        <v>4010</v>
      </c>
      <c r="S2196" t="str">
        <f>IF(Q2196="CONTEXT","Fencing",IF(Q2196="REVIEW","",INDEX('Category Rules'!$E$5:$E$17,MATCH(P2196,'Category Rules'!$A$5:$A$17,0))))</f>
        <v>Fencing</v>
      </c>
      <c r="T2196" t="str">
        <f>IF(Q2196="DEP","BAS Excluded","GST on Income")</f>
        <v>GST on Income</v>
      </c>
      <c r="U2196">
        <f>IF(O2196=T2196,1,0)</f>
        <v>1</v>
      </c>
      <c r="V2196" s="9">
        <f>IF(OR(M2196=0,U2196=1),0,IF(T2196="GST on Income",ROUND(K2196*0.1,2),ROUND(-K2196*0.1,2)))</f>
        <v>0</v>
      </c>
    </row>
    <row r="2197">
      <c r="A2197" t="inlineStr">
        <is>
          <t>INV-5042-1</t>
        </is>
      </c>
      <c r="B2197" t="inlineStr">
        <is>
          <t>INV-5042</t>
        </is>
      </c>
      <c r="C2197" s="11" t="n">
        <v>46161</v>
      </c>
      <c r="D2197" t="inlineStr">
        <is>
          <t>2026-05</t>
        </is>
      </c>
      <c r="E2197" t="inlineStr">
        <is>
          <t>C0071</t>
        </is>
      </c>
      <c r="F2197" t="inlineStr">
        <is>
          <t>C0071</t>
        </is>
      </c>
      <c r="G2197" t="inlineStr">
        <is>
          <t>Maribyrnong City Council</t>
        </is>
      </c>
      <c r="H2197" t="inlineStr">
        <is>
          <t>S0202</t>
        </is>
      </c>
      <c r="I2197" t="inlineStr">
        <is>
          <t>Pedestrian barrier hire 4 wks (21/04/26-18/05/26) - 18 barriers</t>
        </is>
      </c>
      <c r="J2197" t="n">
        <v>72</v>
      </c>
      <c r="K2197" s="9" t="n">
        <v>230.4</v>
      </c>
      <c r="L2197" t="inlineStr">
        <is>
          <t>AUTHORISED</t>
        </is>
      </c>
      <c r="M2197">
        <f>IF(L2197="VOIDED",0,1)</f>
        <v>1</v>
      </c>
      <c r="N2197" t="n">
        <v>200</v>
      </c>
      <c r="O2197" t="inlineStr">
        <is>
          <t>GST on Income</t>
        </is>
      </c>
      <c r="P2197" t="inlineStr">
        <is>
          <t>R04</t>
        </is>
      </c>
      <c r="Q2197" t="inlineStr">
        <is>
          <t>HIRE-BR</t>
        </is>
      </c>
      <c r="R2197">
        <f>IF(OR(Q2197="CONTEXT",Q2197="REVIEW"),"",INDEX('Category Rules'!$D$5:$D$17,MATCH(P2197,'Category Rules'!$A$5:$A$17,0)))</f>
        <v>4010</v>
      </c>
      <c r="S2197" t="str">
        <f>IF(Q2197="CONTEXT","Fencing",IF(Q2197="REVIEW","",INDEX('Category Rules'!$E$5:$E$17,MATCH(P2197,'Category Rules'!$A$5:$A$17,0))))</f>
        <v>Fencing</v>
      </c>
      <c r="T2197" t="str">
        <f>IF(Q2197="DEP","BAS Excluded","GST on Income")</f>
        <v>GST on Income</v>
      </c>
      <c r="U2197">
        <f>IF(O2197=T2197,1,0)</f>
        <v>1</v>
      </c>
      <c r="V2197" s="9">
        <f>IF(OR(M2197=0,U2197=1),0,IF(T2197="GST on Income",ROUND(K2197*0.1,2),ROUND(-K2197*0.1,2)))</f>
        <v>0</v>
      </c>
    </row>
    <row r="2198">
      <c r="A2198" t="inlineStr">
        <is>
          <t>INV-5044-1</t>
        </is>
      </c>
      <c r="B2198" t="inlineStr">
        <is>
          <t>INV-5044</t>
        </is>
      </c>
      <c r="C2198" s="11" t="n">
        <v>46161</v>
      </c>
      <c r="D2198" t="inlineStr">
        <is>
          <t>2026-05</t>
        </is>
      </c>
      <c r="E2198" t="inlineStr">
        <is>
          <t>C0071</t>
        </is>
      </c>
      <c r="F2198" t="inlineStr">
        <is>
          <t>C0071</t>
        </is>
      </c>
      <c r="G2198" t="inlineStr">
        <is>
          <t>Maribyrnong City Council</t>
        </is>
      </c>
      <c r="H2198" t="inlineStr">
        <is>
          <t>S0202</t>
        </is>
      </c>
      <c r="I2198" t="inlineStr">
        <is>
          <t>Collection and dismantle - temporary fencing</t>
        </is>
      </c>
      <c r="J2198" t="n">
        <v>1</v>
      </c>
      <c r="K2198" s="9" t="n">
        <v>165</v>
      </c>
      <c r="L2198" t="inlineStr">
        <is>
          <t>AUTHORISED</t>
        </is>
      </c>
      <c r="M2198">
        <f>IF(L2198="VOIDED",0,1)</f>
        <v>1</v>
      </c>
      <c r="N2198" t="n">
        <v>200</v>
      </c>
      <c r="O2198" t="inlineStr">
        <is>
          <t>GST on Income</t>
        </is>
      </c>
      <c r="P2198" t="inlineStr">
        <is>
          <t>R07</t>
        </is>
      </c>
      <c r="Q2198" t="inlineStr">
        <is>
          <t>DEL-FP</t>
        </is>
      </c>
      <c r="R2198">
        <f>IF(OR(Q2198="CONTEXT",Q2198="REVIEW"),"",INDEX('Category Rules'!$D$5:$D$17,MATCH(P2198,'Category Rules'!$A$5:$A$17,0)))</f>
        <v>4020</v>
      </c>
      <c r="S2198" t="str">
        <f>IF(Q2198="CONTEXT","Fencing",IF(Q2198="REVIEW","",INDEX('Category Rules'!$E$5:$E$17,MATCH(P2198,'Category Rules'!$A$5:$A$17,0))))</f>
        <v>Fencing</v>
      </c>
      <c r="T2198" t="str">
        <f>IF(Q2198="DEP","BAS Excluded","GST on Income")</f>
        <v>GST on Income</v>
      </c>
      <c r="U2198">
        <f>IF(O2198=T2198,1,0)</f>
        <v>1</v>
      </c>
      <c r="V2198" s="9">
        <f>IF(OR(M2198=0,U2198=1),0,IF(T2198="GST on Income",ROUND(K2198*0.1,2),ROUND(-K2198*0.1,2)))</f>
        <v>0</v>
      </c>
    </row>
    <row r="2199">
      <c r="A2199" t="inlineStr">
        <is>
          <t>INV-5329-1</t>
        </is>
      </c>
      <c r="B2199" t="inlineStr">
        <is>
          <t>INV-5329</t>
        </is>
      </c>
      <c r="C2199" s="11" t="n">
        <v>46161</v>
      </c>
      <c r="D2199" t="inlineStr">
        <is>
          <t>2026-05</t>
        </is>
      </c>
      <c r="E2199" t="inlineStr">
        <is>
          <t>C0038</t>
        </is>
      </c>
      <c r="F2199" t="inlineStr">
        <is>
          <t>C0038</t>
        </is>
      </c>
      <c r="G2199" t="inlineStr">
        <is>
          <t>Cobalt Constructions Pty Ltd</t>
        </is>
      </c>
      <c r="H2199" t="inlineStr">
        <is>
          <t>S0266</t>
        </is>
      </c>
      <c r="I2199" t="inlineStr">
        <is>
          <t>Scaffold tower hire 4 wks (21/04/26-18/05/26) - 4 towers</t>
        </is>
      </c>
      <c r="J2199" t="n">
        <v>16</v>
      </c>
      <c r="K2199" s="9" t="n">
        <v>1520</v>
      </c>
      <c r="L2199" t="inlineStr">
        <is>
          <t>AUTHORISED</t>
        </is>
      </c>
      <c r="M2199">
        <f>IF(L2199="VOIDED",0,1)</f>
        <v>1</v>
      </c>
      <c r="N2199" t="n">
        <v>200</v>
      </c>
      <c r="O2199" t="inlineStr">
        <is>
          <t>GST on Income</t>
        </is>
      </c>
      <c r="P2199" t="inlineStr">
        <is>
          <t>R05</t>
        </is>
      </c>
      <c r="Q2199" t="inlineStr">
        <is>
          <t>HIRE-ST</t>
        </is>
      </c>
      <c r="R2199">
        <f>IF(OR(Q2199="CONTEXT",Q2199="REVIEW"),"",INDEX('Category Rules'!$D$5:$D$17,MATCH(P2199,'Category Rules'!$A$5:$A$17,0)))</f>
        <v>4010</v>
      </c>
      <c r="S2199" t="str">
        <f>IF(Q2199="CONTEXT","Scaffolding",IF(Q2199="REVIEW","",INDEX('Category Rules'!$E$5:$E$17,MATCH(P2199,'Category Rules'!$A$5:$A$17,0))))</f>
        <v>Scaffolding</v>
      </c>
      <c r="T2199" t="str">
        <f>IF(Q2199="DEP","BAS Excluded","GST on Income")</f>
        <v>GST on Income</v>
      </c>
      <c r="U2199">
        <f>IF(O2199=T2199,1,0)</f>
        <v>1</v>
      </c>
      <c r="V2199" s="9">
        <f>IF(OR(M2199=0,U2199=1),0,IF(T2199="GST on Income",ROUND(K2199*0.1,2),ROUND(-K2199*0.1,2)))</f>
        <v>0</v>
      </c>
    </row>
    <row r="2200">
      <c r="A2200" t="inlineStr">
        <is>
          <t>INV-5458-1</t>
        </is>
      </c>
      <c r="B2200" t="inlineStr">
        <is>
          <t>INV-5458</t>
        </is>
      </c>
      <c r="C2200" s="11" t="n">
        <v>46161</v>
      </c>
      <c r="D2200" t="inlineStr">
        <is>
          <t>2026-05</t>
        </is>
      </c>
      <c r="E2200" t="inlineStr">
        <is>
          <t>C0083</t>
        </is>
      </c>
      <c r="F2200" t="inlineStr">
        <is>
          <t>C0083</t>
        </is>
      </c>
      <c r="G2200" t="inlineStr">
        <is>
          <t>Noah Williams</t>
        </is>
      </c>
      <c r="H2200" t="inlineStr">
        <is>
          <t>S0301</t>
        </is>
      </c>
      <c r="I2200" t="inlineStr">
        <is>
          <t>Roof repair labour - 24 hrs</t>
        </is>
      </c>
      <c r="J2200" t="n">
        <v>24</v>
      </c>
      <c r="K2200" s="9" t="n">
        <v>2352</v>
      </c>
      <c r="L2200" t="inlineStr">
        <is>
          <t>PAID</t>
        </is>
      </c>
      <c r="M2200">
        <f>IF(L2200="VOIDED",0,1)</f>
        <v>1</v>
      </c>
      <c r="N2200" t="n">
        <v>200</v>
      </c>
      <c r="O2200" t="inlineStr">
        <is>
          <t>GST on Income</t>
        </is>
      </c>
      <c r="P2200" t="inlineStr">
        <is>
          <t>R10</t>
        </is>
      </c>
      <c r="Q2200" t="inlineStr">
        <is>
          <t>LAB-RF</t>
        </is>
      </c>
      <c r="R2200">
        <f>IF(OR(Q2200="CONTEXT",Q2200="REVIEW"),"",INDEX('Category Rules'!$D$5:$D$17,MATCH(P2200,'Category Rules'!$A$5:$A$17,0)))</f>
        <v>4020</v>
      </c>
      <c r="S2200" t="str">
        <f>IF(Q2200="CONTEXT","Roofing",IF(Q2200="REVIEW","",INDEX('Category Rules'!$E$5:$E$17,MATCH(P2200,'Category Rules'!$A$5:$A$17,0))))</f>
        <v>Roofing</v>
      </c>
      <c r="T2200" t="str">
        <f>IF(Q2200="DEP","BAS Excluded","GST on Income")</f>
        <v>GST on Income</v>
      </c>
      <c r="U2200">
        <f>IF(O2200=T2200,1,0)</f>
        <v>1</v>
      </c>
      <c r="V2200" s="9">
        <f>IF(OR(M2200=0,U2200=1),0,IF(T2200="GST on Income",ROUND(K2200*0.1,2),ROUND(-K2200*0.1,2)))</f>
        <v>0</v>
      </c>
    </row>
    <row r="2201">
      <c r="A2201" t="inlineStr">
        <is>
          <t>INV-5458-2</t>
        </is>
      </c>
      <c r="B2201" t="inlineStr">
        <is>
          <t>INV-5458</t>
        </is>
      </c>
      <c r="C2201" s="11" t="n">
        <v>46161</v>
      </c>
      <c r="D2201" t="inlineStr">
        <is>
          <t>2026-05</t>
        </is>
      </c>
      <c r="E2201" t="inlineStr">
        <is>
          <t>C0083</t>
        </is>
      </c>
      <c r="F2201" t="inlineStr">
        <is>
          <t>C0083</t>
        </is>
      </c>
      <c r="G2201" t="inlineStr">
        <is>
          <t>Noah Williams</t>
        </is>
      </c>
      <c r="H2201" t="inlineStr">
        <is>
          <t>S0301</t>
        </is>
      </c>
      <c r="I2201" t="inlineStr">
        <is>
          <t>Materials - flashing</t>
        </is>
      </c>
      <c r="J2201" t="n">
        <v>1</v>
      </c>
      <c r="K2201" s="9" t="n">
        <v>1196.84</v>
      </c>
      <c r="L2201" t="inlineStr">
        <is>
          <t>PAID</t>
        </is>
      </c>
      <c r="M2201">
        <f>IF(L2201="VOIDED",0,1)</f>
        <v>1</v>
      </c>
      <c r="N2201" t="n">
        <v>200</v>
      </c>
      <c r="O2201" t="inlineStr">
        <is>
          <t>GST on Income</t>
        </is>
      </c>
      <c r="P2201" t="inlineStr">
        <is>
          <t>R11</t>
        </is>
      </c>
      <c r="Q2201" t="inlineStr">
        <is>
          <t>MAT-RF</t>
        </is>
      </c>
      <c r="R2201">
        <f>IF(OR(Q2201="CONTEXT",Q2201="REVIEW"),"",INDEX('Category Rules'!$D$5:$D$17,MATCH(P2201,'Category Rules'!$A$5:$A$17,0)))</f>
        <v>4030</v>
      </c>
      <c r="S2201" t="str">
        <f>IF(Q2201="CONTEXT","Roofing",IF(Q2201="REVIEW","",INDEX('Category Rules'!$E$5:$E$17,MATCH(P2201,'Category Rules'!$A$5:$A$17,0))))</f>
        <v>Roofing</v>
      </c>
      <c r="T2201" t="str">
        <f>IF(Q2201="DEP","BAS Excluded","GST on Income")</f>
        <v>GST on Income</v>
      </c>
      <c r="U2201">
        <f>IF(O2201=T2201,1,0)</f>
        <v>1</v>
      </c>
      <c r="V2201" s="9">
        <f>IF(OR(M2201=0,U2201=1),0,IF(T2201="GST on Income",ROUND(K2201*0.1,2),ROUND(-K2201*0.1,2)))</f>
        <v>0</v>
      </c>
    </row>
    <row r="2202">
      <c r="A2202" t="inlineStr">
        <is>
          <t>INV-5458-3</t>
        </is>
      </c>
      <c r="B2202" t="inlineStr">
        <is>
          <t>INV-5458</t>
        </is>
      </c>
      <c r="C2202" s="11" t="n">
        <v>46161</v>
      </c>
      <c r="D2202" t="inlineStr">
        <is>
          <t>2026-05</t>
        </is>
      </c>
      <c r="E2202" t="inlineStr">
        <is>
          <t>C0083</t>
        </is>
      </c>
      <c r="F2202" t="inlineStr">
        <is>
          <t>C0083</t>
        </is>
      </c>
      <c r="G2202" t="inlineStr">
        <is>
          <t>Noah Williams</t>
        </is>
      </c>
      <c r="H2202" t="inlineStr">
        <is>
          <t>S0301</t>
        </is>
      </c>
      <c r="I2202" t="inlineStr">
        <is>
          <t>Waste removal and tip fees</t>
        </is>
      </c>
      <c r="J2202" t="n">
        <v>1</v>
      </c>
      <c r="K2202" s="9" t="n">
        <v>120</v>
      </c>
      <c r="L2202" t="inlineStr">
        <is>
          <t>PAID</t>
        </is>
      </c>
      <c r="M2202">
        <f>IF(L2202="VOIDED",0,1)</f>
        <v>1</v>
      </c>
      <c r="N2202" t="n">
        <v>200</v>
      </c>
      <c r="O2202" t="inlineStr">
        <is>
          <t>GST on Income</t>
        </is>
      </c>
      <c r="P2202" t="inlineStr">
        <is>
          <t>R11</t>
        </is>
      </c>
      <c r="Q2202" t="inlineStr">
        <is>
          <t>MAT-RF</t>
        </is>
      </c>
      <c r="R2202">
        <f>IF(OR(Q2202="CONTEXT",Q2202="REVIEW"),"",INDEX('Category Rules'!$D$5:$D$17,MATCH(P2202,'Category Rules'!$A$5:$A$17,0)))</f>
        <v>4030</v>
      </c>
      <c r="S2202" t="str">
        <f>IF(Q2202="CONTEXT","Roofing",IF(Q2202="REVIEW","",INDEX('Category Rules'!$E$5:$E$17,MATCH(P2202,'Category Rules'!$A$5:$A$17,0))))</f>
        <v>Roofing</v>
      </c>
      <c r="T2202" t="str">
        <f>IF(Q2202="DEP","BAS Excluded","GST on Income")</f>
        <v>GST on Income</v>
      </c>
      <c r="U2202">
        <f>IF(O2202=T2202,1,0)</f>
        <v>1</v>
      </c>
      <c r="V2202" s="9">
        <f>IF(OR(M2202=0,U2202=1),0,IF(T2202="GST on Income",ROUND(K2202*0.1,2),ROUND(-K2202*0.1,2)))</f>
        <v>0</v>
      </c>
    </row>
    <row r="2203">
      <c r="A2203" t="inlineStr">
        <is>
          <t>INV-5689-1</t>
        </is>
      </c>
      <c r="B2203" t="inlineStr">
        <is>
          <t>INV-5689</t>
        </is>
      </c>
      <c r="C2203" s="11" t="n">
        <v>46161</v>
      </c>
      <c r="D2203" t="inlineStr">
        <is>
          <t>2026-05</t>
        </is>
      </c>
      <c r="E2203" t="inlineStr">
        <is>
          <t>C0065</t>
        </is>
      </c>
      <c r="F2203" t="inlineStr">
        <is>
          <t>C0065</t>
        </is>
      </c>
      <c r="G2203" t="inlineStr">
        <is>
          <t>Stonebridge Claims Services</t>
        </is>
      </c>
      <c r="H2203" t="inlineStr">
        <is>
          <t>S0429</t>
        </is>
      </c>
      <c r="I2203" t="inlineStr">
        <is>
          <t>Tarp kit hire 4 wks (21/04/26-18/05/26) - 3 kits</t>
        </is>
      </c>
      <c r="J2203" t="n">
        <v>12</v>
      </c>
      <c r="K2203" s="9" t="n">
        <v>420</v>
      </c>
      <c r="L2203" t="inlineStr">
        <is>
          <t>PAID</t>
        </is>
      </c>
      <c r="M2203">
        <f>IF(L2203="VOIDED",0,1)</f>
        <v>1</v>
      </c>
      <c r="N2203" t="n">
        <v>200</v>
      </c>
      <c r="O2203" t="inlineStr">
        <is>
          <t>GST on Income</t>
        </is>
      </c>
      <c r="P2203" t="inlineStr">
        <is>
          <t>R06</t>
        </is>
      </c>
      <c r="Q2203" t="inlineStr">
        <is>
          <t>HIRE-TK</t>
        </is>
      </c>
      <c r="R2203">
        <f>IF(OR(Q2203="CONTEXT",Q2203="REVIEW"),"",INDEX('Category Rules'!$D$5:$D$17,MATCH(P2203,'Category Rules'!$A$5:$A$17,0)))</f>
        <v>4010</v>
      </c>
      <c r="S2203" t="str">
        <f>IF(Q2203="CONTEXT","Make-safe",IF(Q2203="REVIEW","",INDEX('Category Rules'!$E$5:$E$17,MATCH(P2203,'Category Rules'!$A$5:$A$17,0))))</f>
        <v>Make-safe</v>
      </c>
      <c r="T2203" t="str">
        <f>IF(Q2203="DEP","BAS Excluded","GST on Income")</f>
        <v>GST on Income</v>
      </c>
      <c r="U2203">
        <f>IF(O2203=T2203,1,0)</f>
        <v>1</v>
      </c>
      <c r="V2203" s="9">
        <f>IF(OR(M2203=0,U2203=1),0,IF(T2203="GST on Income",ROUND(K2203*0.1,2),ROUND(-K2203*0.1,2)))</f>
        <v>0</v>
      </c>
    </row>
    <row r="2204">
      <c r="A2204" t="inlineStr">
        <is>
          <t>INV-4480-1</t>
        </is>
      </c>
      <c r="B2204" t="inlineStr">
        <is>
          <t>INV-4480</t>
        </is>
      </c>
      <c r="C2204" s="11" t="n">
        <v>46162</v>
      </c>
      <c r="D2204" t="inlineStr">
        <is>
          <t>2026-05</t>
        </is>
      </c>
      <c r="E2204" t="inlineStr">
        <is>
          <t>C0038</t>
        </is>
      </c>
      <c r="F2204" t="inlineStr">
        <is>
          <t>C0038</t>
        </is>
      </c>
      <c r="G2204" t="inlineStr">
        <is>
          <t>Cobalt Constructions Pty Ltd</t>
        </is>
      </c>
      <c r="H2204" t="inlineStr">
        <is>
          <t>S0078</t>
        </is>
      </c>
      <c r="I2204" t="inlineStr">
        <is>
          <t>Temporary fence hire 4 wks (23/04/26-19/05/26) - 145 panels</t>
        </is>
      </c>
      <c r="J2204" t="n">
        <v>580</v>
      </c>
      <c r="K2204" s="9" t="n">
        <v>2610</v>
      </c>
      <c r="L2204" t="inlineStr">
        <is>
          <t>AUTHORISED</t>
        </is>
      </c>
      <c r="M2204">
        <f>IF(L2204="VOIDED",0,1)</f>
        <v>1</v>
      </c>
      <c r="N2204" t="n">
        <v>200</v>
      </c>
      <c r="O2204" t="inlineStr">
        <is>
          <t>GST on Income</t>
        </is>
      </c>
      <c r="P2204" t="inlineStr">
        <is>
          <t>R03</t>
        </is>
      </c>
      <c r="Q2204" t="inlineStr">
        <is>
          <t>HIRE-FP</t>
        </is>
      </c>
      <c r="R2204">
        <f>IF(OR(Q2204="CONTEXT",Q2204="REVIEW"),"",INDEX('Category Rules'!$D$5:$D$17,MATCH(P2204,'Category Rules'!$A$5:$A$17,0)))</f>
        <v>4010</v>
      </c>
      <c r="S2204" t="str">
        <f>IF(Q2204="CONTEXT","Fencing",IF(Q2204="REVIEW","",INDEX('Category Rules'!$E$5:$E$17,MATCH(P2204,'Category Rules'!$A$5:$A$17,0))))</f>
        <v>Fencing</v>
      </c>
      <c r="T2204" t="str">
        <f>IF(Q2204="DEP","BAS Excluded","GST on Income")</f>
        <v>GST on Income</v>
      </c>
      <c r="U2204">
        <f>IF(O2204=T2204,1,0)</f>
        <v>1</v>
      </c>
      <c r="V2204" s="9">
        <f>IF(OR(M2204=0,U2204=1),0,IF(T2204="GST on Income",ROUND(K2204*0.1,2),ROUND(-K2204*0.1,2)))</f>
        <v>0</v>
      </c>
    </row>
    <row r="2205">
      <c r="A2205" t="inlineStr">
        <is>
          <t>INV-4482-1</t>
        </is>
      </c>
      <c r="B2205" t="inlineStr">
        <is>
          <t>INV-4482</t>
        </is>
      </c>
      <c r="C2205" s="11" t="n">
        <v>46162</v>
      </c>
      <c r="D2205" t="inlineStr">
        <is>
          <t>2026-05</t>
        </is>
      </c>
      <c r="E2205" t="inlineStr">
        <is>
          <t>C0038</t>
        </is>
      </c>
      <c r="F2205" t="inlineStr">
        <is>
          <t>C0038</t>
        </is>
      </c>
      <c r="G2205" t="inlineStr">
        <is>
          <t>Cobalt Constructions Pty Ltd</t>
        </is>
      </c>
      <c r="H2205" t="inlineStr">
        <is>
          <t>S0078</t>
        </is>
      </c>
      <c r="I2205" t="inlineStr">
        <is>
          <t>Collection and dismantle - temporary fencing</t>
        </is>
      </c>
      <c r="J2205" t="n">
        <v>1</v>
      </c>
      <c r="K2205" s="9" t="n">
        <v>165</v>
      </c>
      <c r="L2205" t="inlineStr">
        <is>
          <t>AUTHORISED</t>
        </is>
      </c>
      <c r="M2205">
        <f>IF(L2205="VOIDED",0,1)</f>
        <v>1</v>
      </c>
      <c r="N2205" t="n">
        <v>200</v>
      </c>
      <c r="O2205" t="inlineStr">
        <is>
          <t>GST on Income</t>
        </is>
      </c>
      <c r="P2205" t="inlineStr">
        <is>
          <t>R07</t>
        </is>
      </c>
      <c r="Q2205" t="inlineStr">
        <is>
          <t>DEL-FP</t>
        </is>
      </c>
      <c r="R2205">
        <f>IF(OR(Q2205="CONTEXT",Q2205="REVIEW"),"",INDEX('Category Rules'!$D$5:$D$17,MATCH(P2205,'Category Rules'!$A$5:$A$17,0)))</f>
        <v>4020</v>
      </c>
      <c r="S2205" t="str">
        <f>IF(Q2205="CONTEXT","Fencing",IF(Q2205="REVIEW","",INDEX('Category Rules'!$E$5:$E$17,MATCH(P2205,'Category Rules'!$A$5:$A$17,0))))</f>
        <v>Fencing</v>
      </c>
      <c r="T2205" t="str">
        <f>IF(Q2205="DEP","BAS Excluded","GST on Income")</f>
        <v>GST on Income</v>
      </c>
      <c r="U2205">
        <f>IF(O2205=T2205,1,0)</f>
        <v>1</v>
      </c>
      <c r="V2205" s="9">
        <f>IF(OR(M2205=0,U2205=1),0,IF(T2205="GST on Income",ROUND(K2205*0.1,2),ROUND(-K2205*0.1,2)))</f>
        <v>0</v>
      </c>
    </row>
    <row r="2206">
      <c r="A2206" t="inlineStr">
        <is>
          <t>INV-4482-2</t>
        </is>
      </c>
      <c r="B2206" t="inlineStr">
        <is>
          <t>INV-4482</t>
        </is>
      </c>
      <c r="C2206" s="11" t="n">
        <v>46162</v>
      </c>
      <c r="D2206" t="inlineStr">
        <is>
          <t>2026-05</t>
        </is>
      </c>
      <c r="E2206" t="inlineStr">
        <is>
          <t>C0038</t>
        </is>
      </c>
      <c r="F2206" t="inlineStr">
        <is>
          <t>C0038</t>
        </is>
      </c>
      <c r="G2206" t="inlineStr">
        <is>
          <t>Cobalt Constructions Pty Ltd</t>
        </is>
      </c>
      <c r="H2206" t="inlineStr">
        <is>
          <t>S0078</t>
        </is>
      </c>
      <c r="I2206" t="inlineStr">
        <is>
          <t>Lost/damaged panels charged - 6 @ 145.00</t>
        </is>
      </c>
      <c r="J2206" t="n">
        <v>6</v>
      </c>
      <c r="K2206" s="9" t="n">
        <v>870</v>
      </c>
      <c r="L2206" t="inlineStr">
        <is>
          <t>AUTHORISED</t>
        </is>
      </c>
      <c r="M2206">
        <f>IF(L2206="VOIDED",0,1)</f>
        <v>1</v>
      </c>
      <c r="N2206" t="n">
        <v>200</v>
      </c>
      <c r="O2206" t="inlineStr">
        <is>
          <t>GST on Income</t>
        </is>
      </c>
      <c r="P2206" t="inlineStr">
        <is>
          <t>R02</t>
        </is>
      </c>
      <c r="Q2206" t="inlineStr">
        <is>
          <t>LOSS</t>
        </is>
      </c>
      <c r="R2206">
        <f>IF(OR(Q2206="CONTEXT",Q2206="REVIEW"),"",INDEX('Category Rules'!$D$5:$D$17,MATCH(P2206,'Category Rules'!$A$5:$A$17,0)))</f>
        <v>4040</v>
      </c>
      <c r="S2206" t="str">
        <f>IF(Q2206="CONTEXT","Fencing",IF(Q2206="REVIEW","",INDEX('Category Rules'!$E$5:$E$17,MATCH(P2206,'Category Rules'!$A$5:$A$17,0))))</f>
        <v>Fencing</v>
      </c>
      <c r="T2206" t="str">
        <f>IF(Q2206="DEP","BAS Excluded","GST on Income")</f>
        <v>GST on Income</v>
      </c>
      <c r="U2206">
        <f>IF(O2206=T2206,1,0)</f>
        <v>1</v>
      </c>
      <c r="V2206" s="9">
        <f>IF(OR(M2206=0,U2206=1),0,IF(T2206="GST on Income",ROUND(K2206*0.1,2),ROUND(-K2206*0.1,2)))</f>
        <v>0</v>
      </c>
    </row>
    <row r="2207">
      <c r="A2207" t="inlineStr">
        <is>
          <t>INV-4600-1</t>
        </is>
      </c>
      <c r="B2207" t="inlineStr">
        <is>
          <t>INV-4600</t>
        </is>
      </c>
      <c r="C2207" s="11" t="n">
        <v>46162</v>
      </c>
      <c r="D2207" t="inlineStr">
        <is>
          <t>2026-05</t>
        </is>
      </c>
      <c r="E2207" t="inlineStr">
        <is>
          <t>C0027</t>
        </is>
      </c>
      <c r="F2207" t="inlineStr">
        <is>
          <t>C0027</t>
        </is>
      </c>
      <c r="G2207" t="inlineStr">
        <is>
          <t>Metro Projects Pty Ltd</t>
        </is>
      </c>
      <c r="H2207" t="inlineStr">
        <is>
          <t>S0100</t>
        </is>
      </c>
      <c r="I2207" t="inlineStr">
        <is>
          <t>Temporary fence hire 4 wks (22/04/26-19/05/26) - 141 panels</t>
        </is>
      </c>
      <c r="J2207" t="n">
        <v>564</v>
      </c>
      <c r="K2207" s="9" t="n">
        <v>2538</v>
      </c>
      <c r="L2207" t="inlineStr">
        <is>
          <t>PAID</t>
        </is>
      </c>
      <c r="M2207">
        <f>IF(L2207="VOIDED",0,1)</f>
        <v>1</v>
      </c>
      <c r="N2207" t="n">
        <v>200</v>
      </c>
      <c r="O2207" t="inlineStr">
        <is>
          <t>GST Free Income</t>
        </is>
      </c>
      <c r="P2207" t="inlineStr">
        <is>
          <t>R03</t>
        </is>
      </c>
      <c r="Q2207" t="inlineStr">
        <is>
          <t>HIRE-FP</t>
        </is>
      </c>
      <c r="R2207">
        <f>IF(OR(Q2207="CONTEXT",Q2207="REVIEW"),"",INDEX('Category Rules'!$D$5:$D$17,MATCH(P2207,'Category Rules'!$A$5:$A$17,0)))</f>
        <v>4010</v>
      </c>
      <c r="S2207" t="str">
        <f>IF(Q2207="CONTEXT","Fencing",IF(Q2207="REVIEW","",INDEX('Category Rules'!$E$5:$E$17,MATCH(P2207,'Category Rules'!$A$5:$A$17,0))))</f>
        <v>Fencing</v>
      </c>
      <c r="T2207" t="str">
        <f>IF(Q2207="DEP","BAS Excluded","GST on Income")</f>
        <v>GST on Income</v>
      </c>
      <c r="U2207">
        <f>IF(O2207=T2207,1,0)</f>
        <v>0</v>
      </c>
      <c r="V2207" s="9">
        <f>IF(OR(M2207=0,U2207=1),0,IF(T2207="GST on Income",ROUND(K2207*0.1,2),ROUND(-K2207*0.1,2)))</f>
        <v>253.8</v>
      </c>
    </row>
    <row r="2208">
      <c r="A2208" t="inlineStr">
        <is>
          <t>INV-4605-1</t>
        </is>
      </c>
      <c r="B2208" t="inlineStr">
        <is>
          <t>INV-4605</t>
        </is>
      </c>
      <c r="C2208" s="11" t="n">
        <v>46162</v>
      </c>
      <c r="D2208" t="inlineStr">
        <is>
          <t>2026-05</t>
        </is>
      </c>
      <c r="E2208" t="inlineStr">
        <is>
          <t>C0027</t>
        </is>
      </c>
      <c r="F2208" t="inlineStr">
        <is>
          <t>C0027</t>
        </is>
      </c>
      <c r="G2208" t="inlineStr">
        <is>
          <t>Metro Projects Pty Ltd</t>
        </is>
      </c>
      <c r="H2208" t="inlineStr">
        <is>
          <t>S0100</t>
        </is>
      </c>
      <c r="I2208" t="inlineStr">
        <is>
          <t>Pedestrian barrier hire 4 wks (22/04/26-19/05/26) - 14 barriers</t>
        </is>
      </c>
      <c r="J2208" t="n">
        <v>56</v>
      </c>
      <c r="K2208" s="9" t="n">
        <v>179.2</v>
      </c>
      <c r="L2208" t="inlineStr">
        <is>
          <t>AUTHORISED</t>
        </is>
      </c>
      <c r="M2208">
        <f>IF(L2208="VOIDED",0,1)</f>
        <v>1</v>
      </c>
      <c r="N2208" t="n">
        <v>200</v>
      </c>
      <c r="O2208" t="inlineStr">
        <is>
          <t>GST Free Income</t>
        </is>
      </c>
      <c r="P2208" t="inlineStr">
        <is>
          <t>R04</t>
        </is>
      </c>
      <c r="Q2208" t="inlineStr">
        <is>
          <t>HIRE-BR</t>
        </is>
      </c>
      <c r="R2208">
        <f>IF(OR(Q2208="CONTEXT",Q2208="REVIEW"),"",INDEX('Category Rules'!$D$5:$D$17,MATCH(P2208,'Category Rules'!$A$5:$A$17,0)))</f>
        <v>4010</v>
      </c>
      <c r="S2208" t="str">
        <f>IF(Q2208="CONTEXT","Fencing",IF(Q2208="REVIEW","",INDEX('Category Rules'!$E$5:$E$17,MATCH(P2208,'Category Rules'!$A$5:$A$17,0))))</f>
        <v>Fencing</v>
      </c>
      <c r="T2208" t="str">
        <f>IF(Q2208="DEP","BAS Excluded","GST on Income")</f>
        <v>GST on Income</v>
      </c>
      <c r="U2208">
        <f>IF(O2208=T2208,1,0)</f>
        <v>0</v>
      </c>
      <c r="V2208" s="9">
        <f>IF(OR(M2208=0,U2208=1),0,IF(T2208="GST on Income",ROUND(K2208*0.1,2),ROUND(-K2208*0.1,2)))</f>
        <v>17.92</v>
      </c>
    </row>
    <row r="2209">
      <c r="A2209" t="inlineStr">
        <is>
          <t>INV-5690-1</t>
        </is>
      </c>
      <c r="B2209" t="inlineStr">
        <is>
          <t>INV-5690</t>
        </is>
      </c>
      <c r="C2209" s="11" t="n">
        <v>46162</v>
      </c>
      <c r="D2209" t="inlineStr">
        <is>
          <t>2026-05</t>
        </is>
      </c>
      <c r="E2209" t="inlineStr">
        <is>
          <t>C0065</t>
        </is>
      </c>
      <c r="F2209" t="inlineStr">
        <is>
          <t>C0065</t>
        </is>
      </c>
      <c r="G2209" t="inlineStr">
        <is>
          <t>Stonebridge Claims Services</t>
        </is>
      </c>
      <c r="H2209" t="inlineStr">
        <is>
          <t>S0429</t>
        </is>
      </c>
      <c r="I2209" t="inlineStr">
        <is>
          <t>Tarp kit hire 1 wks (19/05/26-19/05/26) - 3 kits</t>
        </is>
      </c>
      <c r="J2209" t="n">
        <v>3</v>
      </c>
      <c r="K2209" s="9" t="n">
        <v>105</v>
      </c>
      <c r="L2209" t="inlineStr">
        <is>
          <t>AUTHORISED</t>
        </is>
      </c>
      <c r="M2209">
        <f>IF(L2209="VOIDED",0,1)</f>
        <v>1</v>
      </c>
      <c r="N2209" t="n">
        <v>200</v>
      </c>
      <c r="O2209" t="inlineStr">
        <is>
          <t>BAS Excluded</t>
        </is>
      </c>
      <c r="P2209" t="inlineStr">
        <is>
          <t>R06</t>
        </is>
      </c>
      <c r="Q2209" t="inlineStr">
        <is>
          <t>HIRE-TK</t>
        </is>
      </c>
      <c r="R2209">
        <f>IF(OR(Q2209="CONTEXT",Q2209="REVIEW"),"",INDEX('Category Rules'!$D$5:$D$17,MATCH(P2209,'Category Rules'!$A$5:$A$17,0)))</f>
        <v>4010</v>
      </c>
      <c r="S2209" t="str">
        <f>IF(Q2209="CONTEXT","Make-safe",IF(Q2209="REVIEW","",INDEX('Category Rules'!$E$5:$E$17,MATCH(P2209,'Category Rules'!$A$5:$A$17,0))))</f>
        <v>Make-safe</v>
      </c>
      <c r="T2209" t="str">
        <f>IF(Q2209="DEP","BAS Excluded","GST on Income")</f>
        <v>GST on Income</v>
      </c>
      <c r="U2209">
        <f>IF(O2209=T2209,1,0)</f>
        <v>0</v>
      </c>
      <c r="V2209" s="9">
        <f>IF(OR(M2209=0,U2209=1),0,IF(T2209="GST on Income",ROUND(K2209*0.1,2),ROUND(-K2209*0.1,2)))</f>
        <v>10.5</v>
      </c>
    </row>
    <row r="2210">
      <c r="A2210" t="inlineStr">
        <is>
          <t>INV-4149-1</t>
        </is>
      </c>
      <c r="B2210" t="inlineStr">
        <is>
          <t>INV-4149</t>
        </is>
      </c>
      <c r="C2210" s="11" t="n">
        <v>46163</v>
      </c>
      <c r="D2210" t="inlineStr">
        <is>
          <t>2026-05</t>
        </is>
      </c>
      <c r="E2210" t="inlineStr">
        <is>
          <t>C0133</t>
        </is>
      </c>
      <c r="F2210" t="inlineStr">
        <is>
          <t>C0014</t>
        </is>
      </c>
      <c r="G2210" t="inlineStr">
        <is>
          <t>Riverbend Homes Pty Ltd</t>
        </is>
      </c>
      <c r="H2210" t="inlineStr">
        <is>
          <t>S0009</t>
        </is>
      </c>
      <c r="I2210" t="inlineStr">
        <is>
          <t>Delivery and installation - temporary fencing</t>
        </is>
      </c>
      <c r="J2210" t="n">
        <v>1</v>
      </c>
      <c r="K2210" s="9" t="n">
        <v>165</v>
      </c>
      <c r="L2210" t="inlineStr">
        <is>
          <t>PAID</t>
        </is>
      </c>
      <c r="M2210">
        <f>IF(L2210="VOIDED",0,1)</f>
        <v>1</v>
      </c>
      <c r="N2210" t="n">
        <v>200</v>
      </c>
      <c r="O2210" t="inlineStr">
        <is>
          <t>GST on Income</t>
        </is>
      </c>
      <c r="P2210" t="inlineStr">
        <is>
          <t>R07</t>
        </is>
      </c>
      <c r="Q2210" t="inlineStr">
        <is>
          <t>DEL-FP</t>
        </is>
      </c>
      <c r="R2210">
        <f>IF(OR(Q2210="CONTEXT",Q2210="REVIEW"),"",INDEX('Category Rules'!$D$5:$D$17,MATCH(P2210,'Category Rules'!$A$5:$A$17,0)))</f>
        <v>4020</v>
      </c>
      <c r="S2210" t="str">
        <f>IF(Q2210="CONTEXT","Fencing",IF(Q2210="REVIEW","",INDEX('Category Rules'!$E$5:$E$17,MATCH(P2210,'Category Rules'!$A$5:$A$17,0))))</f>
        <v>Fencing</v>
      </c>
      <c r="T2210" t="str">
        <f>IF(Q2210="DEP","BAS Excluded","GST on Income")</f>
        <v>GST on Income</v>
      </c>
      <c r="U2210">
        <f>IF(O2210=T2210,1,0)</f>
        <v>1</v>
      </c>
      <c r="V2210" s="9">
        <f>IF(OR(M2210=0,U2210=1),0,IF(T2210="GST on Income",ROUND(K2210*0.1,2),ROUND(-K2210*0.1,2)))</f>
        <v>0</v>
      </c>
    </row>
    <row r="2211">
      <c r="A2211" t="inlineStr">
        <is>
          <t>INV-4149-2</t>
        </is>
      </c>
      <c r="B2211" t="inlineStr">
        <is>
          <t>INV-4149</t>
        </is>
      </c>
      <c r="C2211" s="11" t="n">
        <v>46163</v>
      </c>
      <c r="D2211" t="inlineStr">
        <is>
          <t>2026-05</t>
        </is>
      </c>
      <c r="E2211" t="inlineStr">
        <is>
          <t>C0133</t>
        </is>
      </c>
      <c r="F2211" t="inlineStr">
        <is>
          <t>C0014</t>
        </is>
      </c>
      <c r="G2211" t="inlineStr">
        <is>
          <t>Riverbend Homes Pty Ltd</t>
        </is>
      </c>
      <c r="H2211" t="inlineStr">
        <is>
          <t>S0009</t>
        </is>
      </c>
      <c r="I2211" t="inlineStr">
        <is>
          <t>Installation labour - 43 panels @ 2.20</t>
        </is>
      </c>
      <c r="J2211" t="n">
        <v>43</v>
      </c>
      <c r="K2211" s="9" t="n">
        <v>94.59999999999999</v>
      </c>
      <c r="L2211" t="inlineStr">
        <is>
          <t>PAID</t>
        </is>
      </c>
      <c r="M2211">
        <f>IF(L2211="VOIDED",0,1)</f>
        <v>1</v>
      </c>
      <c r="N2211" t="n">
        <v>200</v>
      </c>
      <c r="O2211" t="inlineStr">
        <is>
          <t>GST on Income</t>
        </is>
      </c>
      <c r="P2211" t="inlineStr">
        <is>
          <t>R07</t>
        </is>
      </c>
      <c r="Q2211" t="inlineStr">
        <is>
          <t>DEL-FP</t>
        </is>
      </c>
      <c r="R2211">
        <f>IF(OR(Q2211="CONTEXT",Q2211="REVIEW"),"",INDEX('Category Rules'!$D$5:$D$17,MATCH(P2211,'Category Rules'!$A$5:$A$17,0)))</f>
        <v>4020</v>
      </c>
      <c r="S2211" t="str">
        <f>IF(Q2211="CONTEXT","Fencing",IF(Q2211="REVIEW","",INDEX('Category Rules'!$E$5:$E$17,MATCH(P2211,'Category Rules'!$A$5:$A$17,0))))</f>
        <v>Fencing</v>
      </c>
      <c r="T2211" t="str">
        <f>IF(Q2211="DEP","BAS Excluded","GST on Income")</f>
        <v>GST on Income</v>
      </c>
      <c r="U2211">
        <f>IF(O2211=T2211,1,0)</f>
        <v>1</v>
      </c>
      <c r="V2211" s="9">
        <f>IF(OR(M2211=0,U2211=1),0,IF(T2211="GST on Income",ROUND(K2211*0.1,2),ROUND(-K2211*0.1,2)))</f>
        <v>0</v>
      </c>
    </row>
    <row r="2212">
      <c r="A2212" t="inlineStr">
        <is>
          <t>INV-4653-1</t>
        </is>
      </c>
      <c r="B2212" t="inlineStr">
        <is>
          <t>INV-4653</t>
        </is>
      </c>
      <c r="C2212" s="11" t="n">
        <v>46163</v>
      </c>
      <c r="D2212" t="inlineStr">
        <is>
          <t>2026-05</t>
        </is>
      </c>
      <c r="E2212" t="inlineStr">
        <is>
          <t>C0079</t>
        </is>
      </c>
      <c r="F2212" t="inlineStr">
        <is>
          <t>C0079</t>
        </is>
      </c>
      <c r="G2212" t="inlineStr">
        <is>
          <t>Kestrel Events Pty Ltd</t>
        </is>
      </c>
      <c r="H2212" t="inlineStr">
        <is>
          <t>S0112</t>
        </is>
      </c>
      <c r="I2212" t="inlineStr">
        <is>
          <t>Temporary fence hire 3 wks (06/05/26-20/05/26) - 113 panels</t>
        </is>
      </c>
      <c r="J2212" t="n">
        <v>339</v>
      </c>
      <c r="K2212" s="9" t="n">
        <v>1525.5</v>
      </c>
      <c r="L2212" t="inlineStr">
        <is>
          <t>AUTHORISED</t>
        </is>
      </c>
      <c r="M2212">
        <f>IF(L2212="VOIDED",0,1)</f>
        <v>1</v>
      </c>
      <c r="N2212" t="n">
        <v>200</v>
      </c>
      <c r="O2212" t="inlineStr">
        <is>
          <t>GST on Income</t>
        </is>
      </c>
      <c r="P2212" t="inlineStr">
        <is>
          <t>R03</t>
        </is>
      </c>
      <c r="Q2212" t="inlineStr">
        <is>
          <t>HIRE-FP</t>
        </is>
      </c>
      <c r="R2212">
        <f>IF(OR(Q2212="CONTEXT",Q2212="REVIEW"),"",INDEX('Category Rules'!$D$5:$D$17,MATCH(P2212,'Category Rules'!$A$5:$A$17,0)))</f>
        <v>4010</v>
      </c>
      <c r="S2212" t="str">
        <f>IF(Q2212="CONTEXT","Fencing",IF(Q2212="REVIEW","",INDEX('Category Rules'!$E$5:$E$17,MATCH(P2212,'Category Rules'!$A$5:$A$17,0))))</f>
        <v>Fencing</v>
      </c>
      <c r="T2212" t="str">
        <f>IF(Q2212="DEP","BAS Excluded","GST on Income")</f>
        <v>GST on Income</v>
      </c>
      <c r="U2212">
        <f>IF(O2212=T2212,1,0)</f>
        <v>1</v>
      </c>
      <c r="V2212" s="9">
        <f>IF(OR(M2212=0,U2212=1),0,IF(T2212="GST on Income",ROUND(K2212*0.1,2),ROUND(-K2212*0.1,2)))</f>
        <v>0</v>
      </c>
    </row>
    <row r="2213">
      <c r="A2213" t="inlineStr">
        <is>
          <t>INV-4655-1</t>
        </is>
      </c>
      <c r="B2213" t="inlineStr">
        <is>
          <t>INV-4655</t>
        </is>
      </c>
      <c r="C2213" s="11" t="n">
        <v>46163</v>
      </c>
      <c r="D2213" t="inlineStr">
        <is>
          <t>2026-05</t>
        </is>
      </c>
      <c r="E2213" t="inlineStr">
        <is>
          <t>C0079</t>
        </is>
      </c>
      <c r="F2213" t="inlineStr">
        <is>
          <t>C0079</t>
        </is>
      </c>
      <c r="G2213" t="inlineStr">
        <is>
          <t>Kestrel Events Pty Ltd</t>
        </is>
      </c>
      <c r="H2213" t="inlineStr">
        <is>
          <t>S0112</t>
        </is>
      </c>
      <c r="I2213" t="inlineStr">
        <is>
          <t>Collection and dismantle - temporary fencing</t>
        </is>
      </c>
      <c r="J2213" t="n">
        <v>1</v>
      </c>
      <c r="K2213" s="9" t="n">
        <v>165</v>
      </c>
      <c r="L2213" t="inlineStr">
        <is>
          <t>AUTHORISED</t>
        </is>
      </c>
      <c r="M2213">
        <f>IF(L2213="VOIDED",0,1)</f>
        <v>1</v>
      </c>
      <c r="N2213" t="n">
        <v>200</v>
      </c>
      <c r="O2213" t="inlineStr">
        <is>
          <t>GST on Income</t>
        </is>
      </c>
      <c r="P2213" t="inlineStr">
        <is>
          <t>R07</t>
        </is>
      </c>
      <c r="Q2213" t="inlineStr">
        <is>
          <t>DEL-FP</t>
        </is>
      </c>
      <c r="R2213">
        <f>IF(OR(Q2213="CONTEXT",Q2213="REVIEW"),"",INDEX('Category Rules'!$D$5:$D$17,MATCH(P2213,'Category Rules'!$A$5:$A$17,0)))</f>
        <v>4020</v>
      </c>
      <c r="S2213" t="str">
        <f>IF(Q2213="CONTEXT","Fencing",IF(Q2213="REVIEW","",INDEX('Category Rules'!$E$5:$E$17,MATCH(P2213,'Category Rules'!$A$5:$A$17,0))))</f>
        <v>Fencing</v>
      </c>
      <c r="T2213" t="str">
        <f>IF(Q2213="DEP","BAS Excluded","GST on Income")</f>
        <v>GST on Income</v>
      </c>
      <c r="U2213">
        <f>IF(O2213=T2213,1,0)</f>
        <v>1</v>
      </c>
      <c r="V2213" s="9">
        <f>IF(OR(M2213=0,U2213=1),0,IF(T2213="GST on Income",ROUND(K2213*0.1,2),ROUND(-K2213*0.1,2)))</f>
        <v>0</v>
      </c>
    </row>
    <row r="2214">
      <c r="A2214" t="inlineStr">
        <is>
          <t>INV-4740-1</t>
        </is>
      </c>
      <c r="B2214" t="inlineStr">
        <is>
          <t>INV-4740</t>
        </is>
      </c>
      <c r="C2214" s="11" t="n">
        <v>46163</v>
      </c>
      <c r="D2214" t="inlineStr">
        <is>
          <t>2026-05</t>
        </is>
      </c>
      <c r="E2214" t="inlineStr">
        <is>
          <t>C0120</t>
        </is>
      </c>
      <c r="F2214" t="inlineStr">
        <is>
          <t>C0120</t>
        </is>
      </c>
      <c r="G2214" t="inlineStr">
        <is>
          <t>Northgate Building Group</t>
        </is>
      </c>
      <c r="H2214" t="inlineStr">
        <is>
          <t>S0134</t>
        </is>
      </c>
      <c r="I2214" t="inlineStr">
        <is>
          <t>Temporary fence hire 4 wks (23/04/26-20/05/26) - 117 panels</t>
        </is>
      </c>
      <c r="J2214" t="n">
        <v>468</v>
      </c>
      <c r="K2214" s="9" t="n">
        <v>2106</v>
      </c>
      <c r="L2214" t="inlineStr">
        <is>
          <t>AUTHORISED</t>
        </is>
      </c>
      <c r="M2214">
        <f>IF(L2214="VOIDED",0,1)</f>
        <v>1</v>
      </c>
      <c r="N2214" t="n">
        <v>200</v>
      </c>
      <c r="O2214" t="inlineStr">
        <is>
          <t>GST on Income</t>
        </is>
      </c>
      <c r="P2214" t="inlineStr">
        <is>
          <t>R03</t>
        </is>
      </c>
      <c r="Q2214" t="inlineStr">
        <is>
          <t>HIRE-FP</t>
        </is>
      </c>
      <c r="R2214">
        <f>IF(OR(Q2214="CONTEXT",Q2214="REVIEW"),"",INDEX('Category Rules'!$D$5:$D$17,MATCH(P2214,'Category Rules'!$A$5:$A$17,0)))</f>
        <v>4010</v>
      </c>
      <c r="S2214" t="str">
        <f>IF(Q2214="CONTEXT","Fencing",IF(Q2214="REVIEW","",INDEX('Category Rules'!$E$5:$E$17,MATCH(P2214,'Category Rules'!$A$5:$A$17,0))))</f>
        <v>Fencing</v>
      </c>
      <c r="T2214" t="str">
        <f>IF(Q2214="DEP","BAS Excluded","GST on Income")</f>
        <v>GST on Income</v>
      </c>
      <c r="U2214">
        <f>IF(O2214=T2214,1,0)</f>
        <v>1</v>
      </c>
      <c r="V2214" s="9">
        <f>IF(OR(M2214=0,U2214=1),0,IF(T2214="GST on Income",ROUND(K2214*0.1,2),ROUND(-K2214*0.1,2)))</f>
        <v>0</v>
      </c>
    </row>
    <row r="2215">
      <c r="A2215" t="inlineStr">
        <is>
          <t>INV-4869-1</t>
        </is>
      </c>
      <c r="B2215" t="inlineStr">
        <is>
          <t>INV-4869</t>
        </is>
      </c>
      <c r="C2215" s="11" t="n">
        <v>46163</v>
      </c>
      <c r="D2215" t="inlineStr">
        <is>
          <t>2026-05</t>
        </is>
      </c>
      <c r="E2215" t="inlineStr">
        <is>
          <t>C0022</t>
        </is>
      </c>
      <c r="F2215" t="inlineStr">
        <is>
          <t>C0022</t>
        </is>
      </c>
      <c r="G2215" t="inlineStr">
        <is>
          <t>Highpoint Projects</t>
        </is>
      </c>
      <c r="H2215" t="inlineStr">
        <is>
          <t>S0162</t>
        </is>
      </c>
      <c r="I2215" t="inlineStr">
        <is>
          <t>Temporary fence hire 4 wks (23/04/26-20/05/26) - 39 panels</t>
        </is>
      </c>
      <c r="J2215" t="n">
        <v>156</v>
      </c>
      <c r="K2215" s="9" t="n">
        <v>702</v>
      </c>
      <c r="L2215" t="inlineStr">
        <is>
          <t>AUTHORISED</t>
        </is>
      </c>
      <c r="M2215">
        <f>IF(L2215="VOIDED",0,1)</f>
        <v>1</v>
      </c>
      <c r="N2215" t="n">
        <v>200</v>
      </c>
      <c r="O2215" t="inlineStr">
        <is>
          <t>GST on Income</t>
        </is>
      </c>
      <c r="P2215" t="inlineStr">
        <is>
          <t>R03</t>
        </is>
      </c>
      <c r="Q2215" t="inlineStr">
        <is>
          <t>HIRE-FP</t>
        </is>
      </c>
      <c r="R2215">
        <f>IF(OR(Q2215="CONTEXT",Q2215="REVIEW"),"",INDEX('Category Rules'!$D$5:$D$17,MATCH(P2215,'Category Rules'!$A$5:$A$17,0)))</f>
        <v>4010</v>
      </c>
      <c r="S2215" t="str">
        <f>IF(Q2215="CONTEXT","Fencing",IF(Q2215="REVIEW","",INDEX('Category Rules'!$E$5:$E$17,MATCH(P2215,'Category Rules'!$A$5:$A$17,0))))</f>
        <v>Fencing</v>
      </c>
      <c r="T2215" t="str">
        <f>IF(Q2215="DEP","BAS Excluded","GST on Income")</f>
        <v>GST on Income</v>
      </c>
      <c r="U2215">
        <f>IF(O2215=T2215,1,0)</f>
        <v>1</v>
      </c>
      <c r="V2215" s="9">
        <f>IF(OR(M2215=0,U2215=1),0,IF(T2215="GST on Income",ROUND(K2215*0.1,2),ROUND(-K2215*0.1,2)))</f>
        <v>0</v>
      </c>
    </row>
    <row r="2216">
      <c r="A2216" t="inlineStr">
        <is>
          <t>INV-4914-1</t>
        </is>
      </c>
      <c r="B2216" t="inlineStr">
        <is>
          <t>INV-4914</t>
        </is>
      </c>
      <c r="C2216" s="11" t="n">
        <v>46163</v>
      </c>
      <c r="D2216" t="inlineStr">
        <is>
          <t>2026-05</t>
        </is>
      </c>
      <c r="E2216" t="inlineStr">
        <is>
          <t>C0102</t>
        </is>
      </c>
      <c r="F2216" t="inlineStr">
        <is>
          <t>C0102</t>
        </is>
      </c>
      <c r="G2216" t="inlineStr">
        <is>
          <t>Arjun Doyle</t>
        </is>
      </c>
      <c r="H2216" t="inlineStr">
        <is>
          <t>S0171</t>
        </is>
      </c>
      <c r="I2216" t="inlineStr">
        <is>
          <t>Delivery and installation - temporary fencing</t>
        </is>
      </c>
      <c r="J2216" t="n">
        <v>1</v>
      </c>
      <c r="K2216" s="9" t="n">
        <v>165</v>
      </c>
      <c r="L2216" t="inlineStr">
        <is>
          <t>PAID</t>
        </is>
      </c>
      <c r="M2216">
        <f>IF(L2216="VOIDED",0,1)</f>
        <v>1</v>
      </c>
      <c r="N2216" t="n">
        <v>200</v>
      </c>
      <c r="O2216" t="inlineStr">
        <is>
          <t>GST on Income</t>
        </is>
      </c>
      <c r="P2216" t="inlineStr">
        <is>
          <t>R07</t>
        </is>
      </c>
      <c r="Q2216" t="inlineStr">
        <is>
          <t>DEL-FP</t>
        </is>
      </c>
      <c r="R2216">
        <f>IF(OR(Q2216="CONTEXT",Q2216="REVIEW"),"",INDEX('Category Rules'!$D$5:$D$17,MATCH(P2216,'Category Rules'!$A$5:$A$17,0)))</f>
        <v>4020</v>
      </c>
      <c r="S2216" t="str">
        <f>IF(Q2216="CONTEXT","Fencing",IF(Q2216="REVIEW","",INDEX('Category Rules'!$E$5:$E$17,MATCH(P2216,'Category Rules'!$A$5:$A$17,0))))</f>
        <v>Fencing</v>
      </c>
      <c r="T2216" t="str">
        <f>IF(Q2216="DEP","BAS Excluded","GST on Income")</f>
        <v>GST on Income</v>
      </c>
      <c r="U2216">
        <f>IF(O2216=T2216,1,0)</f>
        <v>1</v>
      </c>
      <c r="V2216" s="9">
        <f>IF(OR(M2216=0,U2216=1),0,IF(T2216="GST on Income",ROUND(K2216*0.1,2),ROUND(-K2216*0.1,2)))</f>
        <v>0</v>
      </c>
    </row>
    <row r="2217">
      <c r="A2217" t="inlineStr">
        <is>
          <t>INV-4914-2</t>
        </is>
      </c>
      <c r="B2217" t="inlineStr">
        <is>
          <t>INV-4914</t>
        </is>
      </c>
      <c r="C2217" s="11" t="n">
        <v>46163</v>
      </c>
      <c r="D2217" t="inlineStr">
        <is>
          <t>2026-05</t>
        </is>
      </c>
      <c r="E2217" t="inlineStr">
        <is>
          <t>C0102</t>
        </is>
      </c>
      <c r="F2217" t="inlineStr">
        <is>
          <t>C0102</t>
        </is>
      </c>
      <c r="G2217" t="inlineStr">
        <is>
          <t>Arjun Doyle</t>
        </is>
      </c>
      <c r="H2217" t="inlineStr">
        <is>
          <t>S0171</t>
        </is>
      </c>
      <c r="I2217" t="inlineStr">
        <is>
          <t>Installation labour - 82 panels @ 2.20</t>
        </is>
      </c>
      <c r="J2217" t="n">
        <v>82</v>
      </c>
      <c r="K2217" s="9" t="n">
        <v>180.4</v>
      </c>
      <c r="L2217" t="inlineStr">
        <is>
          <t>PAID</t>
        </is>
      </c>
      <c r="M2217">
        <f>IF(L2217="VOIDED",0,1)</f>
        <v>1</v>
      </c>
      <c r="N2217" t="n">
        <v>200</v>
      </c>
      <c r="O2217" t="inlineStr">
        <is>
          <t>GST on Income</t>
        </is>
      </c>
      <c r="P2217" t="inlineStr">
        <is>
          <t>R07</t>
        </is>
      </c>
      <c r="Q2217" t="inlineStr">
        <is>
          <t>DEL-FP</t>
        </is>
      </c>
      <c r="R2217">
        <f>IF(OR(Q2217="CONTEXT",Q2217="REVIEW"),"",INDEX('Category Rules'!$D$5:$D$17,MATCH(P2217,'Category Rules'!$A$5:$A$17,0)))</f>
        <v>4020</v>
      </c>
      <c r="S2217" t="str">
        <f>IF(Q2217="CONTEXT","Fencing",IF(Q2217="REVIEW","",INDEX('Category Rules'!$E$5:$E$17,MATCH(P2217,'Category Rules'!$A$5:$A$17,0))))</f>
        <v>Fencing</v>
      </c>
      <c r="T2217" t="str">
        <f>IF(Q2217="DEP","BAS Excluded","GST on Income")</f>
        <v>GST on Income</v>
      </c>
      <c r="U2217">
        <f>IF(O2217=T2217,1,0)</f>
        <v>1</v>
      </c>
      <c r="V2217" s="9">
        <f>IF(OR(M2217=0,U2217=1),0,IF(T2217="GST on Income",ROUND(K2217*0.1,2),ROUND(-K2217*0.1,2)))</f>
        <v>0</v>
      </c>
    </row>
    <row r="2218">
      <c r="A2218" t="inlineStr">
        <is>
          <t>INV-4914-3</t>
        </is>
      </c>
      <c r="B2218" t="inlineStr">
        <is>
          <t>INV-4914</t>
        </is>
      </c>
      <c r="C2218" s="11" t="n">
        <v>46163</v>
      </c>
      <c r="D2218" t="inlineStr">
        <is>
          <t>2026-05</t>
        </is>
      </c>
      <c r="E2218" t="inlineStr">
        <is>
          <t>C0102</t>
        </is>
      </c>
      <c r="F2218" t="inlineStr">
        <is>
          <t>C0102</t>
        </is>
      </c>
      <c r="G2218" t="inlineStr">
        <is>
          <t>Arjun Doyle</t>
        </is>
      </c>
      <c r="H2218" t="inlineStr">
        <is>
          <t>S0171</t>
        </is>
      </c>
      <c r="I2218" t="inlineStr">
        <is>
          <t>Security deposit - fence panels (refundable)</t>
        </is>
      </c>
      <c r="J2218" t="n">
        <v>1</v>
      </c>
      <c r="K2218" s="9" t="n">
        <v>660</v>
      </c>
      <c r="L2218" t="inlineStr">
        <is>
          <t>PAID</t>
        </is>
      </c>
      <c r="M2218">
        <f>IF(L2218="VOIDED",0,1)</f>
        <v>1</v>
      </c>
      <c r="N2218" t="n">
        <v>200</v>
      </c>
      <c r="O2218" t="inlineStr">
        <is>
          <t>GST on Income</t>
        </is>
      </c>
      <c r="P2218" t="inlineStr">
        <is>
          <t>R01</t>
        </is>
      </c>
      <c r="Q2218" t="inlineStr">
        <is>
          <t>DEP</t>
        </is>
      </c>
      <c r="R2218">
        <f>IF(OR(Q2218="CONTEXT",Q2218="REVIEW"),"",INDEX('Category Rules'!$D$5:$D$17,MATCH(P2218,'Category Rules'!$A$5:$A$17,0)))</f>
        <v>835</v>
      </c>
      <c r="S2218" t="str">
        <f>IF(Q2218="CONTEXT","Fencing",IF(Q2218="REVIEW","",INDEX('Category Rules'!$E$5:$E$17,MATCH(P2218,'Category Rules'!$A$5:$A$17,0))))</f>
        <v>Fencing</v>
      </c>
      <c r="T2218" t="str">
        <f>IF(Q2218="DEP","BAS Excluded","GST on Income")</f>
        <v>BAS Excluded</v>
      </c>
      <c r="U2218">
        <f>IF(O2218=T2218,1,0)</f>
        <v>0</v>
      </c>
      <c r="V2218" s="9">
        <f>IF(OR(M2218=0,U2218=1),0,IF(T2218="GST on Income",ROUND(K2218*0.1,2),ROUND(-K2218*0.1,2)))</f>
        <v>-66</v>
      </c>
    </row>
    <row r="2219">
      <c r="A2219" t="inlineStr">
        <is>
          <t>INV-5630-1</t>
        </is>
      </c>
      <c r="B2219" t="inlineStr">
        <is>
          <t>INV-5630</t>
        </is>
      </c>
      <c r="C2219" s="11" t="n">
        <v>46163</v>
      </c>
      <c r="D2219" t="inlineStr">
        <is>
          <t>2026-05</t>
        </is>
      </c>
      <c r="E2219" t="inlineStr">
        <is>
          <t>C0059</t>
        </is>
      </c>
      <c r="F2219" t="inlineStr">
        <is>
          <t>C0059</t>
        </is>
      </c>
      <c r="G2219" t="inlineStr">
        <is>
          <t>Silverleaf Insurance Repairs Pty Ltd</t>
        </is>
      </c>
      <c r="H2219" t="inlineStr">
        <is>
          <t>S0395</t>
        </is>
      </c>
      <c r="I2219" t="inlineStr">
        <is>
          <t>Roof repair labour - 6 hrs</t>
        </is>
      </c>
      <c r="J2219" t="n">
        <v>6</v>
      </c>
      <c r="K2219" s="9" t="n">
        <v>588</v>
      </c>
      <c r="L2219" t="inlineStr">
        <is>
          <t>PAID</t>
        </is>
      </c>
      <c r="M2219">
        <f>IF(L2219="VOIDED",0,1)</f>
        <v>1</v>
      </c>
      <c r="N2219" t="n">
        <v>200</v>
      </c>
      <c r="O2219" t="inlineStr">
        <is>
          <t>GST on Income</t>
        </is>
      </c>
      <c r="P2219" t="inlineStr">
        <is>
          <t>R10</t>
        </is>
      </c>
      <c r="Q2219" t="inlineStr">
        <is>
          <t>LAB-RF</t>
        </is>
      </c>
      <c r="R2219">
        <f>IF(OR(Q2219="CONTEXT",Q2219="REVIEW"),"",INDEX('Category Rules'!$D$5:$D$17,MATCH(P2219,'Category Rules'!$A$5:$A$17,0)))</f>
        <v>4020</v>
      </c>
      <c r="S2219" t="str">
        <f>IF(Q2219="CONTEXT","Roofing",IF(Q2219="REVIEW","",INDEX('Category Rules'!$E$5:$E$17,MATCH(P2219,'Category Rules'!$A$5:$A$17,0))))</f>
        <v>Roofing</v>
      </c>
      <c r="T2219" t="str">
        <f>IF(Q2219="DEP","BAS Excluded","GST on Income")</f>
        <v>GST on Income</v>
      </c>
      <c r="U2219">
        <f>IF(O2219=T2219,1,0)</f>
        <v>1</v>
      </c>
      <c r="V2219" s="9">
        <f>IF(OR(M2219=0,U2219=1),0,IF(T2219="GST on Income",ROUND(K2219*0.1,2),ROUND(-K2219*0.1,2)))</f>
        <v>0</v>
      </c>
    </row>
    <row r="2220">
      <c r="A2220" t="inlineStr">
        <is>
          <t>INV-5630-2</t>
        </is>
      </c>
      <c r="B2220" t="inlineStr">
        <is>
          <t>INV-5630</t>
        </is>
      </c>
      <c r="C2220" s="11" t="n">
        <v>46163</v>
      </c>
      <c r="D2220" t="inlineStr">
        <is>
          <t>2026-05</t>
        </is>
      </c>
      <c r="E2220" t="inlineStr">
        <is>
          <t>C0059</t>
        </is>
      </c>
      <c r="F2220" t="inlineStr">
        <is>
          <t>C0059</t>
        </is>
      </c>
      <c r="G2220" t="inlineStr">
        <is>
          <t>Silverleaf Insurance Repairs Pty Ltd</t>
        </is>
      </c>
      <c r="H2220" t="inlineStr">
        <is>
          <t>S0395</t>
        </is>
      </c>
      <c r="I2220" t="inlineStr">
        <is>
          <t>Materials - gutter and downpipe</t>
        </is>
      </c>
      <c r="J2220" t="n">
        <v>1</v>
      </c>
      <c r="K2220" s="9" t="n">
        <v>596.92</v>
      </c>
      <c r="L2220" t="inlineStr">
        <is>
          <t>PAID</t>
        </is>
      </c>
      <c r="M2220">
        <f>IF(L2220="VOIDED",0,1)</f>
        <v>1</v>
      </c>
      <c r="N2220" t="n">
        <v>200</v>
      </c>
      <c r="O2220" t="inlineStr">
        <is>
          <t>GST on Income</t>
        </is>
      </c>
      <c r="P2220" t="inlineStr">
        <is>
          <t>R11</t>
        </is>
      </c>
      <c r="Q2220" t="inlineStr">
        <is>
          <t>MAT-RF</t>
        </is>
      </c>
      <c r="R2220">
        <f>IF(OR(Q2220="CONTEXT",Q2220="REVIEW"),"",INDEX('Category Rules'!$D$5:$D$17,MATCH(P2220,'Category Rules'!$A$5:$A$17,0)))</f>
        <v>4030</v>
      </c>
      <c r="S2220" t="str">
        <f>IF(Q2220="CONTEXT","Roofing",IF(Q2220="REVIEW","",INDEX('Category Rules'!$E$5:$E$17,MATCH(P2220,'Category Rules'!$A$5:$A$17,0))))</f>
        <v>Roofing</v>
      </c>
      <c r="T2220" t="str">
        <f>IF(Q2220="DEP","BAS Excluded","GST on Income")</f>
        <v>GST on Income</v>
      </c>
      <c r="U2220">
        <f>IF(O2220=T2220,1,0)</f>
        <v>1</v>
      </c>
      <c r="V2220" s="9">
        <f>IF(OR(M2220=0,U2220=1),0,IF(T2220="GST on Income",ROUND(K2220*0.1,2),ROUND(-K2220*0.1,2)))</f>
        <v>0</v>
      </c>
    </row>
    <row r="2221">
      <c r="A2221" t="inlineStr">
        <is>
          <t>INV-5814-1</t>
        </is>
      </c>
      <c r="B2221" t="inlineStr">
        <is>
          <t>INV-5814</t>
        </is>
      </c>
      <c r="C2221" s="11" t="n">
        <v>46163</v>
      </c>
      <c r="D2221" t="inlineStr">
        <is>
          <t>2026-05</t>
        </is>
      </c>
      <c r="E2221" t="inlineStr">
        <is>
          <t>C0002</t>
        </is>
      </c>
      <c r="F2221" t="inlineStr">
        <is>
          <t>C0002</t>
        </is>
      </c>
      <c r="G2221" t="inlineStr">
        <is>
          <t>Summit Building Group</t>
        </is>
      </c>
      <c r="H2221" t="inlineStr">
        <is>
          <t>S0498</t>
        </is>
      </c>
      <c r="I2221" t="inlineStr">
        <is>
          <t>Roof repair labour - 16 hrs</t>
        </is>
      </c>
      <c r="J2221" t="n">
        <v>16</v>
      </c>
      <c r="K2221" s="9" t="n">
        <v>1568</v>
      </c>
      <c r="L2221" t="inlineStr">
        <is>
          <t>AUTHORISED</t>
        </is>
      </c>
      <c r="M2221">
        <f>IF(L2221="VOIDED",0,1)</f>
        <v>1</v>
      </c>
      <c r="N2221" t="n">
        <v>200</v>
      </c>
      <c r="O2221" t="inlineStr">
        <is>
          <t>GST on Income</t>
        </is>
      </c>
      <c r="P2221" t="inlineStr">
        <is>
          <t>R10</t>
        </is>
      </c>
      <c r="Q2221" t="inlineStr">
        <is>
          <t>LAB-RF</t>
        </is>
      </c>
      <c r="R2221">
        <f>IF(OR(Q2221="CONTEXT",Q2221="REVIEW"),"",INDEX('Category Rules'!$D$5:$D$17,MATCH(P2221,'Category Rules'!$A$5:$A$17,0)))</f>
        <v>4020</v>
      </c>
      <c r="S2221" t="str">
        <f>IF(Q2221="CONTEXT","Roofing",IF(Q2221="REVIEW","",INDEX('Category Rules'!$E$5:$E$17,MATCH(P2221,'Category Rules'!$A$5:$A$17,0))))</f>
        <v>Roofing</v>
      </c>
      <c r="T2221" t="str">
        <f>IF(Q2221="DEP","BAS Excluded","GST on Income")</f>
        <v>GST on Income</v>
      </c>
      <c r="U2221">
        <f>IF(O2221=T2221,1,0)</f>
        <v>1</v>
      </c>
      <c r="V2221" s="9">
        <f>IF(OR(M2221=0,U2221=1),0,IF(T2221="GST on Income",ROUND(K2221*0.1,2),ROUND(-K2221*0.1,2)))</f>
        <v>0</v>
      </c>
    </row>
    <row r="2222">
      <c r="A2222" t="inlineStr">
        <is>
          <t>INV-5814-2</t>
        </is>
      </c>
      <c r="B2222" t="inlineStr">
        <is>
          <t>INV-5814</t>
        </is>
      </c>
      <c r="C2222" s="11" t="n">
        <v>46163</v>
      </c>
      <c r="D2222" t="inlineStr">
        <is>
          <t>2026-05</t>
        </is>
      </c>
      <c r="E2222" t="inlineStr">
        <is>
          <t>C0002</t>
        </is>
      </c>
      <c r="F2222" t="inlineStr">
        <is>
          <t>C0002</t>
        </is>
      </c>
      <c r="G2222" t="inlineStr">
        <is>
          <t>Summit Building Group</t>
        </is>
      </c>
      <c r="H2222" t="inlineStr">
        <is>
          <t>S0498</t>
        </is>
      </c>
      <c r="I2222" t="inlineStr">
        <is>
          <t>Materials - roof tiles (matched)</t>
        </is>
      </c>
      <c r="J2222" t="n">
        <v>1</v>
      </c>
      <c r="K2222" s="9" t="n">
        <v>1398.08</v>
      </c>
      <c r="L2222" t="inlineStr">
        <is>
          <t>AUTHORISED</t>
        </is>
      </c>
      <c r="M2222">
        <f>IF(L2222="VOIDED",0,1)</f>
        <v>1</v>
      </c>
      <c r="N2222" t="n">
        <v>200</v>
      </c>
      <c r="O2222" t="inlineStr">
        <is>
          <t>GST on Income</t>
        </is>
      </c>
      <c r="P2222" t="inlineStr">
        <is>
          <t>R11</t>
        </is>
      </c>
      <c r="Q2222" t="inlineStr">
        <is>
          <t>MAT-RF</t>
        </is>
      </c>
      <c r="R2222">
        <f>IF(OR(Q2222="CONTEXT",Q2222="REVIEW"),"",INDEX('Category Rules'!$D$5:$D$17,MATCH(P2222,'Category Rules'!$A$5:$A$17,0)))</f>
        <v>4030</v>
      </c>
      <c r="S2222" t="str">
        <f>IF(Q2222="CONTEXT","Roofing",IF(Q2222="REVIEW","",INDEX('Category Rules'!$E$5:$E$17,MATCH(P2222,'Category Rules'!$A$5:$A$17,0))))</f>
        <v>Roofing</v>
      </c>
      <c r="T2222" t="str">
        <f>IF(Q2222="DEP","BAS Excluded","GST on Income")</f>
        <v>GST on Income</v>
      </c>
      <c r="U2222">
        <f>IF(O2222=T2222,1,0)</f>
        <v>1</v>
      </c>
      <c r="V2222" s="9">
        <f>IF(OR(M2222=0,U2222=1),0,IF(T2222="GST on Income",ROUND(K2222*0.1,2),ROUND(-K2222*0.1,2)))</f>
        <v>0</v>
      </c>
    </row>
    <row r="2223">
      <c r="A2223" t="inlineStr">
        <is>
          <t>INV-5814-3</t>
        </is>
      </c>
      <c r="B2223" t="inlineStr">
        <is>
          <t>INV-5814</t>
        </is>
      </c>
      <c r="C2223" s="11" t="n">
        <v>46163</v>
      </c>
      <c r="D2223" t="inlineStr">
        <is>
          <t>2026-05</t>
        </is>
      </c>
      <c r="E2223" t="inlineStr">
        <is>
          <t>C0002</t>
        </is>
      </c>
      <c r="F2223" t="inlineStr">
        <is>
          <t>C0002</t>
        </is>
      </c>
      <c r="G2223" t="inlineStr">
        <is>
          <t>Summit Building Group</t>
        </is>
      </c>
      <c r="H2223" t="inlineStr">
        <is>
          <t>S0498</t>
        </is>
      </c>
      <c r="I2223" t="inlineStr">
        <is>
          <t>Materials - ridge capping</t>
        </is>
      </c>
      <c r="J2223" t="n">
        <v>1</v>
      </c>
      <c r="K2223" s="9" t="n">
        <v>939.37</v>
      </c>
      <c r="L2223" t="inlineStr">
        <is>
          <t>AUTHORISED</t>
        </is>
      </c>
      <c r="M2223">
        <f>IF(L2223="VOIDED",0,1)</f>
        <v>1</v>
      </c>
      <c r="N2223" t="n">
        <v>200</v>
      </c>
      <c r="O2223" t="inlineStr">
        <is>
          <t>GST on Income</t>
        </is>
      </c>
      <c r="P2223" t="inlineStr">
        <is>
          <t>R11</t>
        </is>
      </c>
      <c r="Q2223" t="inlineStr">
        <is>
          <t>MAT-RF</t>
        </is>
      </c>
      <c r="R2223">
        <f>IF(OR(Q2223="CONTEXT",Q2223="REVIEW"),"",INDEX('Category Rules'!$D$5:$D$17,MATCH(P2223,'Category Rules'!$A$5:$A$17,0)))</f>
        <v>4030</v>
      </c>
      <c r="S2223" t="str">
        <f>IF(Q2223="CONTEXT","Roofing",IF(Q2223="REVIEW","",INDEX('Category Rules'!$E$5:$E$17,MATCH(P2223,'Category Rules'!$A$5:$A$17,0))))</f>
        <v>Roofing</v>
      </c>
      <c r="T2223" t="str">
        <f>IF(Q2223="DEP","BAS Excluded","GST on Income")</f>
        <v>GST on Income</v>
      </c>
      <c r="U2223">
        <f>IF(O2223=T2223,1,0)</f>
        <v>1</v>
      </c>
      <c r="V2223" s="9">
        <f>IF(OR(M2223=0,U2223=1),0,IF(T2223="GST on Income",ROUND(K2223*0.1,2),ROUND(-K2223*0.1,2)))</f>
        <v>0</v>
      </c>
    </row>
    <row r="2224">
      <c r="A2224" t="inlineStr">
        <is>
          <t>INV-5814-4</t>
        </is>
      </c>
      <c r="B2224" t="inlineStr">
        <is>
          <t>INV-5814</t>
        </is>
      </c>
      <c r="C2224" s="11" t="n">
        <v>46163</v>
      </c>
      <c r="D2224" t="inlineStr">
        <is>
          <t>2026-05</t>
        </is>
      </c>
      <c r="E2224" t="inlineStr">
        <is>
          <t>C0002</t>
        </is>
      </c>
      <c r="F2224" t="inlineStr">
        <is>
          <t>C0002</t>
        </is>
      </c>
      <c r="G2224" t="inlineStr">
        <is>
          <t>Summit Building Group</t>
        </is>
      </c>
      <c r="H2224" t="inlineStr">
        <is>
          <t>S0498</t>
        </is>
      </c>
      <c r="I2224" t="inlineStr">
        <is>
          <t>Waste removal and tip fees</t>
        </is>
      </c>
      <c r="J2224" t="n">
        <v>1</v>
      </c>
      <c r="K2224" s="9" t="n">
        <v>120</v>
      </c>
      <c r="L2224" t="inlineStr">
        <is>
          <t>AUTHORISED</t>
        </is>
      </c>
      <c r="M2224">
        <f>IF(L2224="VOIDED",0,1)</f>
        <v>1</v>
      </c>
      <c r="N2224" t="n">
        <v>200</v>
      </c>
      <c r="O2224" t="inlineStr">
        <is>
          <t>GST on Income</t>
        </is>
      </c>
      <c r="P2224" t="inlineStr">
        <is>
          <t>R11</t>
        </is>
      </c>
      <c r="Q2224" t="inlineStr">
        <is>
          <t>MAT-RF</t>
        </is>
      </c>
      <c r="R2224">
        <f>IF(OR(Q2224="CONTEXT",Q2224="REVIEW"),"",INDEX('Category Rules'!$D$5:$D$17,MATCH(P2224,'Category Rules'!$A$5:$A$17,0)))</f>
        <v>4030</v>
      </c>
      <c r="S2224" t="str">
        <f>IF(Q2224="CONTEXT","Roofing",IF(Q2224="REVIEW","",INDEX('Category Rules'!$E$5:$E$17,MATCH(P2224,'Category Rules'!$A$5:$A$17,0))))</f>
        <v>Roofing</v>
      </c>
      <c r="T2224" t="str">
        <f>IF(Q2224="DEP","BAS Excluded","GST on Income")</f>
        <v>GST on Income</v>
      </c>
      <c r="U2224">
        <f>IF(O2224=T2224,1,0)</f>
        <v>1</v>
      </c>
      <c r="V2224" s="9">
        <f>IF(OR(M2224=0,U2224=1),0,IF(T2224="GST on Income",ROUND(K2224*0.1,2),ROUND(-K2224*0.1,2)))</f>
        <v>0</v>
      </c>
    </row>
    <row r="2225">
      <c r="A2225" t="inlineStr">
        <is>
          <t>INV-5133-1</t>
        </is>
      </c>
      <c r="B2225" t="inlineStr">
        <is>
          <t>INV-5133</t>
        </is>
      </c>
      <c r="C2225" s="11" t="n">
        <v>46164</v>
      </c>
      <c r="D2225" t="inlineStr">
        <is>
          <t>2026-05</t>
        </is>
      </c>
      <c r="E2225" t="inlineStr">
        <is>
          <t>C0153</t>
        </is>
      </c>
      <c r="F2225" t="inlineStr">
        <is>
          <t>C0098</t>
        </is>
      </c>
      <c r="G2225" t="inlineStr">
        <is>
          <t>Ethan Walker</t>
        </is>
      </c>
      <c r="H2225" t="inlineStr">
        <is>
          <t>S0220</t>
        </is>
      </c>
      <c r="I2225" t="inlineStr">
        <is>
          <t>Temporary fence hire 3 wks (05/05/26-21/05/26) - 114 panels</t>
        </is>
      </c>
      <c r="J2225" t="n">
        <v>342</v>
      </c>
      <c r="K2225" s="9" t="n">
        <v>1539</v>
      </c>
      <c r="L2225" t="inlineStr">
        <is>
          <t>AUTHORISED</t>
        </is>
      </c>
      <c r="M2225">
        <f>IF(L2225="VOIDED",0,1)</f>
        <v>1</v>
      </c>
      <c r="N2225" t="n">
        <v>200</v>
      </c>
      <c r="O2225" t="inlineStr">
        <is>
          <t>GST on Income</t>
        </is>
      </c>
      <c r="P2225" t="inlineStr">
        <is>
          <t>R03</t>
        </is>
      </c>
      <c r="Q2225" t="inlineStr">
        <is>
          <t>HIRE-FP</t>
        </is>
      </c>
      <c r="R2225">
        <f>IF(OR(Q2225="CONTEXT",Q2225="REVIEW"),"",INDEX('Category Rules'!$D$5:$D$17,MATCH(P2225,'Category Rules'!$A$5:$A$17,0)))</f>
        <v>4010</v>
      </c>
      <c r="S2225" t="str">
        <f>IF(Q2225="CONTEXT","Fencing",IF(Q2225="REVIEW","",INDEX('Category Rules'!$E$5:$E$17,MATCH(P2225,'Category Rules'!$A$5:$A$17,0))))</f>
        <v>Fencing</v>
      </c>
      <c r="T2225" t="str">
        <f>IF(Q2225="DEP","BAS Excluded","GST on Income")</f>
        <v>GST on Income</v>
      </c>
      <c r="U2225">
        <f>IF(O2225=T2225,1,0)</f>
        <v>1</v>
      </c>
      <c r="V2225" s="9">
        <f>IF(OR(M2225=0,U2225=1),0,IF(T2225="GST on Income",ROUND(K2225*0.1,2),ROUND(-K2225*0.1,2)))</f>
        <v>0</v>
      </c>
    </row>
    <row r="2226">
      <c r="A2226" t="inlineStr">
        <is>
          <t>INV-5135-1</t>
        </is>
      </c>
      <c r="B2226" t="inlineStr">
        <is>
          <t>INV-5135</t>
        </is>
      </c>
      <c r="C2226" s="11" t="n">
        <v>46164</v>
      </c>
      <c r="D2226" t="inlineStr">
        <is>
          <t>2026-05</t>
        </is>
      </c>
      <c r="E2226" t="inlineStr">
        <is>
          <t>C0098</t>
        </is>
      </c>
      <c r="F2226" t="inlineStr">
        <is>
          <t>C0098</t>
        </is>
      </c>
      <c r="G2226" t="inlineStr">
        <is>
          <t>Ethan Walker</t>
        </is>
      </c>
      <c r="H2226" t="inlineStr">
        <is>
          <t>S0220</t>
        </is>
      </c>
      <c r="I2226" t="inlineStr">
        <is>
          <t>Collection and dismantle - temporary fencing</t>
        </is>
      </c>
      <c r="J2226" t="n">
        <v>1</v>
      </c>
      <c r="K2226" s="9" t="n">
        <v>165</v>
      </c>
      <c r="L2226" t="inlineStr">
        <is>
          <t>AUTHORISED</t>
        </is>
      </c>
      <c r="M2226">
        <f>IF(L2226="VOIDED",0,1)</f>
        <v>1</v>
      </c>
      <c r="N2226" t="n">
        <v>200</v>
      </c>
      <c r="O2226" t="inlineStr">
        <is>
          <t>GST on Income</t>
        </is>
      </c>
      <c r="P2226" t="inlineStr">
        <is>
          <t>R07</t>
        </is>
      </c>
      <c r="Q2226" t="inlineStr">
        <is>
          <t>DEL-FP</t>
        </is>
      </c>
      <c r="R2226">
        <f>IF(OR(Q2226="CONTEXT",Q2226="REVIEW"),"",INDEX('Category Rules'!$D$5:$D$17,MATCH(P2226,'Category Rules'!$A$5:$A$17,0)))</f>
        <v>4020</v>
      </c>
      <c r="S2226" t="str">
        <f>IF(Q2226="CONTEXT","Fencing",IF(Q2226="REVIEW","",INDEX('Category Rules'!$E$5:$E$17,MATCH(P2226,'Category Rules'!$A$5:$A$17,0))))</f>
        <v>Fencing</v>
      </c>
      <c r="T2226" t="str">
        <f>IF(Q2226="DEP","BAS Excluded","GST on Income")</f>
        <v>GST on Income</v>
      </c>
      <c r="U2226">
        <f>IF(O2226=T2226,1,0)</f>
        <v>1</v>
      </c>
      <c r="V2226" s="9">
        <f>IF(OR(M2226=0,U2226=1),0,IF(T2226="GST on Income",ROUND(K2226*0.1,2),ROUND(-K2226*0.1,2)))</f>
        <v>0</v>
      </c>
    </row>
    <row r="2227">
      <c r="A2227" t="inlineStr">
        <is>
          <t>INV-5135-2</t>
        </is>
      </c>
      <c r="B2227" t="inlineStr">
        <is>
          <t>INV-5135</t>
        </is>
      </c>
      <c r="C2227" s="11" t="n">
        <v>46164</v>
      </c>
      <c r="D2227" t="inlineStr">
        <is>
          <t>2026-05</t>
        </is>
      </c>
      <c r="E2227" t="inlineStr">
        <is>
          <t>C0098</t>
        </is>
      </c>
      <c r="F2227" t="inlineStr">
        <is>
          <t>C0098</t>
        </is>
      </c>
      <c r="G2227" t="inlineStr">
        <is>
          <t>Ethan Walker</t>
        </is>
      </c>
      <c r="H2227" t="inlineStr">
        <is>
          <t>S0220</t>
        </is>
      </c>
      <c r="I2227" t="inlineStr">
        <is>
          <t>Lost/damaged panels charged - 1 @ 145.00</t>
        </is>
      </c>
      <c r="J2227" t="n">
        <v>1</v>
      </c>
      <c r="K2227" s="9" t="n">
        <v>145</v>
      </c>
      <c r="L2227" t="inlineStr">
        <is>
          <t>AUTHORISED</t>
        </is>
      </c>
      <c r="M2227">
        <f>IF(L2227="VOIDED",0,1)</f>
        <v>1</v>
      </c>
      <c r="N2227" t="n">
        <v>200</v>
      </c>
      <c r="O2227" t="inlineStr">
        <is>
          <t>GST on Income</t>
        </is>
      </c>
      <c r="P2227" t="inlineStr">
        <is>
          <t>R02</t>
        </is>
      </c>
      <c r="Q2227" t="inlineStr">
        <is>
          <t>LOSS</t>
        </is>
      </c>
      <c r="R2227">
        <f>IF(OR(Q2227="CONTEXT",Q2227="REVIEW"),"",INDEX('Category Rules'!$D$5:$D$17,MATCH(P2227,'Category Rules'!$A$5:$A$17,0)))</f>
        <v>4040</v>
      </c>
      <c r="S2227" t="str">
        <f>IF(Q2227="CONTEXT","Fencing",IF(Q2227="REVIEW","",INDEX('Category Rules'!$E$5:$E$17,MATCH(P2227,'Category Rules'!$A$5:$A$17,0))))</f>
        <v>Fencing</v>
      </c>
      <c r="T2227" t="str">
        <f>IF(Q2227="DEP","BAS Excluded","GST on Income")</f>
        <v>GST on Income</v>
      </c>
      <c r="U2227">
        <f>IF(O2227=T2227,1,0)</f>
        <v>1</v>
      </c>
      <c r="V2227" s="9">
        <f>IF(OR(M2227=0,U2227=1),0,IF(T2227="GST on Income",ROUND(K2227*0.1,2),ROUND(-K2227*0.1,2)))</f>
        <v>0</v>
      </c>
    </row>
    <row r="2228">
      <c r="A2228" t="inlineStr">
        <is>
          <t>INV-5478-1</t>
        </is>
      </c>
      <c r="B2228" t="inlineStr">
        <is>
          <t>INV-5478</t>
        </is>
      </c>
      <c r="C2228" s="11" t="n">
        <v>46164</v>
      </c>
      <c r="D2228" t="inlineStr">
        <is>
          <t>2026-05</t>
        </is>
      </c>
      <c r="E2228" t="inlineStr">
        <is>
          <t>C0102</t>
        </is>
      </c>
      <c r="F2228" t="inlineStr">
        <is>
          <t>C0102</t>
        </is>
      </c>
      <c r="G2228" t="inlineStr">
        <is>
          <t>Arjun Doyle</t>
        </is>
      </c>
      <c r="H2228" t="inlineStr">
        <is>
          <t>S0313</t>
        </is>
      </c>
      <c r="I2228" t="inlineStr">
        <is>
          <t>Make safe call-out</t>
        </is>
      </c>
      <c r="J2228" t="n">
        <v>1</v>
      </c>
      <c r="K2228" s="9" t="n">
        <v>385</v>
      </c>
      <c r="L2228" t="inlineStr">
        <is>
          <t>PAID</t>
        </is>
      </c>
      <c r="M2228">
        <f>IF(L2228="VOIDED",0,1)</f>
        <v>1</v>
      </c>
      <c r="N2228" t="n">
        <v>200</v>
      </c>
      <c r="O2228" t="inlineStr">
        <is>
          <t>GST on Income</t>
        </is>
      </c>
      <c r="P2228" t="inlineStr">
        <is>
          <t>R09</t>
        </is>
      </c>
      <c r="Q2228" t="inlineStr">
        <is>
          <t>MS</t>
        </is>
      </c>
      <c r="R2228">
        <f>IF(OR(Q2228="CONTEXT",Q2228="REVIEW"),"",INDEX('Category Rules'!$D$5:$D$17,MATCH(P2228,'Category Rules'!$A$5:$A$17,0)))</f>
        <v>4020</v>
      </c>
      <c r="S2228" t="str">
        <f>IF(Q2228="CONTEXT","Make-safe",IF(Q2228="REVIEW","",INDEX('Category Rules'!$E$5:$E$17,MATCH(P2228,'Category Rules'!$A$5:$A$17,0))))</f>
        <v>Make-safe</v>
      </c>
      <c r="T2228" t="str">
        <f>IF(Q2228="DEP","BAS Excluded","GST on Income")</f>
        <v>GST on Income</v>
      </c>
      <c r="U2228">
        <f>IF(O2228=T2228,1,0)</f>
        <v>1</v>
      </c>
      <c r="V2228" s="9">
        <f>IF(OR(M2228=0,U2228=1),0,IF(T2228="GST on Income",ROUND(K2228*0.1,2),ROUND(-K2228*0.1,2)))</f>
        <v>0</v>
      </c>
    </row>
    <row r="2229">
      <c r="A2229" t="inlineStr">
        <is>
          <t>INV-5491-1</t>
        </is>
      </c>
      <c r="B2229" t="inlineStr">
        <is>
          <t>INV-5491</t>
        </is>
      </c>
      <c r="C2229" s="11" t="n">
        <v>46164</v>
      </c>
      <c r="D2229" t="inlineStr">
        <is>
          <t>2026-05</t>
        </is>
      </c>
      <c r="E2229" t="inlineStr">
        <is>
          <t>C0041</t>
        </is>
      </c>
      <c r="F2229" t="inlineStr">
        <is>
          <t>C0041</t>
        </is>
      </c>
      <c r="G2229" t="inlineStr">
        <is>
          <t>Summit Builders Pty Ltd</t>
        </is>
      </c>
      <c r="H2229" t="inlineStr">
        <is>
          <t>S0322</t>
        </is>
      </c>
      <c r="I2229" t="inlineStr">
        <is>
          <t>Roof repair labour - 8 hrs</t>
        </is>
      </c>
      <c r="J2229" t="n">
        <v>8</v>
      </c>
      <c r="K2229" s="9" t="n">
        <v>784</v>
      </c>
      <c r="L2229" t="inlineStr">
        <is>
          <t>AUTHORISED</t>
        </is>
      </c>
      <c r="M2229">
        <f>IF(L2229="VOIDED",0,1)</f>
        <v>1</v>
      </c>
      <c r="N2229" t="n">
        <v>200</v>
      </c>
      <c r="O2229" t="inlineStr">
        <is>
          <t>GST on Income</t>
        </is>
      </c>
      <c r="P2229" t="inlineStr">
        <is>
          <t>R10</t>
        </is>
      </c>
      <c r="Q2229" t="inlineStr">
        <is>
          <t>LAB-RF</t>
        </is>
      </c>
      <c r="R2229">
        <f>IF(OR(Q2229="CONTEXT",Q2229="REVIEW"),"",INDEX('Category Rules'!$D$5:$D$17,MATCH(P2229,'Category Rules'!$A$5:$A$17,0)))</f>
        <v>4020</v>
      </c>
      <c r="S2229" t="str">
        <f>IF(Q2229="CONTEXT","Roofing",IF(Q2229="REVIEW","",INDEX('Category Rules'!$E$5:$E$17,MATCH(P2229,'Category Rules'!$A$5:$A$17,0))))</f>
        <v>Roofing</v>
      </c>
      <c r="T2229" t="str">
        <f>IF(Q2229="DEP","BAS Excluded","GST on Income")</f>
        <v>GST on Income</v>
      </c>
      <c r="U2229">
        <f>IF(O2229=T2229,1,0)</f>
        <v>1</v>
      </c>
      <c r="V2229" s="9">
        <f>IF(OR(M2229=0,U2229=1),0,IF(T2229="GST on Income",ROUND(K2229*0.1,2),ROUND(-K2229*0.1,2)))</f>
        <v>0</v>
      </c>
    </row>
    <row r="2230">
      <c r="A2230" t="inlineStr">
        <is>
          <t>INV-5491-2</t>
        </is>
      </c>
      <c r="B2230" t="inlineStr">
        <is>
          <t>INV-5491</t>
        </is>
      </c>
      <c r="C2230" s="11" t="n">
        <v>46164</v>
      </c>
      <c r="D2230" t="inlineStr">
        <is>
          <t>2026-05</t>
        </is>
      </c>
      <c r="E2230" t="inlineStr">
        <is>
          <t>C0041</t>
        </is>
      </c>
      <c r="F2230" t="inlineStr">
        <is>
          <t>C0041</t>
        </is>
      </c>
      <c r="G2230" t="inlineStr">
        <is>
          <t>Summit Builders Pty Ltd</t>
        </is>
      </c>
      <c r="H2230" t="inlineStr">
        <is>
          <t>S0322</t>
        </is>
      </c>
      <c r="I2230" t="inlineStr">
        <is>
          <t>Materials - flashing</t>
        </is>
      </c>
      <c r="J2230" t="n">
        <v>1</v>
      </c>
      <c r="K2230" s="9" t="n">
        <v>452.49</v>
      </c>
      <c r="L2230" t="inlineStr">
        <is>
          <t>AUTHORISED</t>
        </is>
      </c>
      <c r="M2230">
        <f>IF(L2230="VOIDED",0,1)</f>
        <v>1</v>
      </c>
      <c r="N2230" t="n">
        <v>200</v>
      </c>
      <c r="O2230" t="inlineStr">
        <is>
          <t>GST on Income</t>
        </is>
      </c>
      <c r="P2230" t="inlineStr">
        <is>
          <t>R11</t>
        </is>
      </c>
      <c r="Q2230" t="inlineStr">
        <is>
          <t>MAT-RF</t>
        </is>
      </c>
      <c r="R2230">
        <f>IF(OR(Q2230="CONTEXT",Q2230="REVIEW"),"",INDEX('Category Rules'!$D$5:$D$17,MATCH(P2230,'Category Rules'!$A$5:$A$17,0)))</f>
        <v>4030</v>
      </c>
      <c r="S2230" t="str">
        <f>IF(Q2230="CONTEXT","Roofing",IF(Q2230="REVIEW","",INDEX('Category Rules'!$E$5:$E$17,MATCH(P2230,'Category Rules'!$A$5:$A$17,0))))</f>
        <v>Roofing</v>
      </c>
      <c r="T2230" t="str">
        <f>IF(Q2230="DEP","BAS Excluded","GST on Income")</f>
        <v>GST on Income</v>
      </c>
      <c r="U2230">
        <f>IF(O2230=T2230,1,0)</f>
        <v>1</v>
      </c>
      <c r="V2230" s="9">
        <f>IF(OR(M2230=0,U2230=1),0,IF(T2230="GST on Income",ROUND(K2230*0.1,2),ROUND(-K2230*0.1,2)))</f>
        <v>0</v>
      </c>
    </row>
    <row r="2231">
      <c r="A2231" t="inlineStr">
        <is>
          <t>INV-5491-3</t>
        </is>
      </c>
      <c r="B2231" t="inlineStr">
        <is>
          <t>INV-5491</t>
        </is>
      </c>
      <c r="C2231" s="11" t="n">
        <v>46164</v>
      </c>
      <c r="D2231" t="inlineStr">
        <is>
          <t>2026-05</t>
        </is>
      </c>
      <c r="E2231" t="inlineStr">
        <is>
          <t>C0041</t>
        </is>
      </c>
      <c r="F2231" t="inlineStr">
        <is>
          <t>C0041</t>
        </is>
      </c>
      <c r="G2231" t="inlineStr">
        <is>
          <t>Summit Builders Pty Ltd</t>
        </is>
      </c>
      <c r="H2231" t="inlineStr">
        <is>
          <t>S0322</t>
        </is>
      </c>
      <c r="I2231" t="inlineStr">
        <is>
          <t>Materials - roof tiles (matched)</t>
        </is>
      </c>
      <c r="J2231" t="n">
        <v>1</v>
      </c>
      <c r="K2231" s="9" t="n">
        <v>422.5</v>
      </c>
      <c r="L2231" t="inlineStr">
        <is>
          <t>AUTHORISED</t>
        </is>
      </c>
      <c r="M2231">
        <f>IF(L2231="VOIDED",0,1)</f>
        <v>1</v>
      </c>
      <c r="N2231" t="n">
        <v>200</v>
      </c>
      <c r="O2231" t="inlineStr">
        <is>
          <t>GST on Income</t>
        </is>
      </c>
      <c r="P2231" t="inlineStr">
        <is>
          <t>R11</t>
        </is>
      </c>
      <c r="Q2231" t="inlineStr">
        <is>
          <t>MAT-RF</t>
        </is>
      </c>
      <c r="R2231">
        <f>IF(OR(Q2231="CONTEXT",Q2231="REVIEW"),"",INDEX('Category Rules'!$D$5:$D$17,MATCH(P2231,'Category Rules'!$A$5:$A$17,0)))</f>
        <v>4030</v>
      </c>
      <c r="S2231" t="str">
        <f>IF(Q2231="CONTEXT","Roofing",IF(Q2231="REVIEW","",INDEX('Category Rules'!$E$5:$E$17,MATCH(P2231,'Category Rules'!$A$5:$A$17,0))))</f>
        <v>Roofing</v>
      </c>
      <c r="T2231" t="str">
        <f>IF(Q2231="DEP","BAS Excluded","GST on Income")</f>
        <v>GST on Income</v>
      </c>
      <c r="U2231">
        <f>IF(O2231=T2231,1,0)</f>
        <v>1</v>
      </c>
      <c r="V2231" s="9">
        <f>IF(OR(M2231=0,U2231=1),0,IF(T2231="GST on Income",ROUND(K2231*0.1,2),ROUND(-K2231*0.1,2)))</f>
        <v>0</v>
      </c>
    </row>
    <row r="2232">
      <c r="A2232" t="inlineStr">
        <is>
          <t>INV-5491-4</t>
        </is>
      </c>
      <c r="B2232" t="inlineStr">
        <is>
          <t>INV-5491</t>
        </is>
      </c>
      <c r="C2232" s="11" t="n">
        <v>46164</v>
      </c>
      <c r="D2232" t="inlineStr">
        <is>
          <t>2026-05</t>
        </is>
      </c>
      <c r="E2232" t="inlineStr">
        <is>
          <t>C0041</t>
        </is>
      </c>
      <c r="F2232" t="inlineStr">
        <is>
          <t>C0041</t>
        </is>
      </c>
      <c r="G2232" t="inlineStr">
        <is>
          <t>Summit Builders Pty Ltd</t>
        </is>
      </c>
      <c r="H2232" t="inlineStr">
        <is>
          <t>S0322</t>
        </is>
      </c>
      <c r="I2232" t="inlineStr">
        <is>
          <t>Materials - Colorbond sheet</t>
        </is>
      </c>
      <c r="J2232" t="n">
        <v>1</v>
      </c>
      <c r="K2232" s="9" t="n">
        <v>1180.71</v>
      </c>
      <c r="L2232" t="inlineStr">
        <is>
          <t>AUTHORISED</t>
        </is>
      </c>
      <c r="M2232">
        <f>IF(L2232="VOIDED",0,1)</f>
        <v>1</v>
      </c>
      <c r="N2232" t="n">
        <v>200</v>
      </c>
      <c r="O2232" t="inlineStr">
        <is>
          <t>GST on Income</t>
        </is>
      </c>
      <c r="P2232" t="inlineStr">
        <is>
          <t>R11</t>
        </is>
      </c>
      <c r="Q2232" t="inlineStr">
        <is>
          <t>MAT-RF</t>
        </is>
      </c>
      <c r="R2232">
        <f>IF(OR(Q2232="CONTEXT",Q2232="REVIEW"),"",INDEX('Category Rules'!$D$5:$D$17,MATCH(P2232,'Category Rules'!$A$5:$A$17,0)))</f>
        <v>4030</v>
      </c>
      <c r="S2232" t="str">
        <f>IF(Q2232="CONTEXT","Roofing",IF(Q2232="REVIEW","",INDEX('Category Rules'!$E$5:$E$17,MATCH(P2232,'Category Rules'!$A$5:$A$17,0))))</f>
        <v>Roofing</v>
      </c>
      <c r="T2232" t="str">
        <f>IF(Q2232="DEP","BAS Excluded","GST on Income")</f>
        <v>GST on Income</v>
      </c>
      <c r="U2232">
        <f>IF(O2232=T2232,1,0)</f>
        <v>1</v>
      </c>
      <c r="V2232" s="9">
        <f>IF(OR(M2232=0,U2232=1),0,IF(T2232="GST on Income",ROUND(K2232*0.1,2),ROUND(-K2232*0.1,2)))</f>
        <v>0</v>
      </c>
    </row>
    <row r="2233">
      <c r="A2233" t="inlineStr">
        <is>
          <t>INV-5491-5</t>
        </is>
      </c>
      <c r="B2233" t="inlineStr">
        <is>
          <t>INV-5491</t>
        </is>
      </c>
      <c r="C2233" s="11" t="n">
        <v>46164</v>
      </c>
      <c r="D2233" t="inlineStr">
        <is>
          <t>2026-05</t>
        </is>
      </c>
      <c r="E2233" t="inlineStr">
        <is>
          <t>C0041</t>
        </is>
      </c>
      <c r="F2233" t="inlineStr">
        <is>
          <t>C0041</t>
        </is>
      </c>
      <c r="G2233" t="inlineStr">
        <is>
          <t>Summit Builders Pty Ltd</t>
        </is>
      </c>
      <c r="H2233" t="inlineStr">
        <is>
          <t>S0322</t>
        </is>
      </c>
      <c r="I2233" t="inlineStr">
        <is>
          <t>Waste removal and tip fees</t>
        </is>
      </c>
      <c r="J2233" t="n">
        <v>1</v>
      </c>
      <c r="K2233" s="9" t="n">
        <v>120</v>
      </c>
      <c r="L2233" t="inlineStr">
        <is>
          <t>AUTHORISED</t>
        </is>
      </c>
      <c r="M2233">
        <f>IF(L2233="VOIDED",0,1)</f>
        <v>1</v>
      </c>
      <c r="N2233" t="n">
        <v>200</v>
      </c>
      <c r="O2233" t="inlineStr">
        <is>
          <t>GST on Income</t>
        </is>
      </c>
      <c r="P2233" t="inlineStr">
        <is>
          <t>R11</t>
        </is>
      </c>
      <c r="Q2233" t="inlineStr">
        <is>
          <t>MAT-RF</t>
        </is>
      </c>
      <c r="R2233">
        <f>IF(OR(Q2233="CONTEXT",Q2233="REVIEW"),"",INDEX('Category Rules'!$D$5:$D$17,MATCH(P2233,'Category Rules'!$A$5:$A$17,0)))</f>
        <v>4030</v>
      </c>
      <c r="S2233" t="str">
        <f>IF(Q2233="CONTEXT","Roofing",IF(Q2233="REVIEW","",INDEX('Category Rules'!$E$5:$E$17,MATCH(P2233,'Category Rules'!$A$5:$A$17,0))))</f>
        <v>Roofing</v>
      </c>
      <c r="T2233" t="str">
        <f>IF(Q2233="DEP","BAS Excluded","GST on Income")</f>
        <v>GST on Income</v>
      </c>
      <c r="U2233">
        <f>IF(O2233=T2233,1,0)</f>
        <v>1</v>
      </c>
      <c r="V2233" s="9">
        <f>IF(OR(M2233=0,U2233=1),0,IF(T2233="GST on Income",ROUND(K2233*0.1,2),ROUND(-K2233*0.1,2)))</f>
        <v>0</v>
      </c>
    </row>
    <row r="2234">
      <c r="A2234" t="inlineStr">
        <is>
          <t>INV-5686-1</t>
        </is>
      </c>
      <c r="B2234" t="inlineStr">
        <is>
          <t>INV-5686</t>
        </is>
      </c>
      <c r="C2234" s="11" t="n">
        <v>46164</v>
      </c>
      <c r="D2234" t="inlineStr">
        <is>
          <t>2026-05</t>
        </is>
      </c>
      <c r="E2234" t="inlineStr">
        <is>
          <t>C0062</t>
        </is>
      </c>
      <c r="F2234" t="inlineStr">
        <is>
          <t>C0062</t>
        </is>
      </c>
      <c r="G2234" t="inlineStr">
        <is>
          <t>Wattle Insurance Repairs Pty Ltd</t>
        </is>
      </c>
      <c r="H2234" t="inlineStr">
        <is>
          <t>S0427</t>
        </is>
      </c>
      <c r="I2234" t="inlineStr">
        <is>
          <t>Roof repair labour - 8 hrs</t>
        </is>
      </c>
      <c r="J2234" t="n">
        <v>8</v>
      </c>
      <c r="K2234" s="9" t="n">
        <v>784</v>
      </c>
      <c r="L2234" t="inlineStr">
        <is>
          <t>AUTHORISED</t>
        </is>
      </c>
      <c r="M2234">
        <f>IF(L2234="VOIDED",0,1)</f>
        <v>1</v>
      </c>
      <c r="N2234" t="n">
        <v>200</v>
      </c>
      <c r="O2234" t="inlineStr">
        <is>
          <t>GST on Income</t>
        </is>
      </c>
      <c r="P2234" t="inlineStr">
        <is>
          <t>R10</t>
        </is>
      </c>
      <c r="Q2234" t="inlineStr">
        <is>
          <t>LAB-RF</t>
        </is>
      </c>
      <c r="R2234">
        <f>IF(OR(Q2234="CONTEXT",Q2234="REVIEW"),"",INDEX('Category Rules'!$D$5:$D$17,MATCH(P2234,'Category Rules'!$A$5:$A$17,0)))</f>
        <v>4020</v>
      </c>
      <c r="S2234" t="str">
        <f>IF(Q2234="CONTEXT","Roofing",IF(Q2234="REVIEW","",INDEX('Category Rules'!$E$5:$E$17,MATCH(P2234,'Category Rules'!$A$5:$A$17,0))))</f>
        <v>Roofing</v>
      </c>
      <c r="T2234" t="str">
        <f>IF(Q2234="DEP","BAS Excluded","GST on Income")</f>
        <v>GST on Income</v>
      </c>
      <c r="U2234">
        <f>IF(O2234=T2234,1,0)</f>
        <v>1</v>
      </c>
      <c r="V2234" s="9">
        <f>IF(OR(M2234=0,U2234=1),0,IF(T2234="GST on Income",ROUND(K2234*0.1,2),ROUND(-K2234*0.1,2)))</f>
        <v>0</v>
      </c>
    </row>
    <row r="2235">
      <c r="A2235" t="inlineStr">
        <is>
          <t>INV-5686-2</t>
        </is>
      </c>
      <c r="B2235" t="inlineStr">
        <is>
          <t>INV-5686</t>
        </is>
      </c>
      <c r="C2235" s="11" t="n">
        <v>46164</v>
      </c>
      <c r="D2235" t="inlineStr">
        <is>
          <t>2026-05</t>
        </is>
      </c>
      <c r="E2235" t="inlineStr">
        <is>
          <t>C0062</t>
        </is>
      </c>
      <c r="F2235" t="inlineStr">
        <is>
          <t>C0062</t>
        </is>
      </c>
      <c r="G2235" t="inlineStr">
        <is>
          <t>Wattle Insurance Repairs Pty Ltd</t>
        </is>
      </c>
      <c r="H2235" t="inlineStr">
        <is>
          <t>S0427</t>
        </is>
      </c>
      <c r="I2235" t="inlineStr">
        <is>
          <t>Materials - flashing</t>
        </is>
      </c>
      <c r="J2235" t="n">
        <v>1</v>
      </c>
      <c r="K2235" s="9" t="n">
        <v>749.36</v>
      </c>
      <c r="L2235" t="inlineStr">
        <is>
          <t>AUTHORISED</t>
        </is>
      </c>
      <c r="M2235">
        <f>IF(L2235="VOIDED",0,1)</f>
        <v>1</v>
      </c>
      <c r="N2235" t="n">
        <v>200</v>
      </c>
      <c r="O2235" t="inlineStr">
        <is>
          <t>GST on Income</t>
        </is>
      </c>
      <c r="P2235" t="inlineStr">
        <is>
          <t>R11</t>
        </is>
      </c>
      <c r="Q2235" t="inlineStr">
        <is>
          <t>MAT-RF</t>
        </is>
      </c>
      <c r="R2235">
        <f>IF(OR(Q2235="CONTEXT",Q2235="REVIEW"),"",INDEX('Category Rules'!$D$5:$D$17,MATCH(P2235,'Category Rules'!$A$5:$A$17,0)))</f>
        <v>4030</v>
      </c>
      <c r="S2235" t="str">
        <f>IF(Q2235="CONTEXT","Roofing",IF(Q2235="REVIEW","",INDEX('Category Rules'!$E$5:$E$17,MATCH(P2235,'Category Rules'!$A$5:$A$17,0))))</f>
        <v>Roofing</v>
      </c>
      <c r="T2235" t="str">
        <f>IF(Q2235="DEP","BAS Excluded","GST on Income")</f>
        <v>GST on Income</v>
      </c>
      <c r="U2235">
        <f>IF(O2235=T2235,1,0)</f>
        <v>1</v>
      </c>
      <c r="V2235" s="9">
        <f>IF(OR(M2235=0,U2235=1),0,IF(T2235="GST on Income",ROUND(K2235*0.1,2),ROUND(-K2235*0.1,2)))</f>
        <v>0</v>
      </c>
    </row>
    <row r="2236">
      <c r="A2236" t="inlineStr">
        <is>
          <t>INV-5686-3</t>
        </is>
      </c>
      <c r="B2236" t="inlineStr">
        <is>
          <t>INV-5686</t>
        </is>
      </c>
      <c r="C2236" s="11" t="n">
        <v>46164</v>
      </c>
      <c r="D2236" t="inlineStr">
        <is>
          <t>2026-05</t>
        </is>
      </c>
      <c r="E2236" t="inlineStr">
        <is>
          <t>C0062</t>
        </is>
      </c>
      <c r="F2236" t="inlineStr">
        <is>
          <t>C0062</t>
        </is>
      </c>
      <c r="G2236" t="inlineStr">
        <is>
          <t>Wattle Insurance Repairs Pty Ltd</t>
        </is>
      </c>
      <c r="H2236" t="inlineStr">
        <is>
          <t>S0427</t>
        </is>
      </c>
      <c r="I2236" t="inlineStr">
        <is>
          <t>Materials - Colorbond sheet</t>
        </is>
      </c>
      <c r="J2236" t="n">
        <v>1</v>
      </c>
      <c r="K2236" s="9" t="n">
        <v>916.3099999999999</v>
      </c>
      <c r="L2236" t="inlineStr">
        <is>
          <t>AUTHORISED</t>
        </is>
      </c>
      <c r="M2236">
        <f>IF(L2236="VOIDED",0,1)</f>
        <v>1</v>
      </c>
      <c r="N2236" t="n">
        <v>200</v>
      </c>
      <c r="O2236" t="inlineStr">
        <is>
          <t>GST on Income</t>
        </is>
      </c>
      <c r="P2236" t="inlineStr">
        <is>
          <t>R11</t>
        </is>
      </c>
      <c r="Q2236" t="inlineStr">
        <is>
          <t>MAT-RF</t>
        </is>
      </c>
      <c r="R2236">
        <f>IF(OR(Q2236="CONTEXT",Q2236="REVIEW"),"",INDEX('Category Rules'!$D$5:$D$17,MATCH(P2236,'Category Rules'!$A$5:$A$17,0)))</f>
        <v>4030</v>
      </c>
      <c r="S2236" t="str">
        <f>IF(Q2236="CONTEXT","Roofing",IF(Q2236="REVIEW","",INDEX('Category Rules'!$E$5:$E$17,MATCH(P2236,'Category Rules'!$A$5:$A$17,0))))</f>
        <v>Roofing</v>
      </c>
      <c r="T2236" t="str">
        <f>IF(Q2236="DEP","BAS Excluded","GST on Income")</f>
        <v>GST on Income</v>
      </c>
      <c r="U2236">
        <f>IF(O2236=T2236,1,0)</f>
        <v>1</v>
      </c>
      <c r="V2236" s="9">
        <f>IF(OR(M2236=0,U2236=1),0,IF(T2236="GST on Income",ROUND(K2236*0.1,2),ROUND(-K2236*0.1,2)))</f>
        <v>0</v>
      </c>
    </row>
    <row r="2237">
      <c r="A2237" t="inlineStr">
        <is>
          <t>INV-5686-4</t>
        </is>
      </c>
      <c r="B2237" t="inlineStr">
        <is>
          <t>INV-5686</t>
        </is>
      </c>
      <c r="C2237" s="11" t="n">
        <v>46164</v>
      </c>
      <c r="D2237" t="inlineStr">
        <is>
          <t>2026-05</t>
        </is>
      </c>
      <c r="E2237" t="inlineStr">
        <is>
          <t>C0062</t>
        </is>
      </c>
      <c r="F2237" t="inlineStr">
        <is>
          <t>C0062</t>
        </is>
      </c>
      <c r="G2237" t="inlineStr">
        <is>
          <t>Wattle Insurance Repairs Pty Ltd</t>
        </is>
      </c>
      <c r="H2237" t="inlineStr">
        <is>
          <t>S0427</t>
        </is>
      </c>
      <c r="I2237" t="inlineStr">
        <is>
          <t>Materials - gutter and downpipe</t>
        </is>
      </c>
      <c r="J2237" t="n">
        <v>1</v>
      </c>
      <c r="K2237" s="9" t="n">
        <v>49.13</v>
      </c>
      <c r="L2237" t="inlineStr">
        <is>
          <t>AUTHORISED</t>
        </is>
      </c>
      <c r="M2237">
        <f>IF(L2237="VOIDED",0,1)</f>
        <v>1</v>
      </c>
      <c r="N2237" t="n">
        <v>260</v>
      </c>
      <c r="O2237" t="inlineStr">
        <is>
          <t>GST on Income</t>
        </is>
      </c>
      <c r="P2237" t="inlineStr">
        <is>
          <t>R11</t>
        </is>
      </c>
      <c r="Q2237" t="inlineStr">
        <is>
          <t>MAT-RF</t>
        </is>
      </c>
      <c r="R2237">
        <f>IF(OR(Q2237="CONTEXT",Q2237="REVIEW"),"",INDEX('Category Rules'!$D$5:$D$17,MATCH(P2237,'Category Rules'!$A$5:$A$17,0)))</f>
        <v>4030</v>
      </c>
      <c r="S2237" t="str">
        <f>IF(Q2237="CONTEXT","Roofing",IF(Q2237="REVIEW","",INDEX('Category Rules'!$E$5:$E$17,MATCH(P2237,'Category Rules'!$A$5:$A$17,0))))</f>
        <v>Roofing</v>
      </c>
      <c r="T2237" t="str">
        <f>IF(Q2237="DEP","BAS Excluded","GST on Income")</f>
        <v>GST on Income</v>
      </c>
      <c r="U2237">
        <f>IF(O2237=T2237,1,0)</f>
        <v>1</v>
      </c>
      <c r="V2237" s="9">
        <f>IF(OR(M2237=0,U2237=1),0,IF(T2237="GST on Income",ROUND(K2237*0.1,2),ROUND(-K2237*0.1,2)))</f>
        <v>0</v>
      </c>
    </row>
    <row r="2238">
      <c r="A2238" t="inlineStr">
        <is>
          <t>INV-5686-5</t>
        </is>
      </c>
      <c r="B2238" t="inlineStr">
        <is>
          <t>INV-5686</t>
        </is>
      </c>
      <c r="C2238" s="11" t="n">
        <v>46164</v>
      </c>
      <c r="D2238" t="inlineStr">
        <is>
          <t>2026-05</t>
        </is>
      </c>
      <c r="E2238" t="inlineStr">
        <is>
          <t>C0062</t>
        </is>
      </c>
      <c r="F2238" t="inlineStr">
        <is>
          <t>C0062</t>
        </is>
      </c>
      <c r="G2238" t="inlineStr">
        <is>
          <t>Wattle Insurance Repairs Pty Ltd</t>
        </is>
      </c>
      <c r="H2238" t="inlineStr">
        <is>
          <t>S0427</t>
        </is>
      </c>
      <c r="I2238" t="inlineStr">
        <is>
          <t>Waste removal and tip fees</t>
        </is>
      </c>
      <c r="J2238" t="n">
        <v>1</v>
      </c>
      <c r="K2238" s="9" t="n">
        <v>120</v>
      </c>
      <c r="L2238" t="inlineStr">
        <is>
          <t>AUTHORISED</t>
        </is>
      </c>
      <c r="M2238">
        <f>IF(L2238="VOIDED",0,1)</f>
        <v>1</v>
      </c>
      <c r="N2238" t="n">
        <v>200</v>
      </c>
      <c r="O2238" t="inlineStr">
        <is>
          <t>GST on Income</t>
        </is>
      </c>
      <c r="P2238" t="inlineStr">
        <is>
          <t>R11</t>
        </is>
      </c>
      <c r="Q2238" t="inlineStr">
        <is>
          <t>MAT-RF</t>
        </is>
      </c>
      <c r="R2238">
        <f>IF(OR(Q2238="CONTEXT",Q2238="REVIEW"),"",INDEX('Category Rules'!$D$5:$D$17,MATCH(P2238,'Category Rules'!$A$5:$A$17,0)))</f>
        <v>4030</v>
      </c>
      <c r="S2238" t="str">
        <f>IF(Q2238="CONTEXT","Roofing",IF(Q2238="REVIEW","",INDEX('Category Rules'!$E$5:$E$17,MATCH(P2238,'Category Rules'!$A$5:$A$17,0))))</f>
        <v>Roofing</v>
      </c>
      <c r="T2238" t="str">
        <f>IF(Q2238="DEP","BAS Excluded","GST on Income")</f>
        <v>GST on Income</v>
      </c>
      <c r="U2238">
        <f>IF(O2238=T2238,1,0)</f>
        <v>1</v>
      </c>
      <c r="V2238" s="9">
        <f>IF(OR(M2238=0,U2238=1),0,IF(T2238="GST on Income",ROUND(K2238*0.1,2),ROUND(-K2238*0.1,2)))</f>
        <v>0</v>
      </c>
    </row>
    <row r="2239">
      <c r="A2239" t="inlineStr">
        <is>
          <t>INV-4122-1</t>
        </is>
      </c>
      <c r="B2239" t="inlineStr">
        <is>
          <t>INV-4122</t>
        </is>
      </c>
      <c r="C2239" s="11" t="n">
        <v>46165</v>
      </c>
      <c r="D2239" t="inlineStr">
        <is>
          <t>2026-05</t>
        </is>
      </c>
      <c r="E2239" t="inlineStr">
        <is>
          <t>C0121</t>
        </is>
      </c>
      <c r="F2239" t="inlineStr">
        <is>
          <t>C0121</t>
        </is>
      </c>
      <c r="G2239" t="inlineStr">
        <is>
          <t>Bluegum Constructions</t>
        </is>
      </c>
      <c r="H2239" t="inlineStr">
        <is>
          <t>S0005</t>
        </is>
      </c>
      <c r="I2239" t="inlineStr">
        <is>
          <t>Temporary fence hire 4 wks (26/04/26-22/05/26) - 53 panels</t>
        </is>
      </c>
      <c r="J2239" t="n">
        <v>212</v>
      </c>
      <c r="K2239" s="9" t="n">
        <v>954</v>
      </c>
      <c r="L2239" t="inlineStr">
        <is>
          <t>PAID</t>
        </is>
      </c>
      <c r="M2239">
        <f>IF(L2239="VOIDED",0,1)</f>
        <v>1</v>
      </c>
      <c r="N2239" t="n">
        <v>200</v>
      </c>
      <c r="O2239" t="inlineStr">
        <is>
          <t>GST on Income</t>
        </is>
      </c>
      <c r="P2239" t="inlineStr">
        <is>
          <t>R03</t>
        </is>
      </c>
      <c r="Q2239" t="inlineStr">
        <is>
          <t>HIRE-FP</t>
        </is>
      </c>
      <c r="R2239">
        <f>IF(OR(Q2239="CONTEXT",Q2239="REVIEW"),"",INDEX('Category Rules'!$D$5:$D$17,MATCH(P2239,'Category Rules'!$A$5:$A$17,0)))</f>
        <v>4010</v>
      </c>
      <c r="S2239" t="str">
        <f>IF(Q2239="CONTEXT","Fencing",IF(Q2239="REVIEW","",INDEX('Category Rules'!$E$5:$E$17,MATCH(P2239,'Category Rules'!$A$5:$A$17,0))))</f>
        <v>Fencing</v>
      </c>
      <c r="T2239" t="str">
        <f>IF(Q2239="DEP","BAS Excluded","GST on Income")</f>
        <v>GST on Income</v>
      </c>
      <c r="U2239">
        <f>IF(O2239=T2239,1,0)</f>
        <v>1</v>
      </c>
      <c r="V2239" s="9">
        <f>IF(OR(M2239=0,U2239=1),0,IF(T2239="GST on Income",ROUND(K2239*0.1,2),ROUND(-K2239*0.1,2)))</f>
        <v>0</v>
      </c>
    </row>
    <row r="2240">
      <c r="A2240" t="inlineStr">
        <is>
          <t>INV-4124-1</t>
        </is>
      </c>
      <c r="B2240" t="inlineStr">
        <is>
          <t>INV-4124</t>
        </is>
      </c>
      <c r="C2240" s="11" t="n">
        <v>46165</v>
      </c>
      <c r="D2240" t="inlineStr">
        <is>
          <t>2026-05</t>
        </is>
      </c>
      <c r="E2240" t="inlineStr">
        <is>
          <t>C0121</t>
        </is>
      </c>
      <c r="F2240" t="inlineStr">
        <is>
          <t>C0121</t>
        </is>
      </c>
      <c r="G2240" t="inlineStr">
        <is>
          <t>Bluegum Constructions</t>
        </is>
      </c>
      <c r="H2240" t="inlineStr">
        <is>
          <t>S0005</t>
        </is>
      </c>
      <c r="I2240" t="inlineStr">
        <is>
          <t>Collection and dismantle - temporary fencing</t>
        </is>
      </c>
      <c r="J2240" t="n">
        <v>1</v>
      </c>
      <c r="K2240" s="9" t="n">
        <v>165</v>
      </c>
      <c r="L2240" t="inlineStr">
        <is>
          <t>AUTHORISED</t>
        </is>
      </c>
      <c r="M2240">
        <f>IF(L2240="VOIDED",0,1)</f>
        <v>1</v>
      </c>
      <c r="N2240" t="n">
        <v>200</v>
      </c>
      <c r="O2240" t="inlineStr">
        <is>
          <t>GST on Income</t>
        </is>
      </c>
      <c r="P2240" t="inlineStr">
        <is>
          <t>R07</t>
        </is>
      </c>
      <c r="Q2240" t="inlineStr">
        <is>
          <t>DEL-FP</t>
        </is>
      </c>
      <c r="R2240">
        <f>IF(OR(Q2240="CONTEXT",Q2240="REVIEW"),"",INDEX('Category Rules'!$D$5:$D$17,MATCH(P2240,'Category Rules'!$A$5:$A$17,0)))</f>
        <v>4020</v>
      </c>
      <c r="S2240" t="str">
        <f>IF(Q2240="CONTEXT","Fencing",IF(Q2240="REVIEW","",INDEX('Category Rules'!$E$5:$E$17,MATCH(P2240,'Category Rules'!$A$5:$A$17,0))))</f>
        <v>Fencing</v>
      </c>
      <c r="T2240" t="str">
        <f>IF(Q2240="DEP","BAS Excluded","GST on Income")</f>
        <v>GST on Income</v>
      </c>
      <c r="U2240">
        <f>IF(O2240=T2240,1,0)</f>
        <v>1</v>
      </c>
      <c r="V2240" s="9">
        <f>IF(OR(M2240=0,U2240=1),0,IF(T2240="GST on Income",ROUND(K2240*0.1,2),ROUND(-K2240*0.1,2)))</f>
        <v>0</v>
      </c>
    </row>
    <row r="2241">
      <c r="A2241" t="inlineStr">
        <is>
          <t>INV-4381-1</t>
        </is>
      </c>
      <c r="B2241" t="inlineStr">
        <is>
          <t>INV-4381</t>
        </is>
      </c>
      <c r="C2241" s="11" t="n">
        <v>46165</v>
      </c>
      <c r="D2241" t="inlineStr">
        <is>
          <t>2026-05</t>
        </is>
      </c>
      <c r="E2241" t="inlineStr">
        <is>
          <t>C0022</t>
        </is>
      </c>
      <c r="F2241" t="inlineStr">
        <is>
          <t>C0022</t>
        </is>
      </c>
      <c r="G2241" t="inlineStr">
        <is>
          <t>Highpoint Projects</t>
        </is>
      </c>
      <c r="H2241" t="inlineStr">
        <is>
          <t>S0057</t>
        </is>
      </c>
      <c r="I2241" t="inlineStr">
        <is>
          <t>Temporary fence hire 4 wks (25/04/26-22/05/26) - 133 panels</t>
        </is>
      </c>
      <c r="J2241" t="n">
        <v>532</v>
      </c>
      <c r="K2241" s="9" t="n">
        <v>2394</v>
      </c>
      <c r="L2241" t="inlineStr">
        <is>
          <t>PAID</t>
        </is>
      </c>
      <c r="M2241">
        <f>IF(L2241="VOIDED",0,1)</f>
        <v>1</v>
      </c>
      <c r="N2241" t="n">
        <v>200</v>
      </c>
      <c r="O2241" t="inlineStr">
        <is>
          <t>GST on Income</t>
        </is>
      </c>
      <c r="P2241" t="inlineStr">
        <is>
          <t>R03</t>
        </is>
      </c>
      <c r="Q2241" t="inlineStr">
        <is>
          <t>HIRE-FP</t>
        </is>
      </c>
      <c r="R2241">
        <f>IF(OR(Q2241="CONTEXT",Q2241="REVIEW"),"",INDEX('Category Rules'!$D$5:$D$17,MATCH(P2241,'Category Rules'!$A$5:$A$17,0)))</f>
        <v>4010</v>
      </c>
      <c r="S2241" t="str">
        <f>IF(Q2241="CONTEXT","Fencing",IF(Q2241="REVIEW","",INDEX('Category Rules'!$E$5:$E$17,MATCH(P2241,'Category Rules'!$A$5:$A$17,0))))</f>
        <v>Fencing</v>
      </c>
      <c r="T2241" t="str">
        <f>IF(Q2241="DEP","BAS Excluded","GST on Income")</f>
        <v>GST on Income</v>
      </c>
      <c r="U2241">
        <f>IF(O2241=T2241,1,0)</f>
        <v>1</v>
      </c>
      <c r="V2241" s="9">
        <f>IF(OR(M2241=0,U2241=1),0,IF(T2241="GST on Income",ROUND(K2241*0.1,2),ROUND(-K2241*0.1,2)))</f>
        <v>0</v>
      </c>
    </row>
    <row r="2242">
      <c r="A2242" t="inlineStr">
        <is>
          <t>INV-4567-1</t>
        </is>
      </c>
      <c r="B2242" t="inlineStr">
        <is>
          <t>INV-4567</t>
        </is>
      </c>
      <c r="C2242" s="11" t="n">
        <v>46165</v>
      </c>
      <c r="D2242" t="inlineStr">
        <is>
          <t>2026-05</t>
        </is>
      </c>
      <c r="E2242" t="inlineStr">
        <is>
          <t>C0002</t>
        </is>
      </c>
      <c r="F2242" t="inlineStr">
        <is>
          <t>C0002</t>
        </is>
      </c>
      <c r="G2242" t="inlineStr">
        <is>
          <t>Summit Building Group</t>
        </is>
      </c>
      <c r="H2242" t="inlineStr">
        <is>
          <t>S0094</t>
        </is>
      </c>
      <c r="I2242" t="inlineStr">
        <is>
          <t>Temporary fence hire 3 wks (08/05/26-22/05/26) - 115 panels</t>
        </is>
      </c>
      <c r="J2242" t="n">
        <v>345</v>
      </c>
      <c r="K2242" s="9" t="n">
        <v>1552.5</v>
      </c>
      <c r="L2242" t="inlineStr">
        <is>
          <t>AUTHORISED</t>
        </is>
      </c>
      <c r="M2242">
        <f>IF(L2242="VOIDED",0,1)</f>
        <v>1</v>
      </c>
      <c r="N2242" t="n">
        <v>200</v>
      </c>
      <c r="O2242" t="inlineStr">
        <is>
          <t>GST on Income</t>
        </is>
      </c>
      <c r="P2242" t="inlineStr">
        <is>
          <t>R03</t>
        </is>
      </c>
      <c r="Q2242" t="inlineStr">
        <is>
          <t>HIRE-FP</t>
        </is>
      </c>
      <c r="R2242">
        <f>IF(OR(Q2242="CONTEXT",Q2242="REVIEW"),"",INDEX('Category Rules'!$D$5:$D$17,MATCH(P2242,'Category Rules'!$A$5:$A$17,0)))</f>
        <v>4010</v>
      </c>
      <c r="S2242" t="str">
        <f>IF(Q2242="CONTEXT","Fencing",IF(Q2242="REVIEW","",INDEX('Category Rules'!$E$5:$E$17,MATCH(P2242,'Category Rules'!$A$5:$A$17,0))))</f>
        <v>Fencing</v>
      </c>
      <c r="T2242" t="str">
        <f>IF(Q2242="DEP","BAS Excluded","GST on Income")</f>
        <v>GST on Income</v>
      </c>
      <c r="U2242">
        <f>IF(O2242=T2242,1,0)</f>
        <v>1</v>
      </c>
      <c r="V2242" s="9">
        <f>IF(OR(M2242=0,U2242=1),0,IF(T2242="GST on Income",ROUND(K2242*0.1,2),ROUND(-K2242*0.1,2)))</f>
        <v>0</v>
      </c>
    </row>
    <row r="2243">
      <c r="A2243" t="inlineStr">
        <is>
          <t>INV-4569-1</t>
        </is>
      </c>
      <c r="B2243" t="inlineStr">
        <is>
          <t>INV-4569</t>
        </is>
      </c>
      <c r="C2243" s="11" t="n">
        <v>46165</v>
      </c>
      <c r="D2243" t="inlineStr">
        <is>
          <t>2026-05</t>
        </is>
      </c>
      <c r="E2243" t="inlineStr">
        <is>
          <t>C0002</t>
        </is>
      </c>
      <c r="F2243" t="inlineStr">
        <is>
          <t>C0002</t>
        </is>
      </c>
      <c r="G2243" t="inlineStr">
        <is>
          <t>Summit Building Group</t>
        </is>
      </c>
      <c r="H2243" t="inlineStr">
        <is>
          <t>S0094</t>
        </is>
      </c>
      <c r="I2243" t="inlineStr">
        <is>
          <t>Collection and dismantle - temporary fencing</t>
        </is>
      </c>
      <c r="J2243" t="n">
        <v>1</v>
      </c>
      <c r="K2243" s="9" t="n">
        <v>165</v>
      </c>
      <c r="L2243" t="inlineStr">
        <is>
          <t>AUTHORISED</t>
        </is>
      </c>
      <c r="M2243">
        <f>IF(L2243="VOIDED",0,1)</f>
        <v>1</v>
      </c>
      <c r="N2243" t="n">
        <v>200</v>
      </c>
      <c r="O2243" t="inlineStr">
        <is>
          <t>GST on Income</t>
        </is>
      </c>
      <c r="P2243" t="inlineStr">
        <is>
          <t>R07</t>
        </is>
      </c>
      <c r="Q2243" t="inlineStr">
        <is>
          <t>DEL-FP</t>
        </is>
      </c>
      <c r="R2243">
        <f>IF(OR(Q2243="CONTEXT",Q2243="REVIEW"),"",INDEX('Category Rules'!$D$5:$D$17,MATCH(P2243,'Category Rules'!$A$5:$A$17,0)))</f>
        <v>4020</v>
      </c>
      <c r="S2243" t="str">
        <f>IF(Q2243="CONTEXT","Fencing",IF(Q2243="REVIEW","",INDEX('Category Rules'!$E$5:$E$17,MATCH(P2243,'Category Rules'!$A$5:$A$17,0))))</f>
        <v>Fencing</v>
      </c>
      <c r="T2243" t="str">
        <f>IF(Q2243="DEP","BAS Excluded","GST on Income")</f>
        <v>GST on Income</v>
      </c>
      <c r="U2243">
        <f>IF(O2243=T2243,1,0)</f>
        <v>1</v>
      </c>
      <c r="V2243" s="9">
        <f>IF(OR(M2243=0,U2243=1),0,IF(T2243="GST on Income",ROUND(K2243*0.1,2),ROUND(-K2243*0.1,2)))</f>
        <v>0</v>
      </c>
    </row>
    <row r="2244">
      <c r="A2244" t="inlineStr">
        <is>
          <t>INV-4580-1</t>
        </is>
      </c>
      <c r="B2244" t="inlineStr">
        <is>
          <t>INV-4580</t>
        </is>
      </c>
      <c r="C2244" s="11" t="n">
        <v>46165</v>
      </c>
      <c r="D2244" t="inlineStr">
        <is>
          <t>2026-05</t>
        </is>
      </c>
      <c r="E2244" t="inlineStr">
        <is>
          <t>C0041</t>
        </is>
      </c>
      <c r="F2244" t="inlineStr">
        <is>
          <t>C0041</t>
        </is>
      </c>
      <c r="G2244" t="inlineStr">
        <is>
          <t>Summit Builders Pty Ltd</t>
        </is>
      </c>
      <c r="H2244" t="inlineStr">
        <is>
          <t>S0096</t>
        </is>
      </c>
      <c r="I2244" t="inlineStr">
        <is>
          <t>Delivery and installation - temporary fencing</t>
        </is>
      </c>
      <c r="J2244" t="n">
        <v>1</v>
      </c>
      <c r="K2244" s="9" t="n">
        <v>165</v>
      </c>
      <c r="L2244" t="inlineStr">
        <is>
          <t>PAID</t>
        </is>
      </c>
      <c r="M2244">
        <f>IF(L2244="VOIDED",0,1)</f>
        <v>1</v>
      </c>
      <c r="N2244" t="n">
        <v>200</v>
      </c>
      <c r="O2244" t="inlineStr">
        <is>
          <t>GST on Income</t>
        </is>
      </c>
      <c r="P2244" t="inlineStr">
        <is>
          <t>R07</t>
        </is>
      </c>
      <c r="Q2244" t="inlineStr">
        <is>
          <t>DEL-FP</t>
        </is>
      </c>
      <c r="R2244">
        <f>IF(OR(Q2244="CONTEXT",Q2244="REVIEW"),"",INDEX('Category Rules'!$D$5:$D$17,MATCH(P2244,'Category Rules'!$A$5:$A$17,0)))</f>
        <v>4020</v>
      </c>
      <c r="S2244" t="str">
        <f>IF(Q2244="CONTEXT","Fencing",IF(Q2244="REVIEW","",INDEX('Category Rules'!$E$5:$E$17,MATCH(P2244,'Category Rules'!$A$5:$A$17,0))))</f>
        <v>Fencing</v>
      </c>
      <c r="T2244" t="str">
        <f>IF(Q2244="DEP","BAS Excluded","GST on Income")</f>
        <v>GST on Income</v>
      </c>
      <c r="U2244">
        <f>IF(O2244=T2244,1,0)</f>
        <v>1</v>
      </c>
      <c r="V2244" s="9">
        <f>IF(OR(M2244=0,U2244=1),0,IF(T2244="GST on Income",ROUND(K2244*0.1,2),ROUND(-K2244*0.1,2)))</f>
        <v>0</v>
      </c>
    </row>
    <row r="2245">
      <c r="A2245" t="inlineStr">
        <is>
          <t>INV-4580-2</t>
        </is>
      </c>
      <c r="B2245" t="inlineStr">
        <is>
          <t>INV-4580</t>
        </is>
      </c>
      <c r="C2245" s="11" t="n">
        <v>46165</v>
      </c>
      <c r="D2245" t="inlineStr">
        <is>
          <t>2026-05</t>
        </is>
      </c>
      <c r="E2245" t="inlineStr">
        <is>
          <t>C0041</t>
        </is>
      </c>
      <c r="F2245" t="inlineStr">
        <is>
          <t>C0041</t>
        </is>
      </c>
      <c r="G2245" t="inlineStr">
        <is>
          <t>Summit Builders Pty Ltd</t>
        </is>
      </c>
      <c r="H2245" t="inlineStr">
        <is>
          <t>S0096</t>
        </is>
      </c>
      <c r="I2245" t="inlineStr">
        <is>
          <t>Installation labour - 88 panels @ 2.20</t>
        </is>
      </c>
      <c r="J2245" t="n">
        <v>88</v>
      </c>
      <c r="K2245" s="9" t="n">
        <v>193.6</v>
      </c>
      <c r="L2245" t="inlineStr">
        <is>
          <t>PAID</t>
        </is>
      </c>
      <c r="M2245">
        <f>IF(L2245="VOIDED",0,1)</f>
        <v>1</v>
      </c>
      <c r="N2245" t="n">
        <v>200</v>
      </c>
      <c r="O2245" t="inlineStr">
        <is>
          <t>GST on Income</t>
        </is>
      </c>
      <c r="P2245" t="inlineStr">
        <is>
          <t>R07</t>
        </is>
      </c>
      <c r="Q2245" t="inlineStr">
        <is>
          <t>DEL-FP</t>
        </is>
      </c>
      <c r="R2245">
        <f>IF(OR(Q2245="CONTEXT",Q2245="REVIEW"),"",INDEX('Category Rules'!$D$5:$D$17,MATCH(P2245,'Category Rules'!$A$5:$A$17,0)))</f>
        <v>4020</v>
      </c>
      <c r="S2245" t="str">
        <f>IF(Q2245="CONTEXT","Fencing",IF(Q2245="REVIEW","",INDEX('Category Rules'!$E$5:$E$17,MATCH(P2245,'Category Rules'!$A$5:$A$17,0))))</f>
        <v>Fencing</v>
      </c>
      <c r="T2245" t="str">
        <f>IF(Q2245="DEP","BAS Excluded","GST on Income")</f>
        <v>GST on Income</v>
      </c>
      <c r="U2245">
        <f>IF(O2245=T2245,1,0)</f>
        <v>1</v>
      </c>
      <c r="V2245" s="9">
        <f>IF(OR(M2245=0,U2245=1),0,IF(T2245="GST on Income",ROUND(K2245*0.1,2),ROUND(-K2245*0.1,2)))</f>
        <v>0</v>
      </c>
    </row>
    <row r="2246">
      <c r="A2246" t="inlineStr">
        <is>
          <t>INV-4858-1</t>
        </is>
      </c>
      <c r="B2246" t="inlineStr">
        <is>
          <t>INV-4858</t>
        </is>
      </c>
      <c r="C2246" s="11" t="n">
        <v>46165</v>
      </c>
      <c r="D2246" t="inlineStr">
        <is>
          <t>2026-05</t>
        </is>
      </c>
      <c r="E2246" t="inlineStr">
        <is>
          <t>C0122</t>
        </is>
      </c>
      <c r="F2246" t="inlineStr">
        <is>
          <t>C0122</t>
        </is>
      </c>
      <c r="G2246" t="inlineStr">
        <is>
          <t>Bluegum Construction Pty Ltd</t>
        </is>
      </c>
      <c r="H2246" t="inlineStr">
        <is>
          <t>S0160</t>
        </is>
      </c>
      <c r="I2246" t="inlineStr">
        <is>
          <t>Temporary fence hire 2 wks (10/05/26-22/05/26) - 54 panels</t>
        </is>
      </c>
      <c r="J2246" t="n">
        <v>108</v>
      </c>
      <c r="K2246" s="9" t="n">
        <v>486</v>
      </c>
      <c r="L2246" t="inlineStr">
        <is>
          <t>PAID</t>
        </is>
      </c>
      <c r="M2246">
        <f>IF(L2246="VOIDED",0,1)</f>
        <v>1</v>
      </c>
      <c r="N2246" t="n">
        <v>200</v>
      </c>
      <c r="O2246" t="inlineStr">
        <is>
          <t>GST on Income</t>
        </is>
      </c>
      <c r="P2246" t="inlineStr">
        <is>
          <t>R03</t>
        </is>
      </c>
      <c r="Q2246" t="inlineStr">
        <is>
          <t>HIRE-FP</t>
        </is>
      </c>
      <c r="R2246">
        <f>IF(OR(Q2246="CONTEXT",Q2246="REVIEW"),"",INDEX('Category Rules'!$D$5:$D$17,MATCH(P2246,'Category Rules'!$A$5:$A$17,0)))</f>
        <v>4010</v>
      </c>
      <c r="S2246" t="str">
        <f>IF(Q2246="CONTEXT","Fencing",IF(Q2246="REVIEW","",INDEX('Category Rules'!$E$5:$E$17,MATCH(P2246,'Category Rules'!$A$5:$A$17,0))))</f>
        <v>Fencing</v>
      </c>
      <c r="T2246" t="str">
        <f>IF(Q2246="DEP","BAS Excluded","GST on Income")</f>
        <v>GST on Income</v>
      </c>
      <c r="U2246">
        <f>IF(O2246=T2246,1,0)</f>
        <v>1</v>
      </c>
      <c r="V2246" s="9">
        <f>IF(OR(M2246=0,U2246=1),0,IF(T2246="GST on Income",ROUND(K2246*0.1,2),ROUND(-K2246*0.1,2)))</f>
        <v>0</v>
      </c>
    </row>
    <row r="2247">
      <c r="A2247" t="inlineStr">
        <is>
          <t>INV-4860-1</t>
        </is>
      </c>
      <c r="B2247" t="inlineStr">
        <is>
          <t>INV-4860</t>
        </is>
      </c>
      <c r="C2247" s="11" t="n">
        <v>46165</v>
      </c>
      <c r="D2247" t="inlineStr">
        <is>
          <t>2026-05</t>
        </is>
      </c>
      <c r="E2247" t="inlineStr">
        <is>
          <t>C0122</t>
        </is>
      </c>
      <c r="F2247" t="inlineStr">
        <is>
          <t>C0122</t>
        </is>
      </c>
      <c r="G2247" t="inlineStr">
        <is>
          <t>Bluegum Construction Pty Ltd</t>
        </is>
      </c>
      <c r="H2247" t="inlineStr">
        <is>
          <t>S0160</t>
        </is>
      </c>
      <c r="I2247" t="inlineStr">
        <is>
          <t>Collection and dismantle - temporary fencing</t>
        </is>
      </c>
      <c r="J2247" t="n">
        <v>1</v>
      </c>
      <c r="K2247" s="9" t="n">
        <v>165</v>
      </c>
      <c r="L2247" t="inlineStr">
        <is>
          <t>AUTHORISED</t>
        </is>
      </c>
      <c r="M2247">
        <f>IF(L2247="VOIDED",0,1)</f>
        <v>1</v>
      </c>
      <c r="N2247" t="n">
        <v>200</v>
      </c>
      <c r="O2247" t="inlineStr">
        <is>
          <t>GST on Income</t>
        </is>
      </c>
      <c r="P2247" t="inlineStr">
        <is>
          <t>R07</t>
        </is>
      </c>
      <c r="Q2247" t="inlineStr">
        <is>
          <t>DEL-FP</t>
        </is>
      </c>
      <c r="R2247">
        <f>IF(OR(Q2247="CONTEXT",Q2247="REVIEW"),"",INDEX('Category Rules'!$D$5:$D$17,MATCH(P2247,'Category Rules'!$A$5:$A$17,0)))</f>
        <v>4020</v>
      </c>
      <c r="S2247" t="str">
        <f>IF(Q2247="CONTEXT","Fencing",IF(Q2247="REVIEW","",INDEX('Category Rules'!$E$5:$E$17,MATCH(P2247,'Category Rules'!$A$5:$A$17,0))))</f>
        <v>Fencing</v>
      </c>
      <c r="T2247" t="str">
        <f>IF(Q2247="DEP","BAS Excluded","GST on Income")</f>
        <v>GST on Income</v>
      </c>
      <c r="U2247">
        <f>IF(O2247=T2247,1,0)</f>
        <v>1</v>
      </c>
      <c r="V2247" s="9">
        <f>IF(OR(M2247=0,U2247=1),0,IF(T2247="GST on Income",ROUND(K2247*0.1,2),ROUND(-K2247*0.1,2)))</f>
        <v>0</v>
      </c>
    </row>
    <row r="2248">
      <c r="A2248" t="inlineStr">
        <is>
          <t>INV-4886-1</t>
        </is>
      </c>
      <c r="B2248" t="inlineStr">
        <is>
          <t>INV-4886</t>
        </is>
      </c>
      <c r="C2248" s="11" t="n">
        <v>46165</v>
      </c>
      <c r="D2248" t="inlineStr">
        <is>
          <t>2026-05</t>
        </is>
      </c>
      <c r="E2248" t="inlineStr">
        <is>
          <t>C0119</t>
        </is>
      </c>
      <c r="F2248" t="inlineStr">
        <is>
          <t>C0119</t>
        </is>
      </c>
      <c r="G2248" t="inlineStr">
        <is>
          <t>Northgate Builders Pty Ltd</t>
        </is>
      </c>
      <c r="H2248" t="inlineStr">
        <is>
          <t>S0165</t>
        </is>
      </c>
      <c r="I2248" t="inlineStr">
        <is>
          <t>Temporary fence hire 4 wks (25/04/26-22/05/26) - 140 panels</t>
        </is>
      </c>
      <c r="J2248" t="n">
        <v>560</v>
      </c>
      <c r="K2248" s="9" t="n">
        <v>2520</v>
      </c>
      <c r="L2248" t="inlineStr">
        <is>
          <t>PAID</t>
        </is>
      </c>
      <c r="M2248">
        <f>IF(L2248="VOIDED",0,1)</f>
        <v>1</v>
      </c>
      <c r="N2248" t="n">
        <v>200</v>
      </c>
      <c r="O2248" t="inlineStr">
        <is>
          <t>GST on Income</t>
        </is>
      </c>
      <c r="P2248" t="inlineStr">
        <is>
          <t>R03</t>
        </is>
      </c>
      <c r="Q2248" t="inlineStr">
        <is>
          <t>HIRE-FP</t>
        </is>
      </c>
      <c r="R2248">
        <f>IF(OR(Q2248="CONTEXT",Q2248="REVIEW"),"",INDEX('Category Rules'!$D$5:$D$17,MATCH(P2248,'Category Rules'!$A$5:$A$17,0)))</f>
        <v>4010</v>
      </c>
      <c r="S2248" t="str">
        <f>IF(Q2248="CONTEXT","Fencing",IF(Q2248="REVIEW","",INDEX('Category Rules'!$E$5:$E$17,MATCH(P2248,'Category Rules'!$A$5:$A$17,0))))</f>
        <v>Fencing</v>
      </c>
      <c r="T2248" t="str">
        <f>IF(Q2248="DEP","BAS Excluded","GST on Income")</f>
        <v>GST on Income</v>
      </c>
      <c r="U2248">
        <f>IF(O2248=T2248,1,0)</f>
        <v>1</v>
      </c>
      <c r="V2248" s="9">
        <f>IF(OR(M2248=0,U2248=1),0,IF(T2248="GST on Income",ROUND(K2248*0.1,2),ROUND(-K2248*0.1,2)))</f>
        <v>0</v>
      </c>
    </row>
    <row r="2249">
      <c r="A2249" t="inlineStr">
        <is>
          <t>INV-5658-1</t>
        </is>
      </c>
      <c r="B2249" t="inlineStr">
        <is>
          <t>INV-5658</t>
        </is>
      </c>
      <c r="C2249" s="11" t="n">
        <v>46165</v>
      </c>
      <c r="D2249" t="inlineStr">
        <is>
          <t>2026-05</t>
        </is>
      </c>
      <c r="E2249" t="inlineStr">
        <is>
          <t>C0066</t>
        </is>
      </c>
      <c r="F2249" t="inlineStr">
        <is>
          <t>C0066</t>
        </is>
      </c>
      <c r="G2249" t="inlineStr">
        <is>
          <t>Northgate Insurance Repairs</t>
        </is>
      </c>
      <c r="H2249" t="inlineStr">
        <is>
          <t>S0412</t>
        </is>
      </c>
      <c r="I2249" t="inlineStr">
        <is>
          <t>Tarp kit hire 3 wks (08/05/26-22/05/26) - 1 kits</t>
        </is>
      </c>
      <c r="J2249" t="n">
        <v>3</v>
      </c>
      <c r="K2249" s="9" t="n">
        <v>105</v>
      </c>
      <c r="L2249" t="inlineStr">
        <is>
          <t>PAID</t>
        </is>
      </c>
      <c r="M2249">
        <f>IF(L2249="VOIDED",0,1)</f>
        <v>1</v>
      </c>
      <c r="N2249" t="n">
        <v>200</v>
      </c>
      <c r="O2249" t="inlineStr">
        <is>
          <t>GST on Income</t>
        </is>
      </c>
      <c r="P2249" t="inlineStr">
        <is>
          <t>R06</t>
        </is>
      </c>
      <c r="Q2249" t="inlineStr">
        <is>
          <t>HIRE-TK</t>
        </is>
      </c>
      <c r="R2249">
        <f>IF(OR(Q2249="CONTEXT",Q2249="REVIEW"),"",INDEX('Category Rules'!$D$5:$D$17,MATCH(P2249,'Category Rules'!$A$5:$A$17,0)))</f>
        <v>4010</v>
      </c>
      <c r="S2249" t="str">
        <f>IF(Q2249="CONTEXT","Make-safe",IF(Q2249="REVIEW","",INDEX('Category Rules'!$E$5:$E$17,MATCH(P2249,'Category Rules'!$A$5:$A$17,0))))</f>
        <v>Make-safe</v>
      </c>
      <c r="T2249" t="str">
        <f>IF(Q2249="DEP","BAS Excluded","GST on Income")</f>
        <v>GST on Income</v>
      </c>
      <c r="U2249">
        <f>IF(O2249=T2249,1,0)</f>
        <v>1</v>
      </c>
      <c r="V2249" s="9">
        <f>IF(OR(M2249=0,U2249=1),0,IF(T2249="GST on Income",ROUND(K2249*0.1,2),ROUND(-K2249*0.1,2)))</f>
        <v>0</v>
      </c>
    </row>
    <row r="2250">
      <c r="A2250" t="inlineStr">
        <is>
          <t>INV-4176-1</t>
        </is>
      </c>
      <c r="B2250" t="inlineStr">
        <is>
          <t>INV-4176</t>
        </is>
      </c>
      <c r="C2250" s="11" t="n">
        <v>46166</v>
      </c>
      <c r="D2250" t="inlineStr">
        <is>
          <t>2026-05</t>
        </is>
      </c>
      <c r="E2250" t="inlineStr">
        <is>
          <t>C0141</t>
        </is>
      </c>
      <c r="F2250" t="inlineStr">
        <is>
          <t>C0028</t>
        </is>
      </c>
      <c r="G2250" t="inlineStr">
        <is>
          <t>Banksia Homes</t>
        </is>
      </c>
      <c r="H2250" t="inlineStr">
        <is>
          <t>S0014</t>
        </is>
      </c>
      <c r="I2250" t="inlineStr">
        <is>
          <t>Temporary fence hire 4 wks (26/04/26-23/05/26) - 30 panels</t>
        </is>
      </c>
      <c r="J2250" t="n">
        <v>120</v>
      </c>
      <c r="K2250" s="9" t="n">
        <v>540</v>
      </c>
      <c r="L2250" t="inlineStr">
        <is>
          <t>PAID</t>
        </is>
      </c>
      <c r="M2250">
        <f>IF(L2250="VOIDED",0,1)</f>
        <v>1</v>
      </c>
      <c r="N2250" t="n">
        <v>200</v>
      </c>
      <c r="O2250" t="inlineStr">
        <is>
          <t>GST on Income</t>
        </is>
      </c>
      <c r="P2250" t="inlineStr">
        <is>
          <t>R03</t>
        </is>
      </c>
      <c r="Q2250" t="inlineStr">
        <is>
          <t>HIRE-FP</t>
        </is>
      </c>
      <c r="R2250">
        <f>IF(OR(Q2250="CONTEXT",Q2250="REVIEW"),"",INDEX('Category Rules'!$D$5:$D$17,MATCH(P2250,'Category Rules'!$A$5:$A$17,0)))</f>
        <v>4010</v>
      </c>
      <c r="S2250" t="str">
        <f>IF(Q2250="CONTEXT","Fencing",IF(Q2250="REVIEW","",INDEX('Category Rules'!$E$5:$E$17,MATCH(P2250,'Category Rules'!$A$5:$A$17,0))))</f>
        <v>Fencing</v>
      </c>
      <c r="T2250" t="str">
        <f>IF(Q2250="DEP","BAS Excluded","GST on Income")</f>
        <v>GST on Income</v>
      </c>
      <c r="U2250">
        <f>IF(O2250=T2250,1,0)</f>
        <v>1</v>
      </c>
      <c r="V2250" s="9">
        <f>IF(OR(M2250=0,U2250=1),0,IF(T2250="GST on Income",ROUND(K2250*0.1,2),ROUND(-K2250*0.1,2)))</f>
        <v>0</v>
      </c>
    </row>
    <row r="2251">
      <c r="A2251" t="inlineStr">
        <is>
          <t>INV-4180-1</t>
        </is>
      </c>
      <c r="B2251" t="inlineStr">
        <is>
          <t>INV-4180</t>
        </is>
      </c>
      <c r="C2251" s="11" t="n">
        <v>46166</v>
      </c>
      <c r="D2251" t="inlineStr">
        <is>
          <t>2026-05</t>
        </is>
      </c>
      <c r="E2251" t="inlineStr">
        <is>
          <t>C0028</t>
        </is>
      </c>
      <c r="F2251" t="inlineStr">
        <is>
          <t>C0028</t>
        </is>
      </c>
      <c r="G2251" t="inlineStr">
        <is>
          <t>Banksia Homes</t>
        </is>
      </c>
      <c r="H2251" t="inlineStr">
        <is>
          <t>S0014</t>
        </is>
      </c>
      <c r="I2251" t="inlineStr">
        <is>
          <t>Pedestrian barrier hire 4 wks (26/04/26-23/05/26) - 14 barriers</t>
        </is>
      </c>
      <c r="J2251" t="n">
        <v>56</v>
      </c>
      <c r="K2251" s="9" t="n">
        <v>179.2</v>
      </c>
      <c r="L2251" t="inlineStr">
        <is>
          <t>PAID</t>
        </is>
      </c>
      <c r="M2251">
        <f>IF(L2251="VOIDED",0,1)</f>
        <v>1</v>
      </c>
      <c r="N2251" t="n">
        <v>200</v>
      </c>
      <c r="O2251" t="inlineStr">
        <is>
          <t>GST on Income</t>
        </is>
      </c>
      <c r="P2251" t="inlineStr">
        <is>
          <t>R04</t>
        </is>
      </c>
      <c r="Q2251" t="inlineStr">
        <is>
          <t>HIRE-BR</t>
        </is>
      </c>
      <c r="R2251">
        <f>IF(OR(Q2251="CONTEXT",Q2251="REVIEW"),"",INDEX('Category Rules'!$D$5:$D$17,MATCH(P2251,'Category Rules'!$A$5:$A$17,0)))</f>
        <v>4010</v>
      </c>
      <c r="S2251" t="str">
        <f>IF(Q2251="CONTEXT","Fencing",IF(Q2251="REVIEW","",INDEX('Category Rules'!$E$5:$E$17,MATCH(P2251,'Category Rules'!$A$5:$A$17,0))))</f>
        <v>Fencing</v>
      </c>
      <c r="T2251" t="str">
        <f>IF(Q2251="DEP","BAS Excluded","GST on Income")</f>
        <v>GST on Income</v>
      </c>
      <c r="U2251">
        <f>IF(O2251=T2251,1,0)</f>
        <v>1</v>
      </c>
      <c r="V2251" s="9">
        <f>IF(OR(M2251=0,U2251=1),0,IF(T2251="GST on Income",ROUND(K2251*0.1,2),ROUND(-K2251*0.1,2)))</f>
        <v>0</v>
      </c>
    </row>
    <row r="2252">
      <c r="A2252" t="inlineStr">
        <is>
          <t>INV-4185-1</t>
        </is>
      </c>
      <c r="B2252" t="inlineStr">
        <is>
          <t>INV-4185</t>
        </is>
      </c>
      <c r="C2252" s="11" t="n">
        <v>46166</v>
      </c>
      <c r="D2252" t="inlineStr">
        <is>
          <t>2026-05</t>
        </is>
      </c>
      <c r="E2252" t="inlineStr">
        <is>
          <t>C0017</t>
        </is>
      </c>
      <c r="F2252" t="inlineStr">
        <is>
          <t>C0017</t>
        </is>
      </c>
      <c r="G2252" t="inlineStr">
        <is>
          <t>Cobalt Developments Pty Ltd</t>
        </is>
      </c>
      <c r="H2252" t="inlineStr">
        <is>
          <t>S0016</t>
        </is>
      </c>
      <c r="I2252" t="inlineStr">
        <is>
          <t>Temporary fence hire 4 wks (26/04/26-23/05/26) - 49 panels</t>
        </is>
      </c>
      <c r="J2252" t="n">
        <v>196</v>
      </c>
      <c r="K2252" s="9" t="n">
        <v>882</v>
      </c>
      <c r="L2252" t="inlineStr">
        <is>
          <t>AUTHORISED</t>
        </is>
      </c>
      <c r="M2252">
        <f>IF(L2252="VOIDED",0,1)</f>
        <v>1</v>
      </c>
      <c r="N2252" t="n">
        <v>200</v>
      </c>
      <c r="O2252" t="inlineStr">
        <is>
          <t>GST on Income</t>
        </is>
      </c>
      <c r="P2252" t="inlineStr">
        <is>
          <t>R03</t>
        </is>
      </c>
      <c r="Q2252" t="inlineStr">
        <is>
          <t>HIRE-FP</t>
        </is>
      </c>
      <c r="R2252">
        <f>IF(OR(Q2252="CONTEXT",Q2252="REVIEW"),"",INDEX('Category Rules'!$D$5:$D$17,MATCH(P2252,'Category Rules'!$A$5:$A$17,0)))</f>
        <v>4010</v>
      </c>
      <c r="S2252" t="str">
        <f>IF(Q2252="CONTEXT","Fencing",IF(Q2252="REVIEW","",INDEX('Category Rules'!$E$5:$E$17,MATCH(P2252,'Category Rules'!$A$5:$A$17,0))))</f>
        <v>Fencing</v>
      </c>
      <c r="T2252" t="str">
        <f>IF(Q2252="DEP","BAS Excluded","GST on Income")</f>
        <v>GST on Income</v>
      </c>
      <c r="U2252">
        <f>IF(O2252=T2252,1,0)</f>
        <v>1</v>
      </c>
      <c r="V2252" s="9">
        <f>IF(OR(M2252=0,U2252=1),0,IF(T2252="GST on Income",ROUND(K2252*0.1,2),ROUND(-K2252*0.1,2)))</f>
        <v>0</v>
      </c>
    </row>
    <row r="2253">
      <c r="A2253" t="inlineStr">
        <is>
          <t>INV-4189-1</t>
        </is>
      </c>
      <c r="B2253" t="inlineStr">
        <is>
          <t>INV-4189</t>
        </is>
      </c>
      <c r="C2253" s="11" t="n">
        <v>46166</v>
      </c>
      <c r="D2253" t="inlineStr">
        <is>
          <t>2026-05</t>
        </is>
      </c>
      <c r="E2253" t="inlineStr">
        <is>
          <t>C0017</t>
        </is>
      </c>
      <c r="F2253" t="inlineStr">
        <is>
          <t>C0017</t>
        </is>
      </c>
      <c r="G2253" t="inlineStr">
        <is>
          <t>Cobalt Developments Pty Ltd</t>
        </is>
      </c>
      <c r="H2253" t="inlineStr">
        <is>
          <t>S0016</t>
        </is>
      </c>
      <c r="I2253" t="inlineStr">
        <is>
          <t>Pedestrian barrier hire 4 wks (26/04/26-23/05/26) - 13 barriers</t>
        </is>
      </c>
      <c r="J2253" t="n">
        <v>52</v>
      </c>
      <c r="K2253" s="9" t="n">
        <v>166.4</v>
      </c>
      <c r="L2253" t="inlineStr">
        <is>
          <t>PAID</t>
        </is>
      </c>
      <c r="M2253">
        <f>IF(L2253="VOIDED",0,1)</f>
        <v>1</v>
      </c>
      <c r="N2253" t="n">
        <v>260</v>
      </c>
      <c r="O2253" t="inlineStr">
        <is>
          <t>GST on Income</t>
        </is>
      </c>
      <c r="P2253" t="inlineStr">
        <is>
          <t>R04</t>
        </is>
      </c>
      <c r="Q2253" t="inlineStr">
        <is>
          <t>HIRE-BR</t>
        </is>
      </c>
      <c r="R2253">
        <f>IF(OR(Q2253="CONTEXT",Q2253="REVIEW"),"",INDEX('Category Rules'!$D$5:$D$17,MATCH(P2253,'Category Rules'!$A$5:$A$17,0)))</f>
        <v>4010</v>
      </c>
      <c r="S2253" t="str">
        <f>IF(Q2253="CONTEXT","Fencing",IF(Q2253="REVIEW","",INDEX('Category Rules'!$E$5:$E$17,MATCH(P2253,'Category Rules'!$A$5:$A$17,0))))</f>
        <v>Fencing</v>
      </c>
      <c r="T2253" t="str">
        <f>IF(Q2253="DEP","BAS Excluded","GST on Income")</f>
        <v>GST on Income</v>
      </c>
      <c r="U2253">
        <f>IF(O2253=T2253,1,0)</f>
        <v>1</v>
      </c>
      <c r="V2253" s="9">
        <f>IF(OR(M2253=0,U2253=1),0,IF(T2253="GST on Income",ROUND(K2253*0.1,2),ROUND(-K2253*0.1,2)))</f>
        <v>0</v>
      </c>
    </row>
    <row r="2254">
      <c r="A2254" t="inlineStr">
        <is>
          <t>INV-5278-1</t>
        </is>
      </c>
      <c r="B2254" t="inlineStr">
        <is>
          <t>INV-5278</t>
        </is>
      </c>
      <c r="C2254" s="11" t="n">
        <v>46166</v>
      </c>
      <c r="D2254" t="inlineStr">
        <is>
          <t>2026-05</t>
        </is>
      </c>
      <c r="E2254" t="inlineStr">
        <is>
          <t>C0120</t>
        </is>
      </c>
      <c r="F2254" t="inlineStr">
        <is>
          <t>C0120</t>
        </is>
      </c>
      <c r="G2254" t="inlineStr">
        <is>
          <t>Northgate Building Group</t>
        </is>
      </c>
      <c r="H2254" t="inlineStr">
        <is>
          <t>S0254</t>
        </is>
      </c>
      <c r="I2254" t="inlineStr">
        <is>
          <t>Scaffold tower hire 3 wks (09/05/26-23/05/26) - 2 towers</t>
        </is>
      </c>
      <c r="J2254" t="n">
        <v>6</v>
      </c>
      <c r="K2254" s="9" t="n">
        <v>570</v>
      </c>
      <c r="L2254" t="inlineStr">
        <is>
          <t>PAID</t>
        </is>
      </c>
      <c r="M2254">
        <f>IF(L2254="VOIDED",0,1)</f>
        <v>1</v>
      </c>
      <c r="N2254" t="n">
        <v>200</v>
      </c>
      <c r="O2254" t="inlineStr">
        <is>
          <t>GST on Income</t>
        </is>
      </c>
      <c r="P2254" t="inlineStr">
        <is>
          <t>R05</t>
        </is>
      </c>
      <c r="Q2254" t="inlineStr">
        <is>
          <t>HIRE-ST</t>
        </is>
      </c>
      <c r="R2254">
        <f>IF(OR(Q2254="CONTEXT",Q2254="REVIEW"),"",INDEX('Category Rules'!$D$5:$D$17,MATCH(P2254,'Category Rules'!$A$5:$A$17,0)))</f>
        <v>4010</v>
      </c>
      <c r="S2254" t="str">
        <f>IF(Q2254="CONTEXT","Scaffolding",IF(Q2254="REVIEW","",INDEX('Category Rules'!$E$5:$E$17,MATCH(P2254,'Category Rules'!$A$5:$A$17,0))))</f>
        <v>Scaffolding</v>
      </c>
      <c r="T2254" t="str">
        <f>IF(Q2254="DEP","BAS Excluded","GST on Income")</f>
        <v>GST on Income</v>
      </c>
      <c r="U2254">
        <f>IF(O2254=T2254,1,0)</f>
        <v>1</v>
      </c>
      <c r="V2254" s="9">
        <f>IF(OR(M2254=0,U2254=1),0,IF(T2254="GST on Income",ROUND(K2254*0.1,2),ROUND(-K2254*0.1,2)))</f>
        <v>0</v>
      </c>
    </row>
    <row r="2255">
      <c r="A2255" t="inlineStr">
        <is>
          <t>INV-5280-1</t>
        </is>
      </c>
      <c r="B2255" t="inlineStr">
        <is>
          <t>INV-5280</t>
        </is>
      </c>
      <c r="C2255" s="11" t="n">
        <v>46166</v>
      </c>
      <c r="D2255" t="inlineStr">
        <is>
          <t>2026-05</t>
        </is>
      </c>
      <c r="E2255" t="inlineStr">
        <is>
          <t>C0120</t>
        </is>
      </c>
      <c r="F2255" t="inlineStr">
        <is>
          <t>C0120</t>
        </is>
      </c>
      <c r="G2255" t="inlineStr">
        <is>
          <t>Northgate Building Group</t>
        </is>
      </c>
      <c r="H2255" t="inlineStr">
        <is>
          <t>S0254</t>
        </is>
      </c>
      <c r="I2255" t="inlineStr">
        <is>
          <t>Scaffold dismantle - 2 tower(s)</t>
        </is>
      </c>
      <c r="J2255" t="n">
        <v>2</v>
      </c>
      <c r="K2255" s="9" t="n">
        <v>640</v>
      </c>
      <c r="L2255" t="inlineStr">
        <is>
          <t>AUTHORISED</t>
        </is>
      </c>
      <c r="M2255">
        <f>IF(L2255="VOIDED",0,1)</f>
        <v>1</v>
      </c>
      <c r="N2255" t="n">
        <v>260</v>
      </c>
      <c r="O2255" t="inlineStr">
        <is>
          <t>GST on Income</t>
        </is>
      </c>
      <c r="P2255" t="inlineStr">
        <is>
          <t>R08</t>
        </is>
      </c>
      <c r="Q2255" t="inlineStr">
        <is>
          <t>LAB-ST</t>
        </is>
      </c>
      <c r="R2255">
        <f>IF(OR(Q2255="CONTEXT",Q2255="REVIEW"),"",INDEX('Category Rules'!$D$5:$D$17,MATCH(P2255,'Category Rules'!$A$5:$A$17,0)))</f>
        <v>4020</v>
      </c>
      <c r="S2255" t="str">
        <f>IF(Q2255="CONTEXT","Scaffolding",IF(Q2255="REVIEW","",INDEX('Category Rules'!$E$5:$E$17,MATCH(P2255,'Category Rules'!$A$5:$A$17,0))))</f>
        <v>Scaffolding</v>
      </c>
      <c r="T2255" t="str">
        <f>IF(Q2255="DEP","BAS Excluded","GST on Income")</f>
        <v>GST on Income</v>
      </c>
      <c r="U2255">
        <f>IF(O2255=T2255,1,0)</f>
        <v>1</v>
      </c>
      <c r="V2255" s="9">
        <f>IF(OR(M2255=0,U2255=1),0,IF(T2255="GST on Income",ROUND(K2255*0.1,2),ROUND(-K2255*0.1,2)))</f>
        <v>0</v>
      </c>
    </row>
    <row r="2256">
      <c r="A2256" t="inlineStr">
        <is>
          <t>INV-5593-1</t>
        </is>
      </c>
      <c r="B2256" t="inlineStr">
        <is>
          <t>INV-5593</t>
        </is>
      </c>
      <c r="C2256" s="11" t="n">
        <v>46166</v>
      </c>
      <c r="D2256" t="inlineStr">
        <is>
          <t>2026-05</t>
        </is>
      </c>
      <c r="E2256" t="inlineStr">
        <is>
          <t>C0085</t>
        </is>
      </c>
      <c r="F2256" t="inlineStr">
        <is>
          <t>C0085</t>
        </is>
      </c>
      <c r="G2256" t="inlineStr">
        <is>
          <t>Zoe Williams</t>
        </is>
      </c>
      <c r="H2256" t="inlineStr">
        <is>
          <t>S0377</t>
        </is>
      </c>
      <c r="I2256" t="inlineStr">
        <is>
          <t>Tarp kit hire 4 wks (26/04/26-23/05/26) - 2 kits</t>
        </is>
      </c>
      <c r="J2256" t="n">
        <v>8</v>
      </c>
      <c r="K2256" s="9" t="n">
        <v>280</v>
      </c>
      <c r="L2256" t="inlineStr">
        <is>
          <t>PAID</t>
        </is>
      </c>
      <c r="M2256">
        <f>IF(L2256="VOIDED",0,1)</f>
        <v>1</v>
      </c>
      <c r="N2256" t="n">
        <v>200</v>
      </c>
      <c r="O2256" t="inlineStr">
        <is>
          <t>GST on Income</t>
        </is>
      </c>
      <c r="P2256" t="inlineStr">
        <is>
          <t>R06</t>
        </is>
      </c>
      <c r="Q2256" t="inlineStr">
        <is>
          <t>HIRE-TK</t>
        </is>
      </c>
      <c r="R2256">
        <f>IF(OR(Q2256="CONTEXT",Q2256="REVIEW"),"",INDEX('Category Rules'!$D$5:$D$17,MATCH(P2256,'Category Rules'!$A$5:$A$17,0)))</f>
        <v>4010</v>
      </c>
      <c r="S2256" t="str">
        <f>IF(Q2256="CONTEXT","Make-safe",IF(Q2256="REVIEW","",INDEX('Category Rules'!$E$5:$E$17,MATCH(P2256,'Category Rules'!$A$5:$A$17,0))))</f>
        <v>Make-safe</v>
      </c>
      <c r="T2256" t="str">
        <f>IF(Q2256="DEP","BAS Excluded","GST on Income")</f>
        <v>GST on Income</v>
      </c>
      <c r="U2256">
        <f>IF(O2256=T2256,1,0)</f>
        <v>1</v>
      </c>
      <c r="V2256" s="9">
        <f>IF(OR(M2256=0,U2256=1),0,IF(T2256="GST on Income",ROUND(K2256*0.1,2),ROUND(-K2256*0.1,2)))</f>
        <v>0</v>
      </c>
    </row>
    <row r="2257">
      <c r="A2257" t="inlineStr">
        <is>
          <t>INV-4308-1</t>
        </is>
      </c>
      <c r="B2257" t="inlineStr">
        <is>
          <t>INV-4308</t>
        </is>
      </c>
      <c r="C2257" s="11" t="n">
        <v>46167</v>
      </c>
      <c r="D2257" t="inlineStr">
        <is>
          <t>2026-05</t>
        </is>
      </c>
      <c r="E2257" t="inlineStr">
        <is>
          <t>C0083</t>
        </is>
      </c>
      <c r="F2257" t="inlineStr">
        <is>
          <t>C0083</t>
        </is>
      </c>
      <c r="G2257" t="inlineStr">
        <is>
          <t>Noah Williams</t>
        </is>
      </c>
      <c r="H2257" t="inlineStr">
        <is>
          <t>S0042</t>
        </is>
      </c>
      <c r="I2257" t="inlineStr">
        <is>
          <t>Temporary fence hire 4 wks (27/04/26-24/05/26) - 81 panels</t>
        </is>
      </c>
      <c r="J2257" t="n">
        <v>324</v>
      </c>
      <c r="K2257" s="9" t="n">
        <v>1458</v>
      </c>
      <c r="L2257" t="inlineStr">
        <is>
          <t>PAID</t>
        </is>
      </c>
      <c r="M2257">
        <f>IF(L2257="VOIDED",0,1)</f>
        <v>1</v>
      </c>
      <c r="N2257" t="n">
        <v>200</v>
      </c>
      <c r="O2257" t="inlineStr">
        <is>
          <t>GST on Income</t>
        </is>
      </c>
      <c r="P2257" t="inlineStr">
        <is>
          <t>R03</t>
        </is>
      </c>
      <c r="Q2257" t="inlineStr">
        <is>
          <t>HIRE-FP</t>
        </is>
      </c>
      <c r="R2257">
        <f>IF(OR(Q2257="CONTEXT",Q2257="REVIEW"),"",INDEX('Category Rules'!$D$5:$D$17,MATCH(P2257,'Category Rules'!$A$5:$A$17,0)))</f>
        <v>4010</v>
      </c>
      <c r="S2257" t="str">
        <f>IF(Q2257="CONTEXT","Fencing",IF(Q2257="REVIEW","",INDEX('Category Rules'!$E$5:$E$17,MATCH(P2257,'Category Rules'!$A$5:$A$17,0))))</f>
        <v>Fencing</v>
      </c>
      <c r="T2257" t="str">
        <f>IF(Q2257="DEP","BAS Excluded","GST on Income")</f>
        <v>GST on Income</v>
      </c>
      <c r="U2257">
        <f>IF(O2257=T2257,1,0)</f>
        <v>1</v>
      </c>
      <c r="V2257" s="9">
        <f>IF(OR(M2257=0,U2257=1),0,IF(T2257="GST on Income",ROUND(K2257*0.1,2),ROUND(-K2257*0.1,2)))</f>
        <v>0</v>
      </c>
    </row>
    <row r="2258">
      <c r="A2258" t="inlineStr">
        <is>
          <t>INV-4337-1</t>
        </is>
      </c>
      <c r="B2258" t="inlineStr">
        <is>
          <t>INV-4337</t>
        </is>
      </c>
      <c r="C2258" s="11" t="n">
        <v>46167</v>
      </c>
      <c r="D2258" t="inlineStr">
        <is>
          <t>2026-05</t>
        </is>
      </c>
      <c r="E2258" t="inlineStr">
        <is>
          <t>C0022</t>
        </is>
      </c>
      <c r="F2258" t="inlineStr">
        <is>
          <t>C0022</t>
        </is>
      </c>
      <c r="G2258" t="inlineStr">
        <is>
          <t>Highpoint Projects</t>
        </is>
      </c>
      <c r="H2258" t="inlineStr">
        <is>
          <t>S0050</t>
        </is>
      </c>
      <c r="I2258" t="inlineStr">
        <is>
          <t>Temporary fence hire 4 wks (27/04/26-24/05/26) - 26 panels</t>
        </is>
      </c>
      <c r="J2258" t="n">
        <v>104</v>
      </c>
      <c r="K2258" s="9" t="n">
        <v>468</v>
      </c>
      <c r="L2258" t="inlineStr">
        <is>
          <t>AUTHORISED</t>
        </is>
      </c>
      <c r="M2258">
        <f>IF(L2258="VOIDED",0,1)</f>
        <v>1</v>
      </c>
      <c r="N2258" t="n">
        <v>200</v>
      </c>
      <c r="O2258" t="inlineStr">
        <is>
          <t>GST on Income</t>
        </is>
      </c>
      <c r="P2258" t="inlineStr">
        <is>
          <t>R03</t>
        </is>
      </c>
      <c r="Q2258" t="inlineStr">
        <is>
          <t>HIRE-FP</t>
        </is>
      </c>
      <c r="R2258">
        <f>IF(OR(Q2258="CONTEXT",Q2258="REVIEW"),"",INDEX('Category Rules'!$D$5:$D$17,MATCH(P2258,'Category Rules'!$A$5:$A$17,0)))</f>
        <v>4010</v>
      </c>
      <c r="S2258" t="str">
        <f>IF(Q2258="CONTEXT","Fencing",IF(Q2258="REVIEW","",INDEX('Category Rules'!$E$5:$E$17,MATCH(P2258,'Category Rules'!$A$5:$A$17,0))))</f>
        <v>Fencing</v>
      </c>
      <c r="T2258" t="str">
        <f>IF(Q2258="DEP","BAS Excluded","GST on Income")</f>
        <v>GST on Income</v>
      </c>
      <c r="U2258">
        <f>IF(O2258=T2258,1,0)</f>
        <v>1</v>
      </c>
      <c r="V2258" s="9">
        <f>IF(OR(M2258=0,U2258=1),0,IF(T2258="GST on Income",ROUND(K2258*0.1,2),ROUND(-K2258*0.1,2)))</f>
        <v>0</v>
      </c>
    </row>
    <row r="2259">
      <c r="A2259" t="inlineStr">
        <is>
          <t>INV-4901-1</t>
        </is>
      </c>
      <c r="B2259" t="inlineStr">
        <is>
          <t>INV-4901</t>
        </is>
      </c>
      <c r="C2259" s="11" t="n">
        <v>46167</v>
      </c>
      <c r="D2259" t="inlineStr">
        <is>
          <t>2026-05</t>
        </is>
      </c>
      <c r="E2259" t="inlineStr">
        <is>
          <t>C0011</t>
        </is>
      </c>
      <c r="F2259" t="inlineStr">
        <is>
          <t>C0011</t>
        </is>
      </c>
      <c r="G2259" t="inlineStr">
        <is>
          <t>Wattle Homes Pty Ltd</t>
        </is>
      </c>
      <c r="H2259" t="inlineStr">
        <is>
          <t>S0169</t>
        </is>
      </c>
      <c r="I2259" t="inlineStr">
        <is>
          <t>Temporary fence hire 4 wks (27/04/26-24/05/26) - 29 panels</t>
        </is>
      </c>
      <c r="J2259" t="n">
        <v>116</v>
      </c>
      <c r="K2259" s="9" t="n">
        <v>522</v>
      </c>
      <c r="L2259" t="inlineStr">
        <is>
          <t>AUTHORISED</t>
        </is>
      </c>
      <c r="M2259">
        <f>IF(L2259="VOIDED",0,1)</f>
        <v>1</v>
      </c>
      <c r="N2259" t="n">
        <v>200</v>
      </c>
      <c r="O2259" t="inlineStr">
        <is>
          <t>GST on Income</t>
        </is>
      </c>
      <c r="P2259" t="inlineStr">
        <is>
          <t>R03</t>
        </is>
      </c>
      <c r="Q2259" t="inlineStr">
        <is>
          <t>HIRE-FP</t>
        </is>
      </c>
      <c r="R2259">
        <f>IF(OR(Q2259="CONTEXT",Q2259="REVIEW"),"",INDEX('Category Rules'!$D$5:$D$17,MATCH(P2259,'Category Rules'!$A$5:$A$17,0)))</f>
        <v>4010</v>
      </c>
      <c r="S2259" t="str">
        <f>IF(Q2259="CONTEXT","Fencing",IF(Q2259="REVIEW","",INDEX('Category Rules'!$E$5:$E$17,MATCH(P2259,'Category Rules'!$A$5:$A$17,0))))</f>
        <v>Fencing</v>
      </c>
      <c r="T2259" t="str">
        <f>IF(Q2259="DEP","BAS Excluded","GST on Income")</f>
        <v>GST on Income</v>
      </c>
      <c r="U2259">
        <f>IF(O2259=T2259,1,0)</f>
        <v>1</v>
      </c>
      <c r="V2259" s="9">
        <f>IF(OR(M2259=0,U2259=1),0,IF(T2259="GST on Income",ROUND(K2259*0.1,2),ROUND(-K2259*0.1,2)))</f>
        <v>0</v>
      </c>
    </row>
    <row r="2260">
      <c r="A2260" t="inlineStr">
        <is>
          <t>INV-4906-1</t>
        </is>
      </c>
      <c r="B2260" t="inlineStr">
        <is>
          <t>INV-4906</t>
        </is>
      </c>
      <c r="C2260" s="11" t="n">
        <v>46167</v>
      </c>
      <c r="D2260" t="inlineStr">
        <is>
          <t>2026-05</t>
        </is>
      </c>
      <c r="E2260" t="inlineStr">
        <is>
          <t>C0011</t>
        </is>
      </c>
      <c r="F2260" t="inlineStr">
        <is>
          <t>C0011</t>
        </is>
      </c>
      <c r="G2260" t="inlineStr">
        <is>
          <t>Wattle Homes Pty Ltd</t>
        </is>
      </c>
      <c r="H2260" t="inlineStr">
        <is>
          <t>S0169</t>
        </is>
      </c>
      <c r="I2260" t="inlineStr">
        <is>
          <t>Pedestrian barrier hire 4 wks (27/04/26-24/05/26) - 16 barriers</t>
        </is>
      </c>
      <c r="J2260" t="n">
        <v>64</v>
      </c>
      <c r="K2260" s="9" t="n">
        <v>204.8</v>
      </c>
      <c r="L2260" t="inlineStr">
        <is>
          <t>AUTHORISED</t>
        </is>
      </c>
      <c r="M2260">
        <f>IF(L2260="VOIDED",0,1)</f>
        <v>1</v>
      </c>
      <c r="N2260" t="n">
        <v>200</v>
      </c>
      <c r="O2260" t="inlineStr">
        <is>
          <t>GST on Income</t>
        </is>
      </c>
      <c r="P2260" t="inlineStr">
        <is>
          <t>R04</t>
        </is>
      </c>
      <c r="Q2260" t="inlineStr">
        <is>
          <t>HIRE-BR</t>
        </is>
      </c>
      <c r="R2260">
        <f>IF(OR(Q2260="CONTEXT",Q2260="REVIEW"),"",INDEX('Category Rules'!$D$5:$D$17,MATCH(P2260,'Category Rules'!$A$5:$A$17,0)))</f>
        <v>4010</v>
      </c>
      <c r="S2260" t="str">
        <f>IF(Q2260="CONTEXT","Fencing",IF(Q2260="REVIEW","",INDEX('Category Rules'!$E$5:$E$17,MATCH(P2260,'Category Rules'!$A$5:$A$17,0))))</f>
        <v>Fencing</v>
      </c>
      <c r="T2260" t="str">
        <f>IF(Q2260="DEP","BAS Excluded","GST on Income")</f>
        <v>GST on Income</v>
      </c>
      <c r="U2260">
        <f>IF(O2260=T2260,1,0)</f>
        <v>1</v>
      </c>
      <c r="V2260" s="9">
        <f>IF(OR(M2260=0,U2260=1),0,IF(T2260="GST on Income",ROUND(K2260*0.1,2),ROUND(-K2260*0.1,2)))</f>
        <v>0</v>
      </c>
    </row>
    <row r="2261">
      <c r="A2261" t="inlineStr">
        <is>
          <t>INV-5332-1</t>
        </is>
      </c>
      <c r="B2261" t="inlineStr">
        <is>
          <t>INV-5332</t>
        </is>
      </c>
      <c r="C2261" s="11" t="n">
        <v>46167</v>
      </c>
      <c r="D2261" t="inlineStr">
        <is>
          <t>2026-05</t>
        </is>
      </c>
      <c r="E2261" t="inlineStr">
        <is>
          <t>C0086</t>
        </is>
      </c>
      <c r="F2261" t="inlineStr">
        <is>
          <t>C0086</t>
        </is>
      </c>
      <c r="G2261" t="inlineStr">
        <is>
          <t>Mei Ali</t>
        </is>
      </c>
      <c r="H2261" t="inlineStr">
        <is>
          <t>S0267</t>
        </is>
      </c>
      <c r="I2261" t="inlineStr">
        <is>
          <t>Scaffold tower hire 4 wks (27/04/26-24/05/26) - 2 towers</t>
        </is>
      </c>
      <c r="J2261" t="n">
        <v>8</v>
      </c>
      <c r="K2261" s="9" t="n">
        <v>760</v>
      </c>
      <c r="L2261" t="inlineStr">
        <is>
          <t>PAID</t>
        </is>
      </c>
      <c r="M2261">
        <f>IF(L2261="VOIDED",0,1)</f>
        <v>1</v>
      </c>
      <c r="N2261" t="n">
        <v>200</v>
      </c>
      <c r="O2261" t="inlineStr">
        <is>
          <t>GST Free Income</t>
        </is>
      </c>
      <c r="P2261" t="inlineStr">
        <is>
          <t>R05</t>
        </is>
      </c>
      <c r="Q2261" t="inlineStr">
        <is>
          <t>HIRE-ST</t>
        </is>
      </c>
      <c r="R2261">
        <f>IF(OR(Q2261="CONTEXT",Q2261="REVIEW"),"",INDEX('Category Rules'!$D$5:$D$17,MATCH(P2261,'Category Rules'!$A$5:$A$17,0)))</f>
        <v>4010</v>
      </c>
      <c r="S2261" t="str">
        <f>IF(Q2261="CONTEXT","Scaffolding",IF(Q2261="REVIEW","",INDEX('Category Rules'!$E$5:$E$17,MATCH(P2261,'Category Rules'!$A$5:$A$17,0))))</f>
        <v>Scaffolding</v>
      </c>
      <c r="T2261" t="str">
        <f>IF(Q2261="DEP","BAS Excluded","GST on Income")</f>
        <v>GST on Income</v>
      </c>
      <c r="U2261">
        <f>IF(O2261=T2261,1,0)</f>
        <v>0</v>
      </c>
      <c r="V2261" s="9">
        <f>IF(OR(M2261=0,U2261=1),0,IF(T2261="GST on Income",ROUND(K2261*0.1,2),ROUND(-K2261*0.1,2)))</f>
        <v>76</v>
      </c>
    </row>
    <row r="2262">
      <c r="A2262" t="inlineStr">
        <is>
          <t>INV-5594-1</t>
        </is>
      </c>
      <c r="B2262" t="inlineStr">
        <is>
          <t>INV-5594</t>
        </is>
      </c>
      <c r="C2262" s="11" t="n">
        <v>46167</v>
      </c>
      <c r="D2262" t="inlineStr">
        <is>
          <t>2026-05</t>
        </is>
      </c>
      <c r="E2262" t="inlineStr">
        <is>
          <t>C0085</t>
        </is>
      </c>
      <c r="F2262" t="inlineStr">
        <is>
          <t>C0085</t>
        </is>
      </c>
      <c r="G2262" t="inlineStr">
        <is>
          <t>Zoe Williams</t>
        </is>
      </c>
      <c r="H2262" t="inlineStr">
        <is>
          <t>S0377</t>
        </is>
      </c>
      <c r="I2262" t="inlineStr">
        <is>
          <t>Tarp kit hire 1 wks (24/05/26-24/05/26) - 2 kits</t>
        </is>
      </c>
      <c r="J2262" t="n">
        <v>2</v>
      </c>
      <c r="K2262" s="9" t="n">
        <v>70</v>
      </c>
      <c r="L2262" t="inlineStr">
        <is>
          <t>AUTHORISED</t>
        </is>
      </c>
      <c r="M2262">
        <f>IF(L2262="VOIDED",0,1)</f>
        <v>1</v>
      </c>
      <c r="N2262" t="n">
        <v>200</v>
      </c>
      <c r="O2262" t="inlineStr">
        <is>
          <t>GST on Income</t>
        </is>
      </c>
      <c r="P2262" t="inlineStr">
        <is>
          <t>R06</t>
        </is>
      </c>
      <c r="Q2262" t="inlineStr">
        <is>
          <t>HIRE-TK</t>
        </is>
      </c>
      <c r="R2262">
        <f>IF(OR(Q2262="CONTEXT",Q2262="REVIEW"),"",INDEX('Category Rules'!$D$5:$D$17,MATCH(P2262,'Category Rules'!$A$5:$A$17,0)))</f>
        <v>4010</v>
      </c>
      <c r="S2262" t="str">
        <f>IF(Q2262="CONTEXT","Make-safe",IF(Q2262="REVIEW","",INDEX('Category Rules'!$E$5:$E$17,MATCH(P2262,'Category Rules'!$A$5:$A$17,0))))</f>
        <v>Make-safe</v>
      </c>
      <c r="T2262" t="str">
        <f>IF(Q2262="DEP","BAS Excluded","GST on Income")</f>
        <v>GST on Income</v>
      </c>
      <c r="U2262">
        <f>IF(O2262=T2262,1,0)</f>
        <v>1</v>
      </c>
      <c r="V2262" s="9">
        <f>IF(OR(M2262=0,U2262=1),0,IF(T2262="GST on Income",ROUND(K2262*0.1,2),ROUND(-K2262*0.1,2)))</f>
        <v>0</v>
      </c>
    </row>
    <row r="2263">
      <c r="A2263" t="inlineStr">
        <is>
          <t>INV-5715-1</t>
        </is>
      </c>
      <c r="B2263" t="inlineStr">
        <is>
          <t>INV-5715</t>
        </is>
      </c>
      <c r="C2263" s="11" t="n">
        <v>46167</v>
      </c>
      <c r="D2263" t="inlineStr">
        <is>
          <t>2026-05</t>
        </is>
      </c>
      <c r="E2263" t="inlineStr">
        <is>
          <t>C0047</t>
        </is>
      </c>
      <c r="F2263" t="inlineStr">
        <is>
          <t>C0047</t>
        </is>
      </c>
      <c r="G2263" t="inlineStr">
        <is>
          <t>Fairway Owners Corporation Services</t>
        </is>
      </c>
      <c r="H2263" t="inlineStr">
        <is>
          <t>S0442</t>
        </is>
      </c>
      <c r="I2263" t="inlineStr">
        <is>
          <t>Tarp kit hire 2 wks (17/05/26-24/05/26) - 3 kits</t>
        </is>
      </c>
      <c r="J2263" t="n">
        <v>6</v>
      </c>
      <c r="K2263" s="9" t="n">
        <v>210</v>
      </c>
      <c r="L2263" t="inlineStr">
        <is>
          <t>PAID</t>
        </is>
      </c>
      <c r="M2263">
        <f>IF(L2263="VOIDED",0,1)</f>
        <v>1</v>
      </c>
      <c r="N2263" t="n">
        <v>200</v>
      </c>
      <c r="O2263" t="inlineStr">
        <is>
          <t>GST on Income</t>
        </is>
      </c>
      <c r="P2263" t="inlineStr">
        <is>
          <t>R06</t>
        </is>
      </c>
      <c r="Q2263" t="inlineStr">
        <is>
          <t>HIRE-TK</t>
        </is>
      </c>
      <c r="R2263">
        <f>IF(OR(Q2263="CONTEXT",Q2263="REVIEW"),"",INDEX('Category Rules'!$D$5:$D$17,MATCH(P2263,'Category Rules'!$A$5:$A$17,0)))</f>
        <v>4010</v>
      </c>
      <c r="S2263" t="str">
        <f>IF(Q2263="CONTEXT","Make-safe",IF(Q2263="REVIEW","",INDEX('Category Rules'!$E$5:$E$17,MATCH(P2263,'Category Rules'!$A$5:$A$17,0))))</f>
        <v>Make-safe</v>
      </c>
      <c r="T2263" t="str">
        <f>IF(Q2263="DEP","BAS Excluded","GST on Income")</f>
        <v>GST on Income</v>
      </c>
      <c r="U2263">
        <f>IF(O2263=T2263,1,0)</f>
        <v>1</v>
      </c>
      <c r="V2263" s="9">
        <f>IF(OR(M2263=0,U2263=1),0,IF(T2263="GST on Income",ROUND(K2263*0.1,2),ROUND(-K2263*0.1,2)))</f>
        <v>0</v>
      </c>
    </row>
    <row r="2264">
      <c r="A2264" t="inlineStr">
        <is>
          <t>INV-5819-1</t>
        </is>
      </c>
      <c r="B2264" t="inlineStr">
        <is>
          <t>INV-5819</t>
        </is>
      </c>
      <c r="C2264" s="11" t="n">
        <v>46167</v>
      </c>
      <c r="D2264" t="inlineStr">
        <is>
          <t>2026-05</t>
        </is>
      </c>
      <c r="E2264" t="inlineStr">
        <is>
          <t>C0053</t>
        </is>
      </c>
      <c r="F2264" t="inlineStr">
        <is>
          <t>C0053</t>
        </is>
      </c>
      <c r="G2264" t="inlineStr">
        <is>
          <t>Summit Strata Management Pty Ltd</t>
        </is>
      </c>
      <c r="H2264" t="inlineStr">
        <is>
          <t>S0500</t>
        </is>
      </c>
      <c r="I2264" t="inlineStr">
        <is>
          <t>Roof repair labour - 6 hrs</t>
        </is>
      </c>
      <c r="J2264" t="n">
        <v>6</v>
      </c>
      <c r="K2264" s="9" t="n">
        <v>588</v>
      </c>
      <c r="L2264" t="inlineStr">
        <is>
          <t>AUTHORISED</t>
        </is>
      </c>
      <c r="M2264">
        <f>IF(L2264="VOIDED",0,1)</f>
        <v>1</v>
      </c>
      <c r="N2264" t="n">
        <v>200</v>
      </c>
      <c r="O2264" t="inlineStr">
        <is>
          <t>GST on Income</t>
        </is>
      </c>
      <c r="P2264" t="inlineStr">
        <is>
          <t>R10</t>
        </is>
      </c>
      <c r="Q2264" t="inlineStr">
        <is>
          <t>LAB-RF</t>
        </is>
      </c>
      <c r="R2264">
        <f>IF(OR(Q2264="CONTEXT",Q2264="REVIEW"),"",INDEX('Category Rules'!$D$5:$D$17,MATCH(P2264,'Category Rules'!$A$5:$A$17,0)))</f>
        <v>4020</v>
      </c>
      <c r="S2264" t="str">
        <f>IF(Q2264="CONTEXT","Roofing",IF(Q2264="REVIEW","",INDEX('Category Rules'!$E$5:$E$17,MATCH(P2264,'Category Rules'!$A$5:$A$17,0))))</f>
        <v>Roofing</v>
      </c>
      <c r="T2264" t="str">
        <f>IF(Q2264="DEP","BAS Excluded","GST on Income")</f>
        <v>GST on Income</v>
      </c>
      <c r="U2264">
        <f>IF(O2264=T2264,1,0)</f>
        <v>1</v>
      </c>
      <c r="V2264" s="9">
        <f>IF(OR(M2264=0,U2264=1),0,IF(T2264="GST on Income",ROUND(K2264*0.1,2),ROUND(-K2264*0.1,2)))</f>
        <v>0</v>
      </c>
    </row>
    <row r="2265">
      <c r="A2265" t="inlineStr">
        <is>
          <t>INV-5819-2</t>
        </is>
      </c>
      <c r="B2265" t="inlineStr">
        <is>
          <t>INV-5819</t>
        </is>
      </c>
      <c r="C2265" s="11" t="n">
        <v>46167</v>
      </c>
      <c r="D2265" t="inlineStr">
        <is>
          <t>2026-05</t>
        </is>
      </c>
      <c r="E2265" t="inlineStr">
        <is>
          <t>C0053</t>
        </is>
      </c>
      <c r="F2265" t="inlineStr">
        <is>
          <t>C0053</t>
        </is>
      </c>
      <c r="G2265" t="inlineStr">
        <is>
          <t>Summit Strata Management Pty Ltd</t>
        </is>
      </c>
      <c r="H2265" t="inlineStr">
        <is>
          <t>S0500</t>
        </is>
      </c>
      <c r="I2265" t="inlineStr">
        <is>
          <t>Materials - Colorbond sheet</t>
        </is>
      </c>
      <c r="J2265" t="n">
        <v>1</v>
      </c>
      <c r="K2265" s="9" t="n">
        <v>1180.55</v>
      </c>
      <c r="L2265" t="inlineStr">
        <is>
          <t>AUTHORISED</t>
        </is>
      </c>
      <c r="M2265">
        <f>IF(L2265="VOIDED",0,1)</f>
        <v>1</v>
      </c>
      <c r="N2265" t="n">
        <v>200</v>
      </c>
      <c r="O2265" t="inlineStr">
        <is>
          <t>GST on Income</t>
        </is>
      </c>
      <c r="P2265" t="inlineStr">
        <is>
          <t>R11</t>
        </is>
      </c>
      <c r="Q2265" t="inlineStr">
        <is>
          <t>MAT-RF</t>
        </is>
      </c>
      <c r="R2265">
        <f>IF(OR(Q2265="CONTEXT",Q2265="REVIEW"),"",INDEX('Category Rules'!$D$5:$D$17,MATCH(P2265,'Category Rules'!$A$5:$A$17,0)))</f>
        <v>4030</v>
      </c>
      <c r="S2265" t="str">
        <f>IF(Q2265="CONTEXT","Roofing",IF(Q2265="REVIEW","",INDEX('Category Rules'!$E$5:$E$17,MATCH(P2265,'Category Rules'!$A$5:$A$17,0))))</f>
        <v>Roofing</v>
      </c>
      <c r="T2265" t="str">
        <f>IF(Q2265="DEP","BAS Excluded","GST on Income")</f>
        <v>GST on Income</v>
      </c>
      <c r="U2265">
        <f>IF(O2265=T2265,1,0)</f>
        <v>1</v>
      </c>
      <c r="V2265" s="9">
        <f>IF(OR(M2265=0,U2265=1),0,IF(T2265="GST on Income",ROUND(K2265*0.1,2),ROUND(-K2265*0.1,2)))</f>
        <v>0</v>
      </c>
    </row>
    <row r="2266">
      <c r="A2266" t="inlineStr">
        <is>
          <t>INV-5819-3</t>
        </is>
      </c>
      <c r="B2266" t="inlineStr">
        <is>
          <t>INV-5819</t>
        </is>
      </c>
      <c r="C2266" s="11" t="n">
        <v>46167</v>
      </c>
      <c r="D2266" t="inlineStr">
        <is>
          <t>2026-05</t>
        </is>
      </c>
      <c r="E2266" t="inlineStr">
        <is>
          <t>C0053</t>
        </is>
      </c>
      <c r="F2266" t="inlineStr">
        <is>
          <t>C0053</t>
        </is>
      </c>
      <c r="G2266" t="inlineStr">
        <is>
          <t>Summit Strata Management Pty Ltd</t>
        </is>
      </c>
      <c r="H2266" t="inlineStr">
        <is>
          <t>S0500</t>
        </is>
      </c>
      <c r="I2266" t="inlineStr">
        <is>
          <t>Materials - flashing</t>
        </is>
      </c>
      <c r="J2266" t="n">
        <v>1</v>
      </c>
      <c r="K2266" s="9" t="n">
        <v>357.95</v>
      </c>
      <c r="L2266" t="inlineStr">
        <is>
          <t>AUTHORISED</t>
        </is>
      </c>
      <c r="M2266">
        <f>IF(L2266="VOIDED",0,1)</f>
        <v>1</v>
      </c>
      <c r="N2266" t="n">
        <v>200</v>
      </c>
      <c r="O2266" t="inlineStr">
        <is>
          <t>GST on Income</t>
        </is>
      </c>
      <c r="P2266" t="inlineStr">
        <is>
          <t>R11</t>
        </is>
      </c>
      <c r="Q2266" t="inlineStr">
        <is>
          <t>MAT-RF</t>
        </is>
      </c>
      <c r="R2266">
        <f>IF(OR(Q2266="CONTEXT",Q2266="REVIEW"),"",INDEX('Category Rules'!$D$5:$D$17,MATCH(P2266,'Category Rules'!$A$5:$A$17,0)))</f>
        <v>4030</v>
      </c>
      <c r="S2266" t="str">
        <f>IF(Q2266="CONTEXT","Roofing",IF(Q2266="REVIEW","",INDEX('Category Rules'!$E$5:$E$17,MATCH(P2266,'Category Rules'!$A$5:$A$17,0))))</f>
        <v>Roofing</v>
      </c>
      <c r="T2266" t="str">
        <f>IF(Q2266="DEP","BAS Excluded","GST on Income")</f>
        <v>GST on Income</v>
      </c>
      <c r="U2266">
        <f>IF(O2266=T2266,1,0)</f>
        <v>1</v>
      </c>
      <c r="V2266" s="9">
        <f>IF(OR(M2266=0,U2266=1),0,IF(T2266="GST on Income",ROUND(K2266*0.1,2),ROUND(-K2266*0.1,2)))</f>
        <v>0</v>
      </c>
    </row>
    <row r="2267">
      <c r="A2267" t="inlineStr">
        <is>
          <t>INV-4338-1</t>
        </is>
      </c>
      <c r="B2267" t="inlineStr">
        <is>
          <t>INV-4338</t>
        </is>
      </c>
      <c r="C2267" s="11" t="n">
        <v>46168</v>
      </c>
      <c r="D2267" t="inlineStr">
        <is>
          <t>2026-05</t>
        </is>
      </c>
      <c r="E2267" t="inlineStr">
        <is>
          <t>C0022</t>
        </is>
      </c>
      <c r="F2267" t="inlineStr">
        <is>
          <t>C0022</t>
        </is>
      </c>
      <c r="G2267" t="inlineStr">
        <is>
          <t>Highpoint Projects</t>
        </is>
      </c>
      <c r="H2267" t="inlineStr">
        <is>
          <t>S0050</t>
        </is>
      </c>
      <c r="I2267" t="inlineStr">
        <is>
          <t>Temporary fence hire 1 wks (25/05/26-25/05/26) - 26 panels</t>
        </is>
      </c>
      <c r="J2267" t="n">
        <v>26</v>
      </c>
      <c r="K2267" s="9" t="n">
        <v>117</v>
      </c>
      <c r="L2267" t="inlineStr">
        <is>
          <t>AUTHORISED</t>
        </is>
      </c>
      <c r="M2267">
        <f>IF(L2267="VOIDED",0,1)</f>
        <v>1</v>
      </c>
      <c r="N2267" t="n">
        <v>200</v>
      </c>
      <c r="O2267" t="inlineStr">
        <is>
          <t>GST on Income</t>
        </is>
      </c>
      <c r="P2267" t="inlineStr">
        <is>
          <t>R03</t>
        </is>
      </c>
      <c r="Q2267" t="inlineStr">
        <is>
          <t>HIRE-FP</t>
        </is>
      </c>
      <c r="R2267">
        <f>IF(OR(Q2267="CONTEXT",Q2267="REVIEW"),"",INDEX('Category Rules'!$D$5:$D$17,MATCH(P2267,'Category Rules'!$A$5:$A$17,0)))</f>
        <v>4010</v>
      </c>
      <c r="S2267" t="str">
        <f>IF(Q2267="CONTEXT","Fencing",IF(Q2267="REVIEW","",INDEX('Category Rules'!$E$5:$E$17,MATCH(P2267,'Category Rules'!$A$5:$A$17,0))))</f>
        <v>Fencing</v>
      </c>
      <c r="T2267" t="str">
        <f>IF(Q2267="DEP","BAS Excluded","GST on Income")</f>
        <v>GST on Income</v>
      </c>
      <c r="U2267">
        <f>IF(O2267=T2267,1,0)</f>
        <v>1</v>
      </c>
      <c r="V2267" s="9">
        <f>IF(OR(M2267=0,U2267=1),0,IF(T2267="GST on Income",ROUND(K2267*0.1,2),ROUND(-K2267*0.1,2)))</f>
        <v>0</v>
      </c>
    </row>
    <row r="2268">
      <c r="A2268" t="inlineStr">
        <is>
          <t>INV-4340-1</t>
        </is>
      </c>
      <c r="B2268" t="inlineStr">
        <is>
          <t>INV-4340</t>
        </is>
      </c>
      <c r="C2268" s="11" t="n">
        <v>46168</v>
      </c>
      <c r="D2268" t="inlineStr">
        <is>
          <t>2026-05</t>
        </is>
      </c>
      <c r="E2268" t="inlineStr">
        <is>
          <t>C0022</t>
        </is>
      </c>
      <c r="F2268" t="inlineStr">
        <is>
          <t>C0022</t>
        </is>
      </c>
      <c r="G2268" t="inlineStr">
        <is>
          <t>Highpoint Projects</t>
        </is>
      </c>
      <c r="H2268" t="inlineStr">
        <is>
          <t>S0050</t>
        </is>
      </c>
      <c r="I2268" t="inlineStr">
        <is>
          <t>Collection and dismantle - temporary fencing</t>
        </is>
      </c>
      <c r="J2268" t="n">
        <v>1</v>
      </c>
      <c r="K2268" s="9" t="n">
        <v>165</v>
      </c>
      <c r="L2268" t="inlineStr">
        <is>
          <t>PAID</t>
        </is>
      </c>
      <c r="M2268">
        <f>IF(L2268="VOIDED",0,1)</f>
        <v>1</v>
      </c>
      <c r="N2268" t="n">
        <v>200</v>
      </c>
      <c r="O2268" t="inlineStr">
        <is>
          <t>GST on Income</t>
        </is>
      </c>
      <c r="P2268" t="inlineStr">
        <is>
          <t>R07</t>
        </is>
      </c>
      <c r="Q2268" t="inlineStr">
        <is>
          <t>DEL-FP</t>
        </is>
      </c>
      <c r="R2268">
        <f>IF(OR(Q2268="CONTEXT",Q2268="REVIEW"),"",INDEX('Category Rules'!$D$5:$D$17,MATCH(P2268,'Category Rules'!$A$5:$A$17,0)))</f>
        <v>4020</v>
      </c>
      <c r="S2268" t="str">
        <f>IF(Q2268="CONTEXT","Fencing",IF(Q2268="REVIEW","",INDEX('Category Rules'!$E$5:$E$17,MATCH(P2268,'Category Rules'!$A$5:$A$17,0))))</f>
        <v>Fencing</v>
      </c>
      <c r="T2268" t="str">
        <f>IF(Q2268="DEP","BAS Excluded","GST on Income")</f>
        <v>GST on Income</v>
      </c>
      <c r="U2268">
        <f>IF(O2268=T2268,1,0)</f>
        <v>1</v>
      </c>
      <c r="V2268" s="9">
        <f>IF(OR(M2268=0,U2268=1),0,IF(T2268="GST on Income",ROUND(K2268*0.1,2),ROUND(-K2268*0.1,2)))</f>
        <v>0</v>
      </c>
    </row>
    <row r="2269">
      <c r="A2269" t="inlineStr">
        <is>
          <t>INV-5297-1</t>
        </is>
      </c>
      <c r="B2269" t="inlineStr">
        <is>
          <t>INV-5297</t>
        </is>
      </c>
      <c r="C2269" s="11" t="n">
        <v>46168</v>
      </c>
      <c r="D2269" t="inlineStr">
        <is>
          <t>2026-05</t>
        </is>
      </c>
      <c r="E2269" t="inlineStr">
        <is>
          <t>C0047</t>
        </is>
      </c>
      <c r="F2269" t="inlineStr">
        <is>
          <t>C0047</t>
        </is>
      </c>
      <c r="G2269" t="inlineStr">
        <is>
          <t>Fairway Owners Corporation Services</t>
        </is>
      </c>
      <c r="H2269" t="inlineStr">
        <is>
          <t>S0259</t>
        </is>
      </c>
      <c r="I2269" t="inlineStr">
        <is>
          <t>Scaffold tower hire 2 wks (18/05/26-25/05/26) - 3 towers</t>
        </is>
      </c>
      <c r="J2269" t="n">
        <v>6</v>
      </c>
      <c r="K2269" s="9" t="n">
        <v>570</v>
      </c>
      <c r="L2269" t="inlineStr">
        <is>
          <t>PAID</t>
        </is>
      </c>
      <c r="M2269">
        <f>IF(L2269="VOIDED",0,1)</f>
        <v>1</v>
      </c>
      <c r="N2269" t="n">
        <v>200</v>
      </c>
      <c r="O2269" t="inlineStr">
        <is>
          <t>GST on Income</t>
        </is>
      </c>
      <c r="P2269" t="inlineStr">
        <is>
          <t>R05</t>
        </is>
      </c>
      <c r="Q2269" t="inlineStr">
        <is>
          <t>HIRE-ST</t>
        </is>
      </c>
      <c r="R2269">
        <f>IF(OR(Q2269="CONTEXT",Q2269="REVIEW"),"",INDEX('Category Rules'!$D$5:$D$17,MATCH(P2269,'Category Rules'!$A$5:$A$17,0)))</f>
        <v>4010</v>
      </c>
      <c r="S2269" t="str">
        <f>IF(Q2269="CONTEXT","Scaffolding",IF(Q2269="REVIEW","",INDEX('Category Rules'!$E$5:$E$17,MATCH(P2269,'Category Rules'!$A$5:$A$17,0))))</f>
        <v>Scaffolding</v>
      </c>
      <c r="T2269" t="str">
        <f>IF(Q2269="DEP","BAS Excluded","GST on Income")</f>
        <v>GST on Income</v>
      </c>
      <c r="U2269">
        <f>IF(O2269=T2269,1,0)</f>
        <v>1</v>
      </c>
      <c r="V2269" s="9">
        <f>IF(OR(M2269=0,U2269=1),0,IF(T2269="GST on Income",ROUND(K2269*0.1,2),ROUND(-K2269*0.1,2)))</f>
        <v>0</v>
      </c>
    </row>
    <row r="2270">
      <c r="A2270" t="inlineStr">
        <is>
          <t>INV-5299-1</t>
        </is>
      </c>
      <c r="B2270" t="inlineStr">
        <is>
          <t>INV-5299</t>
        </is>
      </c>
      <c r="C2270" s="11" t="n">
        <v>46168</v>
      </c>
      <c r="D2270" t="inlineStr">
        <is>
          <t>2026-05</t>
        </is>
      </c>
      <c r="E2270" t="inlineStr">
        <is>
          <t>C0047</t>
        </is>
      </c>
      <c r="F2270" t="inlineStr">
        <is>
          <t>C0047</t>
        </is>
      </c>
      <c r="G2270" t="inlineStr">
        <is>
          <t>Fairway Owners Corporation Services</t>
        </is>
      </c>
      <c r="H2270" t="inlineStr">
        <is>
          <t>S0259</t>
        </is>
      </c>
      <c r="I2270" t="inlineStr">
        <is>
          <t>Scaffold dismantle - 3 tower(s)</t>
        </is>
      </c>
      <c r="J2270" t="n">
        <v>3</v>
      </c>
      <c r="K2270" s="9" t="n">
        <v>960</v>
      </c>
      <c r="L2270" t="inlineStr">
        <is>
          <t>AUTHORISED</t>
        </is>
      </c>
      <c r="M2270">
        <f>IF(L2270="VOIDED",0,1)</f>
        <v>1</v>
      </c>
      <c r="N2270" t="n">
        <v>200</v>
      </c>
      <c r="O2270" t="inlineStr">
        <is>
          <t>GST on Income</t>
        </is>
      </c>
      <c r="P2270" t="inlineStr">
        <is>
          <t>R08</t>
        </is>
      </c>
      <c r="Q2270" t="inlineStr">
        <is>
          <t>LAB-ST</t>
        </is>
      </c>
      <c r="R2270">
        <f>IF(OR(Q2270="CONTEXT",Q2270="REVIEW"),"",INDEX('Category Rules'!$D$5:$D$17,MATCH(P2270,'Category Rules'!$A$5:$A$17,0)))</f>
        <v>4020</v>
      </c>
      <c r="S2270" t="str">
        <f>IF(Q2270="CONTEXT","Scaffolding",IF(Q2270="REVIEW","",INDEX('Category Rules'!$E$5:$E$17,MATCH(P2270,'Category Rules'!$A$5:$A$17,0))))</f>
        <v>Scaffolding</v>
      </c>
      <c r="T2270" t="str">
        <f>IF(Q2270="DEP","BAS Excluded","GST on Income")</f>
        <v>GST on Income</v>
      </c>
      <c r="U2270">
        <f>IF(O2270=T2270,1,0)</f>
        <v>1</v>
      </c>
      <c r="V2270" s="9">
        <f>IF(OR(M2270=0,U2270=1),0,IF(T2270="GST on Income",ROUND(K2270*0.1,2),ROUND(-K2270*0.1,2)))</f>
        <v>0</v>
      </c>
    </row>
    <row r="2271">
      <c r="A2271" t="inlineStr">
        <is>
          <t>INV-5429-1</t>
        </is>
      </c>
      <c r="B2271" t="inlineStr">
        <is>
          <t>INV-5429</t>
        </is>
      </c>
      <c r="C2271" s="11" t="n">
        <v>46168</v>
      </c>
      <c r="D2271" t="inlineStr">
        <is>
          <t>2026-05</t>
        </is>
      </c>
      <c r="E2271" t="inlineStr">
        <is>
          <t>C0114</t>
        </is>
      </c>
      <c r="F2271" t="inlineStr">
        <is>
          <t>C0114</t>
        </is>
      </c>
      <c r="G2271" t="inlineStr">
        <is>
          <t>Ella Brown</t>
        </is>
      </c>
      <c r="H2271" t="inlineStr">
        <is>
          <t>S0291</t>
        </is>
      </c>
      <c r="I2271" t="inlineStr">
        <is>
          <t>Scaffold erect - 2 tower(s)</t>
        </is>
      </c>
      <c r="J2271" t="n">
        <v>2</v>
      </c>
      <c r="K2271" s="9" t="n">
        <v>840</v>
      </c>
      <c r="L2271" t="inlineStr">
        <is>
          <t>AUTHORISED</t>
        </is>
      </c>
      <c r="M2271">
        <f>IF(L2271="VOIDED",0,1)</f>
        <v>1</v>
      </c>
      <c r="N2271" t="n">
        <v>200</v>
      </c>
      <c r="O2271" t="inlineStr">
        <is>
          <t>GST on Income</t>
        </is>
      </c>
      <c r="P2271" t="inlineStr">
        <is>
          <t>R08</t>
        </is>
      </c>
      <c r="Q2271" t="inlineStr">
        <is>
          <t>LAB-ST</t>
        </is>
      </c>
      <c r="R2271">
        <f>IF(OR(Q2271="CONTEXT",Q2271="REVIEW"),"",INDEX('Category Rules'!$D$5:$D$17,MATCH(P2271,'Category Rules'!$A$5:$A$17,0)))</f>
        <v>4020</v>
      </c>
      <c r="S2271" t="str">
        <f>IF(Q2271="CONTEXT","Scaffolding",IF(Q2271="REVIEW","",INDEX('Category Rules'!$E$5:$E$17,MATCH(P2271,'Category Rules'!$A$5:$A$17,0))))</f>
        <v>Scaffolding</v>
      </c>
      <c r="T2271" t="str">
        <f>IF(Q2271="DEP","BAS Excluded","GST on Income")</f>
        <v>GST on Income</v>
      </c>
      <c r="U2271">
        <f>IF(O2271=T2271,1,0)</f>
        <v>1</v>
      </c>
      <c r="V2271" s="9">
        <f>IF(OR(M2271=0,U2271=1),0,IF(T2271="GST on Income",ROUND(K2271*0.1,2),ROUND(-K2271*0.1,2)))</f>
        <v>0</v>
      </c>
    </row>
    <row r="2272">
      <c r="A2272" t="inlineStr">
        <is>
          <t>INV-5835-1</t>
        </is>
      </c>
      <c r="B2272" t="inlineStr">
        <is>
          <t>INV-5835</t>
        </is>
      </c>
      <c r="C2272" s="11" t="n">
        <v>46168</v>
      </c>
      <c r="D2272" t="inlineStr">
        <is>
          <t>2026-05</t>
        </is>
      </c>
      <c r="E2272" t="inlineStr">
        <is>
          <t>C0060</t>
        </is>
      </c>
      <c r="F2272" t="inlineStr">
        <is>
          <t>C0060</t>
        </is>
      </c>
      <c r="G2272" t="inlineStr">
        <is>
          <t>Redline Claims Services</t>
        </is>
      </c>
      <c r="H2272" t="inlineStr">
        <is>
          <t>S0510</t>
        </is>
      </c>
      <c r="I2272" t="inlineStr">
        <is>
          <t>Make safe call-out</t>
        </is>
      </c>
      <c r="J2272" t="n">
        <v>1</v>
      </c>
      <c r="K2272" s="9" t="n">
        <v>385</v>
      </c>
      <c r="L2272" t="inlineStr">
        <is>
          <t>PAID</t>
        </is>
      </c>
      <c r="M2272">
        <f>IF(L2272="VOIDED",0,1)</f>
        <v>1</v>
      </c>
      <c r="N2272" t="n">
        <v>200</v>
      </c>
      <c r="O2272" t="inlineStr">
        <is>
          <t>GST on Income</t>
        </is>
      </c>
      <c r="P2272" t="inlineStr">
        <is>
          <t>R09</t>
        </is>
      </c>
      <c r="Q2272" t="inlineStr">
        <is>
          <t>MS</t>
        </is>
      </c>
      <c r="R2272">
        <f>IF(OR(Q2272="CONTEXT",Q2272="REVIEW"),"",INDEX('Category Rules'!$D$5:$D$17,MATCH(P2272,'Category Rules'!$A$5:$A$17,0)))</f>
        <v>4020</v>
      </c>
      <c r="S2272" t="str">
        <f>IF(Q2272="CONTEXT","Make-safe",IF(Q2272="REVIEW","",INDEX('Category Rules'!$E$5:$E$17,MATCH(P2272,'Category Rules'!$A$5:$A$17,0))))</f>
        <v>Make-safe</v>
      </c>
      <c r="T2272" t="str">
        <f>IF(Q2272="DEP","BAS Excluded","GST on Income")</f>
        <v>GST on Income</v>
      </c>
      <c r="U2272">
        <f>IF(O2272=T2272,1,0)</f>
        <v>1</v>
      </c>
      <c r="V2272" s="9">
        <f>IF(OR(M2272=0,U2272=1),0,IF(T2272="GST on Income",ROUND(K2272*0.1,2),ROUND(-K2272*0.1,2)))</f>
        <v>0</v>
      </c>
    </row>
    <row r="2273">
      <c r="A2273" t="inlineStr">
        <is>
          <t>INV-5835-2</t>
        </is>
      </c>
      <c r="B2273" t="inlineStr">
        <is>
          <t>INV-5835</t>
        </is>
      </c>
      <c r="C2273" s="11" t="n">
        <v>46168</v>
      </c>
      <c r="D2273" t="inlineStr">
        <is>
          <t>2026-05</t>
        </is>
      </c>
      <c r="E2273" t="inlineStr">
        <is>
          <t>C0060</t>
        </is>
      </c>
      <c r="F2273" t="inlineStr">
        <is>
          <t>C0060</t>
        </is>
      </c>
      <c r="G2273" t="inlineStr">
        <is>
          <t>Redline Claims Services</t>
        </is>
      </c>
      <c r="H2273" t="inlineStr">
        <is>
          <t>S0510</t>
        </is>
      </c>
      <c r="I2273" t="inlineStr">
        <is>
          <t>Tarp supply and install - 1 tarp(s)</t>
        </is>
      </c>
      <c r="J2273" t="n">
        <v>1</v>
      </c>
      <c r="K2273" s="9" t="n">
        <v>240</v>
      </c>
      <c r="L2273" t="inlineStr">
        <is>
          <t>PAID</t>
        </is>
      </c>
      <c r="M2273">
        <f>IF(L2273="VOIDED",0,1)</f>
        <v>1</v>
      </c>
      <c r="N2273" t="n">
        <v>200</v>
      </c>
      <c r="O2273" t="inlineStr">
        <is>
          <t>GST on Income</t>
        </is>
      </c>
      <c r="P2273" t="inlineStr">
        <is>
          <t>R09</t>
        </is>
      </c>
      <c r="Q2273" t="inlineStr">
        <is>
          <t>MS</t>
        </is>
      </c>
      <c r="R2273">
        <f>IF(OR(Q2273="CONTEXT",Q2273="REVIEW"),"",INDEX('Category Rules'!$D$5:$D$17,MATCH(P2273,'Category Rules'!$A$5:$A$17,0)))</f>
        <v>4020</v>
      </c>
      <c r="S2273" t="str">
        <f>IF(Q2273="CONTEXT","Make-safe",IF(Q2273="REVIEW","",INDEX('Category Rules'!$E$5:$E$17,MATCH(P2273,'Category Rules'!$A$5:$A$17,0))))</f>
        <v>Make-safe</v>
      </c>
      <c r="T2273" t="str">
        <f>IF(Q2273="DEP","BAS Excluded","GST on Income")</f>
        <v>GST on Income</v>
      </c>
      <c r="U2273">
        <f>IF(O2273=T2273,1,0)</f>
        <v>1</v>
      </c>
      <c r="V2273" s="9">
        <f>IF(OR(M2273=0,U2273=1),0,IF(T2273="GST on Income",ROUND(K2273*0.1,2),ROUND(-K2273*0.1,2)))</f>
        <v>0</v>
      </c>
    </row>
    <row r="2274">
      <c r="A2274" t="inlineStr">
        <is>
          <t>INV-4921-1</t>
        </is>
      </c>
      <c r="B2274" t="inlineStr">
        <is>
          <t>INV-4921</t>
        </is>
      </c>
      <c r="C2274" s="11" t="n">
        <v>46169</v>
      </c>
      <c r="D2274" t="inlineStr">
        <is>
          <t>2026-05</t>
        </is>
      </c>
      <c r="E2274" t="inlineStr">
        <is>
          <t>C0018</t>
        </is>
      </c>
      <c r="F2274" t="inlineStr">
        <is>
          <t>C0018</t>
        </is>
      </c>
      <c r="G2274" t="inlineStr">
        <is>
          <t>Wattle Constructions Pty Ltd</t>
        </is>
      </c>
      <c r="H2274" t="inlineStr">
        <is>
          <t>S0173</t>
        </is>
      </c>
      <c r="I2274" t="inlineStr">
        <is>
          <t>Delivery and installation - temporary fencing</t>
        </is>
      </c>
      <c r="J2274" t="n">
        <v>1</v>
      </c>
      <c r="K2274" s="9" t="n">
        <v>165</v>
      </c>
      <c r="L2274" t="inlineStr">
        <is>
          <t>AUTHORISED</t>
        </is>
      </c>
      <c r="M2274">
        <f>IF(L2274="VOIDED",0,1)</f>
        <v>1</v>
      </c>
      <c r="N2274" t="n">
        <v>200</v>
      </c>
      <c r="O2274" t="inlineStr">
        <is>
          <t>GST on Income</t>
        </is>
      </c>
      <c r="P2274" t="inlineStr">
        <is>
          <t>R07</t>
        </is>
      </c>
      <c r="Q2274" t="inlineStr">
        <is>
          <t>DEL-FP</t>
        </is>
      </c>
      <c r="R2274">
        <f>IF(OR(Q2274="CONTEXT",Q2274="REVIEW"),"",INDEX('Category Rules'!$D$5:$D$17,MATCH(P2274,'Category Rules'!$A$5:$A$17,0)))</f>
        <v>4020</v>
      </c>
      <c r="S2274" t="str">
        <f>IF(Q2274="CONTEXT","Fencing",IF(Q2274="REVIEW","",INDEX('Category Rules'!$E$5:$E$17,MATCH(P2274,'Category Rules'!$A$5:$A$17,0))))</f>
        <v>Fencing</v>
      </c>
      <c r="T2274" t="str">
        <f>IF(Q2274="DEP","BAS Excluded","GST on Income")</f>
        <v>GST on Income</v>
      </c>
      <c r="U2274">
        <f>IF(O2274=T2274,1,0)</f>
        <v>1</v>
      </c>
      <c r="V2274" s="9">
        <f>IF(OR(M2274=0,U2274=1),0,IF(T2274="GST on Income",ROUND(K2274*0.1,2),ROUND(-K2274*0.1,2)))</f>
        <v>0</v>
      </c>
    </row>
    <row r="2275">
      <c r="A2275" t="inlineStr">
        <is>
          <t>INV-4921-2</t>
        </is>
      </c>
      <c r="B2275" t="inlineStr">
        <is>
          <t>INV-4921</t>
        </is>
      </c>
      <c r="C2275" s="11" t="n">
        <v>46169</v>
      </c>
      <c r="D2275" t="inlineStr">
        <is>
          <t>2026-05</t>
        </is>
      </c>
      <c r="E2275" t="inlineStr">
        <is>
          <t>C0018</t>
        </is>
      </c>
      <c r="F2275" t="inlineStr">
        <is>
          <t>C0018</t>
        </is>
      </c>
      <c r="G2275" t="inlineStr">
        <is>
          <t>Wattle Constructions Pty Ltd</t>
        </is>
      </c>
      <c r="H2275" t="inlineStr">
        <is>
          <t>S0173</t>
        </is>
      </c>
      <c r="I2275" t="inlineStr">
        <is>
          <t>Installation labour - 149 panels @ 2.20</t>
        </is>
      </c>
      <c r="J2275" t="n">
        <v>149</v>
      </c>
      <c r="K2275" s="9" t="n">
        <v>327.8</v>
      </c>
      <c r="L2275" t="inlineStr">
        <is>
          <t>AUTHORISED</t>
        </is>
      </c>
      <c r="M2275">
        <f>IF(L2275="VOIDED",0,1)</f>
        <v>1</v>
      </c>
      <c r="N2275" t="n">
        <v>200</v>
      </c>
      <c r="O2275" t="inlineStr">
        <is>
          <t>GST on Income</t>
        </is>
      </c>
      <c r="P2275" t="inlineStr">
        <is>
          <t>R07</t>
        </is>
      </c>
      <c r="Q2275" t="inlineStr">
        <is>
          <t>DEL-FP</t>
        </is>
      </c>
      <c r="R2275">
        <f>IF(OR(Q2275="CONTEXT",Q2275="REVIEW"),"",INDEX('Category Rules'!$D$5:$D$17,MATCH(P2275,'Category Rules'!$A$5:$A$17,0)))</f>
        <v>4020</v>
      </c>
      <c r="S2275" t="str">
        <f>IF(Q2275="CONTEXT","Fencing",IF(Q2275="REVIEW","",INDEX('Category Rules'!$E$5:$E$17,MATCH(P2275,'Category Rules'!$A$5:$A$17,0))))</f>
        <v>Fencing</v>
      </c>
      <c r="T2275" t="str">
        <f>IF(Q2275="DEP","BAS Excluded","GST on Income")</f>
        <v>GST on Income</v>
      </c>
      <c r="U2275">
        <f>IF(O2275=T2275,1,0)</f>
        <v>1</v>
      </c>
      <c r="V2275" s="9">
        <f>IF(OR(M2275=0,U2275=1),0,IF(T2275="GST on Income",ROUND(K2275*0.1,2),ROUND(-K2275*0.1,2)))</f>
        <v>0</v>
      </c>
    </row>
    <row r="2276">
      <c r="A2276" t="inlineStr">
        <is>
          <t>INV-5028-1</t>
        </is>
      </c>
      <c r="B2276" t="inlineStr">
        <is>
          <t>INV-5028</t>
        </is>
      </c>
      <c r="C2276" s="11" t="n">
        <v>46169</v>
      </c>
      <c r="D2276" t="inlineStr">
        <is>
          <t>2026-05</t>
        </is>
      </c>
      <c r="E2276" t="inlineStr">
        <is>
          <t>C0043</t>
        </is>
      </c>
      <c r="F2276" t="inlineStr">
        <is>
          <t>C0043</t>
        </is>
      </c>
      <c r="G2276" t="inlineStr">
        <is>
          <t>Banksia Projects Pty Ltd</t>
        </is>
      </c>
      <c r="H2276" t="inlineStr">
        <is>
          <t>S0200</t>
        </is>
      </c>
      <c r="I2276" t="inlineStr">
        <is>
          <t>Temporary fence hire 4 wks (29/04/26-26/05/26) - 116 panels</t>
        </is>
      </c>
      <c r="J2276" t="n">
        <v>464</v>
      </c>
      <c r="K2276" s="9" t="n">
        <v>2088</v>
      </c>
      <c r="L2276" t="inlineStr">
        <is>
          <t>AUTHORISED</t>
        </is>
      </c>
      <c r="M2276">
        <f>IF(L2276="VOIDED",0,1)</f>
        <v>1</v>
      </c>
      <c r="N2276" t="n">
        <v>200</v>
      </c>
      <c r="O2276" t="inlineStr">
        <is>
          <t>GST on Income</t>
        </is>
      </c>
      <c r="P2276" t="inlineStr">
        <is>
          <t>R03</t>
        </is>
      </c>
      <c r="Q2276" t="inlineStr">
        <is>
          <t>HIRE-FP</t>
        </is>
      </c>
      <c r="R2276">
        <f>IF(OR(Q2276="CONTEXT",Q2276="REVIEW"),"",INDEX('Category Rules'!$D$5:$D$17,MATCH(P2276,'Category Rules'!$A$5:$A$17,0)))</f>
        <v>4010</v>
      </c>
      <c r="S2276" t="str">
        <f>IF(Q2276="CONTEXT","Fencing",IF(Q2276="REVIEW","",INDEX('Category Rules'!$E$5:$E$17,MATCH(P2276,'Category Rules'!$A$5:$A$17,0))))</f>
        <v>Fencing</v>
      </c>
      <c r="T2276" t="str">
        <f>IF(Q2276="DEP","BAS Excluded","GST on Income")</f>
        <v>GST on Income</v>
      </c>
      <c r="U2276">
        <f>IF(O2276=T2276,1,0)</f>
        <v>1</v>
      </c>
      <c r="V2276" s="9">
        <f>IF(OR(M2276=0,U2276=1),0,IF(T2276="GST on Income",ROUND(K2276*0.1,2),ROUND(-K2276*0.1,2)))</f>
        <v>0</v>
      </c>
    </row>
    <row r="2277">
      <c r="A2277" t="inlineStr">
        <is>
          <t>INV-5471-1</t>
        </is>
      </c>
      <c r="B2277" t="inlineStr">
        <is>
          <t>INV-5471</t>
        </is>
      </c>
      <c r="C2277" s="11" t="n">
        <v>46169</v>
      </c>
      <c r="D2277" t="inlineStr">
        <is>
          <t>2026-05</t>
        </is>
      </c>
      <c r="E2277" t="inlineStr">
        <is>
          <t>C0124</t>
        </is>
      </c>
      <c r="F2277" t="inlineStr">
        <is>
          <t>C0124</t>
        </is>
      </c>
      <c r="G2277" t="inlineStr">
        <is>
          <t>Harbor Strata Management</t>
        </is>
      </c>
      <c r="H2277" t="inlineStr">
        <is>
          <t>S0309</t>
        </is>
      </c>
      <c r="I2277" t="inlineStr">
        <is>
          <t>Make safe call-out</t>
        </is>
      </c>
      <c r="J2277" t="n">
        <v>1</v>
      </c>
      <c r="K2277" s="9" t="n">
        <v>385</v>
      </c>
      <c r="L2277" t="inlineStr">
        <is>
          <t>PAID</t>
        </is>
      </c>
      <c r="M2277">
        <f>IF(L2277="VOIDED",0,1)</f>
        <v>1</v>
      </c>
      <c r="N2277" t="n">
        <v>200</v>
      </c>
      <c r="O2277" t="inlineStr">
        <is>
          <t>GST on Income</t>
        </is>
      </c>
      <c r="P2277" t="inlineStr">
        <is>
          <t>R09</t>
        </is>
      </c>
      <c r="Q2277" t="inlineStr">
        <is>
          <t>MS</t>
        </is>
      </c>
      <c r="R2277">
        <f>IF(OR(Q2277="CONTEXT",Q2277="REVIEW"),"",INDEX('Category Rules'!$D$5:$D$17,MATCH(P2277,'Category Rules'!$A$5:$A$17,0)))</f>
        <v>4020</v>
      </c>
      <c r="S2277" t="str">
        <f>IF(Q2277="CONTEXT","Make-safe",IF(Q2277="REVIEW","",INDEX('Category Rules'!$E$5:$E$17,MATCH(P2277,'Category Rules'!$A$5:$A$17,0))))</f>
        <v>Make-safe</v>
      </c>
      <c r="T2277" t="str">
        <f>IF(Q2277="DEP","BAS Excluded","GST on Income")</f>
        <v>GST on Income</v>
      </c>
      <c r="U2277">
        <f>IF(O2277=T2277,1,0)</f>
        <v>1</v>
      </c>
      <c r="V2277" s="9">
        <f>IF(OR(M2277=0,U2277=1),0,IF(T2277="GST on Income",ROUND(K2277*0.1,2),ROUND(-K2277*0.1,2)))</f>
        <v>0</v>
      </c>
    </row>
    <row r="2278">
      <c r="A2278" t="inlineStr">
        <is>
          <t>INV-5801-1</t>
        </is>
      </c>
      <c r="B2278" t="inlineStr">
        <is>
          <t>INV-5801</t>
        </is>
      </c>
      <c r="C2278" s="11" t="n">
        <v>46169</v>
      </c>
      <c r="D2278" t="inlineStr">
        <is>
          <t>2026-05</t>
        </is>
      </c>
      <c r="E2278" t="inlineStr">
        <is>
          <t>C0089</t>
        </is>
      </c>
      <c r="F2278" t="inlineStr">
        <is>
          <t>C0089</t>
        </is>
      </c>
      <c r="G2278" t="inlineStr">
        <is>
          <t>Leo Hughes</t>
        </is>
      </c>
      <c r="H2278" t="inlineStr">
        <is>
          <t>S0490</t>
        </is>
      </c>
      <c r="I2278" t="inlineStr">
        <is>
          <t>Make safe call-out</t>
        </is>
      </c>
      <c r="J2278" t="n">
        <v>1</v>
      </c>
      <c r="K2278" s="9" t="n">
        <v>385</v>
      </c>
      <c r="L2278" t="inlineStr">
        <is>
          <t>AUTHORISED</t>
        </is>
      </c>
      <c r="M2278">
        <f>IF(L2278="VOIDED",0,1)</f>
        <v>1</v>
      </c>
      <c r="N2278" t="n">
        <v>260</v>
      </c>
      <c r="O2278" t="inlineStr">
        <is>
          <t>GST on Income</t>
        </is>
      </c>
      <c r="P2278" t="inlineStr">
        <is>
          <t>R09</t>
        </is>
      </c>
      <c r="Q2278" t="inlineStr">
        <is>
          <t>MS</t>
        </is>
      </c>
      <c r="R2278">
        <f>IF(OR(Q2278="CONTEXT",Q2278="REVIEW"),"",INDEX('Category Rules'!$D$5:$D$17,MATCH(P2278,'Category Rules'!$A$5:$A$17,0)))</f>
        <v>4020</v>
      </c>
      <c r="S2278" t="str">
        <f>IF(Q2278="CONTEXT","Make-safe",IF(Q2278="REVIEW","",INDEX('Category Rules'!$E$5:$E$17,MATCH(P2278,'Category Rules'!$A$5:$A$17,0))))</f>
        <v>Make-safe</v>
      </c>
      <c r="T2278" t="str">
        <f>IF(Q2278="DEP","BAS Excluded","GST on Income")</f>
        <v>GST on Income</v>
      </c>
      <c r="U2278">
        <f>IF(O2278=T2278,1,0)</f>
        <v>1</v>
      </c>
      <c r="V2278" s="9">
        <f>IF(OR(M2278=0,U2278=1),0,IF(T2278="GST on Income",ROUND(K2278*0.1,2),ROUND(-K2278*0.1,2)))</f>
        <v>0</v>
      </c>
    </row>
    <row r="2279">
      <c r="A2279" t="inlineStr">
        <is>
          <t>INV-5801-2</t>
        </is>
      </c>
      <c r="B2279" t="inlineStr">
        <is>
          <t>INV-5801</t>
        </is>
      </c>
      <c r="C2279" s="11" t="n">
        <v>46169</v>
      </c>
      <c r="D2279" t="inlineStr">
        <is>
          <t>2026-05</t>
        </is>
      </c>
      <c r="E2279" t="inlineStr">
        <is>
          <t>C0089</t>
        </is>
      </c>
      <c r="F2279" t="inlineStr">
        <is>
          <t>C0089</t>
        </is>
      </c>
      <c r="G2279" t="inlineStr">
        <is>
          <t>Leo Hughes</t>
        </is>
      </c>
      <c r="H2279" t="inlineStr">
        <is>
          <t>S0490</t>
        </is>
      </c>
      <c r="I2279" t="inlineStr">
        <is>
          <t>Tarp supply and install - 1 tarp(s)</t>
        </is>
      </c>
      <c r="J2279" t="n">
        <v>1</v>
      </c>
      <c r="K2279" s="9" t="n">
        <v>240</v>
      </c>
      <c r="L2279" t="inlineStr">
        <is>
          <t>AUTHORISED</t>
        </is>
      </c>
      <c r="M2279">
        <f>IF(L2279="VOIDED",0,1)</f>
        <v>1</v>
      </c>
      <c r="N2279" t="n">
        <v>200</v>
      </c>
      <c r="O2279" t="inlineStr">
        <is>
          <t>GST on Income</t>
        </is>
      </c>
      <c r="P2279" t="inlineStr">
        <is>
          <t>R09</t>
        </is>
      </c>
      <c r="Q2279" t="inlineStr">
        <is>
          <t>MS</t>
        </is>
      </c>
      <c r="R2279">
        <f>IF(OR(Q2279="CONTEXT",Q2279="REVIEW"),"",INDEX('Category Rules'!$D$5:$D$17,MATCH(P2279,'Category Rules'!$A$5:$A$17,0)))</f>
        <v>4020</v>
      </c>
      <c r="S2279" t="str">
        <f>IF(Q2279="CONTEXT","Make-safe",IF(Q2279="REVIEW","",INDEX('Category Rules'!$E$5:$E$17,MATCH(P2279,'Category Rules'!$A$5:$A$17,0))))</f>
        <v>Make-safe</v>
      </c>
      <c r="T2279" t="str">
        <f>IF(Q2279="DEP","BAS Excluded","GST on Income")</f>
        <v>GST on Income</v>
      </c>
      <c r="U2279">
        <f>IF(O2279=T2279,1,0)</f>
        <v>1</v>
      </c>
      <c r="V2279" s="9">
        <f>IF(OR(M2279=0,U2279=1),0,IF(T2279="GST on Income",ROUND(K2279*0.1,2),ROUND(-K2279*0.1,2)))</f>
        <v>0</v>
      </c>
    </row>
    <row r="2280">
      <c r="A2280" t="inlineStr">
        <is>
          <t>INV-5884-1</t>
        </is>
      </c>
      <c r="B2280" t="inlineStr">
        <is>
          <t>INV-5884</t>
        </is>
      </c>
      <c r="C2280" s="11" t="n">
        <v>46169</v>
      </c>
      <c r="D2280" t="inlineStr">
        <is>
          <t>2026-05</t>
        </is>
      </c>
      <c r="E2280" t="inlineStr">
        <is>
          <t>C0055</t>
        </is>
      </c>
      <c r="F2280" t="inlineStr">
        <is>
          <t>C0055</t>
        </is>
      </c>
      <c r="G2280" t="inlineStr">
        <is>
          <t>Coastline Strata Management Pty Ltd</t>
        </is>
      </c>
      <c r="H2280" t="inlineStr">
        <is>
          <t>S0541</t>
        </is>
      </c>
      <c r="I2280" t="inlineStr">
        <is>
          <t>Roof repair labour - 12 hrs</t>
        </is>
      </c>
      <c r="J2280" t="n">
        <v>12</v>
      </c>
      <c r="K2280" s="9" t="n">
        <v>1176</v>
      </c>
      <c r="L2280" t="inlineStr">
        <is>
          <t>PAID</t>
        </is>
      </c>
      <c r="M2280">
        <f>IF(L2280="VOIDED",0,1)</f>
        <v>1</v>
      </c>
      <c r="N2280" t="n">
        <v>200</v>
      </c>
      <c r="O2280" t="inlineStr">
        <is>
          <t>GST on Income</t>
        </is>
      </c>
      <c r="P2280" t="inlineStr">
        <is>
          <t>R10</t>
        </is>
      </c>
      <c r="Q2280" t="inlineStr">
        <is>
          <t>LAB-RF</t>
        </is>
      </c>
      <c r="R2280">
        <f>IF(OR(Q2280="CONTEXT",Q2280="REVIEW"),"",INDEX('Category Rules'!$D$5:$D$17,MATCH(P2280,'Category Rules'!$A$5:$A$17,0)))</f>
        <v>4020</v>
      </c>
      <c r="S2280" t="str">
        <f>IF(Q2280="CONTEXT","Roofing",IF(Q2280="REVIEW","",INDEX('Category Rules'!$E$5:$E$17,MATCH(P2280,'Category Rules'!$A$5:$A$17,0))))</f>
        <v>Roofing</v>
      </c>
      <c r="T2280" t="str">
        <f>IF(Q2280="DEP","BAS Excluded","GST on Income")</f>
        <v>GST on Income</v>
      </c>
      <c r="U2280">
        <f>IF(O2280=T2280,1,0)</f>
        <v>1</v>
      </c>
      <c r="V2280" s="9">
        <f>IF(OR(M2280=0,U2280=1),0,IF(T2280="GST on Income",ROUND(K2280*0.1,2),ROUND(-K2280*0.1,2)))</f>
        <v>0</v>
      </c>
    </row>
    <row r="2281">
      <c r="A2281" t="inlineStr">
        <is>
          <t>INV-5884-2</t>
        </is>
      </c>
      <c r="B2281" t="inlineStr">
        <is>
          <t>INV-5884</t>
        </is>
      </c>
      <c r="C2281" s="11" t="n">
        <v>46169</v>
      </c>
      <c r="D2281" t="inlineStr">
        <is>
          <t>2026-05</t>
        </is>
      </c>
      <c r="E2281" t="inlineStr">
        <is>
          <t>C0055</t>
        </is>
      </c>
      <c r="F2281" t="inlineStr">
        <is>
          <t>C0055</t>
        </is>
      </c>
      <c r="G2281" t="inlineStr">
        <is>
          <t>Coastline Strata Management Pty Ltd</t>
        </is>
      </c>
      <c r="H2281" t="inlineStr">
        <is>
          <t>S0541</t>
        </is>
      </c>
      <c r="I2281" t="inlineStr">
        <is>
          <t>Materials - sealant and fixings</t>
        </is>
      </c>
      <c r="J2281" t="n">
        <v>1</v>
      </c>
      <c r="K2281" s="9" t="n">
        <v>105.52</v>
      </c>
      <c r="L2281" t="inlineStr">
        <is>
          <t>PAID</t>
        </is>
      </c>
      <c r="M2281">
        <f>IF(L2281="VOIDED",0,1)</f>
        <v>1</v>
      </c>
      <c r="N2281" t="n">
        <v>200</v>
      </c>
      <c r="O2281" t="inlineStr">
        <is>
          <t>GST on Income</t>
        </is>
      </c>
      <c r="P2281" t="inlineStr">
        <is>
          <t>R11</t>
        </is>
      </c>
      <c r="Q2281" t="inlineStr">
        <is>
          <t>MAT-RF</t>
        </is>
      </c>
      <c r="R2281">
        <f>IF(OR(Q2281="CONTEXT",Q2281="REVIEW"),"",INDEX('Category Rules'!$D$5:$D$17,MATCH(P2281,'Category Rules'!$A$5:$A$17,0)))</f>
        <v>4030</v>
      </c>
      <c r="S2281" t="str">
        <f>IF(Q2281="CONTEXT","Roofing",IF(Q2281="REVIEW","",INDEX('Category Rules'!$E$5:$E$17,MATCH(P2281,'Category Rules'!$A$5:$A$17,0))))</f>
        <v>Roofing</v>
      </c>
      <c r="T2281" t="str">
        <f>IF(Q2281="DEP","BAS Excluded","GST on Income")</f>
        <v>GST on Income</v>
      </c>
      <c r="U2281">
        <f>IF(O2281=T2281,1,0)</f>
        <v>1</v>
      </c>
      <c r="V2281" s="9">
        <f>IF(OR(M2281=0,U2281=1),0,IF(T2281="GST on Income",ROUND(K2281*0.1,2),ROUND(-K2281*0.1,2)))</f>
        <v>0</v>
      </c>
    </row>
    <row r="2282">
      <c r="A2282" t="inlineStr">
        <is>
          <t>INV-5884-3</t>
        </is>
      </c>
      <c r="B2282" t="inlineStr">
        <is>
          <t>INV-5884</t>
        </is>
      </c>
      <c r="C2282" s="11" t="n">
        <v>46169</v>
      </c>
      <c r="D2282" t="inlineStr">
        <is>
          <t>2026-05</t>
        </is>
      </c>
      <c r="E2282" t="inlineStr">
        <is>
          <t>C0055</t>
        </is>
      </c>
      <c r="F2282" t="inlineStr">
        <is>
          <t>C0055</t>
        </is>
      </c>
      <c r="G2282" t="inlineStr">
        <is>
          <t>Coastline Strata Management Pty Ltd</t>
        </is>
      </c>
      <c r="H2282" t="inlineStr">
        <is>
          <t>S0541</t>
        </is>
      </c>
      <c r="I2282" t="inlineStr">
        <is>
          <t>Materials - flashing</t>
        </is>
      </c>
      <c r="J2282" t="n">
        <v>1</v>
      </c>
      <c r="K2282" s="9" t="n">
        <v>575.71</v>
      </c>
      <c r="L2282" t="inlineStr">
        <is>
          <t>PAID</t>
        </is>
      </c>
      <c r="M2282">
        <f>IF(L2282="VOIDED",0,1)</f>
        <v>1</v>
      </c>
      <c r="N2282" t="n">
        <v>200</v>
      </c>
      <c r="O2282" t="inlineStr">
        <is>
          <t>GST on Income</t>
        </is>
      </c>
      <c r="P2282" t="inlineStr">
        <is>
          <t>R11</t>
        </is>
      </c>
      <c r="Q2282" t="inlineStr">
        <is>
          <t>MAT-RF</t>
        </is>
      </c>
      <c r="R2282">
        <f>IF(OR(Q2282="CONTEXT",Q2282="REVIEW"),"",INDEX('Category Rules'!$D$5:$D$17,MATCH(P2282,'Category Rules'!$A$5:$A$17,0)))</f>
        <v>4030</v>
      </c>
      <c r="S2282" t="str">
        <f>IF(Q2282="CONTEXT","Roofing",IF(Q2282="REVIEW","",INDEX('Category Rules'!$E$5:$E$17,MATCH(P2282,'Category Rules'!$A$5:$A$17,0))))</f>
        <v>Roofing</v>
      </c>
      <c r="T2282" t="str">
        <f>IF(Q2282="DEP","BAS Excluded","GST on Income")</f>
        <v>GST on Income</v>
      </c>
      <c r="U2282">
        <f>IF(O2282=T2282,1,0)</f>
        <v>1</v>
      </c>
      <c r="V2282" s="9">
        <f>IF(OR(M2282=0,U2282=1),0,IF(T2282="GST on Income",ROUND(K2282*0.1,2),ROUND(-K2282*0.1,2)))</f>
        <v>0</v>
      </c>
    </row>
    <row r="2283">
      <c r="A2283" t="inlineStr">
        <is>
          <t>INV-5884-4</t>
        </is>
      </c>
      <c r="B2283" t="inlineStr">
        <is>
          <t>INV-5884</t>
        </is>
      </c>
      <c r="C2283" s="11" t="n">
        <v>46169</v>
      </c>
      <c r="D2283" t="inlineStr">
        <is>
          <t>2026-05</t>
        </is>
      </c>
      <c r="E2283" t="inlineStr">
        <is>
          <t>C0055</t>
        </is>
      </c>
      <c r="F2283" t="inlineStr">
        <is>
          <t>C0055</t>
        </is>
      </c>
      <c r="G2283" t="inlineStr">
        <is>
          <t>Coastline Strata Management Pty Ltd</t>
        </is>
      </c>
      <c r="H2283" t="inlineStr">
        <is>
          <t>S0541</t>
        </is>
      </c>
      <c r="I2283" t="inlineStr">
        <is>
          <t>Materials - gutter and downpipe</t>
        </is>
      </c>
      <c r="J2283" t="n">
        <v>1</v>
      </c>
      <c r="K2283" s="9" t="n">
        <v>1101.45</v>
      </c>
      <c r="L2283" t="inlineStr">
        <is>
          <t>PAID</t>
        </is>
      </c>
      <c r="M2283">
        <f>IF(L2283="VOIDED",0,1)</f>
        <v>1</v>
      </c>
      <c r="N2283" t="n">
        <v>200</v>
      </c>
      <c r="O2283" t="inlineStr">
        <is>
          <t>GST on Income</t>
        </is>
      </c>
      <c r="P2283" t="inlineStr">
        <is>
          <t>R11</t>
        </is>
      </c>
      <c r="Q2283" t="inlineStr">
        <is>
          <t>MAT-RF</t>
        </is>
      </c>
      <c r="R2283">
        <f>IF(OR(Q2283="CONTEXT",Q2283="REVIEW"),"",INDEX('Category Rules'!$D$5:$D$17,MATCH(P2283,'Category Rules'!$A$5:$A$17,0)))</f>
        <v>4030</v>
      </c>
      <c r="S2283" t="str">
        <f>IF(Q2283="CONTEXT","Roofing",IF(Q2283="REVIEW","",INDEX('Category Rules'!$E$5:$E$17,MATCH(P2283,'Category Rules'!$A$5:$A$17,0))))</f>
        <v>Roofing</v>
      </c>
      <c r="T2283" t="str">
        <f>IF(Q2283="DEP","BAS Excluded","GST on Income")</f>
        <v>GST on Income</v>
      </c>
      <c r="U2283">
        <f>IF(O2283=T2283,1,0)</f>
        <v>1</v>
      </c>
      <c r="V2283" s="9">
        <f>IF(OR(M2283=0,U2283=1),0,IF(T2283="GST on Income",ROUND(K2283*0.1,2),ROUND(-K2283*0.1,2)))</f>
        <v>0</v>
      </c>
    </row>
    <row r="2284">
      <c r="A2284" t="inlineStr">
        <is>
          <t>INV-5884-5</t>
        </is>
      </c>
      <c r="B2284" t="inlineStr">
        <is>
          <t>INV-5884</t>
        </is>
      </c>
      <c r="C2284" s="11" t="n">
        <v>46169</v>
      </c>
      <c r="D2284" t="inlineStr">
        <is>
          <t>2026-05</t>
        </is>
      </c>
      <c r="E2284" t="inlineStr">
        <is>
          <t>C0055</t>
        </is>
      </c>
      <c r="F2284" t="inlineStr">
        <is>
          <t>C0055</t>
        </is>
      </c>
      <c r="G2284" t="inlineStr">
        <is>
          <t>Coastline Strata Management Pty Ltd</t>
        </is>
      </c>
      <c r="H2284" t="inlineStr">
        <is>
          <t>S0541</t>
        </is>
      </c>
      <c r="I2284" t="inlineStr">
        <is>
          <t>Waste removal and tip fees</t>
        </is>
      </c>
      <c r="J2284" t="n">
        <v>1</v>
      </c>
      <c r="K2284" s="9" t="n">
        <v>120</v>
      </c>
      <c r="L2284" t="inlineStr">
        <is>
          <t>PAID</t>
        </is>
      </c>
      <c r="M2284">
        <f>IF(L2284="VOIDED",0,1)</f>
        <v>1</v>
      </c>
      <c r="N2284" t="n">
        <v>200</v>
      </c>
      <c r="O2284" t="inlineStr">
        <is>
          <t>GST on Income</t>
        </is>
      </c>
      <c r="P2284" t="inlineStr">
        <is>
          <t>R11</t>
        </is>
      </c>
      <c r="Q2284" t="inlineStr">
        <is>
          <t>MAT-RF</t>
        </is>
      </c>
      <c r="R2284">
        <f>IF(OR(Q2284="CONTEXT",Q2284="REVIEW"),"",INDEX('Category Rules'!$D$5:$D$17,MATCH(P2284,'Category Rules'!$A$5:$A$17,0)))</f>
        <v>4030</v>
      </c>
      <c r="S2284" t="str">
        <f>IF(Q2284="CONTEXT","Roofing",IF(Q2284="REVIEW","",INDEX('Category Rules'!$E$5:$E$17,MATCH(P2284,'Category Rules'!$A$5:$A$17,0))))</f>
        <v>Roofing</v>
      </c>
      <c r="T2284" t="str">
        <f>IF(Q2284="DEP","BAS Excluded","GST on Income")</f>
        <v>GST on Income</v>
      </c>
      <c r="U2284">
        <f>IF(O2284=T2284,1,0)</f>
        <v>1</v>
      </c>
      <c r="V2284" s="9">
        <f>IF(OR(M2284=0,U2284=1),0,IF(T2284="GST on Income",ROUND(K2284*0.1,2),ROUND(-K2284*0.1,2)))</f>
        <v>0</v>
      </c>
    </row>
    <row r="2285">
      <c r="A2285" t="inlineStr">
        <is>
          <t>INV-4560-1</t>
        </is>
      </c>
      <c r="B2285" t="inlineStr">
        <is>
          <t>INV-4560</t>
        </is>
      </c>
      <c r="C2285" s="11" t="n">
        <v>46170</v>
      </c>
      <c r="D2285" t="inlineStr">
        <is>
          <t>2026-05</t>
        </is>
      </c>
      <c r="E2285" t="inlineStr">
        <is>
          <t>C0141</t>
        </is>
      </c>
      <c r="F2285" t="inlineStr">
        <is>
          <t>C0028</t>
        </is>
      </c>
      <c r="G2285" t="inlineStr">
        <is>
          <t>Banksia Homes</t>
        </is>
      </c>
      <c r="H2285" t="inlineStr">
        <is>
          <t>S0092</t>
        </is>
      </c>
      <c r="I2285" t="inlineStr">
        <is>
          <t>Temporary fence hire 4 wks (30/04/26-27/05/26) - 104 panels</t>
        </is>
      </c>
      <c r="J2285" t="n">
        <v>416</v>
      </c>
      <c r="K2285" s="9" t="n">
        <v>1872</v>
      </c>
      <c r="L2285" t="inlineStr">
        <is>
          <t>AUTHORISED</t>
        </is>
      </c>
      <c r="M2285">
        <f>IF(L2285="VOIDED",0,1)</f>
        <v>1</v>
      </c>
      <c r="N2285" t="n">
        <v>200</v>
      </c>
      <c r="O2285" t="inlineStr">
        <is>
          <t>GST on Income</t>
        </is>
      </c>
      <c r="P2285" t="inlineStr">
        <is>
          <t>R03</t>
        </is>
      </c>
      <c r="Q2285" t="inlineStr">
        <is>
          <t>HIRE-FP</t>
        </is>
      </c>
      <c r="R2285">
        <f>IF(OR(Q2285="CONTEXT",Q2285="REVIEW"),"",INDEX('Category Rules'!$D$5:$D$17,MATCH(P2285,'Category Rules'!$A$5:$A$17,0)))</f>
        <v>4010</v>
      </c>
      <c r="S2285" t="str">
        <f>IF(Q2285="CONTEXT","Fencing",IF(Q2285="REVIEW","",INDEX('Category Rules'!$E$5:$E$17,MATCH(P2285,'Category Rules'!$A$5:$A$17,0))))</f>
        <v>Fencing</v>
      </c>
      <c r="T2285" t="str">
        <f>IF(Q2285="DEP","BAS Excluded","GST on Income")</f>
        <v>GST on Income</v>
      </c>
      <c r="U2285">
        <f>IF(O2285=T2285,1,0)</f>
        <v>1</v>
      </c>
      <c r="V2285" s="9">
        <f>IF(OR(M2285=0,U2285=1),0,IF(T2285="GST on Income",ROUND(K2285*0.1,2),ROUND(-K2285*0.1,2)))</f>
        <v>0</v>
      </c>
    </row>
    <row r="2286">
      <c r="A2286" t="inlineStr">
        <is>
          <t>INV-4659-1</t>
        </is>
      </c>
      <c r="B2286" t="inlineStr">
        <is>
          <t>INV-4659</t>
        </is>
      </c>
      <c r="C2286" s="11" t="n">
        <v>46170</v>
      </c>
      <c r="D2286" t="inlineStr">
        <is>
          <t>2026-05</t>
        </is>
      </c>
      <c r="E2286" t="inlineStr">
        <is>
          <t>C0018</t>
        </is>
      </c>
      <c r="F2286" t="inlineStr">
        <is>
          <t>C0018</t>
        </is>
      </c>
      <c r="G2286" t="inlineStr">
        <is>
          <t>Wattle Constructions Pty Ltd</t>
        </is>
      </c>
      <c r="H2286" t="inlineStr">
        <is>
          <t>S0114</t>
        </is>
      </c>
      <c r="I2286" t="inlineStr">
        <is>
          <t>Temporary fence hire 3 wks (08/05/26-27/05/26) - 16 panels</t>
        </is>
      </c>
      <c r="J2286" t="n">
        <v>48</v>
      </c>
      <c r="K2286" s="9" t="n">
        <v>216</v>
      </c>
      <c r="L2286" t="inlineStr">
        <is>
          <t>PAID</t>
        </is>
      </c>
      <c r="M2286">
        <f>IF(L2286="VOIDED",0,1)</f>
        <v>1</v>
      </c>
      <c r="N2286" t="n">
        <v>200</v>
      </c>
      <c r="O2286" t="inlineStr">
        <is>
          <t>GST on Income</t>
        </is>
      </c>
      <c r="P2286" t="inlineStr">
        <is>
          <t>R03</t>
        </is>
      </c>
      <c r="Q2286" t="inlineStr">
        <is>
          <t>HIRE-FP</t>
        </is>
      </c>
      <c r="R2286">
        <f>IF(OR(Q2286="CONTEXT",Q2286="REVIEW"),"",INDEX('Category Rules'!$D$5:$D$17,MATCH(P2286,'Category Rules'!$A$5:$A$17,0)))</f>
        <v>4010</v>
      </c>
      <c r="S2286" t="str">
        <f>IF(Q2286="CONTEXT","Fencing",IF(Q2286="REVIEW","",INDEX('Category Rules'!$E$5:$E$17,MATCH(P2286,'Category Rules'!$A$5:$A$17,0))))</f>
        <v>Fencing</v>
      </c>
      <c r="T2286" t="str">
        <f>IF(Q2286="DEP","BAS Excluded","GST on Income")</f>
        <v>GST on Income</v>
      </c>
      <c r="U2286">
        <f>IF(O2286=T2286,1,0)</f>
        <v>1</v>
      </c>
      <c r="V2286" s="9">
        <f>IF(OR(M2286=0,U2286=1),0,IF(T2286="GST on Income",ROUND(K2286*0.1,2),ROUND(-K2286*0.1,2)))</f>
        <v>0</v>
      </c>
    </row>
    <row r="2287">
      <c r="A2287" t="inlineStr">
        <is>
          <t>INV-4661-1</t>
        </is>
      </c>
      <c r="B2287" t="inlineStr">
        <is>
          <t>INV-4661</t>
        </is>
      </c>
      <c r="C2287" s="11" t="n">
        <v>46170</v>
      </c>
      <c r="D2287" t="inlineStr">
        <is>
          <t>2026-05</t>
        </is>
      </c>
      <c r="E2287" t="inlineStr">
        <is>
          <t>C0018</t>
        </is>
      </c>
      <c r="F2287" t="inlineStr">
        <is>
          <t>C0018</t>
        </is>
      </c>
      <c r="G2287" t="inlineStr">
        <is>
          <t>Wattle Constructions Pty Ltd</t>
        </is>
      </c>
      <c r="H2287" t="inlineStr">
        <is>
          <t>S0114</t>
        </is>
      </c>
      <c r="I2287" t="inlineStr">
        <is>
          <t>Collection and dismantle - temporary fencing</t>
        </is>
      </c>
      <c r="J2287" t="n">
        <v>1</v>
      </c>
      <c r="K2287" s="9" t="n">
        <v>165</v>
      </c>
      <c r="L2287" t="inlineStr">
        <is>
          <t>PAID</t>
        </is>
      </c>
      <c r="M2287">
        <f>IF(L2287="VOIDED",0,1)</f>
        <v>1</v>
      </c>
      <c r="N2287" t="n">
        <v>200</v>
      </c>
      <c r="O2287" t="inlineStr">
        <is>
          <t>GST on Income</t>
        </is>
      </c>
      <c r="P2287" t="inlineStr">
        <is>
          <t>R07</t>
        </is>
      </c>
      <c r="Q2287" t="inlineStr">
        <is>
          <t>DEL-FP</t>
        </is>
      </c>
      <c r="R2287">
        <f>IF(OR(Q2287="CONTEXT",Q2287="REVIEW"),"",INDEX('Category Rules'!$D$5:$D$17,MATCH(P2287,'Category Rules'!$A$5:$A$17,0)))</f>
        <v>4020</v>
      </c>
      <c r="S2287" t="str">
        <f>IF(Q2287="CONTEXT","Fencing",IF(Q2287="REVIEW","",INDEX('Category Rules'!$E$5:$E$17,MATCH(P2287,'Category Rules'!$A$5:$A$17,0))))</f>
        <v>Fencing</v>
      </c>
      <c r="T2287" t="str">
        <f>IF(Q2287="DEP","BAS Excluded","GST on Income")</f>
        <v>GST on Income</v>
      </c>
      <c r="U2287">
        <f>IF(O2287=T2287,1,0)</f>
        <v>1</v>
      </c>
      <c r="V2287" s="9">
        <f>IF(OR(M2287=0,U2287=1),0,IF(T2287="GST on Income",ROUND(K2287*0.1,2),ROUND(-K2287*0.1,2)))</f>
        <v>0</v>
      </c>
    </row>
    <row r="2288">
      <c r="A2288" t="inlineStr">
        <is>
          <t>INV-5392-1</t>
        </is>
      </c>
      <c r="B2288" t="inlineStr">
        <is>
          <t>INV-5392</t>
        </is>
      </c>
      <c r="C2288" s="11" t="n">
        <v>46170</v>
      </c>
      <c r="D2288" t="inlineStr">
        <is>
          <t>2026-05</t>
        </is>
      </c>
      <c r="E2288" t="inlineStr">
        <is>
          <t>C0003</t>
        </is>
      </c>
      <c r="F2288" t="inlineStr">
        <is>
          <t>C0003</t>
        </is>
      </c>
      <c r="G2288" t="inlineStr">
        <is>
          <t>Summit Projects Pty Ltd</t>
        </is>
      </c>
      <c r="H2288" t="inlineStr">
        <is>
          <t>S0281</t>
        </is>
      </c>
      <c r="I2288" t="inlineStr">
        <is>
          <t>Scaffold tower hire 4 wks (06/05/26-27/05/26) - 2 towers</t>
        </is>
      </c>
      <c r="J2288" t="n">
        <v>8</v>
      </c>
      <c r="K2288" s="9" t="n">
        <v>760</v>
      </c>
      <c r="L2288" t="inlineStr">
        <is>
          <t>PAID</t>
        </is>
      </c>
      <c r="M2288">
        <f>IF(L2288="VOIDED",0,1)</f>
        <v>1</v>
      </c>
      <c r="N2288" t="n">
        <v>200</v>
      </c>
      <c r="O2288" t="inlineStr">
        <is>
          <t>GST Free Income</t>
        </is>
      </c>
      <c r="P2288" t="inlineStr">
        <is>
          <t>R05</t>
        </is>
      </c>
      <c r="Q2288" t="inlineStr">
        <is>
          <t>HIRE-ST</t>
        </is>
      </c>
      <c r="R2288">
        <f>IF(OR(Q2288="CONTEXT",Q2288="REVIEW"),"",INDEX('Category Rules'!$D$5:$D$17,MATCH(P2288,'Category Rules'!$A$5:$A$17,0)))</f>
        <v>4010</v>
      </c>
      <c r="S2288" t="str">
        <f>IF(Q2288="CONTEXT","Scaffolding",IF(Q2288="REVIEW","",INDEX('Category Rules'!$E$5:$E$17,MATCH(P2288,'Category Rules'!$A$5:$A$17,0))))</f>
        <v>Scaffolding</v>
      </c>
      <c r="T2288" t="str">
        <f>IF(Q2288="DEP","BAS Excluded","GST on Income")</f>
        <v>GST on Income</v>
      </c>
      <c r="U2288">
        <f>IF(O2288=T2288,1,0)</f>
        <v>0</v>
      </c>
      <c r="V2288" s="9">
        <f>IF(OR(M2288=0,U2288=1),0,IF(T2288="GST on Income",ROUND(K2288*0.1,2),ROUND(-K2288*0.1,2)))</f>
        <v>76</v>
      </c>
    </row>
    <row r="2289">
      <c r="A2289" t="inlineStr">
        <is>
          <t>INV-5394-1</t>
        </is>
      </c>
      <c r="B2289" t="inlineStr">
        <is>
          <t>INV-5394</t>
        </is>
      </c>
      <c r="C2289" s="11" t="n">
        <v>46170</v>
      </c>
      <c r="D2289" t="inlineStr">
        <is>
          <t>2026-05</t>
        </is>
      </c>
      <c r="E2289" t="inlineStr">
        <is>
          <t>C0003</t>
        </is>
      </c>
      <c r="F2289" t="inlineStr">
        <is>
          <t>C0003</t>
        </is>
      </c>
      <c r="G2289" t="inlineStr">
        <is>
          <t>Summit Projects Pty Ltd</t>
        </is>
      </c>
      <c r="H2289" t="inlineStr">
        <is>
          <t>S0281</t>
        </is>
      </c>
      <c r="I2289" t="inlineStr">
        <is>
          <t>Scaffold dismantle - 2 tower(s)</t>
        </is>
      </c>
      <c r="J2289" t="n">
        <v>2</v>
      </c>
      <c r="K2289" s="9" t="n">
        <v>640</v>
      </c>
      <c r="L2289" t="inlineStr">
        <is>
          <t>PAID</t>
        </is>
      </c>
      <c r="M2289">
        <f>IF(L2289="VOIDED",0,1)</f>
        <v>1</v>
      </c>
      <c r="N2289" t="n">
        <v>200</v>
      </c>
      <c r="O2289" t="inlineStr">
        <is>
          <t>GST on Income</t>
        </is>
      </c>
      <c r="P2289" t="inlineStr">
        <is>
          <t>R08</t>
        </is>
      </c>
      <c r="Q2289" t="inlineStr">
        <is>
          <t>LAB-ST</t>
        </is>
      </c>
      <c r="R2289">
        <f>IF(OR(Q2289="CONTEXT",Q2289="REVIEW"),"",INDEX('Category Rules'!$D$5:$D$17,MATCH(P2289,'Category Rules'!$A$5:$A$17,0)))</f>
        <v>4020</v>
      </c>
      <c r="S2289" t="str">
        <f>IF(Q2289="CONTEXT","Scaffolding",IF(Q2289="REVIEW","",INDEX('Category Rules'!$E$5:$E$17,MATCH(P2289,'Category Rules'!$A$5:$A$17,0))))</f>
        <v>Scaffolding</v>
      </c>
      <c r="T2289" t="str">
        <f>IF(Q2289="DEP","BAS Excluded","GST on Income")</f>
        <v>GST on Income</v>
      </c>
      <c r="U2289">
        <f>IF(O2289=T2289,1,0)</f>
        <v>1</v>
      </c>
      <c r="V2289" s="9">
        <f>IF(OR(M2289=0,U2289=1),0,IF(T2289="GST on Income",ROUND(K2289*0.1,2),ROUND(-K2289*0.1,2)))</f>
        <v>0</v>
      </c>
    </row>
    <row r="2290">
      <c r="A2290" t="inlineStr">
        <is>
          <t>INV-5424-1</t>
        </is>
      </c>
      <c r="B2290" t="inlineStr">
        <is>
          <t>INV-5424</t>
        </is>
      </c>
      <c r="C2290" s="11" t="n">
        <v>46170</v>
      </c>
      <c r="D2290" t="inlineStr">
        <is>
          <t>2026-05</t>
        </is>
      </c>
      <c r="E2290" t="inlineStr">
        <is>
          <t>C0113</t>
        </is>
      </c>
      <c r="F2290" t="inlineStr">
        <is>
          <t>C0113</t>
        </is>
      </c>
      <c r="G2290" t="inlineStr">
        <is>
          <t>Isla Brown</t>
        </is>
      </c>
      <c r="H2290" t="inlineStr">
        <is>
          <t>S0290</t>
        </is>
      </c>
      <c r="I2290" t="inlineStr">
        <is>
          <t>Scaffold tower hire 4 wks (30/04/26-27/05/26) - 4 towers</t>
        </is>
      </c>
      <c r="J2290" t="n">
        <v>16</v>
      </c>
      <c r="K2290" s="9" t="n">
        <v>1520</v>
      </c>
      <c r="L2290" t="inlineStr">
        <is>
          <t>AUTHORISED</t>
        </is>
      </c>
      <c r="M2290">
        <f>IF(L2290="VOIDED",0,1)</f>
        <v>1</v>
      </c>
      <c r="N2290" t="n">
        <v>200</v>
      </c>
      <c r="O2290" t="inlineStr">
        <is>
          <t>GST on Income</t>
        </is>
      </c>
      <c r="P2290" t="inlineStr">
        <is>
          <t>R05</t>
        </is>
      </c>
      <c r="Q2290" t="inlineStr">
        <is>
          <t>HIRE-ST</t>
        </is>
      </c>
      <c r="R2290">
        <f>IF(OR(Q2290="CONTEXT",Q2290="REVIEW"),"",INDEX('Category Rules'!$D$5:$D$17,MATCH(P2290,'Category Rules'!$A$5:$A$17,0)))</f>
        <v>4010</v>
      </c>
      <c r="S2290" t="str">
        <f>IF(Q2290="CONTEXT","Scaffolding",IF(Q2290="REVIEW","",INDEX('Category Rules'!$E$5:$E$17,MATCH(P2290,'Category Rules'!$A$5:$A$17,0))))</f>
        <v>Scaffolding</v>
      </c>
      <c r="T2290" t="str">
        <f>IF(Q2290="DEP","BAS Excluded","GST on Income")</f>
        <v>GST on Income</v>
      </c>
      <c r="U2290">
        <f>IF(O2290=T2290,1,0)</f>
        <v>1</v>
      </c>
      <c r="V2290" s="9">
        <f>IF(OR(M2290=0,U2290=1),0,IF(T2290="GST on Income",ROUND(K2290*0.1,2),ROUND(-K2290*0.1,2)))</f>
        <v>0</v>
      </c>
    </row>
    <row r="2291">
      <c r="A2291" t="inlineStr">
        <is>
          <t>INV-5582-1</t>
        </is>
      </c>
      <c r="B2291" t="inlineStr">
        <is>
          <t>INV-5582</t>
        </is>
      </c>
      <c r="C2291" s="11" t="n">
        <v>46170</v>
      </c>
      <c r="D2291" t="inlineStr">
        <is>
          <t>2026-05</t>
        </is>
      </c>
      <c r="E2291" t="inlineStr">
        <is>
          <t>C0100</t>
        </is>
      </c>
      <c r="F2291" t="inlineStr">
        <is>
          <t>C0100</t>
        </is>
      </c>
      <c r="G2291" t="inlineStr">
        <is>
          <t>Mei Wilson</t>
        </is>
      </c>
      <c r="H2291" t="inlineStr">
        <is>
          <t>S0371</t>
        </is>
      </c>
      <c r="I2291" t="inlineStr">
        <is>
          <t>Roof repair labour - 6 hrs</t>
        </is>
      </c>
      <c r="J2291" t="n">
        <v>6</v>
      </c>
      <c r="K2291" s="9" t="n">
        <v>588</v>
      </c>
      <c r="L2291" t="inlineStr">
        <is>
          <t>AUTHORISED</t>
        </is>
      </c>
      <c r="M2291">
        <f>IF(L2291="VOIDED",0,1)</f>
        <v>1</v>
      </c>
      <c r="N2291" t="n">
        <v>200</v>
      </c>
      <c r="O2291" t="inlineStr">
        <is>
          <t>GST on Income</t>
        </is>
      </c>
      <c r="P2291" t="inlineStr">
        <is>
          <t>R10</t>
        </is>
      </c>
      <c r="Q2291" t="inlineStr">
        <is>
          <t>LAB-RF</t>
        </is>
      </c>
      <c r="R2291">
        <f>IF(OR(Q2291="CONTEXT",Q2291="REVIEW"),"",INDEX('Category Rules'!$D$5:$D$17,MATCH(P2291,'Category Rules'!$A$5:$A$17,0)))</f>
        <v>4020</v>
      </c>
      <c r="S2291" t="str">
        <f>IF(Q2291="CONTEXT","Roofing",IF(Q2291="REVIEW","",INDEX('Category Rules'!$E$5:$E$17,MATCH(P2291,'Category Rules'!$A$5:$A$17,0))))</f>
        <v>Roofing</v>
      </c>
      <c r="T2291" t="str">
        <f>IF(Q2291="DEP","BAS Excluded","GST on Income")</f>
        <v>GST on Income</v>
      </c>
      <c r="U2291">
        <f>IF(O2291=T2291,1,0)</f>
        <v>1</v>
      </c>
      <c r="V2291" s="9">
        <f>IF(OR(M2291=0,U2291=1),0,IF(T2291="GST on Income",ROUND(K2291*0.1,2),ROUND(-K2291*0.1,2)))</f>
        <v>0</v>
      </c>
    </row>
    <row r="2292">
      <c r="A2292" t="inlineStr">
        <is>
          <t>INV-5582-2</t>
        </is>
      </c>
      <c r="B2292" t="inlineStr">
        <is>
          <t>INV-5582</t>
        </is>
      </c>
      <c r="C2292" s="11" t="n">
        <v>46170</v>
      </c>
      <c r="D2292" t="inlineStr">
        <is>
          <t>2026-05</t>
        </is>
      </c>
      <c r="E2292" t="inlineStr">
        <is>
          <t>C0100</t>
        </is>
      </c>
      <c r="F2292" t="inlineStr">
        <is>
          <t>C0100</t>
        </is>
      </c>
      <c r="G2292" t="inlineStr">
        <is>
          <t>Mei Wilson</t>
        </is>
      </c>
      <c r="H2292" t="inlineStr">
        <is>
          <t>S0371</t>
        </is>
      </c>
      <c r="I2292" t="inlineStr">
        <is>
          <t>Materials - ridge capping</t>
        </is>
      </c>
      <c r="J2292" t="n">
        <v>1</v>
      </c>
      <c r="K2292" s="9" t="n">
        <v>848.6799999999999</v>
      </c>
      <c r="L2292" t="inlineStr">
        <is>
          <t>AUTHORISED</t>
        </is>
      </c>
      <c r="M2292">
        <f>IF(L2292="VOIDED",0,1)</f>
        <v>1</v>
      </c>
      <c r="N2292" t="n">
        <v>200</v>
      </c>
      <c r="O2292" t="inlineStr">
        <is>
          <t>GST on Income</t>
        </is>
      </c>
      <c r="P2292" t="inlineStr">
        <is>
          <t>R11</t>
        </is>
      </c>
      <c r="Q2292" t="inlineStr">
        <is>
          <t>MAT-RF</t>
        </is>
      </c>
      <c r="R2292">
        <f>IF(OR(Q2292="CONTEXT",Q2292="REVIEW"),"",INDEX('Category Rules'!$D$5:$D$17,MATCH(P2292,'Category Rules'!$A$5:$A$17,0)))</f>
        <v>4030</v>
      </c>
      <c r="S2292" t="str">
        <f>IF(Q2292="CONTEXT","Roofing",IF(Q2292="REVIEW","",INDEX('Category Rules'!$E$5:$E$17,MATCH(P2292,'Category Rules'!$A$5:$A$17,0))))</f>
        <v>Roofing</v>
      </c>
      <c r="T2292" t="str">
        <f>IF(Q2292="DEP","BAS Excluded","GST on Income")</f>
        <v>GST on Income</v>
      </c>
      <c r="U2292">
        <f>IF(O2292=T2292,1,0)</f>
        <v>1</v>
      </c>
      <c r="V2292" s="9">
        <f>IF(OR(M2292=0,U2292=1),0,IF(T2292="GST on Income",ROUND(K2292*0.1,2),ROUND(-K2292*0.1,2)))</f>
        <v>0</v>
      </c>
    </row>
    <row r="2293">
      <c r="A2293" t="inlineStr">
        <is>
          <t>INV-5781-1</t>
        </is>
      </c>
      <c r="B2293" t="inlineStr">
        <is>
          <t>INV-5781</t>
        </is>
      </c>
      <c r="C2293" s="11" t="n">
        <v>46170</v>
      </c>
      <c r="D2293" t="inlineStr">
        <is>
          <t>2026-05</t>
        </is>
      </c>
      <c r="E2293" t="inlineStr">
        <is>
          <t>C0059</t>
        </is>
      </c>
      <c r="F2293" t="inlineStr">
        <is>
          <t>C0059</t>
        </is>
      </c>
      <c r="G2293" t="inlineStr">
        <is>
          <t>Silverleaf Insurance Repairs Pty Ltd</t>
        </is>
      </c>
      <c r="H2293" t="inlineStr">
        <is>
          <t>S0480</t>
        </is>
      </c>
      <c r="I2293" t="inlineStr">
        <is>
          <t>Make safe call-out</t>
        </is>
      </c>
      <c r="J2293" t="n">
        <v>1</v>
      </c>
      <c r="K2293" s="9" t="n">
        <v>385</v>
      </c>
      <c r="L2293" t="inlineStr">
        <is>
          <t>AUTHORISED</t>
        </is>
      </c>
      <c r="M2293">
        <f>IF(L2293="VOIDED",0,1)</f>
        <v>1</v>
      </c>
      <c r="N2293" t="n">
        <v>200</v>
      </c>
      <c r="O2293" t="inlineStr">
        <is>
          <t>GST on Income</t>
        </is>
      </c>
      <c r="P2293" t="inlineStr">
        <is>
          <t>R09</t>
        </is>
      </c>
      <c r="Q2293" t="inlineStr">
        <is>
          <t>MS</t>
        </is>
      </c>
      <c r="R2293">
        <f>IF(OR(Q2293="CONTEXT",Q2293="REVIEW"),"",INDEX('Category Rules'!$D$5:$D$17,MATCH(P2293,'Category Rules'!$A$5:$A$17,0)))</f>
        <v>4020</v>
      </c>
      <c r="S2293" t="str">
        <f>IF(Q2293="CONTEXT","Make-safe",IF(Q2293="REVIEW","",INDEX('Category Rules'!$E$5:$E$17,MATCH(P2293,'Category Rules'!$A$5:$A$17,0))))</f>
        <v>Make-safe</v>
      </c>
      <c r="T2293" t="str">
        <f>IF(Q2293="DEP","BAS Excluded","GST on Income")</f>
        <v>GST on Income</v>
      </c>
      <c r="U2293">
        <f>IF(O2293=T2293,1,0)</f>
        <v>1</v>
      </c>
      <c r="V2293" s="9">
        <f>IF(OR(M2293=0,U2293=1),0,IF(T2293="GST on Income",ROUND(K2293*0.1,2),ROUND(-K2293*0.1,2)))</f>
        <v>0</v>
      </c>
    </row>
    <row r="2294">
      <c r="A2294" t="inlineStr">
        <is>
          <t>INV-4458-1</t>
        </is>
      </c>
      <c r="B2294" t="inlineStr">
        <is>
          <t>INV-4458</t>
        </is>
      </c>
      <c r="C2294" s="11" t="n">
        <v>46171</v>
      </c>
      <c r="D2294" t="inlineStr">
        <is>
          <t>2026-05</t>
        </is>
      </c>
      <c r="E2294" t="inlineStr">
        <is>
          <t>C0018</t>
        </is>
      </c>
      <c r="F2294" t="inlineStr">
        <is>
          <t>C0018</t>
        </is>
      </c>
      <c r="G2294" t="inlineStr">
        <is>
          <t>Wattle Constructions Pty Ltd</t>
        </is>
      </c>
      <c r="H2294" t="inlineStr">
        <is>
          <t>S0073</t>
        </is>
      </c>
      <c r="I2294" t="inlineStr">
        <is>
          <t>Temporary fence hire 4 wks (01/05/26-28/05/26) - 70 panels</t>
        </is>
      </c>
      <c r="J2294" t="n">
        <v>280</v>
      </c>
      <c r="K2294" s="9" t="n">
        <v>1260</v>
      </c>
      <c r="L2294" t="inlineStr">
        <is>
          <t>PAID</t>
        </is>
      </c>
      <c r="M2294">
        <f>IF(L2294="VOIDED",0,1)</f>
        <v>1</v>
      </c>
      <c r="N2294" t="n">
        <v>200</v>
      </c>
      <c r="O2294" t="inlineStr">
        <is>
          <t>GST on Income</t>
        </is>
      </c>
      <c r="P2294" t="inlineStr">
        <is>
          <t>R03</t>
        </is>
      </c>
      <c r="Q2294" t="inlineStr">
        <is>
          <t>HIRE-FP</t>
        </is>
      </c>
      <c r="R2294">
        <f>IF(OR(Q2294="CONTEXT",Q2294="REVIEW"),"",INDEX('Category Rules'!$D$5:$D$17,MATCH(P2294,'Category Rules'!$A$5:$A$17,0)))</f>
        <v>4010</v>
      </c>
      <c r="S2294" t="str">
        <f>IF(Q2294="CONTEXT","Fencing",IF(Q2294="REVIEW","",INDEX('Category Rules'!$E$5:$E$17,MATCH(P2294,'Category Rules'!$A$5:$A$17,0))))</f>
        <v>Fencing</v>
      </c>
      <c r="T2294" t="str">
        <f>IF(Q2294="DEP","BAS Excluded","GST on Income")</f>
        <v>GST on Income</v>
      </c>
      <c r="U2294">
        <f>IF(O2294=T2294,1,0)</f>
        <v>1</v>
      </c>
      <c r="V2294" s="9">
        <f>IF(OR(M2294=0,U2294=1),0,IF(T2294="GST on Income",ROUND(K2294*0.1,2),ROUND(-K2294*0.1,2)))</f>
        <v>0</v>
      </c>
    </row>
    <row r="2295">
      <c r="A2295" t="inlineStr">
        <is>
          <t>INV-4460-1</t>
        </is>
      </c>
      <c r="B2295" t="inlineStr">
        <is>
          <t>INV-4460</t>
        </is>
      </c>
      <c r="C2295" s="11" t="n">
        <v>46171</v>
      </c>
      <c r="D2295" t="inlineStr">
        <is>
          <t>2026-05</t>
        </is>
      </c>
      <c r="E2295" t="inlineStr">
        <is>
          <t>C0018</t>
        </is>
      </c>
      <c r="F2295" t="inlineStr">
        <is>
          <t>C0018</t>
        </is>
      </c>
      <c r="G2295" t="inlineStr">
        <is>
          <t>Wattle Constructions Pty Ltd</t>
        </is>
      </c>
      <c r="H2295" t="inlineStr">
        <is>
          <t>S0073</t>
        </is>
      </c>
      <c r="I2295" t="inlineStr">
        <is>
          <t>Pedestrian barrier hire 4 wks (01/05/26-28/05/26) - 23 barriers</t>
        </is>
      </c>
      <c r="J2295" t="n">
        <v>92</v>
      </c>
      <c r="K2295" s="9" t="n">
        <v>294.4</v>
      </c>
      <c r="L2295" t="inlineStr">
        <is>
          <t>AUTHORISED</t>
        </is>
      </c>
      <c r="M2295">
        <f>IF(L2295="VOIDED",0,1)</f>
        <v>1</v>
      </c>
      <c r="N2295" t="n">
        <v>260</v>
      </c>
      <c r="O2295" t="inlineStr">
        <is>
          <t>GST on Income</t>
        </is>
      </c>
      <c r="P2295" t="inlineStr">
        <is>
          <t>R04</t>
        </is>
      </c>
      <c r="Q2295" t="inlineStr">
        <is>
          <t>HIRE-BR</t>
        </is>
      </c>
      <c r="R2295">
        <f>IF(OR(Q2295="CONTEXT",Q2295="REVIEW"),"",INDEX('Category Rules'!$D$5:$D$17,MATCH(P2295,'Category Rules'!$A$5:$A$17,0)))</f>
        <v>4010</v>
      </c>
      <c r="S2295" t="str">
        <f>IF(Q2295="CONTEXT","Fencing",IF(Q2295="REVIEW","",INDEX('Category Rules'!$E$5:$E$17,MATCH(P2295,'Category Rules'!$A$5:$A$17,0))))</f>
        <v>Fencing</v>
      </c>
      <c r="T2295" t="str">
        <f>IF(Q2295="DEP","BAS Excluded","GST on Income")</f>
        <v>GST on Income</v>
      </c>
      <c r="U2295">
        <f>IF(O2295=T2295,1,0)</f>
        <v>1</v>
      </c>
      <c r="V2295" s="9">
        <f>IF(OR(M2295=0,U2295=1),0,IF(T2295="GST on Income",ROUND(K2295*0.1,2),ROUND(-K2295*0.1,2)))</f>
        <v>0</v>
      </c>
    </row>
    <row r="2296">
      <c r="A2296" t="inlineStr">
        <is>
          <t>INV-4812-1</t>
        </is>
      </c>
      <c r="B2296" t="inlineStr">
        <is>
          <t>INV-4812</t>
        </is>
      </c>
      <c r="C2296" s="11" t="n">
        <v>46171</v>
      </c>
      <c r="D2296" t="inlineStr">
        <is>
          <t>2026-05</t>
        </is>
      </c>
      <c r="E2296" t="inlineStr">
        <is>
          <t>C0071</t>
        </is>
      </c>
      <c r="F2296" t="inlineStr">
        <is>
          <t>C0071</t>
        </is>
      </c>
      <c r="G2296" t="inlineStr">
        <is>
          <t>Maribyrnong City Council</t>
        </is>
      </c>
      <c r="H2296" t="inlineStr">
        <is>
          <t>S0152</t>
        </is>
      </c>
      <c r="I2296" t="inlineStr">
        <is>
          <t>Delivery and installation - temporary fencing</t>
        </is>
      </c>
      <c r="J2296" t="n">
        <v>1</v>
      </c>
      <c r="K2296" s="9" t="n">
        <v>165</v>
      </c>
      <c r="L2296" t="inlineStr">
        <is>
          <t>PAID</t>
        </is>
      </c>
      <c r="M2296">
        <f>IF(L2296="VOIDED",0,1)</f>
        <v>1</v>
      </c>
      <c r="N2296" t="n">
        <v>200</v>
      </c>
      <c r="O2296" t="inlineStr">
        <is>
          <t>GST on Income</t>
        </is>
      </c>
      <c r="P2296" t="inlineStr">
        <is>
          <t>R07</t>
        </is>
      </c>
      <c r="Q2296" t="inlineStr">
        <is>
          <t>DEL-FP</t>
        </is>
      </c>
      <c r="R2296">
        <f>IF(OR(Q2296="CONTEXT",Q2296="REVIEW"),"",INDEX('Category Rules'!$D$5:$D$17,MATCH(P2296,'Category Rules'!$A$5:$A$17,0)))</f>
        <v>4020</v>
      </c>
      <c r="S2296" t="str">
        <f>IF(Q2296="CONTEXT","Fencing",IF(Q2296="REVIEW","",INDEX('Category Rules'!$E$5:$E$17,MATCH(P2296,'Category Rules'!$A$5:$A$17,0))))</f>
        <v>Fencing</v>
      </c>
      <c r="T2296" t="str">
        <f>IF(Q2296="DEP","BAS Excluded","GST on Income")</f>
        <v>GST on Income</v>
      </c>
      <c r="U2296">
        <f>IF(O2296=T2296,1,0)</f>
        <v>1</v>
      </c>
      <c r="V2296" s="9">
        <f>IF(OR(M2296=0,U2296=1),0,IF(T2296="GST on Income",ROUND(K2296*0.1,2),ROUND(-K2296*0.1,2)))</f>
        <v>0</v>
      </c>
    </row>
    <row r="2297">
      <c r="A2297" t="inlineStr">
        <is>
          <t>INV-4812-2</t>
        </is>
      </c>
      <c r="B2297" t="inlineStr">
        <is>
          <t>INV-4812</t>
        </is>
      </c>
      <c r="C2297" s="11" t="n">
        <v>46171</v>
      </c>
      <c r="D2297" t="inlineStr">
        <is>
          <t>2026-05</t>
        </is>
      </c>
      <c r="E2297" t="inlineStr">
        <is>
          <t>C0071</t>
        </is>
      </c>
      <c r="F2297" t="inlineStr">
        <is>
          <t>C0071</t>
        </is>
      </c>
      <c r="G2297" t="inlineStr">
        <is>
          <t>Maribyrnong City Council</t>
        </is>
      </c>
      <c r="H2297" t="inlineStr">
        <is>
          <t>S0152</t>
        </is>
      </c>
      <c r="I2297" t="inlineStr">
        <is>
          <t>Installation labour - 127 panels @ 2.20</t>
        </is>
      </c>
      <c r="J2297" t="n">
        <v>127</v>
      </c>
      <c r="K2297" s="9" t="n">
        <v>279.4</v>
      </c>
      <c r="L2297" t="inlineStr">
        <is>
          <t>PAID</t>
        </is>
      </c>
      <c r="M2297">
        <f>IF(L2297="VOIDED",0,1)</f>
        <v>1</v>
      </c>
      <c r="N2297" t="n">
        <v>200</v>
      </c>
      <c r="O2297" t="inlineStr">
        <is>
          <t>GST on Income</t>
        </is>
      </c>
      <c r="P2297" t="inlineStr">
        <is>
          <t>R07</t>
        </is>
      </c>
      <c r="Q2297" t="inlineStr">
        <is>
          <t>DEL-FP</t>
        </is>
      </c>
      <c r="R2297">
        <f>IF(OR(Q2297="CONTEXT",Q2297="REVIEW"),"",INDEX('Category Rules'!$D$5:$D$17,MATCH(P2297,'Category Rules'!$A$5:$A$17,0)))</f>
        <v>4020</v>
      </c>
      <c r="S2297" t="str">
        <f>IF(Q2297="CONTEXT","Fencing",IF(Q2297="REVIEW","",INDEX('Category Rules'!$E$5:$E$17,MATCH(P2297,'Category Rules'!$A$5:$A$17,0))))</f>
        <v>Fencing</v>
      </c>
      <c r="T2297" t="str">
        <f>IF(Q2297="DEP","BAS Excluded","GST on Income")</f>
        <v>GST on Income</v>
      </c>
      <c r="U2297">
        <f>IF(O2297=T2297,1,0)</f>
        <v>1</v>
      </c>
      <c r="V2297" s="9">
        <f>IF(OR(M2297=0,U2297=1),0,IF(T2297="GST on Income",ROUND(K2297*0.1,2),ROUND(-K2297*0.1,2)))</f>
        <v>0</v>
      </c>
    </row>
    <row r="2298">
      <c r="A2298" t="inlineStr">
        <is>
          <t>INV-5153-1</t>
        </is>
      </c>
      <c r="B2298" t="inlineStr">
        <is>
          <t>INV-5153</t>
        </is>
      </c>
      <c r="C2298" s="11" t="n">
        <v>46171</v>
      </c>
      <c r="D2298" t="inlineStr">
        <is>
          <t>2026-05</t>
        </is>
      </c>
      <c r="E2298" t="inlineStr">
        <is>
          <t>C0138</t>
        </is>
      </c>
      <c r="F2298" t="inlineStr">
        <is>
          <t>C0111</t>
        </is>
      </c>
      <c r="G2298" t="inlineStr">
        <is>
          <t>Noah Kelly</t>
        </is>
      </c>
      <c r="H2298" t="inlineStr">
        <is>
          <t>S0226</t>
        </is>
      </c>
      <c r="I2298" t="inlineStr">
        <is>
          <t>Delivery and installation - temporary fencing</t>
        </is>
      </c>
      <c r="J2298" t="n">
        <v>1</v>
      </c>
      <c r="K2298" s="9" t="n">
        <v>165</v>
      </c>
      <c r="L2298" t="inlineStr">
        <is>
          <t>AUTHORISED</t>
        </is>
      </c>
      <c r="M2298">
        <f>IF(L2298="VOIDED",0,1)</f>
        <v>1</v>
      </c>
      <c r="N2298" t="n">
        <v>200</v>
      </c>
      <c r="O2298" t="inlineStr">
        <is>
          <t>GST on Income</t>
        </is>
      </c>
      <c r="P2298" t="inlineStr">
        <is>
          <t>R07</t>
        </is>
      </c>
      <c r="Q2298" t="inlineStr">
        <is>
          <t>DEL-FP</t>
        </is>
      </c>
      <c r="R2298">
        <f>IF(OR(Q2298="CONTEXT",Q2298="REVIEW"),"",INDEX('Category Rules'!$D$5:$D$17,MATCH(P2298,'Category Rules'!$A$5:$A$17,0)))</f>
        <v>4020</v>
      </c>
      <c r="S2298" t="str">
        <f>IF(Q2298="CONTEXT","Fencing",IF(Q2298="REVIEW","",INDEX('Category Rules'!$E$5:$E$17,MATCH(P2298,'Category Rules'!$A$5:$A$17,0))))</f>
        <v>Fencing</v>
      </c>
      <c r="T2298" t="str">
        <f>IF(Q2298="DEP","BAS Excluded","GST on Income")</f>
        <v>GST on Income</v>
      </c>
      <c r="U2298">
        <f>IF(O2298=T2298,1,0)</f>
        <v>1</v>
      </c>
      <c r="V2298" s="9">
        <f>IF(OR(M2298=0,U2298=1),0,IF(T2298="GST on Income",ROUND(K2298*0.1,2),ROUND(-K2298*0.1,2)))</f>
        <v>0</v>
      </c>
    </row>
    <row r="2299">
      <c r="A2299" t="inlineStr">
        <is>
          <t>INV-5153-2</t>
        </is>
      </c>
      <c r="B2299" t="inlineStr">
        <is>
          <t>INV-5153</t>
        </is>
      </c>
      <c r="C2299" s="11" t="n">
        <v>46171</v>
      </c>
      <c r="D2299" t="inlineStr">
        <is>
          <t>2026-05</t>
        </is>
      </c>
      <c r="E2299" t="inlineStr">
        <is>
          <t>C0138</t>
        </is>
      </c>
      <c r="F2299" t="inlineStr">
        <is>
          <t>C0111</t>
        </is>
      </c>
      <c r="G2299" t="inlineStr">
        <is>
          <t>Noah Kelly</t>
        </is>
      </c>
      <c r="H2299" t="inlineStr">
        <is>
          <t>S0226</t>
        </is>
      </c>
      <c r="I2299" t="inlineStr">
        <is>
          <t>Installation labour - 109 panels @ 2.20</t>
        </is>
      </c>
      <c r="J2299" t="n">
        <v>109</v>
      </c>
      <c r="K2299" s="9" t="n">
        <v>239.8</v>
      </c>
      <c r="L2299" t="inlineStr">
        <is>
          <t>AUTHORISED</t>
        </is>
      </c>
      <c r="M2299">
        <f>IF(L2299="VOIDED",0,1)</f>
        <v>1</v>
      </c>
      <c r="N2299" t="n">
        <v>200</v>
      </c>
      <c r="O2299" t="inlineStr">
        <is>
          <t>GST on Income</t>
        </is>
      </c>
      <c r="P2299" t="inlineStr">
        <is>
          <t>R07</t>
        </is>
      </c>
      <c r="Q2299" t="inlineStr">
        <is>
          <t>DEL-FP</t>
        </is>
      </c>
      <c r="R2299">
        <f>IF(OR(Q2299="CONTEXT",Q2299="REVIEW"),"",INDEX('Category Rules'!$D$5:$D$17,MATCH(P2299,'Category Rules'!$A$5:$A$17,0)))</f>
        <v>4020</v>
      </c>
      <c r="S2299" t="str">
        <f>IF(Q2299="CONTEXT","Fencing",IF(Q2299="REVIEW","",INDEX('Category Rules'!$E$5:$E$17,MATCH(P2299,'Category Rules'!$A$5:$A$17,0))))</f>
        <v>Fencing</v>
      </c>
      <c r="T2299" t="str">
        <f>IF(Q2299="DEP","BAS Excluded","GST on Income")</f>
        <v>GST on Income</v>
      </c>
      <c r="U2299">
        <f>IF(O2299=T2299,1,0)</f>
        <v>1</v>
      </c>
      <c r="V2299" s="9">
        <f>IF(OR(M2299=0,U2299=1),0,IF(T2299="GST on Income",ROUND(K2299*0.1,2),ROUND(-K2299*0.1,2)))</f>
        <v>0</v>
      </c>
    </row>
    <row r="2300">
      <c r="A2300" t="inlineStr">
        <is>
          <t>INV-5153-3</t>
        </is>
      </c>
      <c r="B2300" t="inlineStr">
        <is>
          <t>INV-5153</t>
        </is>
      </c>
      <c r="C2300" s="11" t="n">
        <v>46171</v>
      </c>
      <c r="D2300" t="inlineStr">
        <is>
          <t>2026-05</t>
        </is>
      </c>
      <c r="E2300" t="inlineStr">
        <is>
          <t>C0138</t>
        </is>
      </c>
      <c r="F2300" t="inlineStr">
        <is>
          <t>C0111</t>
        </is>
      </c>
      <c r="G2300" t="inlineStr">
        <is>
          <t>Noah Kelly</t>
        </is>
      </c>
      <c r="H2300" t="inlineStr">
        <is>
          <t>S0226</t>
        </is>
      </c>
      <c r="I2300" t="inlineStr">
        <is>
          <t>Security deposit - fence panels (refundable)</t>
        </is>
      </c>
      <c r="J2300" t="n">
        <v>1</v>
      </c>
      <c r="K2300" s="9" t="n">
        <v>870</v>
      </c>
      <c r="L2300" t="inlineStr">
        <is>
          <t>AUTHORISED</t>
        </is>
      </c>
      <c r="M2300">
        <f>IF(L2300="VOIDED",0,1)</f>
        <v>1</v>
      </c>
      <c r="N2300" t="n">
        <v>200</v>
      </c>
      <c r="O2300" t="inlineStr">
        <is>
          <t>BAS Excluded</t>
        </is>
      </c>
      <c r="P2300" t="inlineStr">
        <is>
          <t>R01</t>
        </is>
      </c>
      <c r="Q2300" t="inlineStr">
        <is>
          <t>DEP</t>
        </is>
      </c>
      <c r="R2300">
        <f>IF(OR(Q2300="CONTEXT",Q2300="REVIEW"),"",INDEX('Category Rules'!$D$5:$D$17,MATCH(P2300,'Category Rules'!$A$5:$A$17,0)))</f>
        <v>835</v>
      </c>
      <c r="S2300" t="str">
        <f>IF(Q2300="CONTEXT","Fencing",IF(Q2300="REVIEW","",INDEX('Category Rules'!$E$5:$E$17,MATCH(P2300,'Category Rules'!$A$5:$A$17,0))))</f>
        <v>Fencing</v>
      </c>
      <c r="T2300" t="str">
        <f>IF(Q2300="DEP","BAS Excluded","GST on Income")</f>
        <v>BAS Excluded</v>
      </c>
      <c r="U2300">
        <f>IF(O2300=T2300,1,0)</f>
        <v>1</v>
      </c>
      <c r="V2300" s="9">
        <f>IF(OR(M2300=0,U2300=1),0,IF(T2300="GST on Income",ROUND(K2300*0.1,2),ROUND(-K2300*0.1,2)))</f>
        <v>0</v>
      </c>
    </row>
    <row r="2301">
      <c r="A2301" t="inlineStr">
        <is>
          <t>INV-5425-1</t>
        </is>
      </c>
      <c r="B2301" t="inlineStr">
        <is>
          <t>INV-5425</t>
        </is>
      </c>
      <c r="C2301" s="11" t="n">
        <v>46171</v>
      </c>
      <c r="D2301" t="inlineStr">
        <is>
          <t>2026-05</t>
        </is>
      </c>
      <c r="E2301" t="inlineStr">
        <is>
          <t>C0113</t>
        </is>
      </c>
      <c r="F2301" t="inlineStr">
        <is>
          <t>C0113</t>
        </is>
      </c>
      <c r="G2301" t="inlineStr">
        <is>
          <t>Isla Brown</t>
        </is>
      </c>
      <c r="H2301" t="inlineStr">
        <is>
          <t>S0290</t>
        </is>
      </c>
      <c r="I2301" t="inlineStr">
        <is>
          <t>Scaffold tower hire 1 wks (28/05/26-28/05/26) - 4 towers</t>
        </is>
      </c>
      <c r="J2301" t="n">
        <v>4</v>
      </c>
      <c r="K2301" s="9" t="n">
        <v>380</v>
      </c>
      <c r="L2301" t="inlineStr">
        <is>
          <t>AUTHORISED</t>
        </is>
      </c>
      <c r="M2301">
        <f>IF(L2301="VOIDED",0,1)</f>
        <v>1</v>
      </c>
      <c r="N2301" t="n">
        <v>200</v>
      </c>
      <c r="O2301" t="inlineStr">
        <is>
          <t>GST on Income</t>
        </is>
      </c>
      <c r="P2301" t="inlineStr">
        <is>
          <t>R05</t>
        </is>
      </c>
      <c r="Q2301" t="inlineStr">
        <is>
          <t>HIRE-ST</t>
        </is>
      </c>
      <c r="R2301">
        <f>IF(OR(Q2301="CONTEXT",Q2301="REVIEW"),"",INDEX('Category Rules'!$D$5:$D$17,MATCH(P2301,'Category Rules'!$A$5:$A$17,0)))</f>
        <v>4010</v>
      </c>
      <c r="S2301" t="str">
        <f>IF(Q2301="CONTEXT","Scaffolding",IF(Q2301="REVIEW","",INDEX('Category Rules'!$E$5:$E$17,MATCH(P2301,'Category Rules'!$A$5:$A$17,0))))</f>
        <v>Scaffolding</v>
      </c>
      <c r="T2301" t="str">
        <f>IF(Q2301="DEP","BAS Excluded","GST on Income")</f>
        <v>GST on Income</v>
      </c>
      <c r="U2301">
        <f>IF(O2301=T2301,1,0)</f>
        <v>1</v>
      </c>
      <c r="V2301" s="9">
        <f>IF(OR(M2301=0,U2301=1),0,IF(T2301="GST on Income",ROUND(K2301*0.1,2),ROUND(-K2301*0.1,2)))</f>
        <v>0</v>
      </c>
    </row>
    <row r="2302">
      <c r="A2302" t="inlineStr">
        <is>
          <t>INV-5427-1</t>
        </is>
      </c>
      <c r="B2302" t="inlineStr">
        <is>
          <t>INV-5427</t>
        </is>
      </c>
      <c r="C2302" s="11" t="n">
        <v>46171</v>
      </c>
      <c r="D2302" t="inlineStr">
        <is>
          <t>2026-05</t>
        </is>
      </c>
      <c r="E2302" t="inlineStr">
        <is>
          <t>C0113</t>
        </is>
      </c>
      <c r="F2302" t="inlineStr">
        <is>
          <t>C0113</t>
        </is>
      </c>
      <c r="G2302" t="inlineStr">
        <is>
          <t>Isla Brown</t>
        </is>
      </c>
      <c r="H2302" t="inlineStr">
        <is>
          <t>S0290</t>
        </is>
      </c>
      <c r="I2302" t="inlineStr">
        <is>
          <t>Scaffold dismantle - 4 tower(s)</t>
        </is>
      </c>
      <c r="J2302" t="n">
        <v>4</v>
      </c>
      <c r="K2302" s="9" t="n">
        <v>1280</v>
      </c>
      <c r="L2302" t="inlineStr">
        <is>
          <t>AUTHORISED</t>
        </is>
      </c>
      <c r="M2302">
        <f>IF(L2302="VOIDED",0,1)</f>
        <v>1</v>
      </c>
      <c r="N2302" t="n">
        <v>200</v>
      </c>
      <c r="O2302" t="inlineStr">
        <is>
          <t>GST on Income</t>
        </is>
      </c>
      <c r="P2302" t="inlineStr">
        <is>
          <t>R08</t>
        </is>
      </c>
      <c r="Q2302" t="inlineStr">
        <is>
          <t>LAB-ST</t>
        </is>
      </c>
      <c r="R2302">
        <f>IF(OR(Q2302="CONTEXT",Q2302="REVIEW"),"",INDEX('Category Rules'!$D$5:$D$17,MATCH(P2302,'Category Rules'!$A$5:$A$17,0)))</f>
        <v>4020</v>
      </c>
      <c r="S2302" t="str">
        <f>IF(Q2302="CONTEXT","Scaffolding",IF(Q2302="REVIEW","",INDEX('Category Rules'!$E$5:$E$17,MATCH(P2302,'Category Rules'!$A$5:$A$17,0))))</f>
        <v>Scaffolding</v>
      </c>
      <c r="T2302" t="str">
        <f>IF(Q2302="DEP","BAS Excluded","GST on Income")</f>
        <v>GST on Income</v>
      </c>
      <c r="U2302">
        <f>IF(O2302=T2302,1,0)</f>
        <v>1</v>
      </c>
      <c r="V2302" s="9">
        <f>IF(OR(M2302=0,U2302=1),0,IF(T2302="GST on Income",ROUND(K2302*0.1,2),ROUND(-K2302*0.1,2)))</f>
        <v>0</v>
      </c>
    </row>
    <row r="2303">
      <c r="A2303" t="inlineStr">
        <is>
          <t>INV-4244-1</t>
        </is>
      </c>
      <c r="B2303" t="inlineStr">
        <is>
          <t>INV-4244</t>
        </is>
      </c>
      <c r="C2303" s="11" t="n">
        <v>46172</v>
      </c>
      <c r="D2303" t="inlineStr">
        <is>
          <t>2026-05</t>
        </is>
      </c>
      <c r="E2303" t="inlineStr">
        <is>
          <t>C0003</t>
        </is>
      </c>
      <c r="F2303" t="inlineStr">
        <is>
          <t>C0003</t>
        </is>
      </c>
      <c r="G2303" t="inlineStr">
        <is>
          <t>Summit Projects Pty Ltd</t>
        </is>
      </c>
      <c r="H2303" t="inlineStr">
        <is>
          <t>S0028</t>
        </is>
      </c>
      <c r="I2303" t="inlineStr">
        <is>
          <t>Temporary fence hire 4 wks (02/05/26-29/05/26) - 102 panels</t>
        </is>
      </c>
      <c r="J2303" t="n">
        <v>408</v>
      </c>
      <c r="K2303" s="9" t="n">
        <v>1836</v>
      </c>
      <c r="L2303" t="inlineStr">
        <is>
          <t>AUTHORISED</t>
        </is>
      </c>
      <c r="M2303">
        <f>IF(L2303="VOIDED",0,1)</f>
        <v>1</v>
      </c>
      <c r="N2303" t="n">
        <v>200</v>
      </c>
      <c r="O2303" t="inlineStr">
        <is>
          <t>GST on Income</t>
        </is>
      </c>
      <c r="P2303" t="inlineStr">
        <is>
          <t>R03</t>
        </is>
      </c>
      <c r="Q2303" t="inlineStr">
        <is>
          <t>HIRE-FP</t>
        </is>
      </c>
      <c r="R2303">
        <f>IF(OR(Q2303="CONTEXT",Q2303="REVIEW"),"",INDEX('Category Rules'!$D$5:$D$17,MATCH(P2303,'Category Rules'!$A$5:$A$17,0)))</f>
        <v>4010</v>
      </c>
      <c r="S2303" t="str">
        <f>IF(Q2303="CONTEXT","Fencing",IF(Q2303="REVIEW","",INDEX('Category Rules'!$E$5:$E$17,MATCH(P2303,'Category Rules'!$A$5:$A$17,0))))</f>
        <v>Fencing</v>
      </c>
      <c r="T2303" t="str">
        <f>IF(Q2303="DEP","BAS Excluded","GST on Income")</f>
        <v>GST on Income</v>
      </c>
      <c r="U2303">
        <f>IF(O2303=T2303,1,0)</f>
        <v>1</v>
      </c>
      <c r="V2303" s="9">
        <f>IF(OR(M2303=0,U2303=1),0,IF(T2303="GST on Income",ROUND(K2303*0.1,2),ROUND(-K2303*0.1,2)))</f>
        <v>0</v>
      </c>
    </row>
    <row r="2304">
      <c r="A2304" t="inlineStr">
        <is>
          <t>INV-4246-1</t>
        </is>
      </c>
      <c r="B2304" t="inlineStr">
        <is>
          <t>INV-4246</t>
        </is>
      </c>
      <c r="C2304" s="11" t="n">
        <v>46172</v>
      </c>
      <c r="D2304" t="inlineStr">
        <is>
          <t>2026-05</t>
        </is>
      </c>
      <c r="E2304" t="inlineStr">
        <is>
          <t>C0003</t>
        </is>
      </c>
      <c r="F2304" t="inlineStr">
        <is>
          <t>C0003</t>
        </is>
      </c>
      <c r="G2304" t="inlineStr">
        <is>
          <t>Summit Projects Pty Ltd</t>
        </is>
      </c>
      <c r="H2304" t="inlineStr">
        <is>
          <t>S0028</t>
        </is>
      </c>
      <c r="I2304" t="inlineStr">
        <is>
          <t>Pedestrian barrier hire 4 wks (02/05/26-29/05/26) - 12 barriers</t>
        </is>
      </c>
      <c r="J2304" t="n">
        <v>48</v>
      </c>
      <c r="K2304" s="9" t="n">
        <v>153.6</v>
      </c>
      <c r="L2304" t="inlineStr">
        <is>
          <t>AUTHORISED</t>
        </is>
      </c>
      <c r="M2304">
        <f>IF(L2304="VOIDED",0,1)</f>
        <v>1</v>
      </c>
      <c r="N2304" t="n">
        <v>200</v>
      </c>
      <c r="O2304" t="inlineStr">
        <is>
          <t>GST on Income</t>
        </is>
      </c>
      <c r="P2304" t="inlineStr">
        <is>
          <t>R04</t>
        </is>
      </c>
      <c r="Q2304" t="inlineStr">
        <is>
          <t>HIRE-BR</t>
        </is>
      </c>
      <c r="R2304">
        <f>IF(OR(Q2304="CONTEXT",Q2304="REVIEW"),"",INDEX('Category Rules'!$D$5:$D$17,MATCH(P2304,'Category Rules'!$A$5:$A$17,0)))</f>
        <v>4010</v>
      </c>
      <c r="S2304" t="str">
        <f>IF(Q2304="CONTEXT","Fencing",IF(Q2304="REVIEW","",INDEX('Category Rules'!$E$5:$E$17,MATCH(P2304,'Category Rules'!$A$5:$A$17,0))))</f>
        <v>Fencing</v>
      </c>
      <c r="T2304" t="str">
        <f>IF(Q2304="DEP","BAS Excluded","GST on Income")</f>
        <v>GST on Income</v>
      </c>
      <c r="U2304">
        <f>IF(O2304=T2304,1,0)</f>
        <v>1</v>
      </c>
      <c r="V2304" s="9">
        <f>IF(OR(M2304=0,U2304=1),0,IF(T2304="GST on Income",ROUND(K2304*0.1,2),ROUND(-K2304*0.1,2)))</f>
        <v>0</v>
      </c>
    </row>
    <row r="2305">
      <c r="A2305" t="inlineStr">
        <is>
          <t>INV-4706-1</t>
        </is>
      </c>
      <c r="B2305" t="inlineStr">
        <is>
          <t>INV-4706</t>
        </is>
      </c>
      <c r="C2305" s="11" t="n">
        <v>46172</v>
      </c>
      <c r="D2305" t="inlineStr">
        <is>
          <t>2026-05</t>
        </is>
      </c>
      <c r="E2305" t="inlineStr">
        <is>
          <t>C0135</t>
        </is>
      </c>
      <c r="F2305" t="inlineStr">
        <is>
          <t>C0076</t>
        </is>
      </c>
      <c r="G2305" t="inlineStr">
        <is>
          <t>Westside Productions</t>
        </is>
      </c>
      <c r="H2305" t="inlineStr">
        <is>
          <t>S0125</t>
        </is>
      </c>
      <c r="I2305" t="inlineStr">
        <is>
          <t>Temporary fence hire 4 wks (08/05/26-29/05/26) - 31 panels</t>
        </is>
      </c>
      <c r="J2305" t="n">
        <v>124</v>
      </c>
      <c r="K2305" s="9" t="n">
        <v>558</v>
      </c>
      <c r="L2305" t="inlineStr">
        <is>
          <t>AUTHORISED</t>
        </is>
      </c>
      <c r="M2305">
        <f>IF(L2305="VOIDED",0,1)</f>
        <v>1</v>
      </c>
      <c r="N2305" t="n">
        <v>200</v>
      </c>
      <c r="O2305" t="inlineStr">
        <is>
          <t>GST on Income</t>
        </is>
      </c>
      <c r="P2305" t="inlineStr">
        <is>
          <t>R03</t>
        </is>
      </c>
      <c r="Q2305" t="inlineStr">
        <is>
          <t>HIRE-FP</t>
        </is>
      </c>
      <c r="R2305">
        <f>IF(OR(Q2305="CONTEXT",Q2305="REVIEW"),"",INDEX('Category Rules'!$D$5:$D$17,MATCH(P2305,'Category Rules'!$A$5:$A$17,0)))</f>
        <v>4010</v>
      </c>
      <c r="S2305" t="str">
        <f>IF(Q2305="CONTEXT","Fencing",IF(Q2305="REVIEW","",INDEX('Category Rules'!$E$5:$E$17,MATCH(P2305,'Category Rules'!$A$5:$A$17,0))))</f>
        <v>Fencing</v>
      </c>
      <c r="T2305" t="str">
        <f>IF(Q2305="DEP","BAS Excluded","GST on Income")</f>
        <v>GST on Income</v>
      </c>
      <c r="U2305">
        <f>IF(O2305=T2305,1,0)</f>
        <v>1</v>
      </c>
      <c r="V2305" s="9">
        <f>IF(OR(M2305=0,U2305=1),0,IF(T2305="GST on Income",ROUND(K2305*0.1,2),ROUND(-K2305*0.1,2)))</f>
        <v>0</v>
      </c>
    </row>
    <row r="2306">
      <c r="A2306" t="inlineStr">
        <is>
          <t>INV-4708-1</t>
        </is>
      </c>
      <c r="B2306" t="inlineStr">
        <is>
          <t>INV-4708</t>
        </is>
      </c>
      <c r="C2306" s="11" t="n">
        <v>46172</v>
      </c>
      <c r="D2306" t="inlineStr">
        <is>
          <t>2026-05</t>
        </is>
      </c>
      <c r="E2306" t="inlineStr">
        <is>
          <t>C0076</t>
        </is>
      </c>
      <c r="F2306" t="inlineStr">
        <is>
          <t>C0076</t>
        </is>
      </c>
      <c r="G2306" t="inlineStr">
        <is>
          <t>Westside Productions</t>
        </is>
      </c>
      <c r="H2306" t="inlineStr">
        <is>
          <t>S0125</t>
        </is>
      </c>
      <c r="I2306" t="inlineStr">
        <is>
          <t>Collection and dismantle - temporary fencing</t>
        </is>
      </c>
      <c r="J2306" t="n">
        <v>1</v>
      </c>
      <c r="K2306" s="9" t="n">
        <v>165</v>
      </c>
      <c r="L2306" t="inlineStr">
        <is>
          <t>PAID</t>
        </is>
      </c>
      <c r="M2306">
        <f>IF(L2306="VOIDED",0,1)</f>
        <v>1</v>
      </c>
      <c r="N2306" t="n">
        <v>200</v>
      </c>
      <c r="O2306" t="inlineStr">
        <is>
          <t>GST on Income</t>
        </is>
      </c>
      <c r="P2306" t="inlineStr">
        <is>
          <t>R07</t>
        </is>
      </c>
      <c r="Q2306" t="inlineStr">
        <is>
          <t>DEL-FP</t>
        </is>
      </c>
      <c r="R2306">
        <f>IF(OR(Q2306="CONTEXT",Q2306="REVIEW"),"",INDEX('Category Rules'!$D$5:$D$17,MATCH(P2306,'Category Rules'!$A$5:$A$17,0)))</f>
        <v>4020</v>
      </c>
      <c r="S2306" t="str">
        <f>IF(Q2306="CONTEXT","Fencing",IF(Q2306="REVIEW","",INDEX('Category Rules'!$E$5:$E$17,MATCH(P2306,'Category Rules'!$A$5:$A$17,0))))</f>
        <v>Fencing</v>
      </c>
      <c r="T2306" t="str">
        <f>IF(Q2306="DEP","BAS Excluded","GST on Income")</f>
        <v>GST on Income</v>
      </c>
      <c r="U2306">
        <f>IF(O2306=T2306,1,0)</f>
        <v>1</v>
      </c>
      <c r="V2306" s="9">
        <f>IF(OR(M2306=0,U2306=1),0,IF(T2306="GST on Income",ROUND(K2306*0.1,2),ROUND(-K2306*0.1,2)))</f>
        <v>0</v>
      </c>
    </row>
    <row r="2307">
      <c r="A2307" t="inlineStr">
        <is>
          <t>INV-4773-1</t>
        </is>
      </c>
      <c r="B2307" t="inlineStr">
        <is>
          <t>INV-4773</t>
        </is>
      </c>
      <c r="C2307" s="11" t="n">
        <v>46172</v>
      </c>
      <c r="D2307" t="inlineStr">
        <is>
          <t>2026-05</t>
        </is>
      </c>
      <c r="E2307" t="inlineStr">
        <is>
          <t>C0083</t>
        </is>
      </c>
      <c r="F2307" t="inlineStr">
        <is>
          <t>C0083</t>
        </is>
      </c>
      <c r="G2307" t="inlineStr">
        <is>
          <t>Noah Williams</t>
        </is>
      </c>
      <c r="H2307" t="inlineStr">
        <is>
          <t>S0143</t>
        </is>
      </c>
      <c r="I2307" t="inlineStr">
        <is>
          <t>Temporary fence hire 4 wks (02/05/26-29/05/26) - 70 panels</t>
        </is>
      </c>
      <c r="J2307" t="n">
        <v>280</v>
      </c>
      <c r="K2307" s="9" t="n">
        <v>1260</v>
      </c>
      <c r="L2307" t="inlineStr">
        <is>
          <t>AUTHORISED</t>
        </is>
      </c>
      <c r="M2307">
        <f>IF(L2307="VOIDED",0,1)</f>
        <v>1</v>
      </c>
      <c r="N2307" t="n">
        <v>260</v>
      </c>
      <c r="O2307" t="inlineStr">
        <is>
          <t>GST on Income</t>
        </is>
      </c>
      <c r="P2307" t="inlineStr">
        <is>
          <t>R03</t>
        </is>
      </c>
      <c r="Q2307" t="inlineStr">
        <is>
          <t>HIRE-FP</t>
        </is>
      </c>
      <c r="R2307">
        <f>IF(OR(Q2307="CONTEXT",Q2307="REVIEW"),"",INDEX('Category Rules'!$D$5:$D$17,MATCH(P2307,'Category Rules'!$A$5:$A$17,0)))</f>
        <v>4010</v>
      </c>
      <c r="S2307" t="str">
        <f>IF(Q2307="CONTEXT","Fencing",IF(Q2307="REVIEW","",INDEX('Category Rules'!$E$5:$E$17,MATCH(P2307,'Category Rules'!$A$5:$A$17,0))))</f>
        <v>Fencing</v>
      </c>
      <c r="T2307" t="str">
        <f>IF(Q2307="DEP","BAS Excluded","GST on Income")</f>
        <v>GST on Income</v>
      </c>
      <c r="U2307">
        <f>IF(O2307=T2307,1,0)</f>
        <v>1</v>
      </c>
      <c r="V2307" s="9">
        <f>IF(OR(M2307=0,U2307=1),0,IF(T2307="GST on Income",ROUND(K2307*0.1,2),ROUND(-K2307*0.1,2)))</f>
        <v>0</v>
      </c>
    </row>
    <row r="2308">
      <c r="A2308" t="inlineStr">
        <is>
          <t>INV-5472-1</t>
        </is>
      </c>
      <c r="B2308" t="inlineStr">
        <is>
          <t>INV-5472</t>
        </is>
      </c>
      <c r="C2308" s="11" t="n">
        <v>46172</v>
      </c>
      <c r="D2308" t="inlineStr">
        <is>
          <t>2026-05</t>
        </is>
      </c>
      <c r="E2308" t="inlineStr">
        <is>
          <t>C0124</t>
        </is>
      </c>
      <c r="F2308" t="inlineStr">
        <is>
          <t>C0124</t>
        </is>
      </c>
      <c r="G2308" t="inlineStr">
        <is>
          <t>Harbor Strata Management</t>
        </is>
      </c>
      <c r="H2308" t="inlineStr">
        <is>
          <t>S0309</t>
        </is>
      </c>
      <c r="I2308" t="inlineStr">
        <is>
          <t>Roof repair labour - 8 hrs</t>
        </is>
      </c>
      <c r="J2308" t="n">
        <v>8</v>
      </c>
      <c r="K2308" s="9" t="n">
        <v>784</v>
      </c>
      <c r="L2308" t="inlineStr">
        <is>
          <t>PAID</t>
        </is>
      </c>
      <c r="M2308">
        <f>IF(L2308="VOIDED",0,1)</f>
        <v>1</v>
      </c>
      <c r="N2308" t="n">
        <v>200</v>
      </c>
      <c r="O2308" t="inlineStr">
        <is>
          <t>GST on Income</t>
        </is>
      </c>
      <c r="P2308" t="inlineStr">
        <is>
          <t>R10</t>
        </is>
      </c>
      <c r="Q2308" t="inlineStr">
        <is>
          <t>LAB-RF</t>
        </is>
      </c>
      <c r="R2308">
        <f>IF(OR(Q2308="CONTEXT",Q2308="REVIEW"),"",INDEX('Category Rules'!$D$5:$D$17,MATCH(P2308,'Category Rules'!$A$5:$A$17,0)))</f>
        <v>4020</v>
      </c>
      <c r="S2308" t="str">
        <f>IF(Q2308="CONTEXT","Roofing",IF(Q2308="REVIEW","",INDEX('Category Rules'!$E$5:$E$17,MATCH(P2308,'Category Rules'!$A$5:$A$17,0))))</f>
        <v>Roofing</v>
      </c>
      <c r="T2308" t="str">
        <f>IF(Q2308="DEP","BAS Excluded","GST on Income")</f>
        <v>GST on Income</v>
      </c>
      <c r="U2308">
        <f>IF(O2308=T2308,1,0)</f>
        <v>1</v>
      </c>
      <c r="V2308" s="9">
        <f>IF(OR(M2308=0,U2308=1),0,IF(T2308="GST on Income",ROUND(K2308*0.1,2),ROUND(-K2308*0.1,2)))</f>
        <v>0</v>
      </c>
    </row>
    <row r="2309">
      <c r="A2309" t="inlineStr">
        <is>
          <t>INV-5472-2</t>
        </is>
      </c>
      <c r="B2309" t="inlineStr">
        <is>
          <t>INV-5472</t>
        </is>
      </c>
      <c r="C2309" s="11" t="n">
        <v>46172</v>
      </c>
      <c r="D2309" t="inlineStr">
        <is>
          <t>2026-05</t>
        </is>
      </c>
      <c r="E2309" t="inlineStr">
        <is>
          <t>C0124</t>
        </is>
      </c>
      <c r="F2309" t="inlineStr">
        <is>
          <t>C0124</t>
        </is>
      </c>
      <c r="G2309" t="inlineStr">
        <is>
          <t>Harbor Strata Management</t>
        </is>
      </c>
      <c r="H2309" t="inlineStr">
        <is>
          <t>S0309</t>
        </is>
      </c>
      <c r="I2309" t="inlineStr">
        <is>
          <t>Materials - ridge capping</t>
        </is>
      </c>
      <c r="J2309" t="n">
        <v>1</v>
      </c>
      <c r="K2309" s="9" t="n">
        <v>586.76</v>
      </c>
      <c r="L2309" t="inlineStr">
        <is>
          <t>PAID</t>
        </is>
      </c>
      <c r="M2309">
        <f>IF(L2309="VOIDED",0,1)</f>
        <v>1</v>
      </c>
      <c r="N2309" t="n">
        <v>200</v>
      </c>
      <c r="O2309" t="inlineStr">
        <is>
          <t>GST on Income</t>
        </is>
      </c>
      <c r="P2309" t="inlineStr">
        <is>
          <t>R11</t>
        </is>
      </c>
      <c r="Q2309" t="inlineStr">
        <is>
          <t>MAT-RF</t>
        </is>
      </c>
      <c r="R2309">
        <f>IF(OR(Q2309="CONTEXT",Q2309="REVIEW"),"",INDEX('Category Rules'!$D$5:$D$17,MATCH(P2309,'Category Rules'!$A$5:$A$17,0)))</f>
        <v>4030</v>
      </c>
      <c r="S2309" t="str">
        <f>IF(Q2309="CONTEXT","Roofing",IF(Q2309="REVIEW","",INDEX('Category Rules'!$E$5:$E$17,MATCH(P2309,'Category Rules'!$A$5:$A$17,0))))</f>
        <v>Roofing</v>
      </c>
      <c r="T2309" t="str">
        <f>IF(Q2309="DEP","BAS Excluded","GST on Income")</f>
        <v>GST on Income</v>
      </c>
      <c r="U2309">
        <f>IF(O2309=T2309,1,0)</f>
        <v>1</v>
      </c>
      <c r="V2309" s="9">
        <f>IF(OR(M2309=0,U2309=1),0,IF(T2309="GST on Income",ROUND(K2309*0.1,2),ROUND(-K2309*0.1,2)))</f>
        <v>0</v>
      </c>
    </row>
    <row r="2310">
      <c r="A2310" t="inlineStr">
        <is>
          <t>INV-5472-3</t>
        </is>
      </c>
      <c r="B2310" t="inlineStr">
        <is>
          <t>INV-5472</t>
        </is>
      </c>
      <c r="C2310" s="11" t="n">
        <v>46172</v>
      </c>
      <c r="D2310" t="inlineStr">
        <is>
          <t>2026-05</t>
        </is>
      </c>
      <c r="E2310" t="inlineStr">
        <is>
          <t>C0124</t>
        </is>
      </c>
      <c r="F2310" t="inlineStr">
        <is>
          <t>C0124</t>
        </is>
      </c>
      <c r="G2310" t="inlineStr">
        <is>
          <t>Harbor Strata Management</t>
        </is>
      </c>
      <c r="H2310" t="inlineStr">
        <is>
          <t>S0309</t>
        </is>
      </c>
      <c r="I2310" t="inlineStr">
        <is>
          <t>Waste removal and tip fees</t>
        </is>
      </c>
      <c r="J2310" t="n">
        <v>1</v>
      </c>
      <c r="K2310" s="9" t="n">
        <v>120</v>
      </c>
      <c r="L2310" t="inlineStr">
        <is>
          <t>PAID</t>
        </is>
      </c>
      <c r="M2310">
        <f>IF(L2310="VOIDED",0,1)</f>
        <v>1</v>
      </c>
      <c r="N2310" t="n">
        <v>200</v>
      </c>
      <c r="O2310" t="inlineStr">
        <is>
          <t>GST on Income</t>
        </is>
      </c>
      <c r="P2310" t="inlineStr">
        <is>
          <t>R11</t>
        </is>
      </c>
      <c r="Q2310" t="inlineStr">
        <is>
          <t>MAT-RF</t>
        </is>
      </c>
      <c r="R2310">
        <f>IF(OR(Q2310="CONTEXT",Q2310="REVIEW"),"",INDEX('Category Rules'!$D$5:$D$17,MATCH(P2310,'Category Rules'!$A$5:$A$17,0)))</f>
        <v>4030</v>
      </c>
      <c r="S2310" t="str">
        <f>IF(Q2310="CONTEXT","Roofing",IF(Q2310="REVIEW","",INDEX('Category Rules'!$E$5:$E$17,MATCH(P2310,'Category Rules'!$A$5:$A$17,0))))</f>
        <v>Roofing</v>
      </c>
      <c r="T2310" t="str">
        <f>IF(Q2310="DEP","BAS Excluded","GST on Income")</f>
        <v>GST on Income</v>
      </c>
      <c r="U2310">
        <f>IF(O2310=T2310,1,0)</f>
        <v>1</v>
      </c>
      <c r="V2310" s="9">
        <f>IF(OR(M2310=0,U2310=1),0,IF(T2310="GST on Income",ROUND(K2310*0.1,2),ROUND(-K2310*0.1,2)))</f>
        <v>0</v>
      </c>
    </row>
    <row r="2311">
      <c r="A2311" t="inlineStr">
        <is>
          <t>INV-5608-1</t>
        </is>
      </c>
      <c r="B2311" t="inlineStr">
        <is>
          <t>INV-5608</t>
        </is>
      </c>
      <c r="C2311" s="11" t="n">
        <v>46172</v>
      </c>
      <c r="D2311" t="inlineStr">
        <is>
          <t>2026-05</t>
        </is>
      </c>
      <c r="E2311" t="inlineStr">
        <is>
          <t>C0024</t>
        </is>
      </c>
      <c r="F2311" t="inlineStr">
        <is>
          <t>C0024</t>
        </is>
      </c>
      <c r="G2311" t="inlineStr">
        <is>
          <t>Parkview Homes Pty Ltd</t>
        </is>
      </c>
      <c r="H2311" t="inlineStr">
        <is>
          <t>S0384</t>
        </is>
      </c>
      <c r="I2311" t="inlineStr">
        <is>
          <t>Emergency make safe call-out - after hours</t>
        </is>
      </c>
      <c r="J2311" t="n">
        <v>1</v>
      </c>
      <c r="K2311" s="9" t="n">
        <v>560</v>
      </c>
      <c r="L2311" t="inlineStr">
        <is>
          <t>AUTHORISED</t>
        </is>
      </c>
      <c r="M2311">
        <f>IF(L2311="VOIDED",0,1)</f>
        <v>1</v>
      </c>
      <c r="N2311" t="n">
        <v>200</v>
      </c>
      <c r="O2311" t="inlineStr">
        <is>
          <t>GST on Income</t>
        </is>
      </c>
      <c r="P2311" t="inlineStr">
        <is>
          <t>R09</t>
        </is>
      </c>
      <c r="Q2311" t="inlineStr">
        <is>
          <t>MS</t>
        </is>
      </c>
      <c r="R2311">
        <f>IF(OR(Q2311="CONTEXT",Q2311="REVIEW"),"",INDEX('Category Rules'!$D$5:$D$17,MATCH(P2311,'Category Rules'!$A$5:$A$17,0)))</f>
        <v>4020</v>
      </c>
      <c r="S2311" t="str">
        <f>IF(Q2311="CONTEXT","Make-safe",IF(Q2311="REVIEW","",INDEX('Category Rules'!$E$5:$E$17,MATCH(P2311,'Category Rules'!$A$5:$A$17,0))))</f>
        <v>Make-safe</v>
      </c>
      <c r="T2311" t="str">
        <f>IF(Q2311="DEP","BAS Excluded","GST on Income")</f>
        <v>GST on Income</v>
      </c>
      <c r="U2311">
        <f>IF(O2311=T2311,1,0)</f>
        <v>1</v>
      </c>
      <c r="V2311" s="9">
        <f>IF(OR(M2311=0,U2311=1),0,IF(T2311="GST on Income",ROUND(K2311*0.1,2),ROUND(-K2311*0.1,2)))</f>
        <v>0</v>
      </c>
    </row>
    <row r="2312">
      <c r="A2312" t="inlineStr">
        <is>
          <t>INV-5608-2</t>
        </is>
      </c>
      <c r="B2312" t="inlineStr">
        <is>
          <t>INV-5608</t>
        </is>
      </c>
      <c r="C2312" s="11" t="n">
        <v>46172</v>
      </c>
      <c r="D2312" t="inlineStr">
        <is>
          <t>2026-05</t>
        </is>
      </c>
      <c r="E2312" t="inlineStr">
        <is>
          <t>C0024</t>
        </is>
      </c>
      <c r="F2312" t="inlineStr">
        <is>
          <t>C0024</t>
        </is>
      </c>
      <c r="G2312" t="inlineStr">
        <is>
          <t>Parkview Homes Pty Ltd</t>
        </is>
      </c>
      <c r="H2312" t="inlineStr">
        <is>
          <t>S0384</t>
        </is>
      </c>
      <c r="I2312" t="inlineStr">
        <is>
          <t>Tarp supply and install - 3 tarp(s)</t>
        </is>
      </c>
      <c r="J2312" t="n">
        <v>3</v>
      </c>
      <c r="K2312" s="9" t="n">
        <v>720</v>
      </c>
      <c r="L2312" t="inlineStr">
        <is>
          <t>AUTHORISED</t>
        </is>
      </c>
      <c r="M2312">
        <f>IF(L2312="VOIDED",0,1)</f>
        <v>1</v>
      </c>
      <c r="N2312" t="n">
        <v>200</v>
      </c>
      <c r="O2312" t="inlineStr">
        <is>
          <t>GST on Income</t>
        </is>
      </c>
      <c r="P2312" t="inlineStr">
        <is>
          <t>R09</t>
        </is>
      </c>
      <c r="Q2312" t="inlineStr">
        <is>
          <t>MS</t>
        </is>
      </c>
      <c r="R2312">
        <f>IF(OR(Q2312="CONTEXT",Q2312="REVIEW"),"",INDEX('Category Rules'!$D$5:$D$17,MATCH(P2312,'Category Rules'!$A$5:$A$17,0)))</f>
        <v>4020</v>
      </c>
      <c r="S2312" t="str">
        <f>IF(Q2312="CONTEXT","Make-safe",IF(Q2312="REVIEW","",INDEX('Category Rules'!$E$5:$E$17,MATCH(P2312,'Category Rules'!$A$5:$A$17,0))))</f>
        <v>Make-safe</v>
      </c>
      <c r="T2312" t="str">
        <f>IF(Q2312="DEP","BAS Excluded","GST on Income")</f>
        <v>GST on Income</v>
      </c>
      <c r="U2312">
        <f>IF(O2312=T2312,1,0)</f>
        <v>1</v>
      </c>
      <c r="V2312" s="9">
        <f>IF(OR(M2312=0,U2312=1),0,IF(T2312="GST on Income",ROUND(K2312*0.1,2),ROUND(-K2312*0.1,2)))</f>
        <v>0</v>
      </c>
    </row>
    <row r="2313">
      <c r="A2313" t="inlineStr">
        <is>
          <t>INV-5755-1</t>
        </is>
      </c>
      <c r="B2313" t="inlineStr">
        <is>
          <t>INV-5755</t>
        </is>
      </c>
      <c r="C2313" s="11" t="n">
        <v>46172</v>
      </c>
      <c r="D2313" t="inlineStr">
        <is>
          <t>2026-05</t>
        </is>
      </c>
      <c r="E2313" t="inlineStr">
        <is>
          <t>C0100</t>
        </is>
      </c>
      <c r="F2313" t="inlineStr">
        <is>
          <t>C0100</t>
        </is>
      </c>
      <c r="G2313" t="inlineStr">
        <is>
          <t>Mei Wilson</t>
        </is>
      </c>
      <c r="H2313" t="inlineStr">
        <is>
          <t>S0463</t>
        </is>
      </c>
      <c r="I2313" t="inlineStr">
        <is>
          <t>Roof repair labour - 6 hrs</t>
        </is>
      </c>
      <c r="J2313" t="n">
        <v>6</v>
      </c>
      <c r="K2313" s="9" t="n">
        <v>588</v>
      </c>
      <c r="L2313" t="inlineStr">
        <is>
          <t>PAID</t>
        </is>
      </c>
      <c r="M2313">
        <f>IF(L2313="VOIDED",0,1)</f>
        <v>1</v>
      </c>
      <c r="N2313" t="n">
        <v>200</v>
      </c>
      <c r="O2313" t="inlineStr">
        <is>
          <t>GST on Income</t>
        </is>
      </c>
      <c r="P2313" t="inlineStr">
        <is>
          <t>R10</t>
        </is>
      </c>
      <c r="Q2313" t="inlineStr">
        <is>
          <t>LAB-RF</t>
        </is>
      </c>
      <c r="R2313">
        <f>IF(OR(Q2313="CONTEXT",Q2313="REVIEW"),"",INDEX('Category Rules'!$D$5:$D$17,MATCH(P2313,'Category Rules'!$A$5:$A$17,0)))</f>
        <v>4020</v>
      </c>
      <c r="S2313" t="str">
        <f>IF(Q2313="CONTEXT","Roofing",IF(Q2313="REVIEW","",INDEX('Category Rules'!$E$5:$E$17,MATCH(P2313,'Category Rules'!$A$5:$A$17,0))))</f>
        <v>Roofing</v>
      </c>
      <c r="T2313" t="str">
        <f>IF(Q2313="DEP","BAS Excluded","GST on Income")</f>
        <v>GST on Income</v>
      </c>
      <c r="U2313">
        <f>IF(O2313=T2313,1,0)</f>
        <v>1</v>
      </c>
      <c r="V2313" s="9">
        <f>IF(OR(M2313=0,U2313=1),0,IF(T2313="GST on Income",ROUND(K2313*0.1,2),ROUND(-K2313*0.1,2)))</f>
        <v>0</v>
      </c>
    </row>
    <row r="2314">
      <c r="A2314" t="inlineStr">
        <is>
          <t>INV-5755-2</t>
        </is>
      </c>
      <c r="B2314" t="inlineStr">
        <is>
          <t>INV-5755</t>
        </is>
      </c>
      <c r="C2314" s="11" t="n">
        <v>46172</v>
      </c>
      <c r="D2314" t="inlineStr">
        <is>
          <t>2026-05</t>
        </is>
      </c>
      <c r="E2314" t="inlineStr">
        <is>
          <t>C0100</t>
        </is>
      </c>
      <c r="F2314" t="inlineStr">
        <is>
          <t>C0100</t>
        </is>
      </c>
      <c r="G2314" t="inlineStr">
        <is>
          <t>Mei Wilson</t>
        </is>
      </c>
      <c r="H2314" t="inlineStr">
        <is>
          <t>S0463</t>
        </is>
      </c>
      <c r="I2314" t="inlineStr">
        <is>
          <t>Materials - ridge capping</t>
        </is>
      </c>
      <c r="J2314" t="n">
        <v>1</v>
      </c>
      <c r="K2314" s="9" t="n">
        <v>104.74</v>
      </c>
      <c r="L2314" t="inlineStr">
        <is>
          <t>PAID</t>
        </is>
      </c>
      <c r="M2314">
        <f>IF(L2314="VOIDED",0,1)</f>
        <v>1</v>
      </c>
      <c r="N2314" t="n">
        <v>200</v>
      </c>
      <c r="O2314" t="inlineStr">
        <is>
          <t>GST on Income</t>
        </is>
      </c>
      <c r="P2314" t="inlineStr">
        <is>
          <t>R11</t>
        </is>
      </c>
      <c r="Q2314" t="inlineStr">
        <is>
          <t>MAT-RF</t>
        </is>
      </c>
      <c r="R2314">
        <f>IF(OR(Q2314="CONTEXT",Q2314="REVIEW"),"",INDEX('Category Rules'!$D$5:$D$17,MATCH(P2314,'Category Rules'!$A$5:$A$17,0)))</f>
        <v>4030</v>
      </c>
      <c r="S2314" t="str">
        <f>IF(Q2314="CONTEXT","Roofing",IF(Q2314="REVIEW","",INDEX('Category Rules'!$E$5:$E$17,MATCH(P2314,'Category Rules'!$A$5:$A$17,0))))</f>
        <v>Roofing</v>
      </c>
      <c r="T2314" t="str">
        <f>IF(Q2314="DEP","BAS Excluded","GST on Income")</f>
        <v>GST on Income</v>
      </c>
      <c r="U2314">
        <f>IF(O2314=T2314,1,0)</f>
        <v>1</v>
      </c>
      <c r="V2314" s="9">
        <f>IF(OR(M2314=0,U2314=1),0,IF(T2314="GST on Income",ROUND(K2314*0.1,2),ROUND(-K2314*0.1,2)))</f>
        <v>0</v>
      </c>
    </row>
    <row r="2315">
      <c r="A2315" t="inlineStr">
        <is>
          <t>INV-5755-3</t>
        </is>
      </c>
      <c r="B2315" t="inlineStr">
        <is>
          <t>INV-5755</t>
        </is>
      </c>
      <c r="C2315" s="11" t="n">
        <v>46172</v>
      </c>
      <c r="D2315" t="inlineStr">
        <is>
          <t>2026-05</t>
        </is>
      </c>
      <c r="E2315" t="inlineStr">
        <is>
          <t>C0100</t>
        </is>
      </c>
      <c r="F2315" t="inlineStr">
        <is>
          <t>C0100</t>
        </is>
      </c>
      <c r="G2315" t="inlineStr">
        <is>
          <t>Mei Wilson</t>
        </is>
      </c>
      <c r="H2315" t="inlineStr">
        <is>
          <t>S0463</t>
        </is>
      </c>
      <c r="I2315" t="inlineStr">
        <is>
          <t>Waste removal and tip fees</t>
        </is>
      </c>
      <c r="J2315" t="n">
        <v>1</v>
      </c>
      <c r="K2315" s="9" t="n">
        <v>120</v>
      </c>
      <c r="L2315" t="inlineStr">
        <is>
          <t>PAID</t>
        </is>
      </c>
      <c r="M2315">
        <f>IF(L2315="VOIDED",0,1)</f>
        <v>1</v>
      </c>
      <c r="N2315" t="n">
        <v>200</v>
      </c>
      <c r="O2315" t="inlineStr">
        <is>
          <t>GST on Income</t>
        </is>
      </c>
      <c r="P2315" t="inlineStr">
        <is>
          <t>R11</t>
        </is>
      </c>
      <c r="Q2315" t="inlineStr">
        <is>
          <t>MAT-RF</t>
        </is>
      </c>
      <c r="R2315">
        <f>IF(OR(Q2315="CONTEXT",Q2315="REVIEW"),"",INDEX('Category Rules'!$D$5:$D$17,MATCH(P2315,'Category Rules'!$A$5:$A$17,0)))</f>
        <v>4030</v>
      </c>
      <c r="S2315" t="str">
        <f>IF(Q2315="CONTEXT","Roofing",IF(Q2315="REVIEW","",INDEX('Category Rules'!$E$5:$E$17,MATCH(P2315,'Category Rules'!$A$5:$A$17,0))))</f>
        <v>Roofing</v>
      </c>
      <c r="T2315" t="str">
        <f>IF(Q2315="DEP","BAS Excluded","GST on Income")</f>
        <v>GST on Income</v>
      </c>
      <c r="U2315">
        <f>IF(O2315=T2315,1,0)</f>
        <v>1</v>
      </c>
      <c r="V2315" s="9">
        <f>IF(OR(M2315=0,U2315=1),0,IF(T2315="GST on Income",ROUND(K2315*0.1,2),ROUND(-K2315*0.1,2)))</f>
        <v>0</v>
      </c>
    </row>
    <row r="2316">
      <c r="A2316" t="inlineStr">
        <is>
          <t>INV-4576-1</t>
        </is>
      </c>
      <c r="B2316" t="inlineStr">
        <is>
          <t>INV-4576</t>
        </is>
      </c>
      <c r="C2316" s="11" t="n">
        <v>46173</v>
      </c>
      <c r="D2316" t="inlineStr">
        <is>
          <t>2026-05</t>
        </is>
      </c>
      <c r="E2316" t="inlineStr">
        <is>
          <t>C0043</t>
        </is>
      </c>
      <c r="F2316" t="inlineStr">
        <is>
          <t>C0043</t>
        </is>
      </c>
      <c r="G2316" t="inlineStr">
        <is>
          <t>Banksia Projects Pty Ltd</t>
        </is>
      </c>
      <c r="H2316" t="inlineStr">
        <is>
          <t>S0095</t>
        </is>
      </c>
      <c r="I2316" t="inlineStr">
        <is>
          <t>Temporary fence hire 4 wks (03/05/26-30/05/26) - 129 panels</t>
        </is>
      </c>
      <c r="J2316" t="n">
        <v>516</v>
      </c>
      <c r="K2316" s="9" t="n">
        <v>2322</v>
      </c>
      <c r="L2316" t="inlineStr">
        <is>
          <t>PAID</t>
        </is>
      </c>
      <c r="M2316">
        <f>IF(L2316="VOIDED",0,1)</f>
        <v>1</v>
      </c>
      <c r="N2316" t="n">
        <v>200</v>
      </c>
      <c r="O2316" t="inlineStr">
        <is>
          <t>GST on Income</t>
        </is>
      </c>
      <c r="P2316" t="inlineStr">
        <is>
          <t>R03</t>
        </is>
      </c>
      <c r="Q2316" t="inlineStr">
        <is>
          <t>HIRE-FP</t>
        </is>
      </c>
      <c r="R2316">
        <f>IF(OR(Q2316="CONTEXT",Q2316="REVIEW"),"",INDEX('Category Rules'!$D$5:$D$17,MATCH(P2316,'Category Rules'!$A$5:$A$17,0)))</f>
        <v>4010</v>
      </c>
      <c r="S2316" t="str">
        <f>IF(Q2316="CONTEXT","Fencing",IF(Q2316="REVIEW","",INDEX('Category Rules'!$E$5:$E$17,MATCH(P2316,'Category Rules'!$A$5:$A$17,0))))</f>
        <v>Fencing</v>
      </c>
      <c r="T2316" t="str">
        <f>IF(Q2316="DEP","BAS Excluded","GST on Income")</f>
        <v>GST on Income</v>
      </c>
      <c r="U2316">
        <f>IF(O2316=T2316,1,0)</f>
        <v>1</v>
      </c>
      <c r="V2316" s="9">
        <f>IF(OR(M2316=0,U2316=1),0,IF(T2316="GST on Income",ROUND(K2316*0.1,2),ROUND(-K2316*0.1,2)))</f>
        <v>0</v>
      </c>
    </row>
    <row r="2317">
      <c r="A2317" t="inlineStr">
        <is>
          <t>INV-5552-1</t>
        </is>
      </c>
      <c r="B2317" t="inlineStr">
        <is>
          <t>INV-5552</t>
        </is>
      </c>
      <c r="C2317" s="11" t="n">
        <v>46173</v>
      </c>
      <c r="D2317" t="inlineStr">
        <is>
          <t>2026-05</t>
        </is>
      </c>
      <c r="E2317" t="inlineStr">
        <is>
          <t>C0062</t>
        </is>
      </c>
      <c r="F2317" t="inlineStr">
        <is>
          <t>C0062</t>
        </is>
      </c>
      <c r="G2317" t="inlineStr">
        <is>
          <t>Wattle Insurance Repairs Pty Ltd</t>
        </is>
      </c>
      <c r="H2317" t="inlineStr">
        <is>
          <t>S0350</t>
        </is>
      </c>
      <c r="I2317" t="inlineStr">
        <is>
          <t>Make safe call-out</t>
        </is>
      </c>
      <c r="J2317" t="n">
        <v>1</v>
      </c>
      <c r="K2317" s="9" t="n">
        <v>385</v>
      </c>
      <c r="L2317" t="inlineStr">
        <is>
          <t>PAID</t>
        </is>
      </c>
      <c r="M2317">
        <f>IF(L2317="VOIDED",0,1)</f>
        <v>1</v>
      </c>
      <c r="N2317" t="n">
        <v>200</v>
      </c>
      <c r="O2317" t="inlineStr">
        <is>
          <t>GST on Income</t>
        </is>
      </c>
      <c r="P2317" t="inlineStr">
        <is>
          <t>R09</t>
        </is>
      </c>
      <c r="Q2317" t="inlineStr">
        <is>
          <t>MS</t>
        </is>
      </c>
      <c r="R2317">
        <f>IF(OR(Q2317="CONTEXT",Q2317="REVIEW"),"",INDEX('Category Rules'!$D$5:$D$17,MATCH(P2317,'Category Rules'!$A$5:$A$17,0)))</f>
        <v>4020</v>
      </c>
      <c r="S2317" t="str">
        <f>IF(Q2317="CONTEXT","Make-safe",IF(Q2317="REVIEW","",INDEX('Category Rules'!$E$5:$E$17,MATCH(P2317,'Category Rules'!$A$5:$A$17,0))))</f>
        <v>Make-safe</v>
      </c>
      <c r="T2317" t="str">
        <f>IF(Q2317="DEP","BAS Excluded","GST on Income")</f>
        <v>GST on Income</v>
      </c>
      <c r="U2317">
        <f>IF(O2317=T2317,1,0)</f>
        <v>1</v>
      </c>
      <c r="V2317" s="9">
        <f>IF(OR(M2317=0,U2317=1),0,IF(T2317="GST on Income",ROUND(K2317*0.1,2),ROUND(-K2317*0.1,2)))</f>
        <v>0</v>
      </c>
    </row>
    <row r="2318">
      <c r="A2318" t="inlineStr">
        <is>
          <t>INV-5552-2</t>
        </is>
      </c>
      <c r="B2318" t="inlineStr">
        <is>
          <t>INV-5552</t>
        </is>
      </c>
      <c r="C2318" s="11" t="n">
        <v>46173</v>
      </c>
      <c r="D2318" t="inlineStr">
        <is>
          <t>2026-05</t>
        </is>
      </c>
      <c r="E2318" t="inlineStr">
        <is>
          <t>C0062</t>
        </is>
      </c>
      <c r="F2318" t="inlineStr">
        <is>
          <t>C0062</t>
        </is>
      </c>
      <c r="G2318" t="inlineStr">
        <is>
          <t>Wattle Insurance Repairs Pty Ltd</t>
        </is>
      </c>
      <c r="H2318" t="inlineStr">
        <is>
          <t>S0350</t>
        </is>
      </c>
      <c r="I2318" t="inlineStr">
        <is>
          <t>Tarp supply and install - 3 tarp(s)</t>
        </is>
      </c>
      <c r="J2318" t="n">
        <v>3</v>
      </c>
      <c r="K2318" s="9" t="n">
        <v>720</v>
      </c>
      <c r="L2318" t="inlineStr">
        <is>
          <t>PAID</t>
        </is>
      </c>
      <c r="M2318">
        <f>IF(L2318="VOIDED",0,1)</f>
        <v>1</v>
      </c>
      <c r="N2318" t="n">
        <v>200</v>
      </c>
      <c r="O2318" t="inlineStr">
        <is>
          <t>GST on Income</t>
        </is>
      </c>
      <c r="P2318" t="inlineStr">
        <is>
          <t>R09</t>
        </is>
      </c>
      <c r="Q2318" t="inlineStr">
        <is>
          <t>MS</t>
        </is>
      </c>
      <c r="R2318">
        <f>IF(OR(Q2318="CONTEXT",Q2318="REVIEW"),"",INDEX('Category Rules'!$D$5:$D$17,MATCH(P2318,'Category Rules'!$A$5:$A$17,0)))</f>
        <v>4020</v>
      </c>
      <c r="S2318" t="str">
        <f>IF(Q2318="CONTEXT","Make-safe",IF(Q2318="REVIEW","",INDEX('Category Rules'!$E$5:$E$17,MATCH(P2318,'Category Rules'!$A$5:$A$17,0))))</f>
        <v>Make-safe</v>
      </c>
      <c r="T2318" t="str">
        <f>IF(Q2318="DEP","BAS Excluded","GST on Income")</f>
        <v>GST on Income</v>
      </c>
      <c r="U2318">
        <f>IF(O2318=T2318,1,0)</f>
        <v>1</v>
      </c>
      <c r="V2318" s="9">
        <f>IF(OR(M2318=0,U2318=1),0,IF(T2318="GST on Income",ROUND(K2318*0.1,2),ROUND(-K2318*0.1,2)))</f>
        <v>0</v>
      </c>
    </row>
    <row r="2319">
      <c r="A2319" t="inlineStr">
        <is>
          <t>INV-5575-1</t>
        </is>
      </c>
      <c r="B2319" t="inlineStr">
        <is>
          <t>INV-5575</t>
        </is>
      </c>
      <c r="C2319" s="11" t="n">
        <v>46173</v>
      </c>
      <c r="D2319" t="inlineStr">
        <is>
          <t>2026-05</t>
        </is>
      </c>
      <c r="E2319" t="inlineStr">
        <is>
          <t>C0118</t>
        </is>
      </c>
      <c r="F2319" t="inlineStr">
        <is>
          <t>C0118</t>
        </is>
      </c>
      <c r="G2319" t="inlineStr">
        <is>
          <t>Sofia Singh</t>
        </is>
      </c>
      <c r="H2319" t="inlineStr">
        <is>
          <t>S0366</t>
        </is>
      </c>
      <c r="I2319" t="inlineStr">
        <is>
          <t>Roof repair labour - 4 hrs</t>
        </is>
      </c>
      <c r="J2319" t="n">
        <v>4</v>
      </c>
      <c r="K2319" s="9" t="n">
        <v>392</v>
      </c>
      <c r="L2319" t="inlineStr">
        <is>
          <t>PAID</t>
        </is>
      </c>
      <c r="M2319">
        <f>IF(L2319="VOIDED",0,1)</f>
        <v>1</v>
      </c>
      <c r="N2319" t="n">
        <v>200</v>
      </c>
      <c r="O2319" t="inlineStr">
        <is>
          <t>GST on Income</t>
        </is>
      </c>
      <c r="P2319" t="inlineStr">
        <is>
          <t>R10</t>
        </is>
      </c>
      <c r="Q2319" t="inlineStr">
        <is>
          <t>LAB-RF</t>
        </is>
      </c>
      <c r="R2319">
        <f>IF(OR(Q2319="CONTEXT",Q2319="REVIEW"),"",INDEX('Category Rules'!$D$5:$D$17,MATCH(P2319,'Category Rules'!$A$5:$A$17,0)))</f>
        <v>4020</v>
      </c>
      <c r="S2319" t="str">
        <f>IF(Q2319="CONTEXT","Roofing",IF(Q2319="REVIEW","",INDEX('Category Rules'!$E$5:$E$17,MATCH(P2319,'Category Rules'!$A$5:$A$17,0))))</f>
        <v>Roofing</v>
      </c>
      <c r="T2319" t="str">
        <f>IF(Q2319="DEP","BAS Excluded","GST on Income")</f>
        <v>GST on Income</v>
      </c>
      <c r="U2319">
        <f>IF(O2319=T2319,1,0)</f>
        <v>1</v>
      </c>
      <c r="V2319" s="9">
        <f>IF(OR(M2319=0,U2319=1),0,IF(T2319="GST on Income",ROUND(K2319*0.1,2),ROUND(-K2319*0.1,2)))</f>
        <v>0</v>
      </c>
    </row>
    <row r="2320">
      <c r="A2320" t="inlineStr">
        <is>
          <t>INV-5575-2</t>
        </is>
      </c>
      <c r="B2320" t="inlineStr">
        <is>
          <t>INV-5575</t>
        </is>
      </c>
      <c r="C2320" s="11" t="n">
        <v>46173</v>
      </c>
      <c r="D2320" t="inlineStr">
        <is>
          <t>2026-05</t>
        </is>
      </c>
      <c r="E2320" t="inlineStr">
        <is>
          <t>C0118</t>
        </is>
      </c>
      <c r="F2320" t="inlineStr">
        <is>
          <t>C0118</t>
        </is>
      </c>
      <c r="G2320" t="inlineStr">
        <is>
          <t>Sofia Singh</t>
        </is>
      </c>
      <c r="H2320" t="inlineStr">
        <is>
          <t>S0366</t>
        </is>
      </c>
      <c r="I2320" t="inlineStr">
        <is>
          <t>Materials - ridge capping</t>
        </is>
      </c>
      <c r="J2320" t="n">
        <v>1</v>
      </c>
      <c r="K2320" s="9" t="n">
        <v>870.12</v>
      </c>
      <c r="L2320" t="inlineStr">
        <is>
          <t>PAID</t>
        </is>
      </c>
      <c r="M2320">
        <f>IF(L2320="VOIDED",0,1)</f>
        <v>1</v>
      </c>
      <c r="N2320" t="n">
        <v>200</v>
      </c>
      <c r="O2320" t="inlineStr">
        <is>
          <t>GST on Income</t>
        </is>
      </c>
      <c r="P2320" t="inlineStr">
        <is>
          <t>R11</t>
        </is>
      </c>
      <c r="Q2320" t="inlineStr">
        <is>
          <t>MAT-RF</t>
        </is>
      </c>
      <c r="R2320">
        <f>IF(OR(Q2320="CONTEXT",Q2320="REVIEW"),"",INDEX('Category Rules'!$D$5:$D$17,MATCH(P2320,'Category Rules'!$A$5:$A$17,0)))</f>
        <v>4030</v>
      </c>
      <c r="S2320" t="str">
        <f>IF(Q2320="CONTEXT","Roofing",IF(Q2320="REVIEW","",INDEX('Category Rules'!$E$5:$E$17,MATCH(P2320,'Category Rules'!$A$5:$A$17,0))))</f>
        <v>Roofing</v>
      </c>
      <c r="T2320" t="str">
        <f>IF(Q2320="DEP","BAS Excluded","GST on Income")</f>
        <v>GST on Income</v>
      </c>
      <c r="U2320">
        <f>IF(O2320=T2320,1,0)</f>
        <v>1</v>
      </c>
      <c r="V2320" s="9">
        <f>IF(OR(M2320=0,U2320=1),0,IF(T2320="GST on Income",ROUND(K2320*0.1,2),ROUND(-K2320*0.1,2)))</f>
        <v>0</v>
      </c>
    </row>
    <row r="2321">
      <c r="A2321" t="inlineStr">
        <is>
          <t>INV-5575-3</t>
        </is>
      </c>
      <c r="B2321" t="inlineStr">
        <is>
          <t>INV-5575</t>
        </is>
      </c>
      <c r="C2321" s="11" t="n">
        <v>46173</v>
      </c>
      <c r="D2321" t="inlineStr">
        <is>
          <t>2026-05</t>
        </is>
      </c>
      <c r="E2321" t="inlineStr">
        <is>
          <t>C0118</t>
        </is>
      </c>
      <c r="F2321" t="inlineStr">
        <is>
          <t>C0118</t>
        </is>
      </c>
      <c r="G2321" t="inlineStr">
        <is>
          <t>Sofia Singh</t>
        </is>
      </c>
      <c r="H2321" t="inlineStr">
        <is>
          <t>S0366</t>
        </is>
      </c>
      <c r="I2321" t="inlineStr">
        <is>
          <t>Materials - roof tiles (matched)</t>
        </is>
      </c>
      <c r="J2321" t="n">
        <v>1</v>
      </c>
      <c r="K2321" s="9" t="n">
        <v>687.0599999999999</v>
      </c>
      <c r="L2321" t="inlineStr">
        <is>
          <t>PAID</t>
        </is>
      </c>
      <c r="M2321">
        <f>IF(L2321="VOIDED",0,1)</f>
        <v>1</v>
      </c>
      <c r="N2321" t="n">
        <v>200</v>
      </c>
      <c r="O2321" t="inlineStr">
        <is>
          <t>GST on Income</t>
        </is>
      </c>
      <c r="P2321" t="inlineStr">
        <is>
          <t>R11</t>
        </is>
      </c>
      <c r="Q2321" t="inlineStr">
        <is>
          <t>MAT-RF</t>
        </is>
      </c>
      <c r="R2321">
        <f>IF(OR(Q2321="CONTEXT",Q2321="REVIEW"),"",INDEX('Category Rules'!$D$5:$D$17,MATCH(P2321,'Category Rules'!$A$5:$A$17,0)))</f>
        <v>4030</v>
      </c>
      <c r="S2321" t="str">
        <f>IF(Q2321="CONTEXT","Roofing",IF(Q2321="REVIEW","",INDEX('Category Rules'!$E$5:$E$17,MATCH(P2321,'Category Rules'!$A$5:$A$17,0))))</f>
        <v>Roofing</v>
      </c>
      <c r="T2321" t="str">
        <f>IF(Q2321="DEP","BAS Excluded","GST on Income")</f>
        <v>GST on Income</v>
      </c>
      <c r="U2321">
        <f>IF(O2321=T2321,1,0)</f>
        <v>1</v>
      </c>
      <c r="V2321" s="9">
        <f>IF(OR(M2321=0,U2321=1),0,IF(T2321="GST on Income",ROUND(K2321*0.1,2),ROUND(-K2321*0.1,2)))</f>
        <v>0</v>
      </c>
    </row>
    <row r="2322">
      <c r="A2322" t="inlineStr">
        <is>
          <t>INV-5575-4</t>
        </is>
      </c>
      <c r="B2322" t="inlineStr">
        <is>
          <t>INV-5575</t>
        </is>
      </c>
      <c r="C2322" s="11" t="n">
        <v>46173</v>
      </c>
      <c r="D2322" t="inlineStr">
        <is>
          <t>2026-05</t>
        </is>
      </c>
      <c r="E2322" t="inlineStr">
        <is>
          <t>C0118</t>
        </is>
      </c>
      <c r="F2322" t="inlineStr">
        <is>
          <t>C0118</t>
        </is>
      </c>
      <c r="G2322" t="inlineStr">
        <is>
          <t>Sofia Singh</t>
        </is>
      </c>
      <c r="H2322" t="inlineStr">
        <is>
          <t>S0366</t>
        </is>
      </c>
      <c r="I2322" t="inlineStr">
        <is>
          <t>Waste removal and tip fees</t>
        </is>
      </c>
      <c r="J2322" t="n">
        <v>1</v>
      </c>
      <c r="K2322" s="9" t="n">
        <v>120</v>
      </c>
      <c r="L2322" t="inlineStr">
        <is>
          <t>PAID</t>
        </is>
      </c>
      <c r="M2322">
        <f>IF(L2322="VOIDED",0,1)</f>
        <v>1</v>
      </c>
      <c r="N2322" t="n">
        <v>200</v>
      </c>
      <c r="O2322" t="inlineStr">
        <is>
          <t>GST on Income</t>
        </is>
      </c>
      <c r="P2322" t="inlineStr">
        <is>
          <t>R11</t>
        </is>
      </c>
      <c r="Q2322" t="inlineStr">
        <is>
          <t>MAT-RF</t>
        </is>
      </c>
      <c r="R2322">
        <f>IF(OR(Q2322="CONTEXT",Q2322="REVIEW"),"",INDEX('Category Rules'!$D$5:$D$17,MATCH(P2322,'Category Rules'!$A$5:$A$17,0)))</f>
        <v>4030</v>
      </c>
      <c r="S2322" t="str">
        <f>IF(Q2322="CONTEXT","Roofing",IF(Q2322="REVIEW","",INDEX('Category Rules'!$E$5:$E$17,MATCH(P2322,'Category Rules'!$A$5:$A$17,0))))</f>
        <v>Roofing</v>
      </c>
      <c r="T2322" t="str">
        <f>IF(Q2322="DEP","BAS Excluded","GST on Income")</f>
        <v>GST on Income</v>
      </c>
      <c r="U2322">
        <f>IF(O2322=T2322,1,0)</f>
        <v>1</v>
      </c>
      <c r="V2322" s="9">
        <f>IF(OR(M2322=0,U2322=1),0,IF(T2322="GST on Income",ROUND(K2322*0.1,2),ROUND(-K2322*0.1,2)))</f>
        <v>0</v>
      </c>
    </row>
    <row r="2323">
      <c r="A2323" t="inlineStr">
        <is>
          <t>INV-4507-1</t>
        </is>
      </c>
      <c r="B2323" t="inlineStr">
        <is>
          <t>INV-4507</t>
        </is>
      </c>
      <c r="C2323" s="11" t="n">
        <v>46174</v>
      </c>
      <c r="D2323" t="inlineStr">
        <is>
          <t>2026-06</t>
        </is>
      </c>
      <c r="E2323" t="inlineStr">
        <is>
          <t>C0004</t>
        </is>
      </c>
      <c r="F2323" t="inlineStr">
        <is>
          <t>C0004</t>
        </is>
      </c>
      <c r="G2323" t="inlineStr">
        <is>
          <t>Lakeside Builders Pty Ltd</t>
        </is>
      </c>
      <c r="H2323" t="inlineStr">
        <is>
          <t>S0084</t>
        </is>
      </c>
      <c r="I2323" t="inlineStr">
        <is>
          <t>Temporary fence hire 4 wks (06/05/26-31/05/26) - 18 panels</t>
        </is>
      </c>
      <c r="J2323" t="n">
        <v>72</v>
      </c>
      <c r="K2323" s="9" t="n">
        <v>324</v>
      </c>
      <c r="L2323" t="inlineStr">
        <is>
          <t>AUTHORISED</t>
        </is>
      </c>
      <c r="M2323">
        <f>IF(L2323="VOIDED",0,1)</f>
        <v>1</v>
      </c>
      <c r="N2323" t="n">
        <v>200</v>
      </c>
      <c r="O2323" t="inlineStr">
        <is>
          <t>GST on Income</t>
        </is>
      </c>
      <c r="P2323" t="inlineStr">
        <is>
          <t>R03</t>
        </is>
      </c>
      <c r="Q2323" t="inlineStr">
        <is>
          <t>HIRE-FP</t>
        </is>
      </c>
      <c r="R2323">
        <f>IF(OR(Q2323="CONTEXT",Q2323="REVIEW"),"",INDEX('Category Rules'!$D$5:$D$17,MATCH(P2323,'Category Rules'!$A$5:$A$17,0)))</f>
        <v>4010</v>
      </c>
      <c r="S2323" t="str">
        <f>IF(Q2323="CONTEXT","Fencing",IF(Q2323="REVIEW","",INDEX('Category Rules'!$E$5:$E$17,MATCH(P2323,'Category Rules'!$A$5:$A$17,0))))</f>
        <v>Fencing</v>
      </c>
      <c r="T2323" t="str">
        <f>IF(Q2323="DEP","BAS Excluded","GST on Income")</f>
        <v>GST on Income</v>
      </c>
      <c r="U2323">
        <f>IF(O2323=T2323,1,0)</f>
        <v>1</v>
      </c>
      <c r="V2323" s="9">
        <f>IF(OR(M2323=0,U2323=1),0,IF(T2323="GST on Income",ROUND(K2323*0.1,2),ROUND(-K2323*0.1,2)))</f>
        <v>0</v>
      </c>
    </row>
    <row r="2324">
      <c r="A2324" t="inlineStr">
        <is>
          <t>INV-4509-1</t>
        </is>
      </c>
      <c r="B2324" t="inlineStr">
        <is>
          <t>INV-4509</t>
        </is>
      </c>
      <c r="C2324" s="11" t="n">
        <v>46174</v>
      </c>
      <c r="D2324" t="inlineStr">
        <is>
          <t>2026-06</t>
        </is>
      </c>
      <c r="E2324" t="inlineStr">
        <is>
          <t>C0150</t>
        </is>
      </c>
      <c r="F2324" t="inlineStr">
        <is>
          <t>C0004</t>
        </is>
      </c>
      <c r="G2324" t="inlineStr">
        <is>
          <t>Lakeside Builders Pty Ltd</t>
        </is>
      </c>
      <c r="H2324" t="inlineStr">
        <is>
          <t>S0084</t>
        </is>
      </c>
      <c r="I2324" t="inlineStr">
        <is>
          <t>Collection and dismantle - temporary fencing</t>
        </is>
      </c>
      <c r="J2324" t="n">
        <v>1</v>
      </c>
      <c r="K2324" s="9" t="n">
        <v>165</v>
      </c>
      <c r="L2324" t="inlineStr">
        <is>
          <t>PAID</t>
        </is>
      </c>
      <c r="M2324">
        <f>IF(L2324="VOIDED",0,1)</f>
        <v>1</v>
      </c>
      <c r="N2324" t="n">
        <v>200</v>
      </c>
      <c r="O2324" t="inlineStr">
        <is>
          <t>GST on Income</t>
        </is>
      </c>
      <c r="P2324" t="inlineStr">
        <is>
          <t>R07</t>
        </is>
      </c>
      <c r="Q2324" t="inlineStr">
        <is>
          <t>DEL-FP</t>
        </is>
      </c>
      <c r="R2324">
        <f>IF(OR(Q2324="CONTEXT",Q2324="REVIEW"),"",INDEX('Category Rules'!$D$5:$D$17,MATCH(P2324,'Category Rules'!$A$5:$A$17,0)))</f>
        <v>4020</v>
      </c>
      <c r="S2324" t="str">
        <f>IF(Q2324="CONTEXT","Fencing",IF(Q2324="REVIEW","",INDEX('Category Rules'!$E$5:$E$17,MATCH(P2324,'Category Rules'!$A$5:$A$17,0))))</f>
        <v>Fencing</v>
      </c>
      <c r="T2324" t="str">
        <f>IF(Q2324="DEP","BAS Excluded","GST on Income")</f>
        <v>GST on Income</v>
      </c>
      <c r="U2324">
        <f>IF(O2324=T2324,1,0)</f>
        <v>1</v>
      </c>
      <c r="V2324" s="9">
        <f>IF(OR(M2324=0,U2324=1),0,IF(T2324="GST on Income",ROUND(K2324*0.1,2),ROUND(-K2324*0.1,2)))</f>
        <v>0</v>
      </c>
    </row>
    <row r="2325">
      <c r="A2325" t="inlineStr">
        <is>
          <t>INV-4390-1</t>
        </is>
      </c>
      <c r="B2325" t="inlineStr">
        <is>
          <t>INV-4390</t>
        </is>
      </c>
      <c r="C2325" s="11" t="n">
        <v>46175</v>
      </c>
      <c r="D2325" t="inlineStr">
        <is>
          <t>2026-06</t>
        </is>
      </c>
      <c r="E2325" t="inlineStr">
        <is>
          <t>C0121</t>
        </is>
      </c>
      <c r="F2325" t="inlineStr">
        <is>
          <t>C0121</t>
        </is>
      </c>
      <c r="G2325" t="inlineStr">
        <is>
          <t>Bluegum Constructions</t>
        </is>
      </c>
      <c r="H2325" t="inlineStr">
        <is>
          <t>S0060</t>
        </is>
      </c>
      <c r="I2325" t="inlineStr">
        <is>
          <t>Delivery and installation - temporary fencing</t>
        </is>
      </c>
      <c r="J2325" t="n">
        <v>1</v>
      </c>
      <c r="K2325" s="9" t="n">
        <v>165</v>
      </c>
      <c r="L2325" t="inlineStr">
        <is>
          <t>PAID</t>
        </is>
      </c>
      <c r="M2325">
        <f>IF(L2325="VOIDED",0,1)</f>
        <v>1</v>
      </c>
      <c r="N2325" t="n">
        <v>200</v>
      </c>
      <c r="O2325" t="inlineStr">
        <is>
          <t>GST on Income</t>
        </is>
      </c>
      <c r="P2325" t="inlineStr">
        <is>
          <t>R07</t>
        </is>
      </c>
      <c r="Q2325" t="inlineStr">
        <is>
          <t>DEL-FP</t>
        </is>
      </c>
      <c r="R2325">
        <f>IF(OR(Q2325="CONTEXT",Q2325="REVIEW"),"",INDEX('Category Rules'!$D$5:$D$17,MATCH(P2325,'Category Rules'!$A$5:$A$17,0)))</f>
        <v>4020</v>
      </c>
      <c r="S2325" t="str">
        <f>IF(Q2325="CONTEXT","Fencing",IF(Q2325="REVIEW","",INDEX('Category Rules'!$E$5:$E$17,MATCH(P2325,'Category Rules'!$A$5:$A$17,0))))</f>
        <v>Fencing</v>
      </c>
      <c r="T2325" t="str">
        <f>IF(Q2325="DEP","BAS Excluded","GST on Income")</f>
        <v>GST on Income</v>
      </c>
      <c r="U2325">
        <f>IF(O2325=T2325,1,0)</f>
        <v>1</v>
      </c>
      <c r="V2325" s="9">
        <f>IF(OR(M2325=0,U2325=1),0,IF(T2325="GST on Income",ROUND(K2325*0.1,2),ROUND(-K2325*0.1,2)))</f>
        <v>0</v>
      </c>
    </row>
    <row r="2326">
      <c r="A2326" t="inlineStr">
        <is>
          <t>INV-4390-2</t>
        </is>
      </c>
      <c r="B2326" t="inlineStr">
        <is>
          <t>INV-4390</t>
        </is>
      </c>
      <c r="C2326" s="11" t="n">
        <v>46175</v>
      </c>
      <c r="D2326" t="inlineStr">
        <is>
          <t>2026-06</t>
        </is>
      </c>
      <c r="E2326" t="inlineStr">
        <is>
          <t>C0121</t>
        </is>
      </c>
      <c r="F2326" t="inlineStr">
        <is>
          <t>C0121</t>
        </is>
      </c>
      <c r="G2326" t="inlineStr">
        <is>
          <t>Bluegum Constructions</t>
        </is>
      </c>
      <c r="H2326" t="inlineStr">
        <is>
          <t>S0060</t>
        </is>
      </c>
      <c r="I2326" t="inlineStr">
        <is>
          <t>Installation labour - 36 panels @ 2.20</t>
        </is>
      </c>
      <c r="J2326" t="n">
        <v>36</v>
      </c>
      <c r="K2326" s="9" t="n">
        <v>79.2</v>
      </c>
      <c r="L2326" t="inlineStr">
        <is>
          <t>PAID</t>
        </is>
      </c>
      <c r="M2326">
        <f>IF(L2326="VOIDED",0,1)</f>
        <v>1</v>
      </c>
      <c r="N2326" t="n">
        <v>200</v>
      </c>
      <c r="O2326" t="inlineStr">
        <is>
          <t>GST on Income</t>
        </is>
      </c>
      <c r="P2326" t="inlineStr">
        <is>
          <t>R07</t>
        </is>
      </c>
      <c r="Q2326" t="inlineStr">
        <is>
          <t>DEL-FP</t>
        </is>
      </c>
      <c r="R2326">
        <f>IF(OR(Q2326="CONTEXT",Q2326="REVIEW"),"",INDEX('Category Rules'!$D$5:$D$17,MATCH(P2326,'Category Rules'!$A$5:$A$17,0)))</f>
        <v>4020</v>
      </c>
      <c r="S2326" t="str">
        <f>IF(Q2326="CONTEXT","Fencing",IF(Q2326="REVIEW","",INDEX('Category Rules'!$E$5:$E$17,MATCH(P2326,'Category Rules'!$A$5:$A$17,0))))</f>
        <v>Fencing</v>
      </c>
      <c r="T2326" t="str">
        <f>IF(Q2326="DEP","BAS Excluded","GST on Income")</f>
        <v>GST on Income</v>
      </c>
      <c r="U2326">
        <f>IF(O2326=T2326,1,0)</f>
        <v>1</v>
      </c>
      <c r="V2326" s="9">
        <f>IF(OR(M2326=0,U2326=1),0,IF(T2326="GST on Income",ROUND(K2326*0.1,2),ROUND(-K2326*0.1,2)))</f>
        <v>0</v>
      </c>
    </row>
    <row r="2327">
      <c r="A2327" t="inlineStr">
        <is>
          <t>INV-4502-1</t>
        </is>
      </c>
      <c r="B2327" t="inlineStr">
        <is>
          <t>INV-4502</t>
        </is>
      </c>
      <c r="C2327" s="11" t="n">
        <v>46175</v>
      </c>
      <c r="D2327" t="inlineStr">
        <is>
          <t>2026-06</t>
        </is>
      </c>
      <c r="E2327" t="inlineStr">
        <is>
          <t>C0144</t>
        </is>
      </c>
      <c r="F2327" t="inlineStr">
        <is>
          <t>C0001</t>
        </is>
      </c>
      <c r="G2327" t="inlineStr">
        <is>
          <t>Parkview Projects Pty Ltd</t>
        </is>
      </c>
      <c r="H2327" t="inlineStr">
        <is>
          <t>S0083</t>
        </is>
      </c>
      <c r="I2327" t="inlineStr">
        <is>
          <t>Delivery and installation - temporary fencing</t>
        </is>
      </c>
      <c r="J2327" t="n">
        <v>1</v>
      </c>
      <c r="K2327" s="9" t="n">
        <v>165</v>
      </c>
      <c r="L2327" t="inlineStr">
        <is>
          <t>PAID</t>
        </is>
      </c>
      <c r="M2327">
        <f>IF(L2327="VOIDED",0,1)</f>
        <v>1</v>
      </c>
      <c r="N2327" t="n">
        <v>200</v>
      </c>
      <c r="O2327" t="inlineStr">
        <is>
          <t>GST on Income</t>
        </is>
      </c>
      <c r="P2327" t="inlineStr">
        <is>
          <t>R07</t>
        </is>
      </c>
      <c r="Q2327" t="inlineStr">
        <is>
          <t>DEL-FP</t>
        </is>
      </c>
      <c r="R2327">
        <f>IF(OR(Q2327="CONTEXT",Q2327="REVIEW"),"",INDEX('Category Rules'!$D$5:$D$17,MATCH(P2327,'Category Rules'!$A$5:$A$17,0)))</f>
        <v>4020</v>
      </c>
      <c r="S2327" t="str">
        <f>IF(Q2327="CONTEXT","Fencing",IF(Q2327="REVIEW","",INDEX('Category Rules'!$E$5:$E$17,MATCH(P2327,'Category Rules'!$A$5:$A$17,0))))</f>
        <v>Fencing</v>
      </c>
      <c r="T2327" t="str">
        <f>IF(Q2327="DEP","BAS Excluded","GST on Income")</f>
        <v>GST on Income</v>
      </c>
      <c r="U2327">
        <f>IF(O2327=T2327,1,0)</f>
        <v>1</v>
      </c>
      <c r="V2327" s="9">
        <f>IF(OR(M2327=0,U2327=1),0,IF(T2327="GST on Income",ROUND(K2327*0.1,2),ROUND(-K2327*0.1,2)))</f>
        <v>0</v>
      </c>
    </row>
    <row r="2328">
      <c r="A2328" t="inlineStr">
        <is>
          <t>INV-4502-2</t>
        </is>
      </c>
      <c r="B2328" t="inlineStr">
        <is>
          <t>INV-4502</t>
        </is>
      </c>
      <c r="C2328" s="11" t="n">
        <v>46175</v>
      </c>
      <c r="D2328" t="inlineStr">
        <is>
          <t>2026-06</t>
        </is>
      </c>
      <c r="E2328" t="inlineStr">
        <is>
          <t>C0144</t>
        </is>
      </c>
      <c r="F2328" t="inlineStr">
        <is>
          <t>C0001</t>
        </is>
      </c>
      <c r="G2328" t="inlineStr">
        <is>
          <t>Parkview Projects Pty Ltd</t>
        </is>
      </c>
      <c r="H2328" t="inlineStr">
        <is>
          <t>S0083</t>
        </is>
      </c>
      <c r="I2328" t="inlineStr">
        <is>
          <t>Installation labour - 111 panels @ 2.20</t>
        </is>
      </c>
      <c r="J2328" t="n">
        <v>111</v>
      </c>
      <c r="K2328" s="9" t="n">
        <v>244.2</v>
      </c>
      <c r="L2328" t="inlineStr">
        <is>
          <t>PAID</t>
        </is>
      </c>
      <c r="M2328">
        <f>IF(L2328="VOIDED",0,1)</f>
        <v>1</v>
      </c>
      <c r="N2328" t="n">
        <v>200</v>
      </c>
      <c r="O2328" t="inlineStr">
        <is>
          <t>GST on Income</t>
        </is>
      </c>
      <c r="P2328" t="inlineStr">
        <is>
          <t>R07</t>
        </is>
      </c>
      <c r="Q2328" t="inlineStr">
        <is>
          <t>DEL-FP</t>
        </is>
      </c>
      <c r="R2328">
        <f>IF(OR(Q2328="CONTEXT",Q2328="REVIEW"),"",INDEX('Category Rules'!$D$5:$D$17,MATCH(P2328,'Category Rules'!$A$5:$A$17,0)))</f>
        <v>4020</v>
      </c>
      <c r="S2328" t="str">
        <f>IF(Q2328="CONTEXT","Fencing",IF(Q2328="REVIEW","",INDEX('Category Rules'!$E$5:$E$17,MATCH(P2328,'Category Rules'!$A$5:$A$17,0))))</f>
        <v>Fencing</v>
      </c>
      <c r="T2328" t="str">
        <f>IF(Q2328="DEP","BAS Excluded","GST on Income")</f>
        <v>GST on Income</v>
      </c>
      <c r="U2328">
        <f>IF(O2328=T2328,1,0)</f>
        <v>1</v>
      </c>
      <c r="V2328" s="9">
        <f>IF(OR(M2328=0,U2328=1),0,IF(T2328="GST on Income",ROUND(K2328*0.1,2),ROUND(-K2328*0.1,2)))</f>
        <v>0</v>
      </c>
    </row>
    <row r="2329">
      <c r="A2329" t="inlineStr">
        <is>
          <t>INV-4930-1</t>
        </is>
      </c>
      <c r="B2329" t="inlineStr">
        <is>
          <t>INV-4930</t>
        </is>
      </c>
      <c r="C2329" s="11" t="n">
        <v>46175</v>
      </c>
      <c r="D2329" t="inlineStr">
        <is>
          <t>2026-06</t>
        </is>
      </c>
      <c r="E2329" t="inlineStr">
        <is>
          <t>C0151</t>
        </is>
      </c>
      <c r="F2329" t="inlineStr">
        <is>
          <t>C0040</t>
        </is>
      </c>
      <c r="G2329" t="inlineStr">
        <is>
          <t>Coastline Projects Pty Ltd</t>
        </is>
      </c>
      <c r="H2329" t="inlineStr">
        <is>
          <t>S0176</t>
        </is>
      </c>
      <c r="I2329" t="inlineStr">
        <is>
          <t>Delivery and installation - temporary fencing</t>
        </is>
      </c>
      <c r="J2329" t="n">
        <v>1</v>
      </c>
      <c r="K2329" s="9" t="n">
        <v>165</v>
      </c>
      <c r="L2329" t="inlineStr">
        <is>
          <t>AUTHORISED</t>
        </is>
      </c>
      <c r="M2329">
        <f>IF(L2329="VOIDED",0,1)</f>
        <v>1</v>
      </c>
      <c r="N2329" t="n">
        <v>200</v>
      </c>
      <c r="O2329" t="inlineStr">
        <is>
          <t>GST on Income</t>
        </is>
      </c>
      <c r="P2329" t="inlineStr">
        <is>
          <t>R07</t>
        </is>
      </c>
      <c r="Q2329" t="inlineStr">
        <is>
          <t>DEL-FP</t>
        </is>
      </c>
      <c r="R2329">
        <f>IF(OR(Q2329="CONTEXT",Q2329="REVIEW"),"",INDEX('Category Rules'!$D$5:$D$17,MATCH(P2329,'Category Rules'!$A$5:$A$17,0)))</f>
        <v>4020</v>
      </c>
      <c r="S2329" t="str">
        <f>IF(Q2329="CONTEXT","Fencing",IF(Q2329="REVIEW","",INDEX('Category Rules'!$E$5:$E$17,MATCH(P2329,'Category Rules'!$A$5:$A$17,0))))</f>
        <v>Fencing</v>
      </c>
      <c r="T2329" t="str">
        <f>IF(Q2329="DEP","BAS Excluded","GST on Income")</f>
        <v>GST on Income</v>
      </c>
      <c r="U2329">
        <f>IF(O2329=T2329,1,0)</f>
        <v>1</v>
      </c>
      <c r="V2329" s="9">
        <f>IF(OR(M2329=0,U2329=1),0,IF(T2329="GST on Income",ROUND(K2329*0.1,2),ROUND(-K2329*0.1,2)))</f>
        <v>0</v>
      </c>
    </row>
    <row r="2330">
      <c r="A2330" t="inlineStr">
        <is>
          <t>INV-4930-2</t>
        </is>
      </c>
      <c r="B2330" t="inlineStr">
        <is>
          <t>INV-4930</t>
        </is>
      </c>
      <c r="C2330" s="11" t="n">
        <v>46175</v>
      </c>
      <c r="D2330" t="inlineStr">
        <is>
          <t>2026-06</t>
        </is>
      </c>
      <c r="E2330" t="inlineStr">
        <is>
          <t>C0151</t>
        </is>
      </c>
      <c r="F2330" t="inlineStr">
        <is>
          <t>C0040</t>
        </is>
      </c>
      <c r="G2330" t="inlineStr">
        <is>
          <t>Coastline Projects Pty Ltd</t>
        </is>
      </c>
      <c r="H2330" t="inlineStr">
        <is>
          <t>S0176</t>
        </is>
      </c>
      <c r="I2330" t="inlineStr">
        <is>
          <t>Installation labour - 79 panels @ 2.20</t>
        </is>
      </c>
      <c r="J2330" t="n">
        <v>79</v>
      </c>
      <c r="K2330" s="9" t="n">
        <v>173.8</v>
      </c>
      <c r="L2330" t="inlineStr">
        <is>
          <t>AUTHORISED</t>
        </is>
      </c>
      <c r="M2330">
        <f>IF(L2330="VOIDED",0,1)</f>
        <v>1</v>
      </c>
      <c r="N2330" t="n">
        <v>200</v>
      </c>
      <c r="O2330" t="inlineStr">
        <is>
          <t>GST on Income</t>
        </is>
      </c>
      <c r="P2330" t="inlineStr">
        <is>
          <t>R07</t>
        </is>
      </c>
      <c r="Q2330" t="inlineStr">
        <is>
          <t>DEL-FP</t>
        </is>
      </c>
      <c r="R2330">
        <f>IF(OR(Q2330="CONTEXT",Q2330="REVIEW"),"",INDEX('Category Rules'!$D$5:$D$17,MATCH(P2330,'Category Rules'!$A$5:$A$17,0)))</f>
        <v>4020</v>
      </c>
      <c r="S2330" t="str">
        <f>IF(Q2330="CONTEXT","Fencing",IF(Q2330="REVIEW","",INDEX('Category Rules'!$E$5:$E$17,MATCH(P2330,'Category Rules'!$A$5:$A$17,0))))</f>
        <v>Fencing</v>
      </c>
      <c r="T2330" t="str">
        <f>IF(Q2330="DEP","BAS Excluded","GST on Income")</f>
        <v>GST on Income</v>
      </c>
      <c r="U2330">
        <f>IF(O2330=T2330,1,0)</f>
        <v>1</v>
      </c>
      <c r="V2330" s="9">
        <f>IF(OR(M2330=0,U2330=1),0,IF(T2330="GST on Income",ROUND(K2330*0.1,2),ROUND(-K2330*0.1,2)))</f>
        <v>0</v>
      </c>
    </row>
    <row r="2331">
      <c r="A2331" t="inlineStr">
        <is>
          <t>INV-4960-1</t>
        </is>
      </c>
      <c r="B2331" t="inlineStr">
        <is>
          <t>INV-4960</t>
        </is>
      </c>
      <c r="C2331" s="11" t="n">
        <v>46175</v>
      </c>
      <c r="D2331" t="inlineStr">
        <is>
          <t>2026-06</t>
        </is>
      </c>
      <c r="E2331" t="inlineStr">
        <is>
          <t>C0022</t>
        </is>
      </c>
      <c r="F2331" t="inlineStr">
        <is>
          <t>C0022</t>
        </is>
      </c>
      <c r="G2331" t="inlineStr">
        <is>
          <t>Highpoint Projects</t>
        </is>
      </c>
      <c r="H2331" t="inlineStr">
        <is>
          <t>S0182</t>
        </is>
      </c>
      <c r="I2331" t="inlineStr">
        <is>
          <t>Temporary fence hire 4 wks (05/05/26-01/06/26) - 111 panels</t>
        </is>
      </c>
      <c r="J2331" t="n">
        <v>444</v>
      </c>
      <c r="K2331" s="9" t="n">
        <v>1998</v>
      </c>
      <c r="L2331" t="inlineStr">
        <is>
          <t>AUTHORISED</t>
        </is>
      </c>
      <c r="M2331">
        <f>IF(L2331="VOIDED",0,1)</f>
        <v>1</v>
      </c>
      <c r="N2331" t="n">
        <v>200</v>
      </c>
      <c r="O2331" t="inlineStr">
        <is>
          <t>GST on Income</t>
        </is>
      </c>
      <c r="P2331" t="inlineStr">
        <is>
          <t>R03</t>
        </is>
      </c>
      <c r="Q2331" t="inlineStr">
        <is>
          <t>HIRE-FP</t>
        </is>
      </c>
      <c r="R2331">
        <f>IF(OR(Q2331="CONTEXT",Q2331="REVIEW"),"",INDEX('Category Rules'!$D$5:$D$17,MATCH(P2331,'Category Rules'!$A$5:$A$17,0)))</f>
        <v>4010</v>
      </c>
      <c r="S2331" t="str">
        <f>IF(Q2331="CONTEXT","Fencing",IF(Q2331="REVIEW","",INDEX('Category Rules'!$E$5:$E$17,MATCH(P2331,'Category Rules'!$A$5:$A$17,0))))</f>
        <v>Fencing</v>
      </c>
      <c r="T2331" t="str">
        <f>IF(Q2331="DEP","BAS Excluded","GST on Income")</f>
        <v>GST on Income</v>
      </c>
      <c r="U2331">
        <f>IF(O2331=T2331,1,0)</f>
        <v>1</v>
      </c>
      <c r="V2331" s="9">
        <f>IF(OR(M2331=0,U2331=1),0,IF(T2331="GST on Income",ROUND(K2331*0.1,2),ROUND(-K2331*0.1,2)))</f>
        <v>0</v>
      </c>
    </row>
    <row r="2332">
      <c r="A2332" t="inlineStr">
        <is>
          <t>INV-5075-1</t>
        </is>
      </c>
      <c r="B2332" t="inlineStr">
        <is>
          <t>INV-5075</t>
        </is>
      </c>
      <c r="C2332" s="11" t="n">
        <v>46175</v>
      </c>
      <c r="D2332" t="inlineStr">
        <is>
          <t>2026-06</t>
        </is>
      </c>
      <c r="E2332" t="inlineStr">
        <is>
          <t>C0031</t>
        </is>
      </c>
      <c r="F2332" t="inlineStr">
        <is>
          <t>C0031</t>
        </is>
      </c>
      <c r="G2332" t="inlineStr">
        <is>
          <t>Granite Developments Pty Ltd</t>
        </is>
      </c>
      <c r="H2332" t="inlineStr">
        <is>
          <t>S0209</t>
        </is>
      </c>
      <c r="I2332" t="inlineStr">
        <is>
          <t>Temporary fence hire 4 wks (05/05/26-01/06/26) - 100 panels</t>
        </is>
      </c>
      <c r="J2332" t="n">
        <v>400</v>
      </c>
      <c r="K2332" s="9" t="n">
        <v>1800</v>
      </c>
      <c r="L2332" t="inlineStr">
        <is>
          <t>PAID</t>
        </is>
      </c>
      <c r="M2332">
        <f>IF(L2332="VOIDED",0,1)</f>
        <v>1</v>
      </c>
      <c r="N2332" t="n">
        <v>200</v>
      </c>
      <c r="O2332" t="inlineStr">
        <is>
          <t>GST on Income</t>
        </is>
      </c>
      <c r="P2332" t="inlineStr">
        <is>
          <t>R03</t>
        </is>
      </c>
      <c r="Q2332" t="inlineStr">
        <is>
          <t>HIRE-FP</t>
        </is>
      </c>
      <c r="R2332">
        <f>IF(OR(Q2332="CONTEXT",Q2332="REVIEW"),"",INDEX('Category Rules'!$D$5:$D$17,MATCH(P2332,'Category Rules'!$A$5:$A$17,0)))</f>
        <v>4010</v>
      </c>
      <c r="S2332" t="str">
        <f>IF(Q2332="CONTEXT","Fencing",IF(Q2332="REVIEW","",INDEX('Category Rules'!$E$5:$E$17,MATCH(P2332,'Category Rules'!$A$5:$A$17,0))))</f>
        <v>Fencing</v>
      </c>
      <c r="T2332" t="str">
        <f>IF(Q2332="DEP","BAS Excluded","GST on Income")</f>
        <v>GST on Income</v>
      </c>
      <c r="U2332">
        <f>IF(O2332=T2332,1,0)</f>
        <v>1</v>
      </c>
      <c r="V2332" s="9">
        <f>IF(OR(M2332=0,U2332=1),0,IF(T2332="GST on Income",ROUND(K2332*0.1,2),ROUND(-K2332*0.1,2)))</f>
        <v>0</v>
      </c>
    </row>
    <row r="2333">
      <c r="A2333" t="inlineStr">
        <is>
          <t>INV-5077-1</t>
        </is>
      </c>
      <c r="B2333" t="inlineStr">
        <is>
          <t>INV-5077</t>
        </is>
      </c>
      <c r="C2333" s="11" t="n">
        <v>46175</v>
      </c>
      <c r="D2333" t="inlineStr">
        <is>
          <t>2026-06</t>
        </is>
      </c>
      <c r="E2333" t="inlineStr">
        <is>
          <t>C0031</t>
        </is>
      </c>
      <c r="F2333" t="inlineStr">
        <is>
          <t>C0031</t>
        </is>
      </c>
      <c r="G2333" t="inlineStr">
        <is>
          <t>Granite Developments Pty Ltd</t>
        </is>
      </c>
      <c r="H2333" t="inlineStr">
        <is>
          <t>S0209</t>
        </is>
      </c>
      <c r="I2333" t="inlineStr">
        <is>
          <t>Pedestrian barrier hire 4 wks (05/05/26-01/06/26) - 15 barriers</t>
        </is>
      </c>
      <c r="J2333" t="n">
        <v>60</v>
      </c>
      <c r="K2333" s="9" t="n">
        <v>192</v>
      </c>
      <c r="L2333" t="inlineStr">
        <is>
          <t>AUTHORISED</t>
        </is>
      </c>
      <c r="M2333">
        <f>IF(L2333="VOIDED",0,1)</f>
        <v>1</v>
      </c>
      <c r="N2333" t="n">
        <v>200</v>
      </c>
      <c r="O2333" t="inlineStr">
        <is>
          <t>GST on Income</t>
        </is>
      </c>
      <c r="P2333" t="inlineStr">
        <is>
          <t>R04</t>
        </is>
      </c>
      <c r="Q2333" t="inlineStr">
        <is>
          <t>HIRE-BR</t>
        </is>
      </c>
      <c r="R2333">
        <f>IF(OR(Q2333="CONTEXT",Q2333="REVIEW"),"",INDEX('Category Rules'!$D$5:$D$17,MATCH(P2333,'Category Rules'!$A$5:$A$17,0)))</f>
        <v>4010</v>
      </c>
      <c r="S2333" t="str">
        <f>IF(Q2333="CONTEXT","Fencing",IF(Q2333="REVIEW","",INDEX('Category Rules'!$E$5:$E$17,MATCH(P2333,'Category Rules'!$A$5:$A$17,0))))</f>
        <v>Fencing</v>
      </c>
      <c r="T2333" t="str">
        <f>IF(Q2333="DEP","BAS Excluded","GST on Income")</f>
        <v>GST on Income</v>
      </c>
      <c r="U2333">
        <f>IF(O2333=T2333,1,0)</f>
        <v>1</v>
      </c>
      <c r="V2333" s="9">
        <f>IF(OR(M2333=0,U2333=1),0,IF(T2333="GST on Income",ROUND(K2333*0.1,2),ROUND(-K2333*0.1,2)))</f>
        <v>0</v>
      </c>
    </row>
    <row r="2334">
      <c r="A2334" t="inlineStr">
        <is>
          <t>INV-5357-1</t>
        </is>
      </c>
      <c r="B2334" t="inlineStr">
        <is>
          <t>INV-5357</t>
        </is>
      </c>
      <c r="C2334" s="11" t="n">
        <v>46175</v>
      </c>
      <c r="D2334" t="inlineStr">
        <is>
          <t>2026-06</t>
        </is>
      </c>
      <c r="E2334" t="inlineStr">
        <is>
          <t>C0139</t>
        </is>
      </c>
      <c r="F2334" t="inlineStr">
        <is>
          <t>C0106</t>
        </is>
      </c>
      <c r="G2334" t="inlineStr">
        <is>
          <t>Ella Wilson</t>
        </is>
      </c>
      <c r="H2334" t="inlineStr">
        <is>
          <t>S0273</t>
        </is>
      </c>
      <c r="I2334" t="inlineStr">
        <is>
          <t>Scaffold tower hire 4 wks (05/05/26-01/06/26) - 2 towers</t>
        </is>
      </c>
      <c r="J2334" t="n">
        <v>8</v>
      </c>
      <c r="K2334" s="9" t="n">
        <v>760</v>
      </c>
      <c r="L2334" t="inlineStr">
        <is>
          <t>PAID</t>
        </is>
      </c>
      <c r="M2334">
        <f>IF(L2334="VOIDED",0,1)</f>
        <v>1</v>
      </c>
      <c r="N2334" t="n">
        <v>200</v>
      </c>
      <c r="O2334" t="inlineStr">
        <is>
          <t>GST on Income</t>
        </is>
      </c>
      <c r="P2334" t="inlineStr">
        <is>
          <t>R05</t>
        </is>
      </c>
      <c r="Q2334" t="inlineStr">
        <is>
          <t>HIRE-ST</t>
        </is>
      </c>
      <c r="R2334">
        <f>IF(OR(Q2334="CONTEXT",Q2334="REVIEW"),"",INDEX('Category Rules'!$D$5:$D$17,MATCH(P2334,'Category Rules'!$A$5:$A$17,0)))</f>
        <v>4010</v>
      </c>
      <c r="S2334" t="str">
        <f>IF(Q2334="CONTEXT","Scaffolding",IF(Q2334="REVIEW","",INDEX('Category Rules'!$E$5:$E$17,MATCH(P2334,'Category Rules'!$A$5:$A$17,0))))</f>
        <v>Scaffolding</v>
      </c>
      <c r="T2334" t="str">
        <f>IF(Q2334="DEP","BAS Excluded","GST on Income")</f>
        <v>GST on Income</v>
      </c>
      <c r="U2334">
        <f>IF(O2334=T2334,1,0)</f>
        <v>1</v>
      </c>
      <c r="V2334" s="9">
        <f>IF(OR(M2334=0,U2334=1),0,IF(T2334="GST on Income",ROUND(K2334*0.1,2),ROUND(-K2334*0.1,2)))</f>
        <v>0</v>
      </c>
    </row>
    <row r="2335">
      <c r="A2335" t="inlineStr">
        <is>
          <t>INV-5488-1</t>
        </is>
      </c>
      <c r="B2335" t="inlineStr">
        <is>
          <t>INV-5488</t>
        </is>
      </c>
      <c r="C2335" s="11" t="n">
        <v>46175</v>
      </c>
      <c r="D2335" t="inlineStr">
        <is>
          <t>2026-06</t>
        </is>
      </c>
      <c r="E2335" t="inlineStr">
        <is>
          <t>C0018</t>
        </is>
      </c>
      <c r="F2335" t="inlineStr">
        <is>
          <t>C0018</t>
        </is>
      </c>
      <c r="G2335" t="inlineStr">
        <is>
          <t>Wattle Constructions Pty Ltd</t>
        </is>
      </c>
      <c r="H2335" t="inlineStr">
        <is>
          <t>S0320</t>
        </is>
      </c>
      <c r="I2335" t="inlineStr">
        <is>
          <t>Make safe call-out</t>
        </is>
      </c>
      <c r="J2335" t="n">
        <v>1</v>
      </c>
      <c r="K2335" s="9" t="n">
        <v>385</v>
      </c>
      <c r="L2335" t="inlineStr">
        <is>
          <t>AUTHORISED</t>
        </is>
      </c>
      <c r="M2335">
        <f>IF(L2335="VOIDED",0,1)</f>
        <v>1</v>
      </c>
      <c r="N2335" t="n">
        <v>200</v>
      </c>
      <c r="O2335" t="inlineStr">
        <is>
          <t>GST on Income</t>
        </is>
      </c>
      <c r="P2335" t="inlineStr">
        <is>
          <t>R09</t>
        </is>
      </c>
      <c r="Q2335" t="inlineStr">
        <is>
          <t>MS</t>
        </is>
      </c>
      <c r="R2335">
        <f>IF(OR(Q2335="CONTEXT",Q2335="REVIEW"),"",INDEX('Category Rules'!$D$5:$D$17,MATCH(P2335,'Category Rules'!$A$5:$A$17,0)))</f>
        <v>4020</v>
      </c>
      <c r="S2335" t="str">
        <f>IF(Q2335="CONTEXT","Make-safe",IF(Q2335="REVIEW","",INDEX('Category Rules'!$E$5:$E$17,MATCH(P2335,'Category Rules'!$A$5:$A$17,0))))</f>
        <v>Make-safe</v>
      </c>
      <c r="T2335" t="str">
        <f>IF(Q2335="DEP","BAS Excluded","GST on Income")</f>
        <v>GST on Income</v>
      </c>
      <c r="U2335">
        <f>IF(O2335=T2335,1,0)</f>
        <v>1</v>
      </c>
      <c r="V2335" s="9">
        <f>IF(OR(M2335=0,U2335=1),0,IF(T2335="GST on Income",ROUND(K2335*0.1,2),ROUND(-K2335*0.1,2)))</f>
        <v>0</v>
      </c>
    </row>
    <row r="2336">
      <c r="A2336" t="inlineStr">
        <is>
          <t>INV-5488-2</t>
        </is>
      </c>
      <c r="B2336" t="inlineStr">
        <is>
          <t>INV-5488</t>
        </is>
      </c>
      <c r="C2336" s="11" t="n">
        <v>46175</v>
      </c>
      <c r="D2336" t="inlineStr">
        <is>
          <t>2026-06</t>
        </is>
      </c>
      <c r="E2336" t="inlineStr">
        <is>
          <t>C0018</t>
        </is>
      </c>
      <c r="F2336" t="inlineStr">
        <is>
          <t>C0018</t>
        </is>
      </c>
      <c r="G2336" t="inlineStr">
        <is>
          <t>Wattle Constructions Pty Ltd</t>
        </is>
      </c>
      <c r="H2336" t="inlineStr">
        <is>
          <t>S0320</t>
        </is>
      </c>
      <c r="I2336" t="inlineStr">
        <is>
          <t>Tarp supply and install - 1 tarp(s)</t>
        </is>
      </c>
      <c r="J2336" t="n">
        <v>1</v>
      </c>
      <c r="K2336" s="9" t="n">
        <v>240</v>
      </c>
      <c r="L2336" t="inlineStr">
        <is>
          <t>AUTHORISED</t>
        </is>
      </c>
      <c r="M2336">
        <f>IF(L2336="VOIDED",0,1)</f>
        <v>1</v>
      </c>
      <c r="N2336" t="n">
        <v>200</v>
      </c>
      <c r="O2336" t="inlineStr">
        <is>
          <t>GST on Income</t>
        </is>
      </c>
      <c r="P2336" t="inlineStr">
        <is>
          <t>R09</t>
        </is>
      </c>
      <c r="Q2336" t="inlineStr">
        <is>
          <t>MS</t>
        </is>
      </c>
      <c r="R2336">
        <f>IF(OR(Q2336="CONTEXT",Q2336="REVIEW"),"",INDEX('Category Rules'!$D$5:$D$17,MATCH(P2336,'Category Rules'!$A$5:$A$17,0)))</f>
        <v>4020</v>
      </c>
      <c r="S2336" t="str">
        <f>IF(Q2336="CONTEXT","Make-safe",IF(Q2336="REVIEW","",INDEX('Category Rules'!$E$5:$E$17,MATCH(P2336,'Category Rules'!$A$5:$A$17,0))))</f>
        <v>Make-safe</v>
      </c>
      <c r="T2336" t="str">
        <f>IF(Q2336="DEP","BAS Excluded","GST on Income")</f>
        <v>GST on Income</v>
      </c>
      <c r="U2336">
        <f>IF(O2336=T2336,1,0)</f>
        <v>1</v>
      </c>
      <c r="V2336" s="9">
        <f>IF(OR(M2336=0,U2336=1),0,IF(T2336="GST on Income",ROUND(K2336*0.1,2),ROUND(-K2336*0.1,2)))</f>
        <v>0</v>
      </c>
    </row>
    <row r="2337">
      <c r="A2337" t="inlineStr">
        <is>
          <t>INV-5667-1</t>
        </is>
      </c>
      <c r="B2337" t="inlineStr">
        <is>
          <t>INV-5667</t>
        </is>
      </c>
      <c r="C2337" s="11" t="n">
        <v>46175</v>
      </c>
      <c r="D2337" t="inlineStr">
        <is>
          <t>2026-06</t>
        </is>
      </c>
      <c r="E2337" t="inlineStr">
        <is>
          <t>C0063</t>
        </is>
      </c>
      <c r="F2337" t="inlineStr">
        <is>
          <t>C0063</t>
        </is>
      </c>
      <c r="G2337" t="inlineStr">
        <is>
          <t>Highpoint Insurance Repairs Pty Ltd</t>
        </is>
      </c>
      <c r="H2337" t="inlineStr">
        <is>
          <t>S0416</t>
        </is>
      </c>
      <c r="I2337" t="inlineStr">
        <is>
          <t>Emergency make safe call-out - after hours</t>
        </is>
      </c>
      <c r="J2337" t="n">
        <v>1</v>
      </c>
      <c r="K2337" s="9" t="n">
        <v>560</v>
      </c>
      <c r="L2337" t="inlineStr">
        <is>
          <t>PAID</t>
        </is>
      </c>
      <c r="M2337">
        <f>IF(L2337="VOIDED",0,1)</f>
        <v>1</v>
      </c>
      <c r="N2337" t="n">
        <v>200</v>
      </c>
      <c r="O2337" t="inlineStr">
        <is>
          <t>GST on Income</t>
        </is>
      </c>
      <c r="P2337" t="inlineStr">
        <is>
          <t>R09</t>
        </is>
      </c>
      <c r="Q2337" t="inlineStr">
        <is>
          <t>MS</t>
        </is>
      </c>
      <c r="R2337">
        <f>IF(OR(Q2337="CONTEXT",Q2337="REVIEW"),"",INDEX('Category Rules'!$D$5:$D$17,MATCH(P2337,'Category Rules'!$A$5:$A$17,0)))</f>
        <v>4020</v>
      </c>
      <c r="S2337" t="str">
        <f>IF(Q2337="CONTEXT","Make-safe",IF(Q2337="REVIEW","",INDEX('Category Rules'!$E$5:$E$17,MATCH(P2337,'Category Rules'!$A$5:$A$17,0))))</f>
        <v>Make-safe</v>
      </c>
      <c r="T2337" t="str">
        <f>IF(Q2337="DEP","BAS Excluded","GST on Income")</f>
        <v>GST on Income</v>
      </c>
      <c r="U2337">
        <f>IF(O2337=T2337,1,0)</f>
        <v>1</v>
      </c>
      <c r="V2337" s="9">
        <f>IF(OR(M2337=0,U2337=1),0,IF(T2337="GST on Income",ROUND(K2337*0.1,2),ROUND(-K2337*0.1,2)))</f>
        <v>0</v>
      </c>
    </row>
    <row r="2338">
      <c r="A2338" t="inlineStr">
        <is>
          <t>INV-5718-1</t>
        </is>
      </c>
      <c r="B2338" t="inlineStr">
        <is>
          <t>INV-5718</t>
        </is>
      </c>
      <c r="C2338" s="11" t="n">
        <v>46175</v>
      </c>
      <c r="D2338" t="inlineStr">
        <is>
          <t>2026-06</t>
        </is>
      </c>
      <c r="E2338" t="inlineStr">
        <is>
          <t>C0131</t>
        </is>
      </c>
      <c r="F2338" t="inlineStr">
        <is>
          <t>C0050</t>
        </is>
      </c>
      <c r="G2338" t="inlineStr">
        <is>
          <t>Southbank Body Corporate Pty Ltd</t>
        </is>
      </c>
      <c r="H2338" t="inlineStr">
        <is>
          <t>S0444</t>
        </is>
      </c>
      <c r="I2338" t="inlineStr">
        <is>
          <t>Make safe call-out</t>
        </is>
      </c>
      <c r="J2338" t="n">
        <v>1</v>
      </c>
      <c r="K2338" s="9" t="n">
        <v>385</v>
      </c>
      <c r="L2338" t="inlineStr">
        <is>
          <t>PAID</t>
        </is>
      </c>
      <c r="M2338">
        <f>IF(L2338="VOIDED",0,1)</f>
        <v>1</v>
      </c>
      <c r="N2338" t="n">
        <v>200</v>
      </c>
      <c r="O2338" t="inlineStr">
        <is>
          <t>GST on Income</t>
        </is>
      </c>
      <c r="P2338" t="inlineStr">
        <is>
          <t>R09</t>
        </is>
      </c>
      <c r="Q2338" t="inlineStr">
        <is>
          <t>MS</t>
        </is>
      </c>
      <c r="R2338">
        <f>IF(OR(Q2338="CONTEXT",Q2338="REVIEW"),"",INDEX('Category Rules'!$D$5:$D$17,MATCH(P2338,'Category Rules'!$A$5:$A$17,0)))</f>
        <v>4020</v>
      </c>
      <c r="S2338" t="str">
        <f>IF(Q2338="CONTEXT","Make-safe",IF(Q2338="REVIEW","",INDEX('Category Rules'!$E$5:$E$17,MATCH(P2338,'Category Rules'!$A$5:$A$17,0))))</f>
        <v>Make-safe</v>
      </c>
      <c r="T2338" t="str">
        <f>IF(Q2338="DEP","BAS Excluded","GST on Income")</f>
        <v>GST on Income</v>
      </c>
      <c r="U2338">
        <f>IF(O2338=T2338,1,0)</f>
        <v>1</v>
      </c>
      <c r="V2338" s="9">
        <f>IF(OR(M2338=0,U2338=1),0,IF(T2338="GST on Income",ROUND(K2338*0.1,2),ROUND(-K2338*0.1,2)))</f>
        <v>0</v>
      </c>
    </row>
    <row r="2339">
      <c r="A2339" t="inlineStr">
        <is>
          <t>INV-4208-1</t>
        </is>
      </c>
      <c r="B2339" t="inlineStr">
        <is>
          <t>INV-4208</t>
        </is>
      </c>
      <c r="C2339" s="11" t="n">
        <v>46176</v>
      </c>
      <c r="D2339" t="inlineStr">
        <is>
          <t>2026-06</t>
        </is>
      </c>
      <c r="E2339" t="inlineStr">
        <is>
          <t>C0033</t>
        </is>
      </c>
      <c r="F2339" t="inlineStr">
        <is>
          <t>C0033</t>
        </is>
      </c>
      <c r="G2339" t="inlineStr">
        <is>
          <t>Granite Projects Pty Ltd</t>
        </is>
      </c>
      <c r="H2339" t="inlineStr">
        <is>
          <t>S0020</t>
        </is>
      </c>
      <c r="I2339" t="inlineStr">
        <is>
          <t>Temporary fence hire 4 wks (06/05/26-02/06/26) - 45 panels</t>
        </is>
      </c>
      <c r="J2339" t="n">
        <v>180</v>
      </c>
      <c r="K2339" s="9" t="n">
        <v>810</v>
      </c>
      <c r="L2339" t="inlineStr">
        <is>
          <t>AUTHORISED</t>
        </is>
      </c>
      <c r="M2339">
        <f>IF(L2339="VOIDED",0,1)</f>
        <v>1</v>
      </c>
      <c r="N2339" t="n">
        <v>200</v>
      </c>
      <c r="O2339" t="inlineStr">
        <is>
          <t>GST on Income</t>
        </is>
      </c>
      <c r="P2339" t="inlineStr">
        <is>
          <t>R03</t>
        </is>
      </c>
      <c r="Q2339" t="inlineStr">
        <is>
          <t>HIRE-FP</t>
        </is>
      </c>
      <c r="R2339">
        <f>IF(OR(Q2339="CONTEXT",Q2339="REVIEW"),"",INDEX('Category Rules'!$D$5:$D$17,MATCH(P2339,'Category Rules'!$A$5:$A$17,0)))</f>
        <v>4010</v>
      </c>
      <c r="S2339" t="str">
        <f>IF(Q2339="CONTEXT","Fencing",IF(Q2339="REVIEW","",INDEX('Category Rules'!$E$5:$E$17,MATCH(P2339,'Category Rules'!$A$5:$A$17,0))))</f>
        <v>Fencing</v>
      </c>
      <c r="T2339" t="str">
        <f>IF(Q2339="DEP","BAS Excluded","GST on Income")</f>
        <v>GST on Income</v>
      </c>
      <c r="U2339">
        <f>IF(O2339=T2339,1,0)</f>
        <v>1</v>
      </c>
      <c r="V2339" s="9">
        <f>IF(OR(M2339=0,U2339=1),0,IF(T2339="GST on Income",ROUND(K2339*0.1,2),ROUND(-K2339*0.1,2)))</f>
        <v>0</v>
      </c>
    </row>
    <row r="2340">
      <c r="A2340" t="inlineStr">
        <is>
          <t>INV-4209-1</t>
        </is>
      </c>
      <c r="B2340" t="inlineStr">
        <is>
          <t>INV-4209</t>
        </is>
      </c>
      <c r="C2340" s="11" t="n">
        <v>46176</v>
      </c>
      <c r="D2340" t="inlineStr">
        <is>
          <t>2026-06</t>
        </is>
      </c>
      <c r="E2340" t="inlineStr">
        <is>
          <t>C0033</t>
        </is>
      </c>
      <c r="F2340" t="inlineStr">
        <is>
          <t>C0033</t>
        </is>
      </c>
      <c r="G2340" t="inlineStr">
        <is>
          <t>Granite Projects Pty Ltd</t>
        </is>
      </c>
      <c r="H2340" t="inlineStr">
        <is>
          <t>S0020</t>
        </is>
      </c>
      <c r="I2340" t="inlineStr">
        <is>
          <t>Pedestrian barrier hire 4 wks (06/05/26-02/06/26) - 11 barriers</t>
        </is>
      </c>
      <c r="J2340" t="n">
        <v>44</v>
      </c>
      <c r="K2340" s="9" t="n">
        <v>140.8</v>
      </c>
      <c r="L2340" t="inlineStr">
        <is>
          <t>AUTHORISED</t>
        </is>
      </c>
      <c r="M2340">
        <f>IF(L2340="VOIDED",0,1)</f>
        <v>1</v>
      </c>
      <c r="N2340" t="n">
        <v>200</v>
      </c>
      <c r="O2340" t="inlineStr">
        <is>
          <t>GST on Income</t>
        </is>
      </c>
      <c r="P2340" t="inlineStr">
        <is>
          <t>R04</t>
        </is>
      </c>
      <c r="Q2340" t="inlineStr">
        <is>
          <t>HIRE-BR</t>
        </is>
      </c>
      <c r="R2340">
        <f>IF(OR(Q2340="CONTEXT",Q2340="REVIEW"),"",INDEX('Category Rules'!$D$5:$D$17,MATCH(P2340,'Category Rules'!$A$5:$A$17,0)))</f>
        <v>4010</v>
      </c>
      <c r="S2340" t="str">
        <f>IF(Q2340="CONTEXT","Fencing",IF(Q2340="REVIEW","",INDEX('Category Rules'!$E$5:$E$17,MATCH(P2340,'Category Rules'!$A$5:$A$17,0))))</f>
        <v>Fencing</v>
      </c>
      <c r="T2340" t="str">
        <f>IF(Q2340="DEP","BAS Excluded","GST on Income")</f>
        <v>GST on Income</v>
      </c>
      <c r="U2340">
        <f>IF(O2340=T2340,1,0)</f>
        <v>1</v>
      </c>
      <c r="V2340" s="9">
        <f>IF(OR(M2340=0,U2340=1),0,IF(T2340="GST on Income",ROUND(K2340*0.1,2),ROUND(-K2340*0.1,2)))</f>
        <v>0</v>
      </c>
    </row>
    <row r="2341">
      <c r="A2341" t="inlineStr">
        <is>
          <t>INV-4890-1</t>
        </is>
      </c>
      <c r="B2341" t="inlineStr">
        <is>
          <t>INV-4890</t>
        </is>
      </c>
      <c r="C2341" s="11" t="n">
        <v>46176</v>
      </c>
      <c r="D2341" t="inlineStr">
        <is>
          <t>2026-06</t>
        </is>
      </c>
      <c r="E2341" t="inlineStr">
        <is>
          <t>C0019</t>
        </is>
      </c>
      <c r="F2341" t="inlineStr">
        <is>
          <t>C0019</t>
        </is>
      </c>
      <c r="G2341" t="inlineStr">
        <is>
          <t>Metro Developments</t>
        </is>
      </c>
      <c r="H2341" t="inlineStr">
        <is>
          <t>S0166</t>
        </is>
      </c>
      <c r="I2341" t="inlineStr">
        <is>
          <t>Temporary fence hire 4 wks (06/05/26-02/06/26) - 79 panels</t>
        </is>
      </c>
      <c r="J2341" t="n">
        <v>316</v>
      </c>
      <c r="K2341" s="9" t="n">
        <v>1422</v>
      </c>
      <c r="L2341" t="inlineStr">
        <is>
          <t>AUTHORISED</t>
        </is>
      </c>
      <c r="M2341">
        <f>IF(L2341="VOIDED",0,1)</f>
        <v>1</v>
      </c>
      <c r="N2341" t="n">
        <v>200</v>
      </c>
      <c r="O2341" t="inlineStr">
        <is>
          <t>GST on Income</t>
        </is>
      </c>
      <c r="P2341" t="inlineStr">
        <is>
          <t>R03</t>
        </is>
      </c>
      <c r="Q2341" t="inlineStr">
        <is>
          <t>HIRE-FP</t>
        </is>
      </c>
      <c r="R2341">
        <f>IF(OR(Q2341="CONTEXT",Q2341="REVIEW"),"",INDEX('Category Rules'!$D$5:$D$17,MATCH(P2341,'Category Rules'!$A$5:$A$17,0)))</f>
        <v>4010</v>
      </c>
      <c r="S2341" t="str">
        <f>IF(Q2341="CONTEXT","Fencing",IF(Q2341="REVIEW","",INDEX('Category Rules'!$E$5:$E$17,MATCH(P2341,'Category Rules'!$A$5:$A$17,0))))</f>
        <v>Fencing</v>
      </c>
      <c r="T2341" t="str">
        <f>IF(Q2341="DEP","BAS Excluded","GST on Income")</f>
        <v>GST on Income</v>
      </c>
      <c r="U2341">
        <f>IF(O2341=T2341,1,0)</f>
        <v>1</v>
      </c>
      <c r="V2341" s="9">
        <f>IF(OR(M2341=0,U2341=1),0,IF(T2341="GST on Income",ROUND(K2341*0.1,2),ROUND(-K2341*0.1,2)))</f>
        <v>0</v>
      </c>
    </row>
    <row r="2342">
      <c r="A2342" t="inlineStr">
        <is>
          <t>INV-5428-1</t>
        </is>
      </c>
      <c r="B2342" t="inlineStr">
        <is>
          <t>INV-5428</t>
        </is>
      </c>
      <c r="C2342" s="11" t="n">
        <v>46176</v>
      </c>
      <c r="D2342" t="inlineStr">
        <is>
          <t>2026-06</t>
        </is>
      </c>
      <c r="E2342" t="inlineStr">
        <is>
          <t>C0114</t>
        </is>
      </c>
      <c r="F2342" t="inlineStr">
        <is>
          <t>C0114</t>
        </is>
      </c>
      <c r="G2342" t="inlineStr">
        <is>
          <t>Ella Brown</t>
        </is>
      </c>
      <c r="H2342" t="inlineStr">
        <is>
          <t>S0291</t>
        </is>
      </c>
      <c r="I2342" t="inlineStr">
        <is>
          <t>Scaffold tower hire 2 wks (26/05/26-02/06/26) - 2 towers</t>
        </is>
      </c>
      <c r="J2342" t="n">
        <v>4</v>
      </c>
      <c r="K2342" s="9" t="n">
        <v>380</v>
      </c>
      <c r="L2342" t="inlineStr">
        <is>
          <t>PAID</t>
        </is>
      </c>
      <c r="M2342">
        <f>IF(L2342="VOIDED",0,1)</f>
        <v>1</v>
      </c>
      <c r="N2342" t="n">
        <v>200</v>
      </c>
      <c r="O2342" t="inlineStr">
        <is>
          <t>GST on Income</t>
        </is>
      </c>
      <c r="P2342" t="inlineStr">
        <is>
          <t>R05</t>
        </is>
      </c>
      <c r="Q2342" t="inlineStr">
        <is>
          <t>HIRE-ST</t>
        </is>
      </c>
      <c r="R2342">
        <f>IF(OR(Q2342="CONTEXT",Q2342="REVIEW"),"",INDEX('Category Rules'!$D$5:$D$17,MATCH(P2342,'Category Rules'!$A$5:$A$17,0)))</f>
        <v>4010</v>
      </c>
      <c r="S2342" t="str">
        <f>IF(Q2342="CONTEXT","Scaffolding",IF(Q2342="REVIEW","",INDEX('Category Rules'!$E$5:$E$17,MATCH(P2342,'Category Rules'!$A$5:$A$17,0))))</f>
        <v>Scaffolding</v>
      </c>
      <c r="T2342" t="str">
        <f>IF(Q2342="DEP","BAS Excluded","GST on Income")</f>
        <v>GST on Income</v>
      </c>
      <c r="U2342">
        <f>IF(O2342=T2342,1,0)</f>
        <v>1</v>
      </c>
      <c r="V2342" s="9">
        <f>IF(OR(M2342=0,U2342=1),0,IF(T2342="GST on Income",ROUND(K2342*0.1,2),ROUND(-K2342*0.1,2)))</f>
        <v>0</v>
      </c>
    </row>
    <row r="2343">
      <c r="A2343" t="inlineStr">
        <is>
          <t>INV-5430-1</t>
        </is>
      </c>
      <c r="B2343" t="inlineStr">
        <is>
          <t>INV-5430</t>
        </is>
      </c>
      <c r="C2343" s="11" t="n">
        <v>46176</v>
      </c>
      <c r="D2343" t="inlineStr">
        <is>
          <t>2026-06</t>
        </is>
      </c>
      <c r="E2343" t="inlineStr">
        <is>
          <t>C0114</t>
        </is>
      </c>
      <c r="F2343" t="inlineStr">
        <is>
          <t>C0114</t>
        </is>
      </c>
      <c r="G2343" t="inlineStr">
        <is>
          <t>Ella Brown</t>
        </is>
      </c>
      <c r="H2343" t="inlineStr">
        <is>
          <t>S0291</t>
        </is>
      </c>
      <c r="I2343" t="inlineStr">
        <is>
          <t>Scaffold dismantle - 2 tower(s)</t>
        </is>
      </c>
      <c r="J2343" t="n">
        <v>2</v>
      </c>
      <c r="K2343" s="9" t="n">
        <v>640</v>
      </c>
      <c r="L2343" t="inlineStr">
        <is>
          <t>PAID</t>
        </is>
      </c>
      <c r="M2343">
        <f>IF(L2343="VOIDED",0,1)</f>
        <v>1</v>
      </c>
      <c r="N2343" t="n">
        <v>200</v>
      </c>
      <c r="O2343" t="inlineStr">
        <is>
          <t>GST on Income</t>
        </is>
      </c>
      <c r="P2343" t="inlineStr">
        <is>
          <t>R08</t>
        </is>
      </c>
      <c r="Q2343" t="inlineStr">
        <is>
          <t>LAB-ST</t>
        </is>
      </c>
      <c r="R2343">
        <f>IF(OR(Q2343="CONTEXT",Q2343="REVIEW"),"",INDEX('Category Rules'!$D$5:$D$17,MATCH(P2343,'Category Rules'!$A$5:$A$17,0)))</f>
        <v>4020</v>
      </c>
      <c r="S2343" t="str">
        <f>IF(Q2343="CONTEXT","Scaffolding",IF(Q2343="REVIEW","",INDEX('Category Rules'!$E$5:$E$17,MATCH(P2343,'Category Rules'!$A$5:$A$17,0))))</f>
        <v>Scaffolding</v>
      </c>
      <c r="T2343" t="str">
        <f>IF(Q2343="DEP","BAS Excluded","GST on Income")</f>
        <v>GST on Income</v>
      </c>
      <c r="U2343">
        <f>IF(O2343=T2343,1,0)</f>
        <v>1</v>
      </c>
      <c r="V2343" s="9">
        <f>IF(OR(M2343=0,U2343=1),0,IF(T2343="GST on Income",ROUND(K2343*0.1,2),ROUND(-K2343*0.1,2)))</f>
        <v>0</v>
      </c>
    </row>
    <row r="2344">
      <c r="A2344" t="inlineStr">
        <is>
          <t>INV-5679-1</t>
        </is>
      </c>
      <c r="B2344" t="inlineStr">
        <is>
          <t>INV-5679</t>
        </is>
      </c>
      <c r="C2344" s="11" t="n">
        <v>46176</v>
      </c>
      <c r="D2344" t="inlineStr">
        <is>
          <t>2026-06</t>
        </is>
      </c>
      <c r="E2344" t="inlineStr">
        <is>
          <t>C0066</t>
        </is>
      </c>
      <c r="F2344" t="inlineStr">
        <is>
          <t>C0066</t>
        </is>
      </c>
      <c r="G2344" t="inlineStr">
        <is>
          <t>Northgate Insurance Repairs</t>
        </is>
      </c>
      <c r="H2344" t="inlineStr">
        <is>
          <t>S0423</t>
        </is>
      </c>
      <c r="I2344" t="inlineStr">
        <is>
          <t>Tarp kit hire 4 wks (06/05/26-02/06/26) - 2 kits</t>
        </is>
      </c>
      <c r="J2344" t="n">
        <v>8</v>
      </c>
      <c r="K2344" s="9" t="n">
        <v>280</v>
      </c>
      <c r="L2344" t="inlineStr">
        <is>
          <t>PAID</t>
        </is>
      </c>
      <c r="M2344">
        <f>IF(L2344="VOIDED",0,1)</f>
        <v>1</v>
      </c>
      <c r="N2344" t="n">
        <v>200</v>
      </c>
      <c r="O2344" t="inlineStr">
        <is>
          <t>GST on Income</t>
        </is>
      </c>
      <c r="P2344" t="inlineStr">
        <is>
          <t>R06</t>
        </is>
      </c>
      <c r="Q2344" t="inlineStr">
        <is>
          <t>HIRE-TK</t>
        </is>
      </c>
      <c r="R2344">
        <f>IF(OR(Q2344="CONTEXT",Q2344="REVIEW"),"",INDEX('Category Rules'!$D$5:$D$17,MATCH(P2344,'Category Rules'!$A$5:$A$17,0)))</f>
        <v>4010</v>
      </c>
      <c r="S2344" t="str">
        <f>IF(Q2344="CONTEXT","Make-safe",IF(Q2344="REVIEW","",INDEX('Category Rules'!$E$5:$E$17,MATCH(P2344,'Category Rules'!$A$5:$A$17,0))))</f>
        <v>Make-safe</v>
      </c>
      <c r="T2344" t="str">
        <f>IF(Q2344="DEP","BAS Excluded","GST on Income")</f>
        <v>GST on Income</v>
      </c>
      <c r="U2344">
        <f>IF(O2344=T2344,1,0)</f>
        <v>1</v>
      </c>
      <c r="V2344" s="9">
        <f>IF(OR(M2344=0,U2344=1),0,IF(T2344="GST on Income",ROUND(K2344*0.1,2),ROUND(-K2344*0.1,2)))</f>
        <v>0</v>
      </c>
    </row>
    <row r="2345">
      <c r="A2345" t="inlineStr">
        <is>
          <t>INV-5918-1</t>
        </is>
      </c>
      <c r="B2345" t="inlineStr">
        <is>
          <t>INV-5918</t>
        </is>
      </c>
      <c r="C2345" s="11" t="n">
        <v>46176</v>
      </c>
      <c r="D2345" t="inlineStr">
        <is>
          <t>2026-06</t>
        </is>
      </c>
      <c r="E2345" t="inlineStr">
        <is>
          <t>C0040</t>
        </is>
      </c>
      <c r="F2345" t="inlineStr">
        <is>
          <t>C0040</t>
        </is>
      </c>
      <c r="G2345" t="inlineStr">
        <is>
          <t>Coastline Projects Pty Ltd</t>
        </is>
      </c>
      <c r="H2345" t="inlineStr">
        <is>
          <t>S0076</t>
        </is>
      </c>
      <c r="I2345" t="inlineStr">
        <is>
          <t>Job 4623 - progress claim</t>
        </is>
      </c>
      <c r="J2345" t="n">
        <v>1</v>
      </c>
      <c r="K2345" s="9" t="n">
        <v>1109.69</v>
      </c>
      <c r="L2345" t="inlineStr">
        <is>
          <t>AUTHORISED</t>
        </is>
      </c>
      <c r="M2345">
        <f>IF(L2345="VOIDED",0,1)</f>
        <v>1</v>
      </c>
      <c r="N2345" t="n">
        <v>200</v>
      </c>
      <c r="O2345" t="inlineStr">
        <is>
          <t>GST Free Income</t>
        </is>
      </c>
      <c r="P2345" t="inlineStr">
        <is>
          <t>R12</t>
        </is>
      </c>
      <c r="Q2345" t="inlineStr">
        <is>
          <t>CONTEXT</t>
        </is>
      </c>
      <c r="R2345">
        <f>IF(OR(Q2345="CONTEXT",Q2345="REVIEW"),"",INDEX('Category Rules'!$D$5:$D$17,MATCH(P2345,'Category Rules'!$A$5:$A$17,0)))</f>
      </c>
      <c r="S2345" t="str">
        <f>IF(Q2345="CONTEXT","Fencing",IF(Q2345="REVIEW","",INDEX('Category Rules'!$E$5:$E$17,MATCH(P2345,'Category Rules'!$A$5:$A$17,0))))</f>
        <v>Fencing</v>
      </c>
      <c r="T2345" t="str">
        <f>IF(Q2345="DEP","BAS Excluded","GST on Income")</f>
        <v>GST on Income</v>
      </c>
      <c r="U2345">
        <f>IF(O2345=T2345,1,0)</f>
        <v>0</v>
      </c>
      <c r="V2345" s="9">
        <f>IF(OR(M2345=0,U2345=1),0,IF(T2345="GST on Income",ROUND(K2345*0.1,2),ROUND(-K2345*0.1,2)))</f>
        <v>110.97</v>
      </c>
    </row>
    <row r="2346">
      <c r="A2346" t="inlineStr">
        <is>
          <t>INV-4295-1</t>
        </is>
      </c>
      <c r="B2346" t="inlineStr">
        <is>
          <t>INV-4295</t>
        </is>
      </c>
      <c r="C2346" s="11" t="n">
        <v>46177</v>
      </c>
      <c r="D2346" t="inlineStr">
        <is>
          <t>2026-06</t>
        </is>
      </c>
      <c r="E2346" t="inlineStr">
        <is>
          <t>C0014</t>
        </is>
      </c>
      <c r="F2346" t="inlineStr">
        <is>
          <t>C0014</t>
        </is>
      </c>
      <c r="G2346" t="inlineStr">
        <is>
          <t>Riverbend Homes Pty Ltd</t>
        </is>
      </c>
      <c r="H2346" t="inlineStr">
        <is>
          <t>S0040</t>
        </is>
      </c>
      <c r="I2346" t="inlineStr">
        <is>
          <t>Delivery and installation - temporary fencing</t>
        </is>
      </c>
      <c r="J2346" t="n">
        <v>1</v>
      </c>
      <c r="K2346" s="9" t="n">
        <v>165</v>
      </c>
      <c r="L2346" t="inlineStr">
        <is>
          <t>AUTHORISED</t>
        </is>
      </c>
      <c r="M2346">
        <f>IF(L2346="VOIDED",0,1)</f>
        <v>1</v>
      </c>
      <c r="N2346" t="n">
        <v>200</v>
      </c>
      <c r="O2346" t="inlineStr">
        <is>
          <t>GST on Income</t>
        </is>
      </c>
      <c r="P2346" t="inlineStr">
        <is>
          <t>R07</t>
        </is>
      </c>
      <c r="Q2346" t="inlineStr">
        <is>
          <t>DEL-FP</t>
        </is>
      </c>
      <c r="R2346">
        <f>IF(OR(Q2346="CONTEXT",Q2346="REVIEW"),"",INDEX('Category Rules'!$D$5:$D$17,MATCH(P2346,'Category Rules'!$A$5:$A$17,0)))</f>
        <v>4020</v>
      </c>
      <c r="S2346" t="str">
        <f>IF(Q2346="CONTEXT","Fencing",IF(Q2346="REVIEW","",INDEX('Category Rules'!$E$5:$E$17,MATCH(P2346,'Category Rules'!$A$5:$A$17,0))))</f>
        <v>Fencing</v>
      </c>
      <c r="T2346" t="str">
        <f>IF(Q2346="DEP","BAS Excluded","GST on Income")</f>
        <v>GST on Income</v>
      </c>
      <c r="U2346">
        <f>IF(O2346=T2346,1,0)</f>
        <v>1</v>
      </c>
      <c r="V2346" s="9">
        <f>IF(OR(M2346=0,U2346=1),0,IF(T2346="GST on Income",ROUND(K2346*0.1,2),ROUND(-K2346*0.1,2)))</f>
        <v>0</v>
      </c>
    </row>
    <row r="2347">
      <c r="A2347" t="inlineStr">
        <is>
          <t>INV-4295-2</t>
        </is>
      </c>
      <c r="B2347" t="inlineStr">
        <is>
          <t>INV-4295</t>
        </is>
      </c>
      <c r="C2347" s="11" t="n">
        <v>46177</v>
      </c>
      <c r="D2347" t="inlineStr">
        <is>
          <t>2026-06</t>
        </is>
      </c>
      <c r="E2347" t="inlineStr">
        <is>
          <t>C0014</t>
        </is>
      </c>
      <c r="F2347" t="inlineStr">
        <is>
          <t>C0014</t>
        </is>
      </c>
      <c r="G2347" t="inlineStr">
        <is>
          <t>Riverbend Homes Pty Ltd</t>
        </is>
      </c>
      <c r="H2347" t="inlineStr">
        <is>
          <t>S0040</t>
        </is>
      </c>
      <c r="I2347" t="inlineStr">
        <is>
          <t>Installation labour - 149 panels @ 2.20</t>
        </is>
      </c>
      <c r="J2347" t="n">
        <v>149</v>
      </c>
      <c r="K2347" s="9" t="n">
        <v>327.8</v>
      </c>
      <c r="L2347" t="inlineStr">
        <is>
          <t>AUTHORISED</t>
        </is>
      </c>
      <c r="M2347">
        <f>IF(L2347="VOIDED",0,1)</f>
        <v>1</v>
      </c>
      <c r="N2347" t="n">
        <v>200</v>
      </c>
      <c r="O2347" t="inlineStr">
        <is>
          <t>GST on Income</t>
        </is>
      </c>
      <c r="P2347" t="inlineStr">
        <is>
          <t>R07</t>
        </is>
      </c>
      <c r="Q2347" t="inlineStr">
        <is>
          <t>DEL-FP</t>
        </is>
      </c>
      <c r="R2347">
        <f>IF(OR(Q2347="CONTEXT",Q2347="REVIEW"),"",INDEX('Category Rules'!$D$5:$D$17,MATCH(P2347,'Category Rules'!$A$5:$A$17,0)))</f>
        <v>4020</v>
      </c>
      <c r="S2347" t="str">
        <f>IF(Q2347="CONTEXT","Fencing",IF(Q2347="REVIEW","",INDEX('Category Rules'!$E$5:$E$17,MATCH(P2347,'Category Rules'!$A$5:$A$17,0))))</f>
        <v>Fencing</v>
      </c>
      <c r="T2347" t="str">
        <f>IF(Q2347="DEP","BAS Excluded","GST on Income")</f>
        <v>GST on Income</v>
      </c>
      <c r="U2347">
        <f>IF(O2347=T2347,1,0)</f>
        <v>1</v>
      </c>
      <c r="V2347" s="9">
        <f>IF(OR(M2347=0,U2347=1),0,IF(T2347="GST on Income",ROUND(K2347*0.1,2),ROUND(-K2347*0.1,2)))</f>
        <v>0</v>
      </c>
    </row>
    <row r="2348">
      <c r="A2348" t="inlineStr">
        <is>
          <t>INV-4754-1</t>
        </is>
      </c>
      <c r="B2348" t="inlineStr">
        <is>
          <t>INV-4754</t>
        </is>
      </c>
      <c r="C2348" s="11" t="n">
        <v>46177</v>
      </c>
      <c r="D2348" t="inlineStr">
        <is>
          <t>2026-06</t>
        </is>
      </c>
      <c r="E2348" t="inlineStr">
        <is>
          <t>C0077</t>
        </is>
      </c>
      <c r="F2348" t="inlineStr">
        <is>
          <t>C0077</t>
        </is>
      </c>
      <c r="G2348" t="inlineStr">
        <is>
          <t>Corner Events Pty Ltd</t>
        </is>
      </c>
      <c r="H2348" t="inlineStr">
        <is>
          <t>S0136</t>
        </is>
      </c>
      <c r="I2348" t="inlineStr">
        <is>
          <t>Temporary fence hire 4 wks (13/05/26-03/06/26) - 74 panels</t>
        </is>
      </c>
      <c r="J2348" t="n">
        <v>296</v>
      </c>
      <c r="K2348" s="9" t="n">
        <v>1332</v>
      </c>
      <c r="L2348" t="inlineStr">
        <is>
          <t>PAID</t>
        </is>
      </c>
      <c r="M2348">
        <f>IF(L2348="VOIDED",0,1)</f>
        <v>1</v>
      </c>
      <c r="N2348" t="n">
        <v>200</v>
      </c>
      <c r="O2348" t="inlineStr">
        <is>
          <t>GST on Income</t>
        </is>
      </c>
      <c r="P2348" t="inlineStr">
        <is>
          <t>R03</t>
        </is>
      </c>
      <c r="Q2348" t="inlineStr">
        <is>
          <t>HIRE-FP</t>
        </is>
      </c>
      <c r="R2348">
        <f>IF(OR(Q2348="CONTEXT",Q2348="REVIEW"),"",INDEX('Category Rules'!$D$5:$D$17,MATCH(P2348,'Category Rules'!$A$5:$A$17,0)))</f>
        <v>4010</v>
      </c>
      <c r="S2348" t="str">
        <f>IF(Q2348="CONTEXT","Fencing",IF(Q2348="REVIEW","",INDEX('Category Rules'!$E$5:$E$17,MATCH(P2348,'Category Rules'!$A$5:$A$17,0))))</f>
        <v>Fencing</v>
      </c>
      <c r="T2348" t="str">
        <f>IF(Q2348="DEP","BAS Excluded","GST on Income")</f>
        <v>GST on Income</v>
      </c>
      <c r="U2348">
        <f>IF(O2348=T2348,1,0)</f>
        <v>1</v>
      </c>
      <c r="V2348" s="9">
        <f>IF(OR(M2348=0,U2348=1),0,IF(T2348="GST on Income",ROUND(K2348*0.1,2),ROUND(-K2348*0.1,2)))</f>
        <v>0</v>
      </c>
    </row>
    <row r="2349">
      <c r="A2349" t="inlineStr">
        <is>
          <t>INV-4755-1</t>
        </is>
      </c>
      <c r="B2349" t="inlineStr">
        <is>
          <t>INV-4755</t>
        </is>
      </c>
      <c r="C2349" s="11" t="n">
        <v>46177</v>
      </c>
      <c r="D2349" t="inlineStr">
        <is>
          <t>2026-06</t>
        </is>
      </c>
      <c r="E2349" t="inlineStr">
        <is>
          <t>C0077</t>
        </is>
      </c>
      <c r="F2349" t="inlineStr">
        <is>
          <t>C0077</t>
        </is>
      </c>
      <c r="G2349" t="inlineStr">
        <is>
          <t>Corner Events Pty Ltd</t>
        </is>
      </c>
      <c r="H2349" t="inlineStr">
        <is>
          <t>S0136</t>
        </is>
      </c>
      <c r="I2349" t="inlineStr">
        <is>
          <t>Pedestrian barrier hire 4 wks (13/05/26-03/06/26) - 23 barriers</t>
        </is>
      </c>
      <c r="J2349" t="n">
        <v>92</v>
      </c>
      <c r="K2349" s="9" t="n">
        <v>294.4</v>
      </c>
      <c r="L2349" t="inlineStr">
        <is>
          <t>AUTHORISED</t>
        </is>
      </c>
      <c r="M2349">
        <f>IF(L2349="VOIDED",0,1)</f>
        <v>1</v>
      </c>
      <c r="N2349" t="n">
        <v>200</v>
      </c>
      <c r="O2349" t="inlineStr">
        <is>
          <t>GST on Income</t>
        </is>
      </c>
      <c r="P2349" t="inlineStr">
        <is>
          <t>R04</t>
        </is>
      </c>
      <c r="Q2349" t="inlineStr">
        <is>
          <t>HIRE-BR</t>
        </is>
      </c>
      <c r="R2349">
        <f>IF(OR(Q2349="CONTEXT",Q2349="REVIEW"),"",INDEX('Category Rules'!$D$5:$D$17,MATCH(P2349,'Category Rules'!$A$5:$A$17,0)))</f>
        <v>4010</v>
      </c>
      <c r="S2349" t="str">
        <f>IF(Q2349="CONTEXT","Fencing",IF(Q2349="REVIEW","",INDEX('Category Rules'!$E$5:$E$17,MATCH(P2349,'Category Rules'!$A$5:$A$17,0))))</f>
        <v>Fencing</v>
      </c>
      <c r="T2349" t="str">
        <f>IF(Q2349="DEP","BAS Excluded","GST on Income")</f>
        <v>GST on Income</v>
      </c>
      <c r="U2349">
        <f>IF(O2349=T2349,1,0)</f>
        <v>1</v>
      </c>
      <c r="V2349" s="9">
        <f>IF(OR(M2349=0,U2349=1),0,IF(T2349="GST on Income",ROUND(K2349*0.1,2),ROUND(-K2349*0.1,2)))</f>
        <v>0</v>
      </c>
    </row>
    <row r="2350">
      <c r="A2350" t="inlineStr">
        <is>
          <t>INV-4757-1</t>
        </is>
      </c>
      <c r="B2350" t="inlineStr">
        <is>
          <t>INV-4757</t>
        </is>
      </c>
      <c r="C2350" s="11" t="n">
        <v>46177</v>
      </c>
      <c r="D2350" t="inlineStr">
        <is>
          <t>2026-06</t>
        </is>
      </c>
      <c r="E2350" t="inlineStr">
        <is>
          <t>C0077</t>
        </is>
      </c>
      <c r="F2350" t="inlineStr">
        <is>
          <t>C0077</t>
        </is>
      </c>
      <c r="G2350" t="inlineStr">
        <is>
          <t>Corner Events Pty Ltd</t>
        </is>
      </c>
      <c r="H2350" t="inlineStr">
        <is>
          <t>S0136</t>
        </is>
      </c>
      <c r="I2350" t="inlineStr">
        <is>
          <t>Collection and dismantle - temporary fencing</t>
        </is>
      </c>
      <c r="J2350" t="n">
        <v>1</v>
      </c>
      <c r="K2350" s="9" t="n">
        <v>165</v>
      </c>
      <c r="L2350" t="inlineStr">
        <is>
          <t>AUTHORISED</t>
        </is>
      </c>
      <c r="M2350">
        <f>IF(L2350="VOIDED",0,1)</f>
        <v>1</v>
      </c>
      <c r="N2350" t="n">
        <v>200</v>
      </c>
      <c r="O2350" t="inlineStr">
        <is>
          <t>GST on Income</t>
        </is>
      </c>
      <c r="P2350" t="inlineStr">
        <is>
          <t>R07</t>
        </is>
      </c>
      <c r="Q2350" t="inlineStr">
        <is>
          <t>DEL-FP</t>
        </is>
      </c>
      <c r="R2350">
        <f>IF(OR(Q2350="CONTEXT",Q2350="REVIEW"),"",INDEX('Category Rules'!$D$5:$D$17,MATCH(P2350,'Category Rules'!$A$5:$A$17,0)))</f>
        <v>4020</v>
      </c>
      <c r="S2350" t="str">
        <f>IF(Q2350="CONTEXT","Fencing",IF(Q2350="REVIEW","",INDEX('Category Rules'!$E$5:$E$17,MATCH(P2350,'Category Rules'!$A$5:$A$17,0))))</f>
        <v>Fencing</v>
      </c>
      <c r="T2350" t="str">
        <f>IF(Q2350="DEP","BAS Excluded","GST on Income")</f>
        <v>GST on Income</v>
      </c>
      <c r="U2350">
        <f>IF(O2350=T2350,1,0)</f>
        <v>1</v>
      </c>
      <c r="V2350" s="9">
        <f>IF(OR(M2350=0,U2350=1),0,IF(T2350="GST on Income",ROUND(K2350*0.1,2),ROUND(-K2350*0.1,2)))</f>
        <v>0</v>
      </c>
    </row>
    <row r="2351">
      <c r="A2351" t="inlineStr">
        <is>
          <t>INV-4757-2</t>
        </is>
      </c>
      <c r="B2351" t="inlineStr">
        <is>
          <t>INV-4757</t>
        </is>
      </c>
      <c r="C2351" s="11" t="n">
        <v>46177</v>
      </c>
      <c r="D2351" t="inlineStr">
        <is>
          <t>2026-06</t>
        </is>
      </c>
      <c r="E2351" t="inlineStr">
        <is>
          <t>C0077</t>
        </is>
      </c>
      <c r="F2351" t="inlineStr">
        <is>
          <t>C0077</t>
        </is>
      </c>
      <c r="G2351" t="inlineStr">
        <is>
          <t>Corner Events Pty Ltd</t>
        </is>
      </c>
      <c r="H2351" t="inlineStr">
        <is>
          <t>S0136</t>
        </is>
      </c>
      <c r="I2351" t="inlineStr">
        <is>
          <t>Lost/damaged panels charged - 3 @ 145.00</t>
        </is>
      </c>
      <c r="J2351" t="n">
        <v>3</v>
      </c>
      <c r="K2351" s="9" t="n">
        <v>435</v>
      </c>
      <c r="L2351" t="inlineStr">
        <is>
          <t>AUTHORISED</t>
        </is>
      </c>
      <c r="M2351">
        <f>IF(L2351="VOIDED",0,1)</f>
        <v>1</v>
      </c>
      <c r="N2351" t="n">
        <v>200</v>
      </c>
      <c r="O2351" t="inlineStr">
        <is>
          <t>GST on Income</t>
        </is>
      </c>
      <c r="P2351" t="inlineStr">
        <is>
          <t>R02</t>
        </is>
      </c>
      <c r="Q2351" t="inlineStr">
        <is>
          <t>LOSS</t>
        </is>
      </c>
      <c r="R2351">
        <f>IF(OR(Q2351="CONTEXT",Q2351="REVIEW"),"",INDEX('Category Rules'!$D$5:$D$17,MATCH(P2351,'Category Rules'!$A$5:$A$17,0)))</f>
        <v>4040</v>
      </c>
      <c r="S2351" t="str">
        <f>IF(Q2351="CONTEXT","Fencing",IF(Q2351="REVIEW","",INDEX('Category Rules'!$E$5:$E$17,MATCH(P2351,'Category Rules'!$A$5:$A$17,0))))</f>
        <v>Fencing</v>
      </c>
      <c r="T2351" t="str">
        <f>IF(Q2351="DEP","BAS Excluded","GST on Income")</f>
        <v>GST on Income</v>
      </c>
      <c r="U2351">
        <f>IF(O2351=T2351,1,0)</f>
        <v>1</v>
      </c>
      <c r="V2351" s="9">
        <f>IF(OR(M2351=0,U2351=1),0,IF(T2351="GST on Income",ROUND(K2351*0.1,2),ROUND(-K2351*0.1,2)))</f>
        <v>0</v>
      </c>
    </row>
    <row r="2352">
      <c r="A2352" t="inlineStr">
        <is>
          <t>INV-4925-1</t>
        </is>
      </c>
      <c r="B2352" t="inlineStr">
        <is>
          <t>INV-4925</t>
        </is>
      </c>
      <c r="C2352" s="11" t="n">
        <v>46178</v>
      </c>
      <c r="D2352" t="inlineStr">
        <is>
          <t>2026-06</t>
        </is>
      </c>
      <c r="E2352" t="inlineStr">
        <is>
          <t>C0070</t>
        </is>
      </c>
      <c r="F2352" t="inlineStr">
        <is>
          <t>C0070</t>
        </is>
      </c>
      <c r="G2352" t="inlineStr">
        <is>
          <t>Banyule City Council</t>
        </is>
      </c>
      <c r="H2352" t="inlineStr">
        <is>
          <t>S0175</t>
        </is>
      </c>
      <c r="I2352" t="inlineStr">
        <is>
          <t>Temporary fence hire 4 wks (08/05/26-04/06/26) - 129 panels</t>
        </is>
      </c>
      <c r="J2352" t="n">
        <v>516</v>
      </c>
      <c r="K2352" s="9" t="n">
        <v>2322</v>
      </c>
      <c r="L2352" t="inlineStr">
        <is>
          <t>PAID</t>
        </is>
      </c>
      <c r="M2352">
        <f>IF(L2352="VOIDED",0,1)</f>
        <v>1</v>
      </c>
      <c r="N2352" t="n">
        <v>260</v>
      </c>
      <c r="O2352" t="inlineStr">
        <is>
          <t>GST on Income</t>
        </is>
      </c>
      <c r="P2352" t="inlineStr">
        <is>
          <t>R03</t>
        </is>
      </c>
      <c r="Q2352" t="inlineStr">
        <is>
          <t>HIRE-FP</t>
        </is>
      </c>
      <c r="R2352">
        <f>IF(OR(Q2352="CONTEXT",Q2352="REVIEW"),"",INDEX('Category Rules'!$D$5:$D$17,MATCH(P2352,'Category Rules'!$A$5:$A$17,0)))</f>
        <v>4010</v>
      </c>
      <c r="S2352" t="str">
        <f>IF(Q2352="CONTEXT","Fencing",IF(Q2352="REVIEW","",INDEX('Category Rules'!$E$5:$E$17,MATCH(P2352,'Category Rules'!$A$5:$A$17,0))))</f>
        <v>Fencing</v>
      </c>
      <c r="T2352" t="str">
        <f>IF(Q2352="DEP","BAS Excluded","GST on Income")</f>
        <v>GST on Income</v>
      </c>
      <c r="U2352">
        <f>IF(O2352=T2352,1,0)</f>
        <v>1</v>
      </c>
      <c r="V2352" s="9">
        <f>IF(OR(M2352=0,U2352=1),0,IF(T2352="GST on Income",ROUND(K2352*0.1,2),ROUND(-K2352*0.1,2)))</f>
        <v>0</v>
      </c>
    </row>
    <row r="2353">
      <c r="A2353" t="inlineStr">
        <is>
          <t>INV-5076-1</t>
        </is>
      </c>
      <c r="B2353" t="inlineStr">
        <is>
          <t>INV-5076</t>
        </is>
      </c>
      <c r="C2353" s="11" t="n">
        <v>46178</v>
      </c>
      <c r="D2353" t="inlineStr">
        <is>
          <t>2026-06</t>
        </is>
      </c>
      <c r="E2353" t="inlineStr">
        <is>
          <t>C0031</t>
        </is>
      </c>
      <c r="F2353" t="inlineStr">
        <is>
          <t>C0031</t>
        </is>
      </c>
      <c r="G2353" t="inlineStr">
        <is>
          <t>Granite Developments Pty Ltd</t>
        </is>
      </c>
      <c r="H2353" t="inlineStr">
        <is>
          <t>S0209</t>
        </is>
      </c>
      <c r="I2353" t="inlineStr">
        <is>
          <t>Temporary fence hire 1 wks (02/06/26-04/06/26) - 100 panels</t>
        </is>
      </c>
      <c r="J2353" t="n">
        <v>100</v>
      </c>
      <c r="K2353" s="9" t="n">
        <v>450</v>
      </c>
      <c r="L2353" t="inlineStr">
        <is>
          <t>AUTHORISED</t>
        </is>
      </c>
      <c r="M2353">
        <f>IF(L2353="VOIDED",0,1)</f>
        <v>1</v>
      </c>
      <c r="N2353" t="n">
        <v>200</v>
      </c>
      <c r="O2353" t="inlineStr">
        <is>
          <t>GST on Income</t>
        </is>
      </c>
      <c r="P2353" t="inlineStr">
        <is>
          <t>R03</t>
        </is>
      </c>
      <c r="Q2353" t="inlineStr">
        <is>
          <t>HIRE-FP</t>
        </is>
      </c>
      <c r="R2353">
        <f>IF(OR(Q2353="CONTEXT",Q2353="REVIEW"),"",INDEX('Category Rules'!$D$5:$D$17,MATCH(P2353,'Category Rules'!$A$5:$A$17,0)))</f>
        <v>4010</v>
      </c>
      <c r="S2353" t="str">
        <f>IF(Q2353="CONTEXT","Fencing",IF(Q2353="REVIEW","",INDEX('Category Rules'!$E$5:$E$17,MATCH(P2353,'Category Rules'!$A$5:$A$17,0))))</f>
        <v>Fencing</v>
      </c>
      <c r="T2353" t="str">
        <f>IF(Q2353="DEP","BAS Excluded","GST on Income")</f>
        <v>GST on Income</v>
      </c>
      <c r="U2353">
        <f>IF(O2353=T2353,1,0)</f>
        <v>1</v>
      </c>
      <c r="V2353" s="9">
        <f>IF(OR(M2353=0,U2353=1),0,IF(T2353="GST on Income",ROUND(K2353*0.1,2),ROUND(-K2353*0.1,2)))</f>
        <v>0</v>
      </c>
    </row>
    <row r="2354">
      <c r="A2354" t="inlineStr">
        <is>
          <t>INV-5078-1</t>
        </is>
      </c>
      <c r="B2354" t="inlineStr">
        <is>
          <t>INV-5078</t>
        </is>
      </c>
      <c r="C2354" s="11" t="n">
        <v>46178</v>
      </c>
      <c r="D2354" t="inlineStr">
        <is>
          <t>2026-06</t>
        </is>
      </c>
      <c r="E2354" t="inlineStr">
        <is>
          <t>C0031</t>
        </is>
      </c>
      <c r="F2354" t="inlineStr">
        <is>
          <t>C0031</t>
        </is>
      </c>
      <c r="G2354" t="inlineStr">
        <is>
          <t>Granite Developments Pty Ltd</t>
        </is>
      </c>
      <c r="H2354" t="inlineStr">
        <is>
          <t>S0209</t>
        </is>
      </c>
      <c r="I2354" t="inlineStr">
        <is>
          <t>Pedestrian barrier hire 1 wks (02/06/26-04/06/26) - 15 barriers</t>
        </is>
      </c>
      <c r="J2354" t="n">
        <v>15</v>
      </c>
      <c r="K2354" s="9" t="n">
        <v>48</v>
      </c>
      <c r="L2354" t="inlineStr">
        <is>
          <t>PAID</t>
        </is>
      </c>
      <c r="M2354">
        <f>IF(L2354="VOIDED",0,1)</f>
        <v>1</v>
      </c>
      <c r="N2354" t="n">
        <v>260</v>
      </c>
      <c r="O2354" t="inlineStr">
        <is>
          <t>GST on Income</t>
        </is>
      </c>
      <c r="P2354" t="inlineStr">
        <is>
          <t>R04</t>
        </is>
      </c>
      <c r="Q2354" t="inlineStr">
        <is>
          <t>HIRE-BR</t>
        </is>
      </c>
      <c r="R2354">
        <f>IF(OR(Q2354="CONTEXT",Q2354="REVIEW"),"",INDEX('Category Rules'!$D$5:$D$17,MATCH(P2354,'Category Rules'!$A$5:$A$17,0)))</f>
        <v>4010</v>
      </c>
      <c r="S2354" t="str">
        <f>IF(Q2354="CONTEXT","Fencing",IF(Q2354="REVIEW","",INDEX('Category Rules'!$E$5:$E$17,MATCH(P2354,'Category Rules'!$A$5:$A$17,0))))</f>
        <v>Fencing</v>
      </c>
      <c r="T2354" t="str">
        <f>IF(Q2354="DEP","BAS Excluded","GST on Income")</f>
        <v>GST on Income</v>
      </c>
      <c r="U2354">
        <f>IF(O2354=T2354,1,0)</f>
        <v>1</v>
      </c>
      <c r="V2354" s="9">
        <f>IF(OR(M2354=0,U2354=1),0,IF(T2354="GST on Income",ROUND(K2354*0.1,2),ROUND(-K2354*0.1,2)))</f>
        <v>0</v>
      </c>
    </row>
    <row r="2355">
      <c r="A2355" t="inlineStr">
        <is>
          <t>INV-5080-1</t>
        </is>
      </c>
      <c r="B2355" t="inlineStr">
        <is>
          <t>INV-5080</t>
        </is>
      </c>
      <c r="C2355" s="11" t="n">
        <v>46178</v>
      </c>
      <c r="D2355" t="inlineStr">
        <is>
          <t>2026-06</t>
        </is>
      </c>
      <c r="E2355" t="inlineStr">
        <is>
          <t>C0031</t>
        </is>
      </c>
      <c r="F2355" t="inlineStr">
        <is>
          <t>C0031</t>
        </is>
      </c>
      <c r="G2355" t="inlineStr">
        <is>
          <t>Granite Developments Pty Ltd</t>
        </is>
      </c>
      <c r="H2355" t="inlineStr">
        <is>
          <t>S0209</t>
        </is>
      </c>
      <c r="I2355" t="inlineStr">
        <is>
          <t>Collection and dismantle - temporary fencing</t>
        </is>
      </c>
      <c r="J2355" t="n">
        <v>1</v>
      </c>
      <c r="K2355" s="9" t="n">
        <v>165</v>
      </c>
      <c r="L2355" t="inlineStr">
        <is>
          <t>PAID</t>
        </is>
      </c>
      <c r="M2355">
        <f>IF(L2355="VOIDED",0,1)</f>
        <v>1</v>
      </c>
      <c r="N2355" t="n">
        <v>200</v>
      </c>
      <c r="O2355" t="inlineStr">
        <is>
          <t>GST on Income</t>
        </is>
      </c>
      <c r="P2355" t="inlineStr">
        <is>
          <t>R07</t>
        </is>
      </c>
      <c r="Q2355" t="inlineStr">
        <is>
          <t>DEL-FP</t>
        </is>
      </c>
      <c r="R2355">
        <f>IF(OR(Q2355="CONTEXT",Q2355="REVIEW"),"",INDEX('Category Rules'!$D$5:$D$17,MATCH(P2355,'Category Rules'!$A$5:$A$17,0)))</f>
        <v>4020</v>
      </c>
      <c r="S2355" t="str">
        <f>IF(Q2355="CONTEXT","Fencing",IF(Q2355="REVIEW","",INDEX('Category Rules'!$E$5:$E$17,MATCH(P2355,'Category Rules'!$A$5:$A$17,0))))</f>
        <v>Fencing</v>
      </c>
      <c r="T2355" t="str">
        <f>IF(Q2355="DEP","BAS Excluded","GST on Income")</f>
        <v>GST on Income</v>
      </c>
      <c r="U2355">
        <f>IF(O2355=T2355,1,0)</f>
        <v>1</v>
      </c>
      <c r="V2355" s="9">
        <f>IF(OR(M2355=0,U2355=1),0,IF(T2355="GST on Income",ROUND(K2355*0.1,2),ROUND(-K2355*0.1,2)))</f>
        <v>0</v>
      </c>
    </row>
    <row r="2356">
      <c r="A2356" t="inlineStr">
        <is>
          <t>INV-5152-1</t>
        </is>
      </c>
      <c r="B2356" t="inlineStr">
        <is>
          <t>INV-5152</t>
        </is>
      </c>
      <c r="C2356" s="11" t="n">
        <v>46178</v>
      </c>
      <c r="D2356" t="inlineStr">
        <is>
          <t>2026-06</t>
        </is>
      </c>
      <c r="E2356" t="inlineStr">
        <is>
          <t>C0111</t>
        </is>
      </c>
      <c r="F2356" t="inlineStr">
        <is>
          <t>C0111</t>
        </is>
      </c>
      <c r="G2356" t="inlineStr">
        <is>
          <t>Noah Kelly</t>
        </is>
      </c>
      <c r="H2356" t="inlineStr">
        <is>
          <t>S0226</t>
        </is>
      </c>
      <c r="I2356" t="inlineStr">
        <is>
          <t>Temporary fence hire 1 wks (29/05/26-04/06/26) - 109 panels</t>
        </is>
      </c>
      <c r="J2356" t="n">
        <v>109</v>
      </c>
      <c r="K2356" s="9" t="n">
        <v>490.5</v>
      </c>
      <c r="L2356" t="inlineStr">
        <is>
          <t>PAID</t>
        </is>
      </c>
      <c r="M2356">
        <f>IF(L2356="VOIDED",0,1)</f>
        <v>1</v>
      </c>
      <c r="N2356" t="n">
        <v>200</v>
      </c>
      <c r="O2356" t="inlineStr">
        <is>
          <t>GST on Income</t>
        </is>
      </c>
      <c r="P2356" t="inlineStr">
        <is>
          <t>R03</t>
        </is>
      </c>
      <c r="Q2356" t="inlineStr">
        <is>
          <t>HIRE-FP</t>
        </is>
      </c>
      <c r="R2356">
        <f>IF(OR(Q2356="CONTEXT",Q2356="REVIEW"),"",INDEX('Category Rules'!$D$5:$D$17,MATCH(P2356,'Category Rules'!$A$5:$A$17,0)))</f>
        <v>4010</v>
      </c>
      <c r="S2356" t="str">
        <f>IF(Q2356="CONTEXT","Fencing",IF(Q2356="REVIEW","",INDEX('Category Rules'!$E$5:$E$17,MATCH(P2356,'Category Rules'!$A$5:$A$17,0))))</f>
        <v>Fencing</v>
      </c>
      <c r="T2356" t="str">
        <f>IF(Q2356="DEP","BAS Excluded","GST on Income")</f>
        <v>GST on Income</v>
      </c>
      <c r="U2356">
        <f>IF(O2356=T2356,1,0)</f>
        <v>1</v>
      </c>
      <c r="V2356" s="9">
        <f>IF(OR(M2356=0,U2356=1),0,IF(T2356="GST on Income",ROUND(K2356*0.1,2),ROUND(-K2356*0.1,2)))</f>
        <v>0</v>
      </c>
    </row>
    <row r="2357">
      <c r="A2357" t="inlineStr">
        <is>
          <t>INV-5154-1</t>
        </is>
      </c>
      <c r="B2357" t="inlineStr">
        <is>
          <t>INV-5154</t>
        </is>
      </c>
      <c r="C2357" s="11" t="n">
        <v>46178</v>
      </c>
      <c r="D2357" t="inlineStr">
        <is>
          <t>2026-06</t>
        </is>
      </c>
      <c r="E2357" t="inlineStr">
        <is>
          <t>C0138</t>
        </is>
      </c>
      <c r="F2357" t="inlineStr">
        <is>
          <t>C0111</t>
        </is>
      </c>
      <c r="G2357" t="inlineStr">
        <is>
          <t>Noah Kelly</t>
        </is>
      </c>
      <c r="H2357" t="inlineStr">
        <is>
          <t>S0226</t>
        </is>
      </c>
      <c r="I2357" t="inlineStr">
        <is>
          <t>Collection and dismantle - temporary fencing</t>
        </is>
      </c>
      <c r="J2357" t="n">
        <v>1</v>
      </c>
      <c r="K2357" s="9" t="n">
        <v>165</v>
      </c>
      <c r="L2357" t="inlineStr">
        <is>
          <t>AUTHORISED</t>
        </is>
      </c>
      <c r="M2357">
        <f>IF(L2357="VOIDED",0,1)</f>
        <v>1</v>
      </c>
      <c r="N2357" t="n">
        <v>200</v>
      </c>
      <c r="O2357" t="inlineStr">
        <is>
          <t>GST on Income</t>
        </is>
      </c>
      <c r="P2357" t="inlineStr">
        <is>
          <t>R07</t>
        </is>
      </c>
      <c r="Q2357" t="inlineStr">
        <is>
          <t>DEL-FP</t>
        </is>
      </c>
      <c r="R2357">
        <f>IF(OR(Q2357="CONTEXT",Q2357="REVIEW"),"",INDEX('Category Rules'!$D$5:$D$17,MATCH(P2357,'Category Rules'!$A$5:$A$17,0)))</f>
        <v>4020</v>
      </c>
      <c r="S2357" t="str">
        <f>IF(Q2357="CONTEXT","Fencing",IF(Q2357="REVIEW","",INDEX('Category Rules'!$E$5:$E$17,MATCH(P2357,'Category Rules'!$A$5:$A$17,0))))</f>
        <v>Fencing</v>
      </c>
      <c r="T2357" t="str">
        <f>IF(Q2357="DEP","BAS Excluded","GST on Income")</f>
        <v>GST on Income</v>
      </c>
      <c r="U2357">
        <f>IF(O2357=T2357,1,0)</f>
        <v>1</v>
      </c>
      <c r="V2357" s="9">
        <f>IF(OR(M2357=0,U2357=1),0,IF(T2357="GST on Income",ROUND(K2357*0.1,2),ROUND(-K2357*0.1,2)))</f>
        <v>0</v>
      </c>
    </row>
    <row r="2358">
      <c r="A2358" t="inlineStr">
        <is>
          <t>INV-5442-1</t>
        </is>
      </c>
      <c r="B2358" t="inlineStr">
        <is>
          <t>INV-5442</t>
        </is>
      </c>
      <c r="C2358" s="11" t="n">
        <v>46178</v>
      </c>
      <c r="D2358" t="inlineStr">
        <is>
          <t>2026-06</t>
        </is>
      </c>
      <c r="E2358" t="inlineStr">
        <is>
          <t>C0109</t>
        </is>
      </c>
      <c r="F2358" t="inlineStr">
        <is>
          <t>C0109</t>
        </is>
      </c>
      <c r="G2358" t="inlineStr">
        <is>
          <t>Noah Ali</t>
        </is>
      </c>
      <c r="H2358" t="inlineStr">
        <is>
          <t>S0295</t>
        </is>
      </c>
      <c r="I2358" t="inlineStr">
        <is>
          <t>Scaffold erect - 2 tower(s)</t>
        </is>
      </c>
      <c r="J2358" t="n">
        <v>2</v>
      </c>
      <c r="K2358" s="9" t="n">
        <v>840</v>
      </c>
      <c r="L2358" t="inlineStr">
        <is>
          <t>AUTHORISED</t>
        </is>
      </c>
      <c r="M2358">
        <f>IF(L2358="VOIDED",0,1)</f>
        <v>1</v>
      </c>
      <c r="N2358" t="n">
        <v>200</v>
      </c>
      <c r="O2358" t="inlineStr">
        <is>
          <t>GST on Income</t>
        </is>
      </c>
      <c r="P2358" t="inlineStr">
        <is>
          <t>R08</t>
        </is>
      </c>
      <c r="Q2358" t="inlineStr">
        <is>
          <t>LAB-ST</t>
        </is>
      </c>
      <c r="R2358">
        <f>IF(OR(Q2358="CONTEXT",Q2358="REVIEW"),"",INDEX('Category Rules'!$D$5:$D$17,MATCH(P2358,'Category Rules'!$A$5:$A$17,0)))</f>
        <v>4020</v>
      </c>
      <c r="S2358" t="str">
        <f>IF(Q2358="CONTEXT","Scaffolding",IF(Q2358="REVIEW","",INDEX('Category Rules'!$E$5:$E$17,MATCH(P2358,'Category Rules'!$A$5:$A$17,0))))</f>
        <v>Scaffolding</v>
      </c>
      <c r="T2358" t="str">
        <f>IF(Q2358="DEP","BAS Excluded","GST on Income")</f>
        <v>GST on Income</v>
      </c>
      <c r="U2358">
        <f>IF(O2358=T2358,1,0)</f>
        <v>1</v>
      </c>
      <c r="V2358" s="9">
        <f>IF(OR(M2358=0,U2358=1),0,IF(T2358="GST on Income",ROUND(K2358*0.1,2),ROUND(-K2358*0.1,2)))</f>
        <v>0</v>
      </c>
    </row>
    <row r="2359">
      <c r="A2359" t="inlineStr">
        <is>
          <t>INV-5563-1</t>
        </is>
      </c>
      <c r="B2359" t="inlineStr">
        <is>
          <t>INV-5563</t>
        </is>
      </c>
      <c r="C2359" s="11" t="n">
        <v>46178</v>
      </c>
      <c r="D2359" t="inlineStr">
        <is>
          <t>2026-06</t>
        </is>
      </c>
      <c r="E2359" t="inlineStr">
        <is>
          <t>C0066</t>
        </is>
      </c>
      <c r="F2359" t="inlineStr">
        <is>
          <t>C0066</t>
        </is>
      </c>
      <c r="G2359" t="inlineStr">
        <is>
          <t>Northgate Insurance Repairs</t>
        </is>
      </c>
      <c r="H2359" t="inlineStr">
        <is>
          <t>S0359</t>
        </is>
      </c>
      <c r="I2359" t="inlineStr">
        <is>
          <t>Make safe call-out</t>
        </is>
      </c>
      <c r="J2359" t="n">
        <v>1</v>
      </c>
      <c r="K2359" s="9" t="n">
        <v>385</v>
      </c>
      <c r="L2359" t="inlineStr">
        <is>
          <t>PAID</t>
        </is>
      </c>
      <c r="M2359">
        <f>IF(L2359="VOIDED",0,1)</f>
        <v>1</v>
      </c>
      <c r="N2359" t="n">
        <v>200</v>
      </c>
      <c r="O2359" t="inlineStr">
        <is>
          <t>GST on Income</t>
        </is>
      </c>
      <c r="P2359" t="inlineStr">
        <is>
          <t>R09</t>
        </is>
      </c>
      <c r="Q2359" t="inlineStr">
        <is>
          <t>MS</t>
        </is>
      </c>
      <c r="R2359">
        <f>IF(OR(Q2359="CONTEXT",Q2359="REVIEW"),"",INDEX('Category Rules'!$D$5:$D$17,MATCH(P2359,'Category Rules'!$A$5:$A$17,0)))</f>
        <v>4020</v>
      </c>
      <c r="S2359" t="str">
        <f>IF(Q2359="CONTEXT","Make-safe",IF(Q2359="REVIEW","",INDEX('Category Rules'!$E$5:$E$17,MATCH(P2359,'Category Rules'!$A$5:$A$17,0))))</f>
        <v>Make-safe</v>
      </c>
      <c r="T2359" t="str">
        <f>IF(Q2359="DEP","BAS Excluded","GST on Income")</f>
        <v>GST on Income</v>
      </c>
      <c r="U2359">
        <f>IF(O2359=T2359,1,0)</f>
        <v>1</v>
      </c>
      <c r="V2359" s="9">
        <f>IF(OR(M2359=0,U2359=1),0,IF(T2359="GST on Income",ROUND(K2359*0.1,2),ROUND(-K2359*0.1,2)))</f>
        <v>0</v>
      </c>
    </row>
    <row r="2360">
      <c r="A2360" t="inlineStr">
        <is>
          <t>INV-5563-2</t>
        </is>
      </c>
      <c r="B2360" t="inlineStr">
        <is>
          <t>INV-5563</t>
        </is>
      </c>
      <c r="C2360" s="11" t="n">
        <v>46178</v>
      </c>
      <c r="D2360" t="inlineStr">
        <is>
          <t>2026-06</t>
        </is>
      </c>
      <c r="E2360" t="inlineStr">
        <is>
          <t>C0066</t>
        </is>
      </c>
      <c r="F2360" t="inlineStr">
        <is>
          <t>C0066</t>
        </is>
      </c>
      <c r="G2360" t="inlineStr">
        <is>
          <t>Northgate Insurance Repairs</t>
        </is>
      </c>
      <c r="H2360" t="inlineStr">
        <is>
          <t>S0359</t>
        </is>
      </c>
      <c r="I2360" t="inlineStr">
        <is>
          <t>Tarp supply and install - 2 tarp(s)</t>
        </is>
      </c>
      <c r="J2360" t="n">
        <v>2</v>
      </c>
      <c r="K2360" s="9" t="n">
        <v>480</v>
      </c>
      <c r="L2360" t="inlineStr">
        <is>
          <t>PAID</t>
        </is>
      </c>
      <c r="M2360">
        <f>IF(L2360="VOIDED",0,1)</f>
        <v>1</v>
      </c>
      <c r="N2360" t="n">
        <v>200</v>
      </c>
      <c r="O2360" t="inlineStr">
        <is>
          <t>GST on Income</t>
        </is>
      </c>
      <c r="P2360" t="inlineStr">
        <is>
          <t>R09</t>
        </is>
      </c>
      <c r="Q2360" t="inlineStr">
        <is>
          <t>MS</t>
        </is>
      </c>
      <c r="R2360">
        <f>IF(OR(Q2360="CONTEXT",Q2360="REVIEW"),"",INDEX('Category Rules'!$D$5:$D$17,MATCH(P2360,'Category Rules'!$A$5:$A$17,0)))</f>
        <v>4020</v>
      </c>
      <c r="S2360" t="str">
        <f>IF(Q2360="CONTEXT","Make-safe",IF(Q2360="REVIEW","",INDEX('Category Rules'!$E$5:$E$17,MATCH(P2360,'Category Rules'!$A$5:$A$17,0))))</f>
        <v>Make-safe</v>
      </c>
      <c r="T2360" t="str">
        <f>IF(Q2360="DEP","BAS Excluded","GST on Income")</f>
        <v>GST on Income</v>
      </c>
      <c r="U2360">
        <f>IF(O2360=T2360,1,0)</f>
        <v>1</v>
      </c>
      <c r="V2360" s="9">
        <f>IF(OR(M2360=0,U2360=1),0,IF(T2360="GST on Income",ROUND(K2360*0.1,2),ROUND(-K2360*0.1,2)))</f>
        <v>0</v>
      </c>
    </row>
    <row r="2361">
      <c r="A2361" t="inlineStr">
        <is>
          <t>INV-5717-1</t>
        </is>
      </c>
      <c r="B2361" t="inlineStr">
        <is>
          <t>INV-5717</t>
        </is>
      </c>
      <c r="C2361" s="11" t="n">
        <v>46178</v>
      </c>
      <c r="D2361" t="inlineStr">
        <is>
          <t>2026-06</t>
        </is>
      </c>
      <c r="E2361" t="inlineStr">
        <is>
          <t>C0125</t>
        </is>
      </c>
      <c r="F2361" t="inlineStr">
        <is>
          <t>C0064</t>
        </is>
      </c>
      <c r="G2361" t="inlineStr">
        <is>
          <t>Lakeside Claims Services Pty Ltd</t>
        </is>
      </c>
      <c r="H2361" t="inlineStr">
        <is>
          <t>S0443</t>
        </is>
      </c>
      <c r="I2361" t="inlineStr">
        <is>
          <t>Roof repair labour - 4 hrs</t>
        </is>
      </c>
      <c r="J2361" t="n">
        <v>4</v>
      </c>
      <c r="K2361" s="9" t="n">
        <v>392</v>
      </c>
      <c r="L2361" t="inlineStr">
        <is>
          <t>AUTHORISED</t>
        </is>
      </c>
      <c r="M2361">
        <f>IF(L2361="VOIDED",0,1)</f>
        <v>1</v>
      </c>
      <c r="N2361" t="n">
        <v>200</v>
      </c>
      <c r="O2361" t="inlineStr">
        <is>
          <t>GST on Income</t>
        </is>
      </c>
      <c r="P2361" t="inlineStr">
        <is>
          <t>R10</t>
        </is>
      </c>
      <c r="Q2361" t="inlineStr">
        <is>
          <t>LAB-RF</t>
        </is>
      </c>
      <c r="R2361">
        <f>IF(OR(Q2361="CONTEXT",Q2361="REVIEW"),"",INDEX('Category Rules'!$D$5:$D$17,MATCH(P2361,'Category Rules'!$A$5:$A$17,0)))</f>
        <v>4020</v>
      </c>
      <c r="S2361" t="str">
        <f>IF(Q2361="CONTEXT","Roofing",IF(Q2361="REVIEW","",INDEX('Category Rules'!$E$5:$E$17,MATCH(P2361,'Category Rules'!$A$5:$A$17,0))))</f>
        <v>Roofing</v>
      </c>
      <c r="T2361" t="str">
        <f>IF(Q2361="DEP","BAS Excluded","GST on Income")</f>
        <v>GST on Income</v>
      </c>
      <c r="U2361">
        <f>IF(O2361=T2361,1,0)</f>
        <v>1</v>
      </c>
      <c r="V2361" s="9">
        <f>IF(OR(M2361=0,U2361=1),0,IF(T2361="GST on Income",ROUND(K2361*0.1,2),ROUND(-K2361*0.1,2)))</f>
        <v>0</v>
      </c>
    </row>
    <row r="2362">
      <c r="A2362" t="inlineStr">
        <is>
          <t>INV-5717-2</t>
        </is>
      </c>
      <c r="B2362" t="inlineStr">
        <is>
          <t>INV-5717</t>
        </is>
      </c>
      <c r="C2362" s="11" t="n">
        <v>46178</v>
      </c>
      <c r="D2362" t="inlineStr">
        <is>
          <t>2026-06</t>
        </is>
      </c>
      <c r="E2362" t="inlineStr">
        <is>
          <t>C0125</t>
        </is>
      </c>
      <c r="F2362" t="inlineStr">
        <is>
          <t>C0064</t>
        </is>
      </c>
      <c r="G2362" t="inlineStr">
        <is>
          <t>Lakeside Claims Services Pty Ltd</t>
        </is>
      </c>
      <c r="H2362" t="inlineStr">
        <is>
          <t>S0443</t>
        </is>
      </c>
      <c r="I2362" t="inlineStr">
        <is>
          <t>Materials - gutter and downpipe</t>
        </is>
      </c>
      <c r="J2362" t="n">
        <v>1</v>
      </c>
      <c r="K2362" s="9" t="n">
        <v>160.97</v>
      </c>
      <c r="L2362" t="inlineStr">
        <is>
          <t>AUTHORISED</t>
        </is>
      </c>
      <c r="M2362">
        <f>IF(L2362="VOIDED",0,1)</f>
        <v>1</v>
      </c>
      <c r="N2362" t="n">
        <v>200</v>
      </c>
      <c r="O2362" t="inlineStr">
        <is>
          <t>GST on Income</t>
        </is>
      </c>
      <c r="P2362" t="inlineStr">
        <is>
          <t>R11</t>
        </is>
      </c>
      <c r="Q2362" t="inlineStr">
        <is>
          <t>MAT-RF</t>
        </is>
      </c>
      <c r="R2362">
        <f>IF(OR(Q2362="CONTEXT",Q2362="REVIEW"),"",INDEX('Category Rules'!$D$5:$D$17,MATCH(P2362,'Category Rules'!$A$5:$A$17,0)))</f>
        <v>4030</v>
      </c>
      <c r="S2362" t="str">
        <f>IF(Q2362="CONTEXT","Roofing",IF(Q2362="REVIEW","",INDEX('Category Rules'!$E$5:$E$17,MATCH(P2362,'Category Rules'!$A$5:$A$17,0))))</f>
        <v>Roofing</v>
      </c>
      <c r="T2362" t="str">
        <f>IF(Q2362="DEP","BAS Excluded","GST on Income")</f>
        <v>GST on Income</v>
      </c>
      <c r="U2362">
        <f>IF(O2362=T2362,1,0)</f>
        <v>1</v>
      </c>
      <c r="V2362" s="9">
        <f>IF(OR(M2362=0,U2362=1),0,IF(T2362="GST on Income",ROUND(K2362*0.1,2),ROUND(-K2362*0.1,2)))</f>
        <v>0</v>
      </c>
    </row>
    <row r="2363">
      <c r="A2363" t="inlineStr">
        <is>
          <t>INV-5717-3</t>
        </is>
      </c>
      <c r="B2363" t="inlineStr">
        <is>
          <t>INV-5717</t>
        </is>
      </c>
      <c r="C2363" s="11" t="n">
        <v>46178</v>
      </c>
      <c r="D2363" t="inlineStr">
        <is>
          <t>2026-06</t>
        </is>
      </c>
      <c r="E2363" t="inlineStr">
        <is>
          <t>C0125</t>
        </is>
      </c>
      <c r="F2363" t="inlineStr">
        <is>
          <t>C0064</t>
        </is>
      </c>
      <c r="G2363" t="inlineStr">
        <is>
          <t>Lakeside Claims Services Pty Ltd</t>
        </is>
      </c>
      <c r="H2363" t="inlineStr">
        <is>
          <t>S0443</t>
        </is>
      </c>
      <c r="I2363" t="inlineStr">
        <is>
          <t>Materials - flashing</t>
        </is>
      </c>
      <c r="J2363" t="n">
        <v>1</v>
      </c>
      <c r="K2363" s="9" t="n">
        <v>766.55</v>
      </c>
      <c r="L2363" t="inlineStr">
        <is>
          <t>AUTHORISED</t>
        </is>
      </c>
      <c r="M2363">
        <f>IF(L2363="VOIDED",0,1)</f>
        <v>1</v>
      </c>
      <c r="N2363" t="n">
        <v>200</v>
      </c>
      <c r="O2363" t="inlineStr">
        <is>
          <t>GST on Income</t>
        </is>
      </c>
      <c r="P2363" t="inlineStr">
        <is>
          <t>R11</t>
        </is>
      </c>
      <c r="Q2363" t="inlineStr">
        <is>
          <t>MAT-RF</t>
        </is>
      </c>
      <c r="R2363">
        <f>IF(OR(Q2363="CONTEXT",Q2363="REVIEW"),"",INDEX('Category Rules'!$D$5:$D$17,MATCH(P2363,'Category Rules'!$A$5:$A$17,0)))</f>
        <v>4030</v>
      </c>
      <c r="S2363" t="str">
        <f>IF(Q2363="CONTEXT","Roofing",IF(Q2363="REVIEW","",INDEX('Category Rules'!$E$5:$E$17,MATCH(P2363,'Category Rules'!$A$5:$A$17,0))))</f>
        <v>Roofing</v>
      </c>
      <c r="T2363" t="str">
        <f>IF(Q2363="DEP","BAS Excluded","GST on Income")</f>
        <v>GST on Income</v>
      </c>
      <c r="U2363">
        <f>IF(O2363=T2363,1,0)</f>
        <v>1</v>
      </c>
      <c r="V2363" s="9">
        <f>IF(OR(M2363=0,U2363=1),0,IF(T2363="GST on Income",ROUND(K2363*0.1,2),ROUND(-K2363*0.1,2)))</f>
        <v>0</v>
      </c>
    </row>
    <row r="2364">
      <c r="A2364" t="inlineStr">
        <is>
          <t>INV-5896-1</t>
        </is>
      </c>
      <c r="B2364" t="inlineStr">
        <is>
          <t>INV-5896</t>
        </is>
      </c>
      <c r="C2364" s="11" t="n">
        <v>46178</v>
      </c>
      <c r="D2364" t="inlineStr">
        <is>
          <t>2026-06</t>
        </is>
      </c>
      <c r="E2364" t="inlineStr">
        <is>
          <t>C0039</t>
        </is>
      </c>
      <c r="F2364" t="inlineStr">
        <is>
          <t>C0039</t>
        </is>
      </c>
      <c r="G2364" t="inlineStr">
        <is>
          <t>Coastline Developments Pty Ltd</t>
        </is>
      </c>
      <c r="H2364" t="inlineStr"/>
      <c r="I2364" t="inlineStr">
        <is>
          <t>Misc charges</t>
        </is>
      </c>
      <c r="J2364" t="n">
        <v>1</v>
      </c>
      <c r="K2364" s="9" t="n">
        <v>3305.12</v>
      </c>
      <c r="L2364" t="inlineStr">
        <is>
          <t>PAID</t>
        </is>
      </c>
      <c r="M2364">
        <f>IF(L2364="VOIDED",0,1)</f>
        <v>1</v>
      </c>
      <c r="N2364" t="n">
        <v>200</v>
      </c>
      <c r="O2364" t="inlineStr">
        <is>
          <t>GST on Income</t>
        </is>
      </c>
      <c r="P2364" t="inlineStr">
        <is>
          <t>--</t>
        </is>
      </c>
      <c r="Q2364" t="inlineStr">
        <is>
          <t>REVIEW</t>
        </is>
      </c>
      <c r="R2364">
        <f>IF(OR(Q2364="CONTEXT",Q2364="REVIEW"),"",INDEX('Category Rules'!$D$5:$D$17,MATCH(P2364,'Category Rules'!$A$5:$A$17,0)))</f>
      </c>
      <c r="S2364">
        <f>IF(Q2364="CONTEXT","",IF(Q2364="REVIEW","",INDEX('Category Rules'!$E$5:$E$17,MATCH(P2364,'Category Rules'!$A$5:$A$17,0))))</f>
      </c>
      <c r="T2364" t="str">
        <f>IF(Q2364="DEP","BAS Excluded","GST on Income")</f>
        <v>GST on Income</v>
      </c>
      <c r="U2364">
        <f>IF(O2364=T2364,1,0)</f>
        <v>1</v>
      </c>
      <c r="V2364" s="9">
        <f>IF(OR(M2364=0,U2364=1),0,IF(T2364="GST on Income",ROUND(K2364*0.1,2),ROUND(-K2364*0.1,2)))</f>
        <v>0</v>
      </c>
    </row>
    <row r="2365">
      <c r="A2365" t="inlineStr">
        <is>
          <t>INV-4166-1</t>
        </is>
      </c>
      <c r="B2365" t="inlineStr">
        <is>
          <t>INV-4166</t>
        </is>
      </c>
      <c r="C2365" s="11" t="n">
        <v>46179</v>
      </c>
      <c r="D2365" t="inlineStr">
        <is>
          <t>2026-06</t>
        </is>
      </c>
      <c r="E2365" t="inlineStr">
        <is>
          <t>C0030</t>
        </is>
      </c>
      <c r="F2365" t="inlineStr">
        <is>
          <t>C0030</t>
        </is>
      </c>
      <c r="G2365" t="inlineStr">
        <is>
          <t>Bluegum Developments</t>
        </is>
      </c>
      <c r="H2365" t="inlineStr">
        <is>
          <t>S0012</t>
        </is>
      </c>
      <c r="I2365" t="inlineStr">
        <is>
          <t>Temporary fence hire 4 wks (09/05/26-05/06/26) - 86 panels</t>
        </is>
      </c>
      <c r="J2365" t="n">
        <v>344</v>
      </c>
      <c r="K2365" s="9" t="n">
        <v>1548</v>
      </c>
      <c r="L2365" t="inlineStr">
        <is>
          <t>PAID</t>
        </is>
      </c>
      <c r="M2365">
        <f>IF(L2365="VOIDED",0,1)</f>
        <v>1</v>
      </c>
      <c r="N2365" t="n">
        <v>200</v>
      </c>
      <c r="O2365" t="inlineStr">
        <is>
          <t>GST on Income</t>
        </is>
      </c>
      <c r="P2365" t="inlineStr">
        <is>
          <t>R03</t>
        </is>
      </c>
      <c r="Q2365" t="inlineStr">
        <is>
          <t>HIRE-FP</t>
        </is>
      </c>
      <c r="R2365">
        <f>IF(OR(Q2365="CONTEXT",Q2365="REVIEW"),"",INDEX('Category Rules'!$D$5:$D$17,MATCH(P2365,'Category Rules'!$A$5:$A$17,0)))</f>
        <v>4010</v>
      </c>
      <c r="S2365" t="str">
        <f>IF(Q2365="CONTEXT","Fencing",IF(Q2365="REVIEW","",INDEX('Category Rules'!$E$5:$E$17,MATCH(P2365,'Category Rules'!$A$5:$A$17,0))))</f>
        <v>Fencing</v>
      </c>
      <c r="T2365" t="str">
        <f>IF(Q2365="DEP","BAS Excluded","GST on Income")</f>
        <v>GST on Income</v>
      </c>
      <c r="U2365">
        <f>IF(O2365=T2365,1,0)</f>
        <v>1</v>
      </c>
      <c r="V2365" s="9">
        <f>IF(OR(M2365=0,U2365=1),0,IF(T2365="GST on Income",ROUND(K2365*0.1,2),ROUND(-K2365*0.1,2)))</f>
        <v>0</v>
      </c>
    </row>
    <row r="2366">
      <c r="A2366" t="inlineStr">
        <is>
          <t>INV-4168-1</t>
        </is>
      </c>
      <c r="B2366" t="inlineStr">
        <is>
          <t>INV-4168</t>
        </is>
      </c>
      <c r="C2366" s="11" t="n">
        <v>46179</v>
      </c>
      <c r="D2366" t="inlineStr">
        <is>
          <t>2026-06</t>
        </is>
      </c>
      <c r="E2366" t="inlineStr">
        <is>
          <t>C0030</t>
        </is>
      </c>
      <c r="F2366" t="inlineStr">
        <is>
          <t>C0030</t>
        </is>
      </c>
      <c r="G2366" t="inlineStr">
        <is>
          <t>Bluegum Developments</t>
        </is>
      </c>
      <c r="H2366" t="inlineStr">
        <is>
          <t>S0012</t>
        </is>
      </c>
      <c r="I2366" t="inlineStr">
        <is>
          <t>Pedestrian barrier hire 4 wks (09/05/26-05/06/26) - 4 barriers</t>
        </is>
      </c>
      <c r="J2366" t="n">
        <v>16</v>
      </c>
      <c r="K2366" s="9" t="n">
        <v>51.2</v>
      </c>
      <c r="L2366" t="inlineStr">
        <is>
          <t>AUTHORISED</t>
        </is>
      </c>
      <c r="M2366">
        <f>IF(L2366="VOIDED",0,1)</f>
        <v>1</v>
      </c>
      <c r="N2366" t="n">
        <v>200</v>
      </c>
      <c r="O2366" t="inlineStr">
        <is>
          <t>GST on Income</t>
        </is>
      </c>
      <c r="P2366" t="inlineStr">
        <is>
          <t>R04</t>
        </is>
      </c>
      <c r="Q2366" t="inlineStr">
        <is>
          <t>HIRE-BR</t>
        </is>
      </c>
      <c r="R2366">
        <f>IF(OR(Q2366="CONTEXT",Q2366="REVIEW"),"",INDEX('Category Rules'!$D$5:$D$17,MATCH(P2366,'Category Rules'!$A$5:$A$17,0)))</f>
        <v>4010</v>
      </c>
      <c r="S2366" t="str">
        <f>IF(Q2366="CONTEXT","Fencing",IF(Q2366="REVIEW","",INDEX('Category Rules'!$E$5:$E$17,MATCH(P2366,'Category Rules'!$A$5:$A$17,0))))</f>
        <v>Fencing</v>
      </c>
      <c r="T2366" t="str">
        <f>IF(Q2366="DEP","BAS Excluded","GST on Income")</f>
        <v>GST on Income</v>
      </c>
      <c r="U2366">
        <f>IF(O2366=T2366,1,0)</f>
        <v>1</v>
      </c>
      <c r="V2366" s="9">
        <f>IF(OR(M2366=0,U2366=1),0,IF(T2366="GST on Income",ROUND(K2366*0.1,2),ROUND(-K2366*0.1,2)))</f>
        <v>0</v>
      </c>
    </row>
    <row r="2367">
      <c r="A2367" t="inlineStr">
        <is>
          <t>INV-4896-1</t>
        </is>
      </c>
      <c r="B2367" t="inlineStr">
        <is>
          <t>INV-4896</t>
        </is>
      </c>
      <c r="C2367" s="11" t="n">
        <v>46179</v>
      </c>
      <c r="D2367" t="inlineStr">
        <is>
          <t>2026-06</t>
        </is>
      </c>
      <c r="E2367" t="inlineStr">
        <is>
          <t>C0017</t>
        </is>
      </c>
      <c r="F2367" t="inlineStr">
        <is>
          <t>C0017</t>
        </is>
      </c>
      <c r="G2367" t="inlineStr">
        <is>
          <t>Cobalt Developments Pty Ltd</t>
        </is>
      </c>
      <c r="H2367" t="inlineStr">
        <is>
          <t>S0168</t>
        </is>
      </c>
      <c r="I2367" t="inlineStr">
        <is>
          <t>Temporary fence hire 4 wks (09/05/26-05/06/26) - 127 panels</t>
        </is>
      </c>
      <c r="J2367" t="n">
        <v>508</v>
      </c>
      <c r="K2367" s="9" t="n">
        <v>2286</v>
      </c>
      <c r="L2367" t="inlineStr">
        <is>
          <t>PAID</t>
        </is>
      </c>
      <c r="M2367">
        <f>IF(L2367="VOIDED",0,1)</f>
        <v>1</v>
      </c>
      <c r="N2367" t="n">
        <v>200</v>
      </c>
      <c r="O2367" t="inlineStr">
        <is>
          <t>GST on Income</t>
        </is>
      </c>
      <c r="P2367" t="inlineStr">
        <is>
          <t>R03</t>
        </is>
      </c>
      <c r="Q2367" t="inlineStr">
        <is>
          <t>HIRE-FP</t>
        </is>
      </c>
      <c r="R2367">
        <f>IF(OR(Q2367="CONTEXT",Q2367="REVIEW"),"",INDEX('Category Rules'!$D$5:$D$17,MATCH(P2367,'Category Rules'!$A$5:$A$17,0)))</f>
        <v>4010</v>
      </c>
      <c r="S2367" t="str">
        <f>IF(Q2367="CONTEXT","Fencing",IF(Q2367="REVIEW","",INDEX('Category Rules'!$E$5:$E$17,MATCH(P2367,'Category Rules'!$A$5:$A$17,0))))</f>
        <v>Fencing</v>
      </c>
      <c r="T2367" t="str">
        <f>IF(Q2367="DEP","BAS Excluded","GST on Income")</f>
        <v>GST on Income</v>
      </c>
      <c r="U2367">
        <f>IF(O2367=T2367,1,0)</f>
        <v>1</v>
      </c>
      <c r="V2367" s="9">
        <f>IF(OR(M2367=0,U2367=1),0,IF(T2367="GST on Income",ROUND(K2367*0.1,2),ROUND(-K2367*0.1,2)))</f>
        <v>0</v>
      </c>
    </row>
    <row r="2368">
      <c r="A2368" t="inlineStr">
        <is>
          <t>INV-4926-1</t>
        </is>
      </c>
      <c r="B2368" t="inlineStr">
        <is>
          <t>INV-4926</t>
        </is>
      </c>
      <c r="C2368" s="11" t="n">
        <v>46179</v>
      </c>
      <c r="D2368" t="inlineStr">
        <is>
          <t>2026-06</t>
        </is>
      </c>
      <c r="E2368" t="inlineStr">
        <is>
          <t>C0070</t>
        </is>
      </c>
      <c r="F2368" t="inlineStr">
        <is>
          <t>C0070</t>
        </is>
      </c>
      <c r="G2368" t="inlineStr">
        <is>
          <t>Banyule City Council</t>
        </is>
      </c>
      <c r="H2368" t="inlineStr">
        <is>
          <t>S0175</t>
        </is>
      </c>
      <c r="I2368" t="inlineStr">
        <is>
          <t>Temporary fence hire 1 wks (05/06/26-05/06/26) - 129 panels</t>
        </is>
      </c>
      <c r="J2368" t="n">
        <v>129</v>
      </c>
      <c r="K2368" s="9" t="n">
        <v>580.5</v>
      </c>
      <c r="L2368" t="inlineStr">
        <is>
          <t>PAID</t>
        </is>
      </c>
      <c r="M2368">
        <f>IF(L2368="VOIDED",0,1)</f>
        <v>1</v>
      </c>
      <c r="N2368" t="n">
        <v>200</v>
      </c>
      <c r="O2368" t="inlineStr">
        <is>
          <t>GST on Income</t>
        </is>
      </c>
      <c r="P2368" t="inlineStr">
        <is>
          <t>R03</t>
        </is>
      </c>
      <c r="Q2368" t="inlineStr">
        <is>
          <t>HIRE-FP</t>
        </is>
      </c>
      <c r="R2368">
        <f>IF(OR(Q2368="CONTEXT",Q2368="REVIEW"),"",INDEX('Category Rules'!$D$5:$D$17,MATCH(P2368,'Category Rules'!$A$5:$A$17,0)))</f>
        <v>4010</v>
      </c>
      <c r="S2368" t="str">
        <f>IF(Q2368="CONTEXT","Fencing",IF(Q2368="REVIEW","",INDEX('Category Rules'!$E$5:$E$17,MATCH(P2368,'Category Rules'!$A$5:$A$17,0))))</f>
        <v>Fencing</v>
      </c>
      <c r="T2368" t="str">
        <f>IF(Q2368="DEP","BAS Excluded","GST on Income")</f>
        <v>GST on Income</v>
      </c>
      <c r="U2368">
        <f>IF(O2368=T2368,1,0)</f>
        <v>1</v>
      </c>
      <c r="V2368" s="9">
        <f>IF(OR(M2368=0,U2368=1),0,IF(T2368="GST on Income",ROUND(K2368*0.1,2),ROUND(-K2368*0.1,2)))</f>
        <v>0</v>
      </c>
    </row>
    <row r="2369">
      <c r="A2369" t="inlineStr">
        <is>
          <t>INV-4928-1</t>
        </is>
      </c>
      <c r="B2369" t="inlineStr">
        <is>
          <t>INV-4928</t>
        </is>
      </c>
      <c r="C2369" s="11" t="n">
        <v>46179</v>
      </c>
      <c r="D2369" t="inlineStr">
        <is>
          <t>2026-06</t>
        </is>
      </c>
      <c r="E2369" t="inlineStr">
        <is>
          <t>C0070</t>
        </is>
      </c>
      <c r="F2369" t="inlineStr">
        <is>
          <t>C0070</t>
        </is>
      </c>
      <c r="G2369" t="inlineStr">
        <is>
          <t>Banyule City Council</t>
        </is>
      </c>
      <c r="H2369" t="inlineStr">
        <is>
          <t>S0175</t>
        </is>
      </c>
      <c r="I2369" t="inlineStr">
        <is>
          <t>Collection and dismantle - temporary fencing</t>
        </is>
      </c>
      <c r="J2369" t="n">
        <v>1</v>
      </c>
      <c r="K2369" s="9" t="n">
        <v>165</v>
      </c>
      <c r="L2369" t="inlineStr">
        <is>
          <t>PAID</t>
        </is>
      </c>
      <c r="M2369">
        <f>IF(L2369="VOIDED",0,1)</f>
        <v>1</v>
      </c>
      <c r="N2369" t="n">
        <v>200</v>
      </c>
      <c r="O2369" t="inlineStr">
        <is>
          <t>GST on Income</t>
        </is>
      </c>
      <c r="P2369" t="inlineStr">
        <is>
          <t>R07</t>
        </is>
      </c>
      <c r="Q2369" t="inlineStr">
        <is>
          <t>DEL-FP</t>
        </is>
      </c>
      <c r="R2369">
        <f>IF(OR(Q2369="CONTEXT",Q2369="REVIEW"),"",INDEX('Category Rules'!$D$5:$D$17,MATCH(P2369,'Category Rules'!$A$5:$A$17,0)))</f>
        <v>4020</v>
      </c>
      <c r="S2369" t="str">
        <f>IF(Q2369="CONTEXT","Fencing",IF(Q2369="REVIEW","",INDEX('Category Rules'!$E$5:$E$17,MATCH(P2369,'Category Rules'!$A$5:$A$17,0))))</f>
        <v>Fencing</v>
      </c>
      <c r="T2369" t="str">
        <f>IF(Q2369="DEP","BAS Excluded","GST on Income")</f>
        <v>GST on Income</v>
      </c>
      <c r="U2369">
        <f>IF(O2369=T2369,1,0)</f>
        <v>1</v>
      </c>
      <c r="V2369" s="9">
        <f>IF(OR(M2369=0,U2369=1),0,IF(T2369="GST on Income",ROUND(K2369*0.1,2),ROUND(-K2369*0.1,2)))</f>
        <v>0</v>
      </c>
    </row>
    <row r="2370">
      <c r="A2370" t="inlineStr">
        <is>
          <t>INV-5933-1</t>
        </is>
      </c>
      <c r="B2370" t="inlineStr">
        <is>
          <t>INV-5933</t>
        </is>
      </c>
      <c r="C2370" s="11" t="n">
        <v>46179</v>
      </c>
      <c r="D2370" t="inlineStr">
        <is>
          <t>2026-06</t>
        </is>
      </c>
      <c r="E2370" t="inlineStr">
        <is>
          <t>C0022</t>
        </is>
      </c>
      <c r="F2370" t="inlineStr">
        <is>
          <t>C0022</t>
        </is>
      </c>
      <c r="G2370" t="inlineStr">
        <is>
          <t>Highpoint Projects</t>
        </is>
      </c>
      <c r="H2370" t="inlineStr">
        <is>
          <t>S0033</t>
        </is>
      </c>
      <c r="I2370" t="inlineStr">
        <is>
          <t>Job 1301 - progress claim</t>
        </is>
      </c>
      <c r="J2370" t="n">
        <v>1</v>
      </c>
      <c r="K2370" s="9" t="n">
        <v>3483.89</v>
      </c>
      <c r="L2370" t="inlineStr">
        <is>
          <t>AUTHORISED</t>
        </is>
      </c>
      <c r="M2370">
        <f>IF(L2370="VOIDED",0,1)</f>
        <v>1</v>
      </c>
      <c r="N2370" t="n">
        <v>200</v>
      </c>
      <c r="O2370" t="inlineStr">
        <is>
          <t>GST on Income</t>
        </is>
      </c>
      <c r="P2370" t="inlineStr">
        <is>
          <t>R12</t>
        </is>
      </c>
      <c r="Q2370" t="inlineStr">
        <is>
          <t>CONTEXT</t>
        </is>
      </c>
      <c r="R2370">
        <f>IF(OR(Q2370="CONTEXT",Q2370="REVIEW"),"",INDEX('Category Rules'!$D$5:$D$17,MATCH(P2370,'Category Rules'!$A$5:$A$17,0)))</f>
      </c>
      <c r="S2370" t="str">
        <f>IF(Q2370="CONTEXT","Fencing",IF(Q2370="REVIEW","",INDEX('Category Rules'!$E$5:$E$17,MATCH(P2370,'Category Rules'!$A$5:$A$17,0))))</f>
        <v>Fencing</v>
      </c>
      <c r="T2370" t="str">
        <f>IF(Q2370="DEP","BAS Excluded","GST on Income")</f>
        <v>GST on Income</v>
      </c>
      <c r="U2370">
        <f>IF(O2370=T2370,1,0)</f>
        <v>1</v>
      </c>
      <c r="V2370" s="9">
        <f>IF(OR(M2370=0,U2370=1),0,IF(T2370="GST on Income",ROUND(K2370*0.1,2),ROUND(-K2370*0.1,2)))</f>
        <v>0</v>
      </c>
    </row>
    <row r="2371">
      <c r="A2371" t="inlineStr">
        <is>
          <t>INV-4225-1</t>
        </is>
      </c>
      <c r="B2371" t="inlineStr">
        <is>
          <t>INV-4225</t>
        </is>
      </c>
      <c r="C2371" s="11" t="n">
        <v>46180</v>
      </c>
      <c r="D2371" t="inlineStr">
        <is>
          <t>2026-06</t>
        </is>
      </c>
      <c r="E2371" t="inlineStr">
        <is>
          <t>C0052</t>
        </is>
      </c>
      <c r="F2371" t="inlineStr">
        <is>
          <t>C0052</t>
        </is>
      </c>
      <c r="G2371" t="inlineStr">
        <is>
          <t>Bluegum Body Corporate Pty Ltd</t>
        </is>
      </c>
      <c r="H2371" t="inlineStr">
        <is>
          <t>S0023</t>
        </is>
      </c>
      <c r="I2371" t="inlineStr">
        <is>
          <t>Delivery and installation - temporary fencing</t>
        </is>
      </c>
      <c r="J2371" t="n">
        <v>1</v>
      </c>
      <c r="K2371" s="9" t="n">
        <v>165</v>
      </c>
      <c r="L2371" t="inlineStr">
        <is>
          <t>PAID</t>
        </is>
      </c>
      <c r="M2371">
        <f>IF(L2371="VOIDED",0,1)</f>
        <v>1</v>
      </c>
      <c r="N2371" t="n">
        <v>200</v>
      </c>
      <c r="O2371" t="inlineStr">
        <is>
          <t>GST on Income</t>
        </is>
      </c>
      <c r="P2371" t="inlineStr">
        <is>
          <t>R07</t>
        </is>
      </c>
      <c r="Q2371" t="inlineStr">
        <is>
          <t>DEL-FP</t>
        </is>
      </c>
      <c r="R2371">
        <f>IF(OR(Q2371="CONTEXT",Q2371="REVIEW"),"",INDEX('Category Rules'!$D$5:$D$17,MATCH(P2371,'Category Rules'!$A$5:$A$17,0)))</f>
        <v>4020</v>
      </c>
      <c r="S2371" t="str">
        <f>IF(Q2371="CONTEXT","Fencing",IF(Q2371="REVIEW","",INDEX('Category Rules'!$E$5:$E$17,MATCH(P2371,'Category Rules'!$A$5:$A$17,0))))</f>
        <v>Fencing</v>
      </c>
      <c r="T2371" t="str">
        <f>IF(Q2371="DEP","BAS Excluded","GST on Income")</f>
        <v>GST on Income</v>
      </c>
      <c r="U2371">
        <f>IF(O2371=T2371,1,0)</f>
        <v>1</v>
      </c>
      <c r="V2371" s="9">
        <f>IF(OR(M2371=0,U2371=1),0,IF(T2371="GST on Income",ROUND(K2371*0.1,2),ROUND(-K2371*0.1,2)))</f>
        <v>0</v>
      </c>
    </row>
    <row r="2372">
      <c r="A2372" t="inlineStr">
        <is>
          <t>INV-4225-2</t>
        </is>
      </c>
      <c r="B2372" t="inlineStr">
        <is>
          <t>INV-4225</t>
        </is>
      </c>
      <c r="C2372" s="11" t="n">
        <v>46180</v>
      </c>
      <c r="D2372" t="inlineStr">
        <is>
          <t>2026-06</t>
        </is>
      </c>
      <c r="E2372" t="inlineStr">
        <is>
          <t>C0052</t>
        </is>
      </c>
      <c r="F2372" t="inlineStr">
        <is>
          <t>C0052</t>
        </is>
      </c>
      <c r="G2372" t="inlineStr">
        <is>
          <t>Bluegum Body Corporate Pty Ltd</t>
        </is>
      </c>
      <c r="H2372" t="inlineStr">
        <is>
          <t>S0023</t>
        </is>
      </c>
      <c r="I2372" t="inlineStr">
        <is>
          <t>Installation labour - 117 panels @ 2.20</t>
        </is>
      </c>
      <c r="J2372" t="n">
        <v>117</v>
      </c>
      <c r="K2372" s="9" t="n">
        <v>257.4</v>
      </c>
      <c r="L2372" t="inlineStr">
        <is>
          <t>PAID</t>
        </is>
      </c>
      <c r="M2372">
        <f>IF(L2372="VOIDED",0,1)</f>
        <v>1</v>
      </c>
      <c r="N2372" t="n">
        <v>200</v>
      </c>
      <c r="O2372" t="inlineStr">
        <is>
          <t>GST on Income</t>
        </is>
      </c>
      <c r="P2372" t="inlineStr">
        <is>
          <t>R07</t>
        </is>
      </c>
      <c r="Q2372" t="inlineStr">
        <is>
          <t>DEL-FP</t>
        </is>
      </c>
      <c r="R2372">
        <f>IF(OR(Q2372="CONTEXT",Q2372="REVIEW"),"",INDEX('Category Rules'!$D$5:$D$17,MATCH(P2372,'Category Rules'!$A$5:$A$17,0)))</f>
        <v>4020</v>
      </c>
      <c r="S2372" t="str">
        <f>IF(Q2372="CONTEXT","Fencing",IF(Q2372="REVIEW","",INDEX('Category Rules'!$E$5:$E$17,MATCH(P2372,'Category Rules'!$A$5:$A$17,0))))</f>
        <v>Fencing</v>
      </c>
      <c r="T2372" t="str">
        <f>IF(Q2372="DEP","BAS Excluded","GST on Income")</f>
        <v>GST on Income</v>
      </c>
      <c r="U2372">
        <f>IF(O2372=T2372,1,0)</f>
        <v>1</v>
      </c>
      <c r="V2372" s="9">
        <f>IF(OR(M2372=0,U2372=1),0,IF(T2372="GST on Income",ROUND(K2372*0.1,2),ROUND(-K2372*0.1,2)))</f>
        <v>0</v>
      </c>
    </row>
    <row r="2373">
      <c r="A2373" t="inlineStr">
        <is>
          <t>INV-4225-3</t>
        </is>
      </c>
      <c r="B2373" t="inlineStr">
        <is>
          <t>INV-4225</t>
        </is>
      </c>
      <c r="C2373" s="11" t="n">
        <v>46180</v>
      </c>
      <c r="D2373" t="inlineStr">
        <is>
          <t>2026-06</t>
        </is>
      </c>
      <c r="E2373" t="inlineStr">
        <is>
          <t>C0052</t>
        </is>
      </c>
      <c r="F2373" t="inlineStr">
        <is>
          <t>C0052</t>
        </is>
      </c>
      <c r="G2373" t="inlineStr">
        <is>
          <t>Bluegum Body Corporate Pty Ltd</t>
        </is>
      </c>
      <c r="H2373" t="inlineStr">
        <is>
          <t>S0023</t>
        </is>
      </c>
      <c r="I2373" t="inlineStr">
        <is>
          <t>Security deposit - fence panels (refundable)</t>
        </is>
      </c>
      <c r="J2373" t="n">
        <v>1</v>
      </c>
      <c r="K2373" s="9" t="n">
        <v>940</v>
      </c>
      <c r="L2373" t="inlineStr">
        <is>
          <t>PAID</t>
        </is>
      </c>
      <c r="M2373">
        <f>IF(L2373="VOIDED",0,1)</f>
        <v>1</v>
      </c>
      <c r="N2373" t="n">
        <v>200</v>
      </c>
      <c r="O2373" t="inlineStr">
        <is>
          <t>GST on Income</t>
        </is>
      </c>
      <c r="P2373" t="inlineStr">
        <is>
          <t>R01</t>
        </is>
      </c>
      <c r="Q2373" t="inlineStr">
        <is>
          <t>DEP</t>
        </is>
      </c>
      <c r="R2373">
        <f>IF(OR(Q2373="CONTEXT",Q2373="REVIEW"),"",INDEX('Category Rules'!$D$5:$D$17,MATCH(P2373,'Category Rules'!$A$5:$A$17,0)))</f>
        <v>835</v>
      </c>
      <c r="S2373" t="str">
        <f>IF(Q2373="CONTEXT","Fencing",IF(Q2373="REVIEW","",INDEX('Category Rules'!$E$5:$E$17,MATCH(P2373,'Category Rules'!$A$5:$A$17,0))))</f>
        <v>Fencing</v>
      </c>
      <c r="T2373" t="str">
        <f>IF(Q2373="DEP","BAS Excluded","GST on Income")</f>
        <v>BAS Excluded</v>
      </c>
      <c r="U2373">
        <f>IF(O2373=T2373,1,0)</f>
        <v>0</v>
      </c>
      <c r="V2373" s="9">
        <f>IF(OR(M2373=0,U2373=1),0,IF(T2373="GST on Income",ROUND(K2373*0.1,2),ROUND(-K2373*0.1,2)))</f>
        <v>-94</v>
      </c>
    </row>
    <row r="2374">
      <c r="A2374" t="inlineStr">
        <is>
          <t>INV-4252-1</t>
        </is>
      </c>
      <c r="B2374" t="inlineStr">
        <is>
          <t>INV-4252</t>
        </is>
      </c>
      <c r="C2374" s="11" t="n">
        <v>46180</v>
      </c>
      <c r="D2374" t="inlineStr">
        <is>
          <t>2026-06</t>
        </is>
      </c>
      <c r="E2374" t="inlineStr">
        <is>
          <t>C0018</t>
        </is>
      </c>
      <c r="F2374" t="inlineStr">
        <is>
          <t>C0018</t>
        </is>
      </c>
      <c r="G2374" t="inlineStr">
        <is>
          <t>Wattle Constructions Pty Ltd</t>
        </is>
      </c>
      <c r="H2374" t="inlineStr">
        <is>
          <t>S0030</t>
        </is>
      </c>
      <c r="I2374" t="inlineStr">
        <is>
          <t>Delivery and installation - temporary fencing</t>
        </is>
      </c>
      <c r="J2374" t="n">
        <v>1</v>
      </c>
      <c r="K2374" s="9" t="n">
        <v>165</v>
      </c>
      <c r="L2374" t="inlineStr">
        <is>
          <t>AUTHORISED</t>
        </is>
      </c>
      <c r="M2374">
        <f>IF(L2374="VOIDED",0,1)</f>
        <v>1</v>
      </c>
      <c r="N2374" t="n">
        <v>200</v>
      </c>
      <c r="O2374" t="inlineStr">
        <is>
          <t>GST on Income</t>
        </is>
      </c>
      <c r="P2374" t="inlineStr">
        <is>
          <t>R07</t>
        </is>
      </c>
      <c r="Q2374" t="inlineStr">
        <is>
          <t>DEL-FP</t>
        </is>
      </c>
      <c r="R2374">
        <f>IF(OR(Q2374="CONTEXT",Q2374="REVIEW"),"",INDEX('Category Rules'!$D$5:$D$17,MATCH(P2374,'Category Rules'!$A$5:$A$17,0)))</f>
        <v>4020</v>
      </c>
      <c r="S2374" t="str">
        <f>IF(Q2374="CONTEXT","Fencing",IF(Q2374="REVIEW","",INDEX('Category Rules'!$E$5:$E$17,MATCH(P2374,'Category Rules'!$A$5:$A$17,0))))</f>
        <v>Fencing</v>
      </c>
      <c r="T2374" t="str">
        <f>IF(Q2374="DEP","BAS Excluded","GST on Income")</f>
        <v>GST on Income</v>
      </c>
      <c r="U2374">
        <f>IF(O2374=T2374,1,0)</f>
        <v>1</v>
      </c>
      <c r="V2374" s="9">
        <f>IF(OR(M2374=0,U2374=1),0,IF(T2374="GST on Income",ROUND(K2374*0.1,2),ROUND(-K2374*0.1,2)))</f>
        <v>0</v>
      </c>
    </row>
    <row r="2375">
      <c r="A2375" t="inlineStr">
        <is>
          <t>INV-4252-2</t>
        </is>
      </c>
      <c r="B2375" t="inlineStr">
        <is>
          <t>INV-4252</t>
        </is>
      </c>
      <c r="C2375" s="11" t="n">
        <v>46180</v>
      </c>
      <c r="D2375" t="inlineStr">
        <is>
          <t>2026-06</t>
        </is>
      </c>
      <c r="E2375" t="inlineStr">
        <is>
          <t>C0018</t>
        </is>
      </c>
      <c r="F2375" t="inlineStr">
        <is>
          <t>C0018</t>
        </is>
      </c>
      <c r="G2375" t="inlineStr">
        <is>
          <t>Wattle Constructions Pty Ltd</t>
        </is>
      </c>
      <c r="H2375" t="inlineStr">
        <is>
          <t>S0030</t>
        </is>
      </c>
      <c r="I2375" t="inlineStr">
        <is>
          <t>Installation labour - 136 panels @ 2.20</t>
        </is>
      </c>
      <c r="J2375" t="n">
        <v>136</v>
      </c>
      <c r="K2375" s="9" t="n">
        <v>299.2</v>
      </c>
      <c r="L2375" t="inlineStr">
        <is>
          <t>AUTHORISED</t>
        </is>
      </c>
      <c r="M2375">
        <f>IF(L2375="VOIDED",0,1)</f>
        <v>1</v>
      </c>
      <c r="N2375" t="n">
        <v>200</v>
      </c>
      <c r="O2375" t="inlineStr">
        <is>
          <t>GST on Income</t>
        </is>
      </c>
      <c r="P2375" t="inlineStr">
        <is>
          <t>R07</t>
        </is>
      </c>
      <c r="Q2375" t="inlineStr">
        <is>
          <t>DEL-FP</t>
        </is>
      </c>
      <c r="R2375">
        <f>IF(OR(Q2375="CONTEXT",Q2375="REVIEW"),"",INDEX('Category Rules'!$D$5:$D$17,MATCH(P2375,'Category Rules'!$A$5:$A$17,0)))</f>
        <v>4020</v>
      </c>
      <c r="S2375" t="str">
        <f>IF(Q2375="CONTEXT","Fencing",IF(Q2375="REVIEW","",INDEX('Category Rules'!$E$5:$E$17,MATCH(P2375,'Category Rules'!$A$5:$A$17,0))))</f>
        <v>Fencing</v>
      </c>
      <c r="T2375" t="str">
        <f>IF(Q2375="DEP","BAS Excluded","GST on Income")</f>
        <v>GST on Income</v>
      </c>
      <c r="U2375">
        <f>IF(O2375=T2375,1,0)</f>
        <v>1</v>
      </c>
      <c r="V2375" s="9">
        <f>IF(OR(M2375=0,U2375=1),0,IF(T2375="GST on Income",ROUND(K2375*0.1,2),ROUND(-K2375*0.1,2)))</f>
        <v>0</v>
      </c>
    </row>
    <row r="2376">
      <c r="A2376" t="inlineStr">
        <is>
          <t>INV-4252-3</t>
        </is>
      </c>
      <c r="B2376" t="inlineStr">
        <is>
          <t>INV-4252</t>
        </is>
      </c>
      <c r="C2376" s="11" t="n">
        <v>46180</v>
      </c>
      <c r="D2376" t="inlineStr">
        <is>
          <t>2026-06</t>
        </is>
      </c>
      <c r="E2376" t="inlineStr">
        <is>
          <t>C0018</t>
        </is>
      </c>
      <c r="F2376" t="inlineStr">
        <is>
          <t>C0018</t>
        </is>
      </c>
      <c r="G2376" t="inlineStr">
        <is>
          <t>Wattle Constructions Pty Ltd</t>
        </is>
      </c>
      <c r="H2376" t="inlineStr">
        <is>
          <t>S0030</t>
        </is>
      </c>
      <c r="I2376" t="inlineStr">
        <is>
          <t>Security deposit - fence panels (refundable)</t>
        </is>
      </c>
      <c r="J2376" t="n">
        <v>1</v>
      </c>
      <c r="K2376" s="9" t="n">
        <v>1090</v>
      </c>
      <c r="L2376" t="inlineStr">
        <is>
          <t>AUTHORISED</t>
        </is>
      </c>
      <c r="M2376">
        <f>IF(L2376="VOIDED",0,1)</f>
        <v>1</v>
      </c>
      <c r="N2376" t="n">
        <v>200</v>
      </c>
      <c r="O2376" t="inlineStr">
        <is>
          <t>GST on Income</t>
        </is>
      </c>
      <c r="P2376" t="inlineStr">
        <is>
          <t>R01</t>
        </is>
      </c>
      <c r="Q2376" t="inlineStr">
        <is>
          <t>DEP</t>
        </is>
      </c>
      <c r="R2376">
        <f>IF(OR(Q2376="CONTEXT",Q2376="REVIEW"),"",INDEX('Category Rules'!$D$5:$D$17,MATCH(P2376,'Category Rules'!$A$5:$A$17,0)))</f>
        <v>835</v>
      </c>
      <c r="S2376" t="str">
        <f>IF(Q2376="CONTEXT","Fencing",IF(Q2376="REVIEW","",INDEX('Category Rules'!$E$5:$E$17,MATCH(P2376,'Category Rules'!$A$5:$A$17,0))))</f>
        <v>Fencing</v>
      </c>
      <c r="T2376" t="str">
        <f>IF(Q2376="DEP","BAS Excluded","GST on Income")</f>
        <v>BAS Excluded</v>
      </c>
      <c r="U2376">
        <f>IF(O2376=T2376,1,0)</f>
        <v>0</v>
      </c>
      <c r="V2376" s="9">
        <f>IF(OR(M2376=0,U2376=1),0,IF(T2376="GST on Income",ROUND(K2376*0.1,2),ROUND(-K2376*0.1,2)))</f>
        <v>-109</v>
      </c>
    </row>
    <row r="2377">
      <c r="A2377" t="inlineStr">
        <is>
          <t>INV-4375-1</t>
        </is>
      </c>
      <c r="B2377" t="inlineStr">
        <is>
          <t>INV-4375</t>
        </is>
      </c>
      <c r="C2377" s="11" t="n">
        <v>46180</v>
      </c>
      <c r="D2377" t="inlineStr">
        <is>
          <t>2026-06</t>
        </is>
      </c>
      <c r="E2377" t="inlineStr">
        <is>
          <t>C0030</t>
        </is>
      </c>
      <c r="F2377" t="inlineStr">
        <is>
          <t>C0030</t>
        </is>
      </c>
      <c r="G2377" t="inlineStr">
        <is>
          <t>Bluegum Developments</t>
        </is>
      </c>
      <c r="H2377" t="inlineStr">
        <is>
          <t>S0056</t>
        </is>
      </c>
      <c r="I2377" t="inlineStr">
        <is>
          <t>Temporary fence hire 4 wks (10/05/26-06/06/26) - 51 panels</t>
        </is>
      </c>
      <c r="J2377" t="n">
        <v>204</v>
      </c>
      <c r="K2377" s="9" t="n">
        <v>918</v>
      </c>
      <c r="L2377" t="inlineStr">
        <is>
          <t>VOIDED</t>
        </is>
      </c>
      <c r="M2377">
        <f>IF(L2377="VOIDED",0,1)</f>
        <v>0</v>
      </c>
      <c r="N2377" t="n">
        <v>200</v>
      </c>
      <c r="O2377" t="inlineStr">
        <is>
          <t>GST on Income</t>
        </is>
      </c>
      <c r="P2377" t="inlineStr">
        <is>
          <t>R03</t>
        </is>
      </c>
      <c r="Q2377" t="inlineStr">
        <is>
          <t>HIRE-FP</t>
        </is>
      </c>
      <c r="R2377">
        <f>IF(OR(Q2377="CONTEXT",Q2377="REVIEW"),"",INDEX('Category Rules'!$D$5:$D$17,MATCH(P2377,'Category Rules'!$A$5:$A$17,0)))</f>
        <v>4010</v>
      </c>
      <c r="S2377" t="str">
        <f>IF(Q2377="CONTEXT","Fencing",IF(Q2377="REVIEW","",INDEX('Category Rules'!$E$5:$E$17,MATCH(P2377,'Category Rules'!$A$5:$A$17,0))))</f>
        <v>Fencing</v>
      </c>
      <c r="T2377" t="str">
        <f>IF(Q2377="DEP","BAS Excluded","GST on Income")</f>
        <v>GST on Income</v>
      </c>
      <c r="U2377">
        <f>IF(O2377=T2377,1,0)</f>
        <v>1</v>
      </c>
      <c r="V2377" s="9">
        <f>IF(OR(M2377=0,U2377=1),0,IF(T2377="GST on Income",ROUND(K2377*0.1,2),ROUND(-K2377*0.1,2)))</f>
        <v>0</v>
      </c>
    </row>
    <row r="2378">
      <c r="A2378" t="inlineStr">
        <is>
          <t>INV-4376-1</t>
        </is>
      </c>
      <c r="B2378" t="inlineStr">
        <is>
          <t>INV-4376</t>
        </is>
      </c>
      <c r="C2378" s="11" t="n">
        <v>46180</v>
      </c>
      <c r="D2378" t="inlineStr">
        <is>
          <t>2026-06</t>
        </is>
      </c>
      <c r="E2378" t="inlineStr">
        <is>
          <t>C0030</t>
        </is>
      </c>
      <c r="F2378" t="inlineStr">
        <is>
          <t>C0030</t>
        </is>
      </c>
      <c r="G2378" t="inlineStr">
        <is>
          <t>Bluegum Developments</t>
        </is>
      </c>
      <c r="H2378" t="inlineStr">
        <is>
          <t>S0056</t>
        </is>
      </c>
      <c r="I2378" t="inlineStr">
        <is>
          <t>Pedestrian barrier hire 4 wks (10/05/26-06/06/26) - 9 barriers</t>
        </is>
      </c>
      <c r="J2378" t="n">
        <v>36</v>
      </c>
      <c r="K2378" s="9" t="n">
        <v>115.2</v>
      </c>
      <c r="L2378" t="inlineStr">
        <is>
          <t>AUTHORISED</t>
        </is>
      </c>
      <c r="M2378">
        <f>IF(L2378="VOIDED",0,1)</f>
        <v>1</v>
      </c>
      <c r="N2378" t="n">
        <v>260</v>
      </c>
      <c r="O2378" t="inlineStr">
        <is>
          <t>GST on Income</t>
        </is>
      </c>
      <c r="P2378" t="inlineStr">
        <is>
          <t>R04</t>
        </is>
      </c>
      <c r="Q2378" t="inlineStr">
        <is>
          <t>HIRE-BR</t>
        </is>
      </c>
      <c r="R2378">
        <f>IF(OR(Q2378="CONTEXT",Q2378="REVIEW"),"",INDEX('Category Rules'!$D$5:$D$17,MATCH(P2378,'Category Rules'!$A$5:$A$17,0)))</f>
        <v>4010</v>
      </c>
      <c r="S2378" t="str">
        <f>IF(Q2378="CONTEXT","Fencing",IF(Q2378="REVIEW","",INDEX('Category Rules'!$E$5:$E$17,MATCH(P2378,'Category Rules'!$A$5:$A$17,0))))</f>
        <v>Fencing</v>
      </c>
      <c r="T2378" t="str">
        <f>IF(Q2378="DEP","BAS Excluded","GST on Income")</f>
        <v>GST on Income</v>
      </c>
      <c r="U2378">
        <f>IF(O2378=T2378,1,0)</f>
        <v>1</v>
      </c>
      <c r="V2378" s="9">
        <f>IF(OR(M2378=0,U2378=1),0,IF(T2378="GST on Income",ROUND(K2378*0.1,2),ROUND(-K2378*0.1,2)))</f>
        <v>0</v>
      </c>
    </row>
    <row r="2379">
      <c r="A2379" t="inlineStr">
        <is>
          <t>INV-4420-1</t>
        </is>
      </c>
      <c r="B2379" t="inlineStr">
        <is>
          <t>INV-4420</t>
        </is>
      </c>
      <c r="C2379" s="11" t="n">
        <v>46180</v>
      </c>
      <c r="D2379" t="inlineStr">
        <is>
          <t>2026-06</t>
        </is>
      </c>
      <c r="E2379" t="inlineStr">
        <is>
          <t>C0043</t>
        </is>
      </c>
      <c r="F2379" t="inlineStr">
        <is>
          <t>C0043</t>
        </is>
      </c>
      <c r="G2379" t="inlineStr">
        <is>
          <t>Banksia Projects Pty Ltd</t>
        </is>
      </c>
      <c r="H2379" t="inlineStr">
        <is>
          <t>S0064</t>
        </is>
      </c>
      <c r="I2379" t="inlineStr">
        <is>
          <t>Temporary fence hire 4 wks (10/05/26-06/06/26) - 42 panels</t>
        </is>
      </c>
      <c r="J2379" t="n">
        <v>168</v>
      </c>
      <c r="K2379" s="9" t="n">
        <v>756</v>
      </c>
      <c r="L2379" t="inlineStr">
        <is>
          <t>AUTHORISED</t>
        </is>
      </c>
      <c r="M2379">
        <f>IF(L2379="VOIDED",0,1)</f>
        <v>1</v>
      </c>
      <c r="N2379" t="n">
        <v>200</v>
      </c>
      <c r="O2379" t="inlineStr">
        <is>
          <t>GST on Income</t>
        </is>
      </c>
      <c r="P2379" t="inlineStr">
        <is>
          <t>R03</t>
        </is>
      </c>
      <c r="Q2379" t="inlineStr">
        <is>
          <t>HIRE-FP</t>
        </is>
      </c>
      <c r="R2379">
        <f>IF(OR(Q2379="CONTEXT",Q2379="REVIEW"),"",INDEX('Category Rules'!$D$5:$D$17,MATCH(P2379,'Category Rules'!$A$5:$A$17,0)))</f>
        <v>4010</v>
      </c>
      <c r="S2379" t="str">
        <f>IF(Q2379="CONTEXT","Fencing",IF(Q2379="REVIEW","",INDEX('Category Rules'!$E$5:$E$17,MATCH(P2379,'Category Rules'!$A$5:$A$17,0))))</f>
        <v>Fencing</v>
      </c>
      <c r="T2379" t="str">
        <f>IF(Q2379="DEP","BAS Excluded","GST on Income")</f>
        <v>GST on Income</v>
      </c>
      <c r="U2379">
        <f>IF(O2379=T2379,1,0)</f>
        <v>1</v>
      </c>
      <c r="V2379" s="9">
        <f>IF(OR(M2379=0,U2379=1),0,IF(T2379="GST on Income",ROUND(K2379*0.1,2),ROUND(-K2379*0.1,2)))</f>
        <v>0</v>
      </c>
    </row>
    <row r="2380">
      <c r="A2380" t="inlineStr">
        <is>
          <t>INV-4421-1</t>
        </is>
      </c>
      <c r="B2380" t="inlineStr">
        <is>
          <t>INV-4421</t>
        </is>
      </c>
      <c r="C2380" s="11" t="n">
        <v>46180</v>
      </c>
      <c r="D2380" t="inlineStr">
        <is>
          <t>2026-06</t>
        </is>
      </c>
      <c r="E2380" t="inlineStr">
        <is>
          <t>C0143</t>
        </is>
      </c>
      <c r="F2380" t="inlineStr">
        <is>
          <t>C0043</t>
        </is>
      </c>
      <c r="G2380" t="inlineStr">
        <is>
          <t>Banksia Projects Pty Ltd</t>
        </is>
      </c>
      <c r="H2380" t="inlineStr">
        <is>
          <t>S0064</t>
        </is>
      </c>
      <c r="I2380" t="inlineStr">
        <is>
          <t>Pedestrian barrier hire 4 wks (10/05/26-06/06/26) - 20 barriers</t>
        </is>
      </c>
      <c r="J2380" t="n">
        <v>80</v>
      </c>
      <c r="K2380" s="9" t="n">
        <v>256</v>
      </c>
      <c r="L2380" t="inlineStr">
        <is>
          <t>PAID</t>
        </is>
      </c>
      <c r="M2380">
        <f>IF(L2380="VOIDED",0,1)</f>
        <v>1</v>
      </c>
      <c r="N2380" t="n">
        <v>200</v>
      </c>
      <c r="O2380" t="inlineStr">
        <is>
          <t>GST on Income</t>
        </is>
      </c>
      <c r="P2380" t="inlineStr">
        <is>
          <t>R04</t>
        </is>
      </c>
      <c r="Q2380" t="inlineStr">
        <is>
          <t>HIRE-BR</t>
        </is>
      </c>
      <c r="R2380">
        <f>IF(OR(Q2380="CONTEXT",Q2380="REVIEW"),"",INDEX('Category Rules'!$D$5:$D$17,MATCH(P2380,'Category Rules'!$A$5:$A$17,0)))</f>
        <v>4010</v>
      </c>
      <c r="S2380" t="str">
        <f>IF(Q2380="CONTEXT","Fencing",IF(Q2380="REVIEW","",INDEX('Category Rules'!$E$5:$E$17,MATCH(P2380,'Category Rules'!$A$5:$A$17,0))))</f>
        <v>Fencing</v>
      </c>
      <c r="T2380" t="str">
        <f>IF(Q2380="DEP","BAS Excluded","GST on Income")</f>
        <v>GST on Income</v>
      </c>
      <c r="U2380">
        <f>IF(O2380=T2380,1,0)</f>
        <v>1</v>
      </c>
      <c r="V2380" s="9">
        <f>IF(OR(M2380=0,U2380=1),0,IF(T2380="GST on Income",ROUND(K2380*0.1,2),ROUND(-K2380*0.1,2)))</f>
        <v>0</v>
      </c>
    </row>
    <row r="2381">
      <c r="A2381" t="inlineStr">
        <is>
          <t>INV-4544-1</t>
        </is>
      </c>
      <c r="B2381" t="inlineStr">
        <is>
          <t>INV-4544</t>
        </is>
      </c>
      <c r="C2381" s="11" t="n">
        <v>46180</v>
      </c>
      <c r="D2381" t="inlineStr">
        <is>
          <t>2026-06</t>
        </is>
      </c>
      <c r="E2381" t="inlineStr">
        <is>
          <t>C0151</t>
        </is>
      </c>
      <c r="F2381" t="inlineStr">
        <is>
          <t>C0040</t>
        </is>
      </c>
      <c r="G2381" t="inlineStr">
        <is>
          <t>Coastline Projects Pty Ltd</t>
        </is>
      </c>
      <c r="H2381" t="inlineStr">
        <is>
          <t>S0089</t>
        </is>
      </c>
      <c r="I2381" t="inlineStr">
        <is>
          <t>Temporary fence hire 4 wks (10/05/26-06/06/26) - 19 panels</t>
        </is>
      </c>
      <c r="J2381" t="n">
        <v>76</v>
      </c>
      <c r="K2381" s="9" t="n">
        <v>342</v>
      </c>
      <c r="L2381" t="inlineStr">
        <is>
          <t>PAID</t>
        </is>
      </c>
      <c r="M2381">
        <f>IF(L2381="VOIDED",0,1)</f>
        <v>1</v>
      </c>
      <c r="N2381" t="n">
        <v>200</v>
      </c>
      <c r="O2381" t="inlineStr">
        <is>
          <t>GST on Income</t>
        </is>
      </c>
      <c r="P2381" t="inlineStr">
        <is>
          <t>R03</t>
        </is>
      </c>
      <c r="Q2381" t="inlineStr">
        <is>
          <t>HIRE-FP</t>
        </is>
      </c>
      <c r="R2381">
        <f>IF(OR(Q2381="CONTEXT",Q2381="REVIEW"),"",INDEX('Category Rules'!$D$5:$D$17,MATCH(P2381,'Category Rules'!$A$5:$A$17,0)))</f>
        <v>4010</v>
      </c>
      <c r="S2381" t="str">
        <f>IF(Q2381="CONTEXT","Fencing",IF(Q2381="REVIEW","",INDEX('Category Rules'!$E$5:$E$17,MATCH(P2381,'Category Rules'!$A$5:$A$17,0))))</f>
        <v>Fencing</v>
      </c>
      <c r="T2381" t="str">
        <f>IF(Q2381="DEP","BAS Excluded","GST on Income")</f>
        <v>GST on Income</v>
      </c>
      <c r="U2381">
        <f>IF(O2381=T2381,1,0)</f>
        <v>1</v>
      </c>
      <c r="V2381" s="9">
        <f>IF(OR(M2381=0,U2381=1),0,IF(T2381="GST on Income",ROUND(K2381*0.1,2),ROUND(-K2381*0.1,2)))</f>
        <v>0</v>
      </c>
    </row>
    <row r="2382">
      <c r="A2382" t="inlineStr">
        <is>
          <t>INV-5860-1</t>
        </is>
      </c>
      <c r="B2382" t="inlineStr">
        <is>
          <t>INV-5860</t>
        </is>
      </c>
      <c r="C2382" s="11" t="n">
        <v>46180</v>
      </c>
      <c r="D2382" t="inlineStr">
        <is>
          <t>2026-06</t>
        </is>
      </c>
      <c r="E2382" t="inlineStr">
        <is>
          <t>C0063</t>
        </is>
      </c>
      <c r="F2382" t="inlineStr">
        <is>
          <t>C0063</t>
        </is>
      </c>
      <c r="G2382" t="inlineStr">
        <is>
          <t>Highpoint Insurance Repairs Pty Ltd</t>
        </is>
      </c>
      <c r="H2382" t="inlineStr">
        <is>
          <t>S0526</t>
        </is>
      </c>
      <c r="I2382" t="inlineStr">
        <is>
          <t>Make safe call-out</t>
        </is>
      </c>
      <c r="J2382" t="n">
        <v>1</v>
      </c>
      <c r="K2382" s="9" t="n">
        <v>385</v>
      </c>
      <c r="L2382" t="inlineStr">
        <is>
          <t>AUTHORISED</t>
        </is>
      </c>
      <c r="M2382">
        <f>IF(L2382="VOIDED",0,1)</f>
        <v>1</v>
      </c>
      <c r="N2382" t="n">
        <v>200</v>
      </c>
      <c r="O2382" t="inlineStr">
        <is>
          <t>GST on Income</t>
        </is>
      </c>
      <c r="P2382" t="inlineStr">
        <is>
          <t>R09</t>
        </is>
      </c>
      <c r="Q2382" t="inlineStr">
        <is>
          <t>MS</t>
        </is>
      </c>
      <c r="R2382">
        <f>IF(OR(Q2382="CONTEXT",Q2382="REVIEW"),"",INDEX('Category Rules'!$D$5:$D$17,MATCH(P2382,'Category Rules'!$A$5:$A$17,0)))</f>
        <v>4020</v>
      </c>
      <c r="S2382" t="str">
        <f>IF(Q2382="CONTEXT","Make-safe",IF(Q2382="REVIEW","",INDEX('Category Rules'!$E$5:$E$17,MATCH(P2382,'Category Rules'!$A$5:$A$17,0))))</f>
        <v>Make-safe</v>
      </c>
      <c r="T2382" t="str">
        <f>IF(Q2382="DEP","BAS Excluded","GST on Income")</f>
        <v>GST on Income</v>
      </c>
      <c r="U2382">
        <f>IF(O2382=T2382,1,0)</f>
        <v>1</v>
      </c>
      <c r="V2382" s="9">
        <f>IF(OR(M2382=0,U2382=1),0,IF(T2382="GST on Income",ROUND(K2382*0.1,2),ROUND(-K2382*0.1,2)))</f>
        <v>0</v>
      </c>
    </row>
    <row r="2383">
      <c r="A2383" t="inlineStr">
        <is>
          <t>INV-5860-2</t>
        </is>
      </c>
      <c r="B2383" t="inlineStr">
        <is>
          <t>INV-5860</t>
        </is>
      </c>
      <c r="C2383" s="11" t="n">
        <v>46180</v>
      </c>
      <c r="D2383" t="inlineStr">
        <is>
          <t>2026-06</t>
        </is>
      </c>
      <c r="E2383" t="inlineStr">
        <is>
          <t>C0063</t>
        </is>
      </c>
      <c r="F2383" t="inlineStr">
        <is>
          <t>C0063</t>
        </is>
      </c>
      <c r="G2383" t="inlineStr">
        <is>
          <t>Highpoint Insurance Repairs Pty Ltd</t>
        </is>
      </c>
      <c r="H2383" t="inlineStr">
        <is>
          <t>S0526</t>
        </is>
      </c>
      <c r="I2383" t="inlineStr">
        <is>
          <t>Tarp supply and install - 3 tarp(s)</t>
        </is>
      </c>
      <c r="J2383" t="n">
        <v>3</v>
      </c>
      <c r="K2383" s="9" t="n">
        <v>720</v>
      </c>
      <c r="L2383" t="inlineStr">
        <is>
          <t>AUTHORISED</t>
        </is>
      </c>
      <c r="M2383">
        <f>IF(L2383="VOIDED",0,1)</f>
        <v>1</v>
      </c>
      <c r="N2383" t="n">
        <v>260</v>
      </c>
      <c r="O2383" t="inlineStr">
        <is>
          <t>GST on Income</t>
        </is>
      </c>
      <c r="P2383" t="inlineStr">
        <is>
          <t>R09</t>
        </is>
      </c>
      <c r="Q2383" t="inlineStr">
        <is>
          <t>MS</t>
        </is>
      </c>
      <c r="R2383">
        <f>IF(OR(Q2383="CONTEXT",Q2383="REVIEW"),"",INDEX('Category Rules'!$D$5:$D$17,MATCH(P2383,'Category Rules'!$A$5:$A$17,0)))</f>
        <v>4020</v>
      </c>
      <c r="S2383" t="str">
        <f>IF(Q2383="CONTEXT","Make-safe",IF(Q2383="REVIEW","",INDEX('Category Rules'!$E$5:$E$17,MATCH(P2383,'Category Rules'!$A$5:$A$17,0))))</f>
        <v>Make-safe</v>
      </c>
      <c r="T2383" t="str">
        <f>IF(Q2383="DEP","BAS Excluded","GST on Income")</f>
        <v>GST on Income</v>
      </c>
      <c r="U2383">
        <f>IF(O2383=T2383,1,0)</f>
        <v>1</v>
      </c>
      <c r="V2383" s="9">
        <f>IF(OR(M2383=0,U2383=1),0,IF(T2383="GST on Income",ROUND(K2383*0.1,2),ROUND(-K2383*0.1,2)))</f>
        <v>0</v>
      </c>
    </row>
    <row r="2384">
      <c r="A2384" t="inlineStr">
        <is>
          <t>INV-5551-1</t>
        </is>
      </c>
      <c r="B2384" t="inlineStr">
        <is>
          <t>INV-5551</t>
        </is>
      </c>
      <c r="C2384" s="11" t="n">
        <v>46181</v>
      </c>
      <c r="D2384" t="inlineStr">
        <is>
          <t>2026-06</t>
        </is>
      </c>
      <c r="E2384" t="inlineStr">
        <is>
          <t>C0062</t>
        </is>
      </c>
      <c r="F2384" t="inlineStr">
        <is>
          <t>C0062</t>
        </is>
      </c>
      <c r="G2384" t="inlineStr">
        <is>
          <t>Wattle Insurance Repairs Pty Ltd</t>
        </is>
      </c>
      <c r="H2384" t="inlineStr">
        <is>
          <t>S0350</t>
        </is>
      </c>
      <c r="I2384" t="inlineStr">
        <is>
          <t>Tarp kit hire 2 wks (31/05/26-07/06/26) - 3 kits</t>
        </is>
      </c>
      <c r="J2384" t="n">
        <v>6</v>
      </c>
      <c r="K2384" s="9" t="n">
        <v>210</v>
      </c>
      <c r="L2384" t="inlineStr">
        <is>
          <t>AUTHORISED</t>
        </is>
      </c>
      <c r="M2384">
        <f>IF(L2384="VOIDED",0,1)</f>
        <v>1</v>
      </c>
      <c r="N2384" t="n">
        <v>200</v>
      </c>
      <c r="O2384" t="inlineStr">
        <is>
          <t>GST on Income</t>
        </is>
      </c>
      <c r="P2384" t="inlineStr">
        <is>
          <t>R06</t>
        </is>
      </c>
      <c r="Q2384" t="inlineStr">
        <is>
          <t>HIRE-TK</t>
        </is>
      </c>
      <c r="R2384">
        <f>IF(OR(Q2384="CONTEXT",Q2384="REVIEW"),"",INDEX('Category Rules'!$D$5:$D$17,MATCH(P2384,'Category Rules'!$A$5:$A$17,0)))</f>
        <v>4010</v>
      </c>
      <c r="S2384" t="str">
        <f>IF(Q2384="CONTEXT","Make-safe",IF(Q2384="REVIEW","",INDEX('Category Rules'!$E$5:$E$17,MATCH(P2384,'Category Rules'!$A$5:$A$17,0))))</f>
        <v>Make-safe</v>
      </c>
      <c r="T2384" t="str">
        <f>IF(Q2384="DEP","BAS Excluded","GST on Income")</f>
        <v>GST on Income</v>
      </c>
      <c r="U2384">
        <f>IF(O2384=T2384,1,0)</f>
        <v>1</v>
      </c>
      <c r="V2384" s="9">
        <f>IF(OR(M2384=0,U2384=1),0,IF(T2384="GST on Income",ROUND(K2384*0.1,2),ROUND(-K2384*0.1,2)))</f>
        <v>0</v>
      </c>
    </row>
    <row r="2385">
      <c r="A2385" t="inlineStr">
        <is>
          <t>INV-5599-1</t>
        </is>
      </c>
      <c r="B2385" t="inlineStr">
        <is>
          <t>INV-5599</t>
        </is>
      </c>
      <c r="C2385" s="11" t="n">
        <v>46181</v>
      </c>
      <c r="D2385" t="inlineStr">
        <is>
          <t>2026-06</t>
        </is>
      </c>
      <c r="E2385" t="inlineStr">
        <is>
          <t>C0049</t>
        </is>
      </c>
      <c r="F2385" t="inlineStr">
        <is>
          <t>C0049</t>
        </is>
      </c>
      <c r="G2385" t="inlineStr">
        <is>
          <t>Fairway Body Corporate Pty Ltd</t>
        </is>
      </c>
      <c r="H2385" t="inlineStr">
        <is>
          <t>S0380</t>
        </is>
      </c>
      <c r="I2385" t="inlineStr">
        <is>
          <t>Emergency make safe call-out - after hours</t>
        </is>
      </c>
      <c r="J2385" t="n">
        <v>1</v>
      </c>
      <c r="K2385" s="9" t="n">
        <v>560</v>
      </c>
      <c r="L2385" t="inlineStr">
        <is>
          <t>AUTHORISED</t>
        </is>
      </c>
      <c r="M2385">
        <f>IF(L2385="VOIDED",0,1)</f>
        <v>1</v>
      </c>
      <c r="N2385" t="n">
        <v>200</v>
      </c>
      <c r="O2385" t="inlineStr">
        <is>
          <t>GST on Income</t>
        </is>
      </c>
      <c r="P2385" t="inlineStr">
        <is>
          <t>R09</t>
        </is>
      </c>
      <c r="Q2385" t="inlineStr">
        <is>
          <t>MS</t>
        </is>
      </c>
      <c r="R2385">
        <f>IF(OR(Q2385="CONTEXT",Q2385="REVIEW"),"",INDEX('Category Rules'!$D$5:$D$17,MATCH(P2385,'Category Rules'!$A$5:$A$17,0)))</f>
        <v>4020</v>
      </c>
      <c r="S2385" t="str">
        <f>IF(Q2385="CONTEXT","Make-safe",IF(Q2385="REVIEW","",INDEX('Category Rules'!$E$5:$E$17,MATCH(P2385,'Category Rules'!$A$5:$A$17,0))))</f>
        <v>Make-safe</v>
      </c>
      <c r="T2385" t="str">
        <f>IF(Q2385="DEP","BAS Excluded","GST on Income")</f>
        <v>GST on Income</v>
      </c>
      <c r="U2385">
        <f>IF(O2385=T2385,1,0)</f>
        <v>1</v>
      </c>
      <c r="V2385" s="9">
        <f>IF(OR(M2385=0,U2385=1),0,IF(T2385="GST on Income",ROUND(K2385*0.1,2),ROUND(-K2385*0.1,2)))</f>
        <v>0</v>
      </c>
    </row>
    <row r="2386">
      <c r="A2386" t="inlineStr">
        <is>
          <t>INV-5599-2</t>
        </is>
      </c>
      <c r="B2386" t="inlineStr">
        <is>
          <t>INV-5599</t>
        </is>
      </c>
      <c r="C2386" s="11" t="n">
        <v>46181</v>
      </c>
      <c r="D2386" t="inlineStr">
        <is>
          <t>2026-06</t>
        </is>
      </c>
      <c r="E2386" t="inlineStr">
        <is>
          <t>C0049</t>
        </is>
      </c>
      <c r="F2386" t="inlineStr">
        <is>
          <t>C0049</t>
        </is>
      </c>
      <c r="G2386" t="inlineStr">
        <is>
          <t>Fairway Body Corporate Pty Ltd</t>
        </is>
      </c>
      <c r="H2386" t="inlineStr">
        <is>
          <t>S0380</t>
        </is>
      </c>
      <c r="I2386" t="inlineStr">
        <is>
          <t>Tarp supply and install - 3 tarp(s)</t>
        </is>
      </c>
      <c r="J2386" t="n">
        <v>3</v>
      </c>
      <c r="K2386" s="9" t="n">
        <v>720</v>
      </c>
      <c r="L2386" t="inlineStr">
        <is>
          <t>AUTHORISED</t>
        </is>
      </c>
      <c r="M2386">
        <f>IF(L2386="VOIDED",0,1)</f>
        <v>1</v>
      </c>
      <c r="N2386" t="n">
        <v>200</v>
      </c>
      <c r="O2386" t="inlineStr">
        <is>
          <t>GST on Income</t>
        </is>
      </c>
      <c r="P2386" t="inlineStr">
        <is>
          <t>R09</t>
        </is>
      </c>
      <c r="Q2386" t="inlineStr">
        <is>
          <t>MS</t>
        </is>
      </c>
      <c r="R2386">
        <f>IF(OR(Q2386="CONTEXT",Q2386="REVIEW"),"",INDEX('Category Rules'!$D$5:$D$17,MATCH(P2386,'Category Rules'!$A$5:$A$17,0)))</f>
        <v>4020</v>
      </c>
      <c r="S2386" t="str">
        <f>IF(Q2386="CONTEXT","Make-safe",IF(Q2386="REVIEW","",INDEX('Category Rules'!$E$5:$E$17,MATCH(P2386,'Category Rules'!$A$5:$A$17,0))))</f>
        <v>Make-safe</v>
      </c>
      <c r="T2386" t="str">
        <f>IF(Q2386="DEP","BAS Excluded","GST on Income")</f>
        <v>GST on Income</v>
      </c>
      <c r="U2386">
        <f>IF(O2386=T2386,1,0)</f>
        <v>1</v>
      </c>
      <c r="V2386" s="9">
        <f>IF(OR(M2386=0,U2386=1),0,IF(T2386="GST on Income",ROUND(K2386*0.1,2),ROUND(-K2386*0.1,2)))</f>
        <v>0</v>
      </c>
    </row>
    <row r="2387">
      <c r="A2387" t="inlineStr">
        <is>
          <t>INV-5771-1</t>
        </is>
      </c>
      <c r="B2387" t="inlineStr">
        <is>
          <t>INV-5771</t>
        </is>
      </c>
      <c r="C2387" s="11" t="n">
        <v>46181</v>
      </c>
      <c r="D2387" t="inlineStr">
        <is>
          <t>2026-06</t>
        </is>
      </c>
      <c r="E2387" t="inlineStr">
        <is>
          <t>C0152</t>
        </is>
      </c>
      <c r="F2387" t="inlineStr">
        <is>
          <t>C0056</t>
        </is>
      </c>
      <c r="G2387" t="inlineStr">
        <is>
          <t>Northgate Strata Management</t>
        </is>
      </c>
      <c r="H2387" t="inlineStr">
        <is>
          <t>S0473</t>
        </is>
      </c>
      <c r="I2387" t="inlineStr">
        <is>
          <t>Roof repair labour - 3 hrs</t>
        </is>
      </c>
      <c r="J2387" t="n">
        <v>3</v>
      </c>
      <c r="K2387" s="9" t="n">
        <v>294</v>
      </c>
      <c r="L2387" t="inlineStr">
        <is>
          <t>PAID</t>
        </is>
      </c>
      <c r="M2387">
        <f>IF(L2387="VOIDED",0,1)</f>
        <v>1</v>
      </c>
      <c r="N2387" t="n">
        <v>200</v>
      </c>
      <c r="O2387" t="inlineStr">
        <is>
          <t>GST on Income</t>
        </is>
      </c>
      <c r="P2387" t="inlineStr">
        <is>
          <t>R10</t>
        </is>
      </c>
      <c r="Q2387" t="inlineStr">
        <is>
          <t>LAB-RF</t>
        </is>
      </c>
      <c r="R2387">
        <f>IF(OR(Q2387="CONTEXT",Q2387="REVIEW"),"",INDEX('Category Rules'!$D$5:$D$17,MATCH(P2387,'Category Rules'!$A$5:$A$17,0)))</f>
        <v>4020</v>
      </c>
      <c r="S2387" t="str">
        <f>IF(Q2387="CONTEXT","Roofing",IF(Q2387="REVIEW","",INDEX('Category Rules'!$E$5:$E$17,MATCH(P2387,'Category Rules'!$A$5:$A$17,0))))</f>
        <v>Roofing</v>
      </c>
      <c r="T2387" t="str">
        <f>IF(Q2387="DEP","BAS Excluded","GST on Income")</f>
        <v>GST on Income</v>
      </c>
      <c r="U2387">
        <f>IF(O2387=T2387,1,0)</f>
        <v>1</v>
      </c>
      <c r="V2387" s="9">
        <f>IF(OR(M2387=0,U2387=1),0,IF(T2387="GST on Income",ROUND(K2387*0.1,2),ROUND(-K2387*0.1,2)))</f>
        <v>0</v>
      </c>
    </row>
    <row r="2388">
      <c r="A2388" t="inlineStr">
        <is>
          <t>INV-5771-2</t>
        </is>
      </c>
      <c r="B2388" t="inlineStr">
        <is>
          <t>INV-5771</t>
        </is>
      </c>
      <c r="C2388" s="11" t="n">
        <v>46181</v>
      </c>
      <c r="D2388" t="inlineStr">
        <is>
          <t>2026-06</t>
        </is>
      </c>
      <c r="E2388" t="inlineStr">
        <is>
          <t>C0152</t>
        </is>
      </c>
      <c r="F2388" t="inlineStr">
        <is>
          <t>C0056</t>
        </is>
      </c>
      <c r="G2388" t="inlineStr">
        <is>
          <t>Northgate Strata Management</t>
        </is>
      </c>
      <c r="H2388" t="inlineStr">
        <is>
          <t>S0473</t>
        </is>
      </c>
      <c r="I2388" t="inlineStr">
        <is>
          <t>Materials - Colorbond sheet</t>
        </is>
      </c>
      <c r="J2388" t="n">
        <v>1</v>
      </c>
      <c r="K2388" s="9" t="n">
        <v>914.08</v>
      </c>
      <c r="L2388" t="inlineStr">
        <is>
          <t>PAID</t>
        </is>
      </c>
      <c r="M2388">
        <f>IF(L2388="VOIDED",0,1)</f>
        <v>1</v>
      </c>
      <c r="N2388" t="n">
        <v>200</v>
      </c>
      <c r="O2388" t="inlineStr">
        <is>
          <t>GST on Income</t>
        </is>
      </c>
      <c r="P2388" t="inlineStr">
        <is>
          <t>R11</t>
        </is>
      </c>
      <c r="Q2388" t="inlineStr">
        <is>
          <t>MAT-RF</t>
        </is>
      </c>
      <c r="R2388">
        <f>IF(OR(Q2388="CONTEXT",Q2388="REVIEW"),"",INDEX('Category Rules'!$D$5:$D$17,MATCH(P2388,'Category Rules'!$A$5:$A$17,0)))</f>
        <v>4030</v>
      </c>
      <c r="S2388" t="str">
        <f>IF(Q2388="CONTEXT","Roofing",IF(Q2388="REVIEW","",INDEX('Category Rules'!$E$5:$E$17,MATCH(P2388,'Category Rules'!$A$5:$A$17,0))))</f>
        <v>Roofing</v>
      </c>
      <c r="T2388" t="str">
        <f>IF(Q2388="DEP","BAS Excluded","GST on Income")</f>
        <v>GST on Income</v>
      </c>
      <c r="U2388">
        <f>IF(O2388=T2388,1,0)</f>
        <v>1</v>
      </c>
      <c r="V2388" s="9">
        <f>IF(OR(M2388=0,U2388=1),0,IF(T2388="GST on Income",ROUND(K2388*0.1,2),ROUND(-K2388*0.1,2)))</f>
        <v>0</v>
      </c>
    </row>
    <row r="2389">
      <c r="A2389" t="inlineStr">
        <is>
          <t>INV-5771-3</t>
        </is>
      </c>
      <c r="B2389" t="inlineStr">
        <is>
          <t>INV-5771</t>
        </is>
      </c>
      <c r="C2389" s="11" t="n">
        <v>46181</v>
      </c>
      <c r="D2389" t="inlineStr">
        <is>
          <t>2026-06</t>
        </is>
      </c>
      <c r="E2389" t="inlineStr">
        <is>
          <t>C0152</t>
        </is>
      </c>
      <c r="F2389" t="inlineStr">
        <is>
          <t>C0056</t>
        </is>
      </c>
      <c r="G2389" t="inlineStr">
        <is>
          <t>Northgate Strata Management</t>
        </is>
      </c>
      <c r="H2389" t="inlineStr">
        <is>
          <t>S0473</t>
        </is>
      </c>
      <c r="I2389" t="inlineStr">
        <is>
          <t>Materials - ridge capping</t>
        </is>
      </c>
      <c r="J2389" t="n">
        <v>1</v>
      </c>
      <c r="K2389" s="9" t="n">
        <v>1324.2</v>
      </c>
      <c r="L2389" t="inlineStr">
        <is>
          <t>PAID</t>
        </is>
      </c>
      <c r="M2389">
        <f>IF(L2389="VOIDED",0,1)</f>
        <v>1</v>
      </c>
      <c r="N2389" t="n">
        <v>200</v>
      </c>
      <c r="O2389" t="inlineStr">
        <is>
          <t>GST on Income</t>
        </is>
      </c>
      <c r="P2389" t="inlineStr">
        <is>
          <t>R11</t>
        </is>
      </c>
      <c r="Q2389" t="inlineStr">
        <is>
          <t>MAT-RF</t>
        </is>
      </c>
      <c r="R2389">
        <f>IF(OR(Q2389="CONTEXT",Q2389="REVIEW"),"",INDEX('Category Rules'!$D$5:$D$17,MATCH(P2389,'Category Rules'!$A$5:$A$17,0)))</f>
        <v>4030</v>
      </c>
      <c r="S2389" t="str">
        <f>IF(Q2389="CONTEXT","Roofing",IF(Q2389="REVIEW","",INDEX('Category Rules'!$E$5:$E$17,MATCH(P2389,'Category Rules'!$A$5:$A$17,0))))</f>
        <v>Roofing</v>
      </c>
      <c r="T2389" t="str">
        <f>IF(Q2389="DEP","BAS Excluded","GST on Income")</f>
        <v>GST on Income</v>
      </c>
      <c r="U2389">
        <f>IF(O2389=T2389,1,0)</f>
        <v>1</v>
      </c>
      <c r="V2389" s="9">
        <f>IF(OR(M2389=0,U2389=1),0,IF(T2389="GST on Income",ROUND(K2389*0.1,2),ROUND(-K2389*0.1,2)))</f>
        <v>0</v>
      </c>
    </row>
    <row r="2390">
      <c r="A2390" t="inlineStr">
        <is>
          <t>INV-5771-4</t>
        </is>
      </c>
      <c r="B2390" t="inlineStr">
        <is>
          <t>INV-5771</t>
        </is>
      </c>
      <c r="C2390" s="11" t="n">
        <v>46181</v>
      </c>
      <c r="D2390" t="inlineStr">
        <is>
          <t>2026-06</t>
        </is>
      </c>
      <c r="E2390" t="inlineStr">
        <is>
          <t>C0152</t>
        </is>
      </c>
      <c r="F2390" t="inlineStr">
        <is>
          <t>C0056</t>
        </is>
      </c>
      <c r="G2390" t="inlineStr">
        <is>
          <t>Northgate Strata Management</t>
        </is>
      </c>
      <c r="H2390" t="inlineStr">
        <is>
          <t>S0473</t>
        </is>
      </c>
      <c r="I2390" t="inlineStr">
        <is>
          <t>Materials - roof tiles (matched)</t>
        </is>
      </c>
      <c r="J2390" t="n">
        <v>1</v>
      </c>
      <c r="K2390" s="9" t="n">
        <v>238.7</v>
      </c>
      <c r="L2390" t="inlineStr">
        <is>
          <t>PAID</t>
        </is>
      </c>
      <c r="M2390">
        <f>IF(L2390="VOIDED",0,1)</f>
        <v>1</v>
      </c>
      <c r="N2390" t="n">
        <v>260</v>
      </c>
      <c r="O2390" t="inlineStr">
        <is>
          <t>GST on Income</t>
        </is>
      </c>
      <c r="P2390" t="inlineStr">
        <is>
          <t>R11</t>
        </is>
      </c>
      <c r="Q2390" t="inlineStr">
        <is>
          <t>MAT-RF</t>
        </is>
      </c>
      <c r="R2390">
        <f>IF(OR(Q2390="CONTEXT",Q2390="REVIEW"),"",INDEX('Category Rules'!$D$5:$D$17,MATCH(P2390,'Category Rules'!$A$5:$A$17,0)))</f>
        <v>4030</v>
      </c>
      <c r="S2390" t="str">
        <f>IF(Q2390="CONTEXT","Roofing",IF(Q2390="REVIEW","",INDEX('Category Rules'!$E$5:$E$17,MATCH(P2390,'Category Rules'!$A$5:$A$17,0))))</f>
        <v>Roofing</v>
      </c>
      <c r="T2390" t="str">
        <f>IF(Q2390="DEP","BAS Excluded","GST on Income")</f>
        <v>GST on Income</v>
      </c>
      <c r="U2390">
        <f>IF(O2390=T2390,1,0)</f>
        <v>1</v>
      </c>
      <c r="V2390" s="9">
        <f>IF(OR(M2390=0,U2390=1),0,IF(T2390="GST on Income",ROUND(K2390*0.1,2),ROUND(-K2390*0.1,2)))</f>
        <v>0</v>
      </c>
    </row>
    <row r="2391">
      <c r="A2391" t="inlineStr">
        <is>
          <t>INV-4545-1</t>
        </is>
      </c>
      <c r="B2391" t="inlineStr">
        <is>
          <t>INV-4545</t>
        </is>
      </c>
      <c r="C2391" s="11" t="n">
        <v>46182</v>
      </c>
      <c r="D2391" t="inlineStr">
        <is>
          <t>2026-06</t>
        </is>
      </c>
      <c r="E2391" t="inlineStr">
        <is>
          <t>C0040</t>
        </is>
      </c>
      <c r="F2391" t="inlineStr">
        <is>
          <t>C0040</t>
        </is>
      </c>
      <c r="G2391" t="inlineStr">
        <is>
          <t>Coastline Projects Pty Ltd</t>
        </is>
      </c>
      <c r="H2391" t="inlineStr">
        <is>
          <t>S0089</t>
        </is>
      </c>
      <c r="I2391" t="inlineStr">
        <is>
          <t>Temporary fence hire 1 wks (07/06/26-08/06/26) - 19 panels</t>
        </is>
      </c>
      <c r="J2391" t="n">
        <v>19</v>
      </c>
      <c r="K2391" s="9" t="n">
        <v>85.5</v>
      </c>
      <c r="L2391" t="inlineStr">
        <is>
          <t>PAID</t>
        </is>
      </c>
      <c r="M2391">
        <f>IF(L2391="VOIDED",0,1)</f>
        <v>1</v>
      </c>
      <c r="N2391" t="n">
        <v>200</v>
      </c>
      <c r="O2391" t="inlineStr">
        <is>
          <t>GST on Income</t>
        </is>
      </c>
      <c r="P2391" t="inlineStr">
        <is>
          <t>R03</t>
        </is>
      </c>
      <c r="Q2391" t="inlineStr">
        <is>
          <t>HIRE-FP</t>
        </is>
      </c>
      <c r="R2391">
        <f>IF(OR(Q2391="CONTEXT",Q2391="REVIEW"),"",INDEX('Category Rules'!$D$5:$D$17,MATCH(P2391,'Category Rules'!$A$5:$A$17,0)))</f>
        <v>4010</v>
      </c>
      <c r="S2391" t="str">
        <f>IF(Q2391="CONTEXT","Fencing",IF(Q2391="REVIEW","",INDEX('Category Rules'!$E$5:$E$17,MATCH(P2391,'Category Rules'!$A$5:$A$17,0))))</f>
        <v>Fencing</v>
      </c>
      <c r="T2391" t="str">
        <f>IF(Q2391="DEP","BAS Excluded","GST on Income")</f>
        <v>GST on Income</v>
      </c>
      <c r="U2391">
        <f>IF(O2391=T2391,1,0)</f>
        <v>1</v>
      </c>
      <c r="V2391" s="9">
        <f>IF(OR(M2391=0,U2391=1),0,IF(T2391="GST on Income",ROUND(K2391*0.1,2),ROUND(-K2391*0.1,2)))</f>
        <v>0</v>
      </c>
    </row>
    <row r="2392">
      <c r="A2392" t="inlineStr">
        <is>
          <t>INV-4547-1</t>
        </is>
      </c>
      <c r="B2392" t="inlineStr">
        <is>
          <t>INV-4547</t>
        </is>
      </c>
      <c r="C2392" s="11" t="n">
        <v>46182</v>
      </c>
      <c r="D2392" t="inlineStr">
        <is>
          <t>2026-06</t>
        </is>
      </c>
      <c r="E2392" t="inlineStr">
        <is>
          <t>C0151</t>
        </is>
      </c>
      <c r="F2392" t="inlineStr">
        <is>
          <t>C0040</t>
        </is>
      </c>
      <c r="G2392" t="inlineStr">
        <is>
          <t>Coastline Projects Pty Ltd</t>
        </is>
      </c>
      <c r="H2392" t="inlineStr">
        <is>
          <t>S0089</t>
        </is>
      </c>
      <c r="I2392" t="inlineStr">
        <is>
          <t>Collection and dismantle - temporary fencing</t>
        </is>
      </c>
      <c r="J2392" t="n">
        <v>1</v>
      </c>
      <c r="K2392" s="9" t="n">
        <v>165</v>
      </c>
      <c r="L2392" t="inlineStr">
        <is>
          <t>PAID</t>
        </is>
      </c>
      <c r="M2392">
        <f>IF(L2392="VOIDED",0,1)</f>
        <v>1</v>
      </c>
      <c r="N2392" t="n">
        <v>200</v>
      </c>
      <c r="O2392" t="inlineStr">
        <is>
          <t>GST on Income</t>
        </is>
      </c>
      <c r="P2392" t="inlineStr">
        <is>
          <t>R07</t>
        </is>
      </c>
      <c r="Q2392" t="inlineStr">
        <is>
          <t>DEL-FP</t>
        </is>
      </c>
      <c r="R2392">
        <f>IF(OR(Q2392="CONTEXT",Q2392="REVIEW"),"",INDEX('Category Rules'!$D$5:$D$17,MATCH(P2392,'Category Rules'!$A$5:$A$17,0)))</f>
        <v>4020</v>
      </c>
      <c r="S2392" t="str">
        <f>IF(Q2392="CONTEXT","Fencing",IF(Q2392="REVIEW","",INDEX('Category Rules'!$E$5:$E$17,MATCH(P2392,'Category Rules'!$A$5:$A$17,0))))</f>
        <v>Fencing</v>
      </c>
      <c r="T2392" t="str">
        <f>IF(Q2392="DEP","BAS Excluded","GST on Income")</f>
        <v>GST on Income</v>
      </c>
      <c r="U2392">
        <f>IF(O2392=T2392,1,0)</f>
        <v>1</v>
      </c>
      <c r="V2392" s="9">
        <f>IF(OR(M2392=0,U2392=1),0,IF(T2392="GST on Income",ROUND(K2392*0.1,2),ROUND(-K2392*0.1,2)))</f>
        <v>0</v>
      </c>
    </row>
    <row r="2393">
      <c r="A2393" t="inlineStr">
        <is>
          <t>INV-5126-1</t>
        </is>
      </c>
      <c r="B2393" t="inlineStr">
        <is>
          <t>INV-5126</t>
        </is>
      </c>
      <c r="C2393" s="11" t="n">
        <v>46182</v>
      </c>
      <c r="D2393" t="inlineStr">
        <is>
          <t>2026-06</t>
        </is>
      </c>
      <c r="E2393" t="inlineStr">
        <is>
          <t>C0038</t>
        </is>
      </c>
      <c r="F2393" t="inlineStr">
        <is>
          <t>C0038</t>
        </is>
      </c>
      <c r="G2393" t="inlineStr">
        <is>
          <t>Cobalt Constructions Pty Ltd</t>
        </is>
      </c>
      <c r="H2393" t="inlineStr">
        <is>
          <t>S0219</t>
        </is>
      </c>
      <c r="I2393" t="inlineStr">
        <is>
          <t>Delivery and installation - temporary fencing</t>
        </is>
      </c>
      <c r="J2393" t="n">
        <v>1</v>
      </c>
      <c r="K2393" s="9" t="n">
        <v>165</v>
      </c>
      <c r="L2393" t="inlineStr">
        <is>
          <t>AUTHORISED</t>
        </is>
      </c>
      <c r="M2393">
        <f>IF(L2393="VOIDED",0,1)</f>
        <v>1</v>
      </c>
      <c r="N2393" t="n">
        <v>200</v>
      </c>
      <c r="O2393" t="inlineStr">
        <is>
          <t>GST on Income</t>
        </is>
      </c>
      <c r="P2393" t="inlineStr">
        <is>
          <t>R07</t>
        </is>
      </c>
      <c r="Q2393" t="inlineStr">
        <is>
          <t>DEL-FP</t>
        </is>
      </c>
      <c r="R2393">
        <f>IF(OR(Q2393="CONTEXT",Q2393="REVIEW"),"",INDEX('Category Rules'!$D$5:$D$17,MATCH(P2393,'Category Rules'!$A$5:$A$17,0)))</f>
        <v>4020</v>
      </c>
      <c r="S2393" t="str">
        <f>IF(Q2393="CONTEXT","Fencing",IF(Q2393="REVIEW","",INDEX('Category Rules'!$E$5:$E$17,MATCH(P2393,'Category Rules'!$A$5:$A$17,0))))</f>
        <v>Fencing</v>
      </c>
      <c r="T2393" t="str">
        <f>IF(Q2393="DEP","BAS Excluded","GST on Income")</f>
        <v>GST on Income</v>
      </c>
      <c r="U2393">
        <f>IF(O2393=T2393,1,0)</f>
        <v>1</v>
      </c>
      <c r="V2393" s="9">
        <f>IF(OR(M2393=0,U2393=1),0,IF(T2393="GST on Income",ROUND(K2393*0.1,2),ROUND(-K2393*0.1,2)))</f>
        <v>0</v>
      </c>
    </row>
    <row r="2394">
      <c r="A2394" t="inlineStr">
        <is>
          <t>INV-5126-2</t>
        </is>
      </c>
      <c r="B2394" t="inlineStr">
        <is>
          <t>INV-5126</t>
        </is>
      </c>
      <c r="C2394" s="11" t="n">
        <v>46182</v>
      </c>
      <c r="D2394" t="inlineStr">
        <is>
          <t>2026-06</t>
        </is>
      </c>
      <c r="E2394" t="inlineStr">
        <is>
          <t>C0038</t>
        </is>
      </c>
      <c r="F2394" t="inlineStr">
        <is>
          <t>C0038</t>
        </is>
      </c>
      <c r="G2394" t="inlineStr">
        <is>
          <t>Cobalt Constructions Pty Ltd</t>
        </is>
      </c>
      <c r="H2394" t="inlineStr">
        <is>
          <t>S0219</t>
        </is>
      </c>
      <c r="I2394" t="inlineStr">
        <is>
          <t>Installation labour - 110 panels @ 2.20</t>
        </is>
      </c>
      <c r="J2394" t="n">
        <v>110</v>
      </c>
      <c r="K2394" s="9" t="n">
        <v>242</v>
      </c>
      <c r="L2394" t="inlineStr">
        <is>
          <t>AUTHORISED</t>
        </is>
      </c>
      <c r="M2394">
        <f>IF(L2394="VOIDED",0,1)</f>
        <v>1</v>
      </c>
      <c r="N2394" t="n">
        <v>260</v>
      </c>
      <c r="O2394" t="inlineStr">
        <is>
          <t>GST on Income</t>
        </is>
      </c>
      <c r="P2394" t="inlineStr">
        <is>
          <t>R07</t>
        </is>
      </c>
      <c r="Q2394" t="inlineStr">
        <is>
          <t>DEL-FP</t>
        </is>
      </c>
      <c r="R2394">
        <f>IF(OR(Q2394="CONTEXT",Q2394="REVIEW"),"",INDEX('Category Rules'!$D$5:$D$17,MATCH(P2394,'Category Rules'!$A$5:$A$17,0)))</f>
        <v>4020</v>
      </c>
      <c r="S2394" t="str">
        <f>IF(Q2394="CONTEXT","Fencing",IF(Q2394="REVIEW","",INDEX('Category Rules'!$E$5:$E$17,MATCH(P2394,'Category Rules'!$A$5:$A$17,0))))</f>
        <v>Fencing</v>
      </c>
      <c r="T2394" t="str">
        <f>IF(Q2394="DEP","BAS Excluded","GST on Income")</f>
        <v>GST on Income</v>
      </c>
      <c r="U2394">
        <f>IF(O2394=T2394,1,0)</f>
        <v>1</v>
      </c>
      <c r="V2394" s="9">
        <f>IF(OR(M2394=0,U2394=1),0,IF(T2394="GST on Income",ROUND(K2394*0.1,2),ROUND(-K2394*0.1,2)))</f>
        <v>0</v>
      </c>
    </row>
    <row r="2395">
      <c r="A2395" t="inlineStr">
        <is>
          <t>INV-5917-1</t>
        </is>
      </c>
      <c r="B2395" t="inlineStr">
        <is>
          <t>INV-5917</t>
        </is>
      </c>
      <c r="C2395" s="11" t="n">
        <v>46182</v>
      </c>
      <c r="D2395" t="inlineStr">
        <is>
          <t>2026-06</t>
        </is>
      </c>
      <c r="E2395" t="inlineStr">
        <is>
          <t>C0098</t>
        </is>
      </c>
      <c r="F2395" t="inlineStr">
        <is>
          <t>C0098</t>
        </is>
      </c>
      <c r="G2395" t="inlineStr">
        <is>
          <t>Ethan Walker</t>
        </is>
      </c>
      <c r="H2395" t="inlineStr"/>
      <c r="I2395" t="inlineStr">
        <is>
          <t>Job 4297 - progress claim</t>
        </is>
      </c>
      <c r="J2395" t="n">
        <v>1</v>
      </c>
      <c r="K2395" s="9" t="n">
        <v>897.27</v>
      </c>
      <c r="L2395" t="inlineStr">
        <is>
          <t>PAID</t>
        </is>
      </c>
      <c r="M2395">
        <f>IF(L2395="VOIDED",0,1)</f>
        <v>1</v>
      </c>
      <c r="N2395" t="n">
        <v>260</v>
      </c>
      <c r="O2395" t="inlineStr">
        <is>
          <t>GST on Income</t>
        </is>
      </c>
      <c r="P2395" t="inlineStr">
        <is>
          <t>--</t>
        </is>
      </c>
      <c r="Q2395" t="inlineStr">
        <is>
          <t>REVIEW</t>
        </is>
      </c>
      <c r="R2395">
        <f>IF(OR(Q2395="CONTEXT",Q2395="REVIEW"),"",INDEX('Category Rules'!$D$5:$D$17,MATCH(P2395,'Category Rules'!$A$5:$A$17,0)))</f>
      </c>
      <c r="S2395">
        <f>IF(Q2395="CONTEXT","",IF(Q2395="REVIEW","",INDEX('Category Rules'!$E$5:$E$17,MATCH(P2395,'Category Rules'!$A$5:$A$17,0))))</f>
      </c>
      <c r="T2395" t="str">
        <f>IF(Q2395="DEP","BAS Excluded","GST on Income")</f>
        <v>GST on Income</v>
      </c>
      <c r="U2395">
        <f>IF(O2395=T2395,1,0)</f>
        <v>1</v>
      </c>
      <c r="V2395" s="9">
        <f>IF(OR(M2395=0,U2395=1),0,IF(T2395="GST on Income",ROUND(K2395*0.1,2),ROUND(-K2395*0.1,2)))</f>
        <v>0</v>
      </c>
    </row>
    <row r="2396">
      <c r="A2396" t="inlineStr">
        <is>
          <t>INV-5927-1</t>
        </is>
      </c>
      <c r="B2396" t="inlineStr">
        <is>
          <t>INV-5927</t>
        </is>
      </c>
      <c r="C2396" s="11" t="n">
        <v>46182</v>
      </c>
      <c r="D2396" t="inlineStr">
        <is>
          <t>2026-06</t>
        </is>
      </c>
      <c r="E2396" t="inlineStr">
        <is>
          <t>C0068</t>
        </is>
      </c>
      <c r="F2396" t="inlineStr">
        <is>
          <t>C0068</t>
        </is>
      </c>
      <c r="G2396" t="inlineStr">
        <is>
          <t>Coastline Claims Services</t>
        </is>
      </c>
      <c r="H2396" t="inlineStr">
        <is>
          <t>S0481</t>
        </is>
      </c>
      <c r="I2396" t="inlineStr">
        <is>
          <t>Fence and make safe package - Job 2116</t>
        </is>
      </c>
      <c r="J2396" t="n">
        <v>1</v>
      </c>
      <c r="K2396" s="9" t="n">
        <v>2185.99</v>
      </c>
      <c r="L2396" t="inlineStr">
        <is>
          <t>PAID</t>
        </is>
      </c>
      <c r="M2396">
        <f>IF(L2396="VOIDED",0,1)</f>
        <v>1</v>
      </c>
      <c r="N2396" t="n">
        <v>200</v>
      </c>
      <c r="O2396" t="inlineStr">
        <is>
          <t>GST on Income</t>
        </is>
      </c>
      <c r="P2396" t="inlineStr">
        <is>
          <t>R00</t>
        </is>
      </c>
      <c r="Q2396" t="inlineStr">
        <is>
          <t>CONTEXT</t>
        </is>
      </c>
      <c r="R2396">
        <f>IF(OR(Q2396="CONTEXT",Q2396="REVIEW"),"",INDEX('Category Rules'!$D$5:$D$17,MATCH(P2396,'Category Rules'!$A$5:$A$17,0)))</f>
      </c>
      <c r="S2396" t="str">
        <f>IF(Q2396="CONTEXT","Make-safe",IF(Q2396="REVIEW","",INDEX('Category Rules'!$E$5:$E$17,MATCH(P2396,'Category Rules'!$A$5:$A$17,0))))</f>
        <v>Make-safe</v>
      </c>
      <c r="T2396" t="str">
        <f>IF(Q2396="DEP","BAS Excluded","GST on Income")</f>
        <v>GST on Income</v>
      </c>
      <c r="U2396">
        <f>IF(O2396=T2396,1,0)</f>
        <v>1</v>
      </c>
      <c r="V2396" s="9">
        <f>IF(OR(M2396=0,U2396=1),0,IF(T2396="GST on Income",ROUND(K2396*0.1,2),ROUND(-K2396*0.1,2)))</f>
        <v>0</v>
      </c>
    </row>
    <row r="2397">
      <c r="A2397" t="inlineStr">
        <is>
          <t>INV-4138-1</t>
        </is>
      </c>
      <c r="B2397" t="inlineStr">
        <is>
          <t>INV-4138</t>
        </is>
      </c>
      <c r="C2397" s="11" t="n">
        <v>46183</v>
      </c>
      <c r="D2397" t="inlineStr">
        <is>
          <t>2026-06</t>
        </is>
      </c>
      <c r="E2397" t="inlineStr">
        <is>
          <t>C0133</t>
        </is>
      </c>
      <c r="F2397" t="inlineStr">
        <is>
          <t>C0014</t>
        </is>
      </c>
      <c r="G2397" t="inlineStr">
        <is>
          <t>Riverbend Homes Pty Ltd</t>
        </is>
      </c>
      <c r="H2397" t="inlineStr">
        <is>
          <t>S0008</t>
        </is>
      </c>
      <c r="I2397" t="inlineStr">
        <is>
          <t>Temporary fence hire 4 wks (13/05/26-09/06/26) - 62 panels</t>
        </is>
      </c>
      <c r="J2397" t="n">
        <v>248</v>
      </c>
      <c r="K2397" s="9" t="n">
        <v>1116</v>
      </c>
      <c r="L2397" t="inlineStr">
        <is>
          <t>AUTHORISED</t>
        </is>
      </c>
      <c r="M2397">
        <f>IF(L2397="VOIDED",0,1)</f>
        <v>1</v>
      </c>
      <c r="N2397" t="n">
        <v>200</v>
      </c>
      <c r="O2397" t="inlineStr">
        <is>
          <t>GST on Income</t>
        </is>
      </c>
      <c r="P2397" t="inlineStr">
        <is>
          <t>R03</t>
        </is>
      </c>
      <c r="Q2397" t="inlineStr">
        <is>
          <t>HIRE-FP</t>
        </is>
      </c>
      <c r="R2397">
        <f>IF(OR(Q2397="CONTEXT",Q2397="REVIEW"),"",INDEX('Category Rules'!$D$5:$D$17,MATCH(P2397,'Category Rules'!$A$5:$A$17,0)))</f>
        <v>4010</v>
      </c>
      <c r="S2397" t="str">
        <f>IF(Q2397="CONTEXT","Fencing",IF(Q2397="REVIEW","",INDEX('Category Rules'!$E$5:$E$17,MATCH(P2397,'Category Rules'!$A$5:$A$17,0))))</f>
        <v>Fencing</v>
      </c>
      <c r="T2397" t="str">
        <f>IF(Q2397="DEP","BAS Excluded","GST on Income")</f>
        <v>GST on Income</v>
      </c>
      <c r="U2397">
        <f>IF(O2397=T2397,1,0)</f>
        <v>1</v>
      </c>
      <c r="V2397" s="9">
        <f>IF(OR(M2397=0,U2397=1),0,IF(T2397="GST on Income",ROUND(K2397*0.1,2),ROUND(-K2397*0.1,2)))</f>
        <v>0</v>
      </c>
    </row>
    <row r="2398">
      <c r="A2398" t="inlineStr">
        <is>
          <t>INV-4143-1</t>
        </is>
      </c>
      <c r="B2398" t="inlineStr">
        <is>
          <t>INV-4143</t>
        </is>
      </c>
      <c r="C2398" s="11" t="n">
        <v>46183</v>
      </c>
      <c r="D2398" t="inlineStr">
        <is>
          <t>2026-06</t>
        </is>
      </c>
      <c r="E2398" t="inlineStr">
        <is>
          <t>C0014</t>
        </is>
      </c>
      <c r="F2398" t="inlineStr">
        <is>
          <t>C0014</t>
        </is>
      </c>
      <c r="G2398" t="inlineStr">
        <is>
          <t>Riverbend Homes Pty Ltd</t>
        </is>
      </c>
      <c r="H2398" t="inlineStr">
        <is>
          <t>S0008</t>
        </is>
      </c>
      <c r="I2398" t="inlineStr">
        <is>
          <t>Pedestrian barrier hire 4 wks (13/05/26-09/06/26) - 21 barriers</t>
        </is>
      </c>
      <c r="J2398" t="n">
        <v>84</v>
      </c>
      <c r="K2398" s="9" t="n">
        <v>268.8</v>
      </c>
      <c r="L2398" t="inlineStr">
        <is>
          <t>AUTHORISED</t>
        </is>
      </c>
      <c r="M2398">
        <f>IF(L2398="VOIDED",0,1)</f>
        <v>1</v>
      </c>
      <c r="N2398" t="n">
        <v>200</v>
      </c>
      <c r="O2398" t="inlineStr">
        <is>
          <t>GST on Income</t>
        </is>
      </c>
      <c r="P2398" t="inlineStr">
        <is>
          <t>R04</t>
        </is>
      </c>
      <c r="Q2398" t="inlineStr">
        <is>
          <t>HIRE-BR</t>
        </is>
      </c>
      <c r="R2398">
        <f>IF(OR(Q2398="CONTEXT",Q2398="REVIEW"),"",INDEX('Category Rules'!$D$5:$D$17,MATCH(P2398,'Category Rules'!$A$5:$A$17,0)))</f>
        <v>4010</v>
      </c>
      <c r="S2398" t="str">
        <f>IF(Q2398="CONTEXT","Fencing",IF(Q2398="REVIEW","",INDEX('Category Rules'!$E$5:$E$17,MATCH(P2398,'Category Rules'!$A$5:$A$17,0))))</f>
        <v>Fencing</v>
      </c>
      <c r="T2398" t="str">
        <f>IF(Q2398="DEP","BAS Excluded","GST on Income")</f>
        <v>GST on Income</v>
      </c>
      <c r="U2398">
        <f>IF(O2398=T2398,1,0)</f>
        <v>1</v>
      </c>
      <c r="V2398" s="9">
        <f>IF(OR(M2398=0,U2398=1),0,IF(T2398="GST on Income",ROUND(K2398*0.1,2),ROUND(-K2398*0.1,2)))</f>
        <v>0</v>
      </c>
    </row>
    <row r="2399">
      <c r="A2399" t="inlineStr">
        <is>
          <t>INV-5672-1</t>
        </is>
      </c>
      <c r="B2399" t="inlineStr">
        <is>
          <t>INV-5672</t>
        </is>
      </c>
      <c r="C2399" s="11" t="n">
        <v>46183</v>
      </c>
      <c r="D2399" t="inlineStr">
        <is>
          <t>2026-06</t>
        </is>
      </c>
      <c r="E2399" t="inlineStr">
        <is>
          <t>C0063</t>
        </is>
      </c>
      <c r="F2399" t="inlineStr">
        <is>
          <t>C0063</t>
        </is>
      </c>
      <c r="G2399" t="inlineStr">
        <is>
          <t>Highpoint Insurance Repairs Pty Ltd</t>
        </is>
      </c>
      <c r="H2399" t="inlineStr">
        <is>
          <t>S0420</t>
        </is>
      </c>
      <c r="I2399" t="inlineStr">
        <is>
          <t>Make safe call-out</t>
        </is>
      </c>
      <c r="J2399" t="n">
        <v>1</v>
      </c>
      <c r="K2399" s="9" t="n">
        <v>385</v>
      </c>
      <c r="L2399" t="inlineStr">
        <is>
          <t>AUTHORISED</t>
        </is>
      </c>
      <c r="M2399">
        <f>IF(L2399="VOIDED",0,1)</f>
        <v>1</v>
      </c>
      <c r="N2399" t="n">
        <v>200</v>
      </c>
      <c r="O2399" t="inlineStr">
        <is>
          <t>GST on Income</t>
        </is>
      </c>
      <c r="P2399" t="inlineStr">
        <is>
          <t>R09</t>
        </is>
      </c>
      <c r="Q2399" t="inlineStr">
        <is>
          <t>MS</t>
        </is>
      </c>
      <c r="R2399">
        <f>IF(OR(Q2399="CONTEXT",Q2399="REVIEW"),"",INDEX('Category Rules'!$D$5:$D$17,MATCH(P2399,'Category Rules'!$A$5:$A$17,0)))</f>
        <v>4020</v>
      </c>
      <c r="S2399" t="str">
        <f>IF(Q2399="CONTEXT","Make-safe",IF(Q2399="REVIEW","",INDEX('Category Rules'!$E$5:$E$17,MATCH(P2399,'Category Rules'!$A$5:$A$17,0))))</f>
        <v>Make-safe</v>
      </c>
      <c r="T2399" t="str">
        <f>IF(Q2399="DEP","BAS Excluded","GST on Income")</f>
        <v>GST on Income</v>
      </c>
      <c r="U2399">
        <f>IF(O2399=T2399,1,0)</f>
        <v>1</v>
      </c>
      <c r="V2399" s="9">
        <f>IF(OR(M2399=0,U2399=1),0,IF(T2399="GST on Income",ROUND(K2399*0.1,2),ROUND(-K2399*0.1,2)))</f>
        <v>0</v>
      </c>
    </row>
    <row r="2400">
      <c r="A2400" t="inlineStr">
        <is>
          <t>INV-5672-2</t>
        </is>
      </c>
      <c r="B2400" t="inlineStr">
        <is>
          <t>INV-5672</t>
        </is>
      </c>
      <c r="C2400" s="11" t="n">
        <v>46183</v>
      </c>
      <c r="D2400" t="inlineStr">
        <is>
          <t>2026-06</t>
        </is>
      </c>
      <c r="E2400" t="inlineStr">
        <is>
          <t>C0063</t>
        </is>
      </c>
      <c r="F2400" t="inlineStr">
        <is>
          <t>C0063</t>
        </is>
      </c>
      <c r="G2400" t="inlineStr">
        <is>
          <t>Highpoint Insurance Repairs Pty Ltd</t>
        </is>
      </c>
      <c r="H2400" t="inlineStr">
        <is>
          <t>S0420</t>
        </is>
      </c>
      <c r="I2400" t="inlineStr">
        <is>
          <t>Tarp supply and install - 2 tarp(s)</t>
        </is>
      </c>
      <c r="J2400" t="n">
        <v>2</v>
      </c>
      <c r="K2400" s="9" t="n">
        <v>480</v>
      </c>
      <c r="L2400" t="inlineStr">
        <is>
          <t>AUTHORISED</t>
        </is>
      </c>
      <c r="M2400">
        <f>IF(L2400="VOIDED",0,1)</f>
        <v>1</v>
      </c>
      <c r="N2400" t="n">
        <v>200</v>
      </c>
      <c r="O2400" t="inlineStr">
        <is>
          <t>GST on Income</t>
        </is>
      </c>
      <c r="P2400" t="inlineStr">
        <is>
          <t>R09</t>
        </is>
      </c>
      <c r="Q2400" t="inlineStr">
        <is>
          <t>MS</t>
        </is>
      </c>
      <c r="R2400">
        <f>IF(OR(Q2400="CONTEXT",Q2400="REVIEW"),"",INDEX('Category Rules'!$D$5:$D$17,MATCH(P2400,'Category Rules'!$A$5:$A$17,0)))</f>
        <v>4020</v>
      </c>
      <c r="S2400" t="str">
        <f>IF(Q2400="CONTEXT","Make-safe",IF(Q2400="REVIEW","",INDEX('Category Rules'!$E$5:$E$17,MATCH(P2400,'Category Rules'!$A$5:$A$17,0))))</f>
        <v>Make-safe</v>
      </c>
      <c r="T2400" t="str">
        <f>IF(Q2400="DEP","BAS Excluded","GST on Income")</f>
        <v>GST on Income</v>
      </c>
      <c r="U2400">
        <f>IF(O2400=T2400,1,0)</f>
        <v>1</v>
      </c>
      <c r="V2400" s="9">
        <f>IF(OR(M2400=0,U2400=1),0,IF(T2400="GST on Income",ROUND(K2400*0.1,2),ROUND(-K2400*0.1,2)))</f>
        <v>0</v>
      </c>
    </row>
    <row r="2401">
      <c r="A2401" t="inlineStr">
        <is>
          <t>INV-5894-1</t>
        </is>
      </c>
      <c r="B2401" t="inlineStr">
        <is>
          <t>INV-5894</t>
        </is>
      </c>
      <c r="C2401" s="11" t="n">
        <v>46183</v>
      </c>
      <c r="D2401" t="inlineStr">
        <is>
          <t>2026-06</t>
        </is>
      </c>
      <c r="E2401" t="inlineStr">
        <is>
          <t>C0048</t>
        </is>
      </c>
      <c r="F2401" t="inlineStr">
        <is>
          <t>C0048</t>
        </is>
      </c>
      <c r="G2401" t="inlineStr">
        <is>
          <t>Banksia Strata Management</t>
        </is>
      </c>
      <c r="H2401" t="inlineStr"/>
      <c r="I2401" t="inlineStr">
        <is>
          <t>As per quote Q-3717</t>
        </is>
      </c>
      <c r="J2401" t="n">
        <v>1</v>
      </c>
      <c r="K2401" s="9" t="n">
        <v>290.09</v>
      </c>
      <c r="L2401" t="inlineStr">
        <is>
          <t>PAID</t>
        </is>
      </c>
      <c r="M2401">
        <f>IF(L2401="VOIDED",0,1)</f>
        <v>1</v>
      </c>
      <c r="N2401" t="n">
        <v>200</v>
      </c>
      <c r="O2401" t="inlineStr">
        <is>
          <t>GST on Income</t>
        </is>
      </c>
      <c r="P2401" t="inlineStr">
        <is>
          <t>--</t>
        </is>
      </c>
      <c r="Q2401" t="inlineStr">
        <is>
          <t>REVIEW</t>
        </is>
      </c>
      <c r="R2401">
        <f>IF(OR(Q2401="CONTEXT",Q2401="REVIEW"),"",INDEX('Category Rules'!$D$5:$D$17,MATCH(P2401,'Category Rules'!$A$5:$A$17,0)))</f>
      </c>
      <c r="S2401">
        <f>IF(Q2401="CONTEXT","",IF(Q2401="REVIEW","",INDEX('Category Rules'!$E$5:$E$17,MATCH(P2401,'Category Rules'!$A$5:$A$17,0))))</f>
      </c>
      <c r="T2401" t="str">
        <f>IF(Q2401="DEP","BAS Excluded","GST on Income")</f>
        <v>GST on Income</v>
      </c>
      <c r="U2401">
        <f>IF(O2401=T2401,1,0)</f>
        <v>1</v>
      </c>
      <c r="V2401" s="9">
        <f>IF(OR(M2401=0,U2401=1),0,IF(T2401="GST on Income",ROUND(K2401*0.1,2),ROUND(-K2401*0.1,2)))</f>
        <v>0</v>
      </c>
    </row>
    <row r="2402">
      <c r="A2402" t="inlineStr">
        <is>
          <t>INV-4250-1</t>
        </is>
      </c>
      <c r="B2402" t="inlineStr">
        <is>
          <t>INV-4250</t>
        </is>
      </c>
      <c r="C2402" s="11" t="n">
        <v>46184</v>
      </c>
      <c r="D2402" t="inlineStr">
        <is>
          <t>2026-06</t>
        </is>
      </c>
      <c r="E2402" t="inlineStr">
        <is>
          <t>C0148</t>
        </is>
      </c>
      <c r="F2402" t="inlineStr">
        <is>
          <t>C0042</t>
        </is>
      </c>
      <c r="G2402" t="inlineStr">
        <is>
          <t>Lakeside Constructions Pty Ltd</t>
        </is>
      </c>
      <c r="H2402" t="inlineStr">
        <is>
          <t>S0029</t>
        </is>
      </c>
      <c r="I2402" t="inlineStr">
        <is>
          <t>Delivery and installation - temporary fencing</t>
        </is>
      </c>
      <c r="J2402" t="n">
        <v>1</v>
      </c>
      <c r="K2402" s="9" t="n">
        <v>165</v>
      </c>
      <c r="L2402" t="inlineStr">
        <is>
          <t>AUTHORISED</t>
        </is>
      </c>
      <c r="M2402">
        <f>IF(L2402="VOIDED",0,1)</f>
        <v>1</v>
      </c>
      <c r="N2402" t="n">
        <v>200</v>
      </c>
      <c r="O2402" t="inlineStr">
        <is>
          <t>GST on Income</t>
        </is>
      </c>
      <c r="P2402" t="inlineStr">
        <is>
          <t>R07</t>
        </is>
      </c>
      <c r="Q2402" t="inlineStr">
        <is>
          <t>DEL-FP</t>
        </is>
      </c>
      <c r="R2402">
        <f>IF(OR(Q2402="CONTEXT",Q2402="REVIEW"),"",INDEX('Category Rules'!$D$5:$D$17,MATCH(P2402,'Category Rules'!$A$5:$A$17,0)))</f>
        <v>4020</v>
      </c>
      <c r="S2402" t="str">
        <f>IF(Q2402="CONTEXT","Fencing",IF(Q2402="REVIEW","",INDEX('Category Rules'!$E$5:$E$17,MATCH(P2402,'Category Rules'!$A$5:$A$17,0))))</f>
        <v>Fencing</v>
      </c>
      <c r="T2402" t="str">
        <f>IF(Q2402="DEP","BAS Excluded","GST on Income")</f>
        <v>GST on Income</v>
      </c>
      <c r="U2402">
        <f>IF(O2402=T2402,1,0)</f>
        <v>1</v>
      </c>
      <c r="V2402" s="9">
        <f>IF(OR(M2402=0,U2402=1),0,IF(T2402="GST on Income",ROUND(K2402*0.1,2),ROUND(-K2402*0.1,2)))</f>
        <v>0</v>
      </c>
    </row>
    <row r="2403">
      <c r="A2403" t="inlineStr">
        <is>
          <t>INV-4250-2</t>
        </is>
      </c>
      <c r="B2403" t="inlineStr">
        <is>
          <t>INV-4250</t>
        </is>
      </c>
      <c r="C2403" s="11" t="n">
        <v>46184</v>
      </c>
      <c r="D2403" t="inlineStr">
        <is>
          <t>2026-06</t>
        </is>
      </c>
      <c r="E2403" t="inlineStr">
        <is>
          <t>C0148</t>
        </is>
      </c>
      <c r="F2403" t="inlineStr">
        <is>
          <t>C0042</t>
        </is>
      </c>
      <c r="G2403" t="inlineStr">
        <is>
          <t>Lakeside Constructions Pty Ltd</t>
        </is>
      </c>
      <c r="H2403" t="inlineStr">
        <is>
          <t>S0029</t>
        </is>
      </c>
      <c r="I2403" t="inlineStr">
        <is>
          <t>Installation labour - 126 panels @ 2.20</t>
        </is>
      </c>
      <c r="J2403" t="n">
        <v>126</v>
      </c>
      <c r="K2403" s="9" t="n">
        <v>277.2</v>
      </c>
      <c r="L2403" t="inlineStr">
        <is>
          <t>AUTHORISED</t>
        </is>
      </c>
      <c r="M2403">
        <f>IF(L2403="VOIDED",0,1)</f>
        <v>1</v>
      </c>
      <c r="N2403" t="n">
        <v>200</v>
      </c>
      <c r="O2403" t="inlineStr">
        <is>
          <t>GST on Income</t>
        </is>
      </c>
      <c r="P2403" t="inlineStr">
        <is>
          <t>R07</t>
        </is>
      </c>
      <c r="Q2403" t="inlineStr">
        <is>
          <t>DEL-FP</t>
        </is>
      </c>
      <c r="R2403">
        <f>IF(OR(Q2403="CONTEXT",Q2403="REVIEW"),"",INDEX('Category Rules'!$D$5:$D$17,MATCH(P2403,'Category Rules'!$A$5:$A$17,0)))</f>
        <v>4020</v>
      </c>
      <c r="S2403" t="str">
        <f>IF(Q2403="CONTEXT","Fencing",IF(Q2403="REVIEW","",INDEX('Category Rules'!$E$5:$E$17,MATCH(P2403,'Category Rules'!$A$5:$A$17,0))))</f>
        <v>Fencing</v>
      </c>
      <c r="T2403" t="str">
        <f>IF(Q2403="DEP","BAS Excluded","GST on Income")</f>
        <v>GST on Income</v>
      </c>
      <c r="U2403">
        <f>IF(O2403=T2403,1,0)</f>
        <v>1</v>
      </c>
      <c r="V2403" s="9">
        <f>IF(OR(M2403=0,U2403=1),0,IF(T2403="GST on Income",ROUND(K2403*0.1,2),ROUND(-K2403*0.1,2)))</f>
        <v>0</v>
      </c>
    </row>
    <row r="2404">
      <c r="A2404" t="inlineStr">
        <is>
          <t>INV-4250-3</t>
        </is>
      </c>
      <c r="B2404" t="inlineStr">
        <is>
          <t>INV-4250</t>
        </is>
      </c>
      <c r="C2404" s="11" t="n">
        <v>46184</v>
      </c>
      <c r="D2404" t="inlineStr">
        <is>
          <t>2026-06</t>
        </is>
      </c>
      <c r="E2404" t="inlineStr">
        <is>
          <t>C0148</t>
        </is>
      </c>
      <c r="F2404" t="inlineStr">
        <is>
          <t>C0042</t>
        </is>
      </c>
      <c r="G2404" t="inlineStr">
        <is>
          <t>Lakeside Constructions Pty Ltd</t>
        </is>
      </c>
      <c r="H2404" t="inlineStr">
        <is>
          <t>S0029</t>
        </is>
      </c>
      <c r="I2404" t="inlineStr">
        <is>
          <t>Security deposit - fence panels (refundable)</t>
        </is>
      </c>
      <c r="J2404" t="n">
        <v>1</v>
      </c>
      <c r="K2404" s="9" t="n">
        <v>1010</v>
      </c>
      <c r="L2404" t="inlineStr">
        <is>
          <t>AUTHORISED</t>
        </is>
      </c>
      <c r="M2404">
        <f>IF(L2404="VOIDED",0,1)</f>
        <v>1</v>
      </c>
      <c r="N2404" t="n">
        <v>200</v>
      </c>
      <c r="O2404" t="inlineStr">
        <is>
          <t>BAS Excluded</t>
        </is>
      </c>
      <c r="P2404" t="inlineStr">
        <is>
          <t>R01</t>
        </is>
      </c>
      <c r="Q2404" t="inlineStr">
        <is>
          <t>DEP</t>
        </is>
      </c>
      <c r="R2404">
        <f>IF(OR(Q2404="CONTEXT",Q2404="REVIEW"),"",INDEX('Category Rules'!$D$5:$D$17,MATCH(P2404,'Category Rules'!$A$5:$A$17,0)))</f>
        <v>835</v>
      </c>
      <c r="S2404" t="str">
        <f>IF(Q2404="CONTEXT","Fencing",IF(Q2404="REVIEW","",INDEX('Category Rules'!$E$5:$E$17,MATCH(P2404,'Category Rules'!$A$5:$A$17,0))))</f>
        <v>Fencing</v>
      </c>
      <c r="T2404" t="str">
        <f>IF(Q2404="DEP","BAS Excluded","GST on Income")</f>
        <v>BAS Excluded</v>
      </c>
      <c r="U2404">
        <f>IF(O2404=T2404,1,0)</f>
        <v>1</v>
      </c>
      <c r="V2404" s="9">
        <f>IF(OR(M2404=0,U2404=1),0,IF(T2404="GST on Income",ROUND(K2404*0.1,2),ROUND(-K2404*0.1,2)))</f>
        <v>0</v>
      </c>
    </row>
    <row r="2405">
      <c r="A2405" t="inlineStr">
        <is>
          <t>INV-4384-1</t>
        </is>
      </c>
      <c r="B2405" t="inlineStr">
        <is>
          <t>INV-4384</t>
        </is>
      </c>
      <c r="C2405" s="11" t="n">
        <v>46184</v>
      </c>
      <c r="D2405" t="inlineStr">
        <is>
          <t>2026-06</t>
        </is>
      </c>
      <c r="E2405" t="inlineStr">
        <is>
          <t>C0133</t>
        </is>
      </c>
      <c r="F2405" t="inlineStr">
        <is>
          <t>C0014</t>
        </is>
      </c>
      <c r="G2405" t="inlineStr">
        <is>
          <t>Riverbend Homes Pty Ltd</t>
        </is>
      </c>
      <c r="H2405" t="inlineStr">
        <is>
          <t>S0058</t>
        </is>
      </c>
      <c r="I2405" t="inlineStr">
        <is>
          <t>Delivery and installation - temporary fencing</t>
        </is>
      </c>
      <c r="J2405" t="n">
        <v>1</v>
      </c>
      <c r="K2405" s="9" t="n">
        <v>165</v>
      </c>
      <c r="L2405" t="inlineStr">
        <is>
          <t>AUTHORISED</t>
        </is>
      </c>
      <c r="M2405">
        <f>IF(L2405="VOIDED",0,1)</f>
        <v>1</v>
      </c>
      <c r="N2405" t="n">
        <v>200</v>
      </c>
      <c r="O2405" t="inlineStr">
        <is>
          <t>GST on Income</t>
        </is>
      </c>
      <c r="P2405" t="inlineStr">
        <is>
          <t>R07</t>
        </is>
      </c>
      <c r="Q2405" t="inlineStr">
        <is>
          <t>DEL-FP</t>
        </is>
      </c>
      <c r="R2405">
        <f>IF(OR(Q2405="CONTEXT",Q2405="REVIEW"),"",INDEX('Category Rules'!$D$5:$D$17,MATCH(P2405,'Category Rules'!$A$5:$A$17,0)))</f>
        <v>4020</v>
      </c>
      <c r="S2405" t="str">
        <f>IF(Q2405="CONTEXT","Fencing",IF(Q2405="REVIEW","",INDEX('Category Rules'!$E$5:$E$17,MATCH(P2405,'Category Rules'!$A$5:$A$17,0))))</f>
        <v>Fencing</v>
      </c>
      <c r="T2405" t="str">
        <f>IF(Q2405="DEP","BAS Excluded","GST on Income")</f>
        <v>GST on Income</v>
      </c>
      <c r="U2405">
        <f>IF(O2405=T2405,1,0)</f>
        <v>1</v>
      </c>
      <c r="V2405" s="9">
        <f>IF(OR(M2405=0,U2405=1),0,IF(T2405="GST on Income",ROUND(K2405*0.1,2),ROUND(-K2405*0.1,2)))</f>
        <v>0</v>
      </c>
    </row>
    <row r="2406">
      <c r="A2406" t="inlineStr">
        <is>
          <t>INV-4384-2</t>
        </is>
      </c>
      <c r="B2406" t="inlineStr">
        <is>
          <t>INV-4384</t>
        </is>
      </c>
      <c r="C2406" s="11" t="n">
        <v>46184</v>
      </c>
      <c r="D2406" t="inlineStr">
        <is>
          <t>2026-06</t>
        </is>
      </c>
      <c r="E2406" t="inlineStr">
        <is>
          <t>C0133</t>
        </is>
      </c>
      <c r="F2406" t="inlineStr">
        <is>
          <t>C0014</t>
        </is>
      </c>
      <c r="G2406" t="inlineStr">
        <is>
          <t>Riverbend Homes Pty Ltd</t>
        </is>
      </c>
      <c r="H2406" t="inlineStr">
        <is>
          <t>S0058</t>
        </is>
      </c>
      <c r="I2406" t="inlineStr">
        <is>
          <t>Installation labour - 42 panels @ 2.20</t>
        </is>
      </c>
      <c r="J2406" t="n">
        <v>42</v>
      </c>
      <c r="K2406" s="9" t="n">
        <v>92.40000000000001</v>
      </c>
      <c r="L2406" t="inlineStr">
        <is>
          <t>AUTHORISED</t>
        </is>
      </c>
      <c r="M2406">
        <f>IF(L2406="VOIDED",0,1)</f>
        <v>1</v>
      </c>
      <c r="N2406" t="n">
        <v>200</v>
      </c>
      <c r="O2406" t="inlineStr">
        <is>
          <t>GST on Income</t>
        </is>
      </c>
      <c r="P2406" t="inlineStr">
        <is>
          <t>R07</t>
        </is>
      </c>
      <c r="Q2406" t="inlineStr">
        <is>
          <t>DEL-FP</t>
        </is>
      </c>
      <c r="R2406">
        <f>IF(OR(Q2406="CONTEXT",Q2406="REVIEW"),"",INDEX('Category Rules'!$D$5:$D$17,MATCH(P2406,'Category Rules'!$A$5:$A$17,0)))</f>
        <v>4020</v>
      </c>
      <c r="S2406" t="str">
        <f>IF(Q2406="CONTEXT","Fencing",IF(Q2406="REVIEW","",INDEX('Category Rules'!$E$5:$E$17,MATCH(P2406,'Category Rules'!$A$5:$A$17,0))))</f>
        <v>Fencing</v>
      </c>
      <c r="T2406" t="str">
        <f>IF(Q2406="DEP","BAS Excluded","GST on Income")</f>
        <v>GST on Income</v>
      </c>
      <c r="U2406">
        <f>IF(O2406=T2406,1,0)</f>
        <v>1</v>
      </c>
      <c r="V2406" s="9">
        <f>IF(OR(M2406=0,U2406=1),0,IF(T2406="GST on Income",ROUND(K2406*0.1,2),ROUND(-K2406*0.1,2)))</f>
        <v>0</v>
      </c>
    </row>
    <row r="2407">
      <c r="A2407" t="inlineStr">
        <is>
          <t>INV-4839-1</t>
        </is>
      </c>
      <c r="B2407" t="inlineStr">
        <is>
          <t>INV-4839</t>
        </is>
      </c>
      <c r="C2407" s="11" t="n">
        <v>46184</v>
      </c>
      <c r="D2407" t="inlineStr">
        <is>
          <t>2026-06</t>
        </is>
      </c>
      <c r="E2407" t="inlineStr">
        <is>
          <t>C0036</t>
        </is>
      </c>
      <c r="F2407" t="inlineStr">
        <is>
          <t>C0036</t>
        </is>
      </c>
      <c r="G2407" t="inlineStr">
        <is>
          <t>Summit Homes Pty Ltd</t>
        </is>
      </c>
      <c r="H2407" t="inlineStr">
        <is>
          <t>S0158</t>
        </is>
      </c>
      <c r="I2407" t="inlineStr">
        <is>
          <t>Temporary fence hire 4 wks (14/05/26-10/06/26) - 29 panels</t>
        </is>
      </c>
      <c r="J2407" t="n">
        <v>116</v>
      </c>
      <c r="K2407" s="9" t="n">
        <v>522</v>
      </c>
      <c r="L2407" t="inlineStr">
        <is>
          <t>AUTHORISED</t>
        </is>
      </c>
      <c r="M2407">
        <f>IF(L2407="VOIDED",0,1)</f>
        <v>1</v>
      </c>
      <c r="N2407" t="n">
        <v>260</v>
      </c>
      <c r="O2407" t="inlineStr">
        <is>
          <t>GST on Income</t>
        </is>
      </c>
      <c r="P2407" t="inlineStr">
        <is>
          <t>R03</t>
        </is>
      </c>
      <c r="Q2407" t="inlineStr">
        <is>
          <t>HIRE-FP</t>
        </is>
      </c>
      <c r="R2407">
        <f>IF(OR(Q2407="CONTEXT",Q2407="REVIEW"),"",INDEX('Category Rules'!$D$5:$D$17,MATCH(P2407,'Category Rules'!$A$5:$A$17,0)))</f>
        <v>4010</v>
      </c>
      <c r="S2407" t="str">
        <f>IF(Q2407="CONTEXT","Fencing",IF(Q2407="REVIEW","",INDEX('Category Rules'!$E$5:$E$17,MATCH(P2407,'Category Rules'!$A$5:$A$17,0))))</f>
        <v>Fencing</v>
      </c>
      <c r="T2407" t="str">
        <f>IF(Q2407="DEP","BAS Excluded","GST on Income")</f>
        <v>GST on Income</v>
      </c>
      <c r="U2407">
        <f>IF(O2407=T2407,1,0)</f>
        <v>1</v>
      </c>
      <c r="V2407" s="9">
        <f>IF(OR(M2407=0,U2407=1),0,IF(T2407="GST on Income",ROUND(K2407*0.1,2),ROUND(-K2407*0.1,2)))</f>
        <v>0</v>
      </c>
    </row>
    <row r="2408">
      <c r="A2408" t="inlineStr">
        <is>
          <t>INV-4844-1</t>
        </is>
      </c>
      <c r="B2408" t="inlineStr">
        <is>
          <t>INV-4844</t>
        </is>
      </c>
      <c r="C2408" s="11" t="n">
        <v>46184</v>
      </c>
      <c r="D2408" t="inlineStr">
        <is>
          <t>2026-06</t>
        </is>
      </c>
      <c r="E2408" t="inlineStr">
        <is>
          <t>C0136</t>
        </is>
      </c>
      <c r="F2408" t="inlineStr">
        <is>
          <t>C0036</t>
        </is>
      </c>
      <c r="G2408" t="inlineStr">
        <is>
          <t>Summit Homes Pty Ltd</t>
        </is>
      </c>
      <c r="H2408" t="inlineStr">
        <is>
          <t>S0158</t>
        </is>
      </c>
      <c r="I2408" t="inlineStr">
        <is>
          <t>Pedestrian barrier hire 4 wks (14/05/26-10/06/26) - 23 barriers</t>
        </is>
      </c>
      <c r="J2408" t="n">
        <v>92</v>
      </c>
      <c r="K2408" s="9" t="n">
        <v>294.4</v>
      </c>
      <c r="L2408" t="inlineStr">
        <is>
          <t>PAID</t>
        </is>
      </c>
      <c r="M2408">
        <f>IF(L2408="VOIDED",0,1)</f>
        <v>1</v>
      </c>
      <c r="N2408" t="n">
        <v>200</v>
      </c>
      <c r="O2408" t="inlineStr">
        <is>
          <t>GST on Income</t>
        </is>
      </c>
      <c r="P2408" t="inlineStr">
        <is>
          <t>R04</t>
        </is>
      </c>
      <c r="Q2408" t="inlineStr">
        <is>
          <t>HIRE-BR</t>
        </is>
      </c>
      <c r="R2408">
        <f>IF(OR(Q2408="CONTEXT",Q2408="REVIEW"),"",INDEX('Category Rules'!$D$5:$D$17,MATCH(P2408,'Category Rules'!$A$5:$A$17,0)))</f>
        <v>4010</v>
      </c>
      <c r="S2408" t="str">
        <f>IF(Q2408="CONTEXT","Fencing",IF(Q2408="REVIEW","",INDEX('Category Rules'!$E$5:$E$17,MATCH(P2408,'Category Rules'!$A$5:$A$17,0))))</f>
        <v>Fencing</v>
      </c>
      <c r="T2408" t="str">
        <f>IF(Q2408="DEP","BAS Excluded","GST on Income")</f>
        <v>GST on Income</v>
      </c>
      <c r="U2408">
        <f>IF(O2408=T2408,1,0)</f>
        <v>1</v>
      </c>
      <c r="V2408" s="9">
        <f>IF(OR(M2408=0,U2408=1),0,IF(T2408="GST on Income",ROUND(K2408*0.1,2),ROUND(-K2408*0.1,2)))</f>
        <v>0</v>
      </c>
    </row>
    <row r="2409">
      <c r="A2409" t="inlineStr">
        <is>
          <t>INV-5400-1</t>
        </is>
      </c>
      <c r="B2409" t="inlineStr">
        <is>
          <t>INV-5400</t>
        </is>
      </c>
      <c r="C2409" s="11" t="n">
        <v>46184</v>
      </c>
      <c r="D2409" t="inlineStr">
        <is>
          <t>2026-06</t>
        </is>
      </c>
      <c r="E2409" t="inlineStr">
        <is>
          <t>C0122</t>
        </is>
      </c>
      <c r="F2409" t="inlineStr">
        <is>
          <t>C0122</t>
        </is>
      </c>
      <c r="G2409" t="inlineStr">
        <is>
          <t>Bluegum Construction Pty Ltd</t>
        </is>
      </c>
      <c r="H2409" t="inlineStr">
        <is>
          <t>S0283</t>
        </is>
      </c>
      <c r="I2409" t="inlineStr">
        <is>
          <t>Scaffold tower hire 4 wks (14/05/26-10/06/26) - 2 towers</t>
        </is>
      </c>
      <c r="J2409" t="n">
        <v>8</v>
      </c>
      <c r="K2409" s="9" t="n">
        <v>760</v>
      </c>
      <c r="L2409" t="inlineStr">
        <is>
          <t>PAID</t>
        </is>
      </c>
      <c r="M2409">
        <f>IF(L2409="VOIDED",0,1)</f>
        <v>1</v>
      </c>
      <c r="N2409" t="n">
        <v>260</v>
      </c>
      <c r="O2409" t="inlineStr">
        <is>
          <t>GST on Income</t>
        </is>
      </c>
      <c r="P2409" t="inlineStr">
        <is>
          <t>R05</t>
        </is>
      </c>
      <c r="Q2409" t="inlineStr">
        <is>
          <t>HIRE-ST</t>
        </is>
      </c>
      <c r="R2409">
        <f>IF(OR(Q2409="CONTEXT",Q2409="REVIEW"),"",INDEX('Category Rules'!$D$5:$D$17,MATCH(P2409,'Category Rules'!$A$5:$A$17,0)))</f>
        <v>4010</v>
      </c>
      <c r="S2409" t="str">
        <f>IF(Q2409="CONTEXT","Scaffolding",IF(Q2409="REVIEW","",INDEX('Category Rules'!$E$5:$E$17,MATCH(P2409,'Category Rules'!$A$5:$A$17,0))))</f>
        <v>Scaffolding</v>
      </c>
      <c r="T2409" t="str">
        <f>IF(Q2409="DEP","BAS Excluded","GST on Income")</f>
        <v>GST on Income</v>
      </c>
      <c r="U2409">
        <f>IF(O2409=T2409,1,0)</f>
        <v>1</v>
      </c>
      <c r="V2409" s="9">
        <f>IF(OR(M2409=0,U2409=1),0,IF(T2409="GST on Income",ROUND(K2409*0.1,2),ROUND(-K2409*0.1,2)))</f>
        <v>0</v>
      </c>
    </row>
    <row r="2410">
      <c r="A2410" t="inlineStr">
        <is>
          <t>INV-5638-1</t>
        </is>
      </c>
      <c r="B2410" t="inlineStr">
        <is>
          <t>INV-5638</t>
        </is>
      </c>
      <c r="C2410" s="11" t="n">
        <v>46184</v>
      </c>
      <c r="D2410" t="inlineStr">
        <is>
          <t>2026-06</t>
        </is>
      </c>
      <c r="E2410" t="inlineStr">
        <is>
          <t>C0011</t>
        </is>
      </c>
      <c r="F2410" t="inlineStr">
        <is>
          <t>C0011</t>
        </is>
      </c>
      <c r="G2410" t="inlineStr">
        <is>
          <t>Wattle Homes Pty Ltd</t>
        </is>
      </c>
      <c r="H2410" t="inlineStr">
        <is>
          <t>S0400</t>
        </is>
      </c>
      <c r="I2410" t="inlineStr">
        <is>
          <t>Make safe call-out</t>
        </is>
      </c>
      <c r="J2410" t="n">
        <v>1</v>
      </c>
      <c r="K2410" s="9" t="n">
        <v>385</v>
      </c>
      <c r="L2410" t="inlineStr">
        <is>
          <t>PAID</t>
        </is>
      </c>
      <c r="M2410">
        <f>IF(L2410="VOIDED",0,1)</f>
        <v>1</v>
      </c>
      <c r="N2410" t="n">
        <v>200</v>
      </c>
      <c r="O2410" t="inlineStr">
        <is>
          <t>GST on Income</t>
        </is>
      </c>
      <c r="P2410" t="inlineStr">
        <is>
          <t>R09</t>
        </is>
      </c>
      <c r="Q2410" t="inlineStr">
        <is>
          <t>MS</t>
        </is>
      </c>
      <c r="R2410">
        <f>IF(OR(Q2410="CONTEXT",Q2410="REVIEW"),"",INDEX('Category Rules'!$D$5:$D$17,MATCH(P2410,'Category Rules'!$A$5:$A$17,0)))</f>
        <v>4020</v>
      </c>
      <c r="S2410" t="str">
        <f>IF(Q2410="CONTEXT","Make-safe",IF(Q2410="REVIEW","",INDEX('Category Rules'!$E$5:$E$17,MATCH(P2410,'Category Rules'!$A$5:$A$17,0))))</f>
        <v>Make-safe</v>
      </c>
      <c r="T2410" t="str">
        <f>IF(Q2410="DEP","BAS Excluded","GST on Income")</f>
        <v>GST on Income</v>
      </c>
      <c r="U2410">
        <f>IF(O2410=T2410,1,0)</f>
        <v>1</v>
      </c>
      <c r="V2410" s="9">
        <f>IF(OR(M2410=0,U2410=1),0,IF(T2410="GST on Income",ROUND(K2410*0.1,2),ROUND(-K2410*0.1,2)))</f>
        <v>0</v>
      </c>
    </row>
    <row r="2411">
      <c r="A2411" t="inlineStr">
        <is>
          <t>INV-5638-2</t>
        </is>
      </c>
      <c r="B2411" t="inlineStr">
        <is>
          <t>INV-5638</t>
        </is>
      </c>
      <c r="C2411" s="11" t="n">
        <v>46184</v>
      </c>
      <c r="D2411" t="inlineStr">
        <is>
          <t>2026-06</t>
        </is>
      </c>
      <c r="E2411" t="inlineStr">
        <is>
          <t>C0011</t>
        </is>
      </c>
      <c r="F2411" t="inlineStr">
        <is>
          <t>C0011</t>
        </is>
      </c>
      <c r="G2411" t="inlineStr">
        <is>
          <t>Wattle Homes Pty Ltd</t>
        </is>
      </c>
      <c r="H2411" t="inlineStr">
        <is>
          <t>S0400</t>
        </is>
      </c>
      <c r="I2411" t="inlineStr">
        <is>
          <t>Tarp supply and install - 2 tarp(s)</t>
        </is>
      </c>
      <c r="J2411" t="n">
        <v>2</v>
      </c>
      <c r="K2411" s="9" t="n">
        <v>480</v>
      </c>
      <c r="L2411" t="inlineStr">
        <is>
          <t>PAID</t>
        </is>
      </c>
      <c r="M2411">
        <f>IF(L2411="VOIDED",0,1)</f>
        <v>1</v>
      </c>
      <c r="N2411" t="n">
        <v>200</v>
      </c>
      <c r="O2411" t="inlineStr">
        <is>
          <t>GST on Income</t>
        </is>
      </c>
      <c r="P2411" t="inlineStr">
        <is>
          <t>R09</t>
        </is>
      </c>
      <c r="Q2411" t="inlineStr">
        <is>
          <t>MS</t>
        </is>
      </c>
      <c r="R2411">
        <f>IF(OR(Q2411="CONTEXT",Q2411="REVIEW"),"",INDEX('Category Rules'!$D$5:$D$17,MATCH(P2411,'Category Rules'!$A$5:$A$17,0)))</f>
        <v>4020</v>
      </c>
      <c r="S2411" t="str">
        <f>IF(Q2411="CONTEXT","Make-safe",IF(Q2411="REVIEW","",INDEX('Category Rules'!$E$5:$E$17,MATCH(P2411,'Category Rules'!$A$5:$A$17,0))))</f>
        <v>Make-safe</v>
      </c>
      <c r="T2411" t="str">
        <f>IF(Q2411="DEP","BAS Excluded","GST on Income")</f>
        <v>GST on Income</v>
      </c>
      <c r="U2411">
        <f>IF(O2411=T2411,1,0)</f>
        <v>1</v>
      </c>
      <c r="V2411" s="9">
        <f>IF(OR(M2411=0,U2411=1),0,IF(T2411="GST on Income",ROUND(K2411*0.1,2),ROUND(-K2411*0.1,2)))</f>
        <v>0</v>
      </c>
    </row>
    <row r="2412">
      <c r="A2412" t="inlineStr">
        <is>
          <t>INV-5680-1</t>
        </is>
      </c>
      <c r="B2412" t="inlineStr">
        <is>
          <t>INV-5680</t>
        </is>
      </c>
      <c r="C2412" s="11" t="n">
        <v>46184</v>
      </c>
      <c r="D2412" t="inlineStr">
        <is>
          <t>2026-06</t>
        </is>
      </c>
      <c r="E2412" t="inlineStr">
        <is>
          <t>C0066</t>
        </is>
      </c>
      <c r="F2412" t="inlineStr">
        <is>
          <t>C0066</t>
        </is>
      </c>
      <c r="G2412" t="inlineStr">
        <is>
          <t>Northgate Insurance Repairs</t>
        </is>
      </c>
      <c r="H2412" t="inlineStr">
        <is>
          <t>S0423</t>
        </is>
      </c>
      <c r="I2412" t="inlineStr">
        <is>
          <t>Tarp kit hire 2 wks (03/06/26-10/06/26) - 2 kits</t>
        </is>
      </c>
      <c r="J2412" t="n">
        <v>4</v>
      </c>
      <c r="K2412" s="9" t="n">
        <v>140</v>
      </c>
      <c r="L2412" t="inlineStr">
        <is>
          <t>PAID</t>
        </is>
      </c>
      <c r="M2412">
        <f>IF(L2412="VOIDED",0,1)</f>
        <v>1</v>
      </c>
      <c r="N2412" t="n">
        <v>200</v>
      </c>
      <c r="O2412" t="inlineStr">
        <is>
          <t>GST on Income</t>
        </is>
      </c>
      <c r="P2412" t="inlineStr">
        <is>
          <t>R06</t>
        </is>
      </c>
      <c r="Q2412" t="inlineStr">
        <is>
          <t>HIRE-TK</t>
        </is>
      </c>
      <c r="R2412">
        <f>IF(OR(Q2412="CONTEXT",Q2412="REVIEW"),"",INDEX('Category Rules'!$D$5:$D$17,MATCH(P2412,'Category Rules'!$A$5:$A$17,0)))</f>
        <v>4010</v>
      </c>
      <c r="S2412" t="str">
        <f>IF(Q2412="CONTEXT","Make-safe",IF(Q2412="REVIEW","",INDEX('Category Rules'!$E$5:$E$17,MATCH(P2412,'Category Rules'!$A$5:$A$17,0))))</f>
        <v>Make-safe</v>
      </c>
      <c r="T2412" t="str">
        <f>IF(Q2412="DEP","BAS Excluded","GST on Income")</f>
        <v>GST on Income</v>
      </c>
      <c r="U2412">
        <f>IF(O2412=T2412,1,0)</f>
        <v>1</v>
      </c>
      <c r="V2412" s="9">
        <f>IF(OR(M2412=0,U2412=1),0,IF(T2412="GST on Income",ROUND(K2412*0.1,2),ROUND(-K2412*0.1,2)))</f>
        <v>0</v>
      </c>
    </row>
    <row r="2413">
      <c r="A2413" t="inlineStr">
        <is>
          <t>INV-5830-1</t>
        </is>
      </c>
      <c r="B2413" t="inlineStr">
        <is>
          <t>INV-5830</t>
        </is>
      </c>
      <c r="C2413" s="11" t="n">
        <v>46184</v>
      </c>
      <c r="D2413" t="inlineStr">
        <is>
          <t>2026-06</t>
        </is>
      </c>
      <c r="E2413" t="inlineStr">
        <is>
          <t>C0063</t>
        </is>
      </c>
      <c r="F2413" t="inlineStr">
        <is>
          <t>C0063</t>
        </is>
      </c>
      <c r="G2413" t="inlineStr">
        <is>
          <t>Highpoint Insurance Repairs Pty Ltd</t>
        </is>
      </c>
      <c r="H2413" t="inlineStr">
        <is>
          <t>S0507</t>
        </is>
      </c>
      <c r="I2413" t="inlineStr">
        <is>
          <t>Roof repair labour - 4 hrs</t>
        </is>
      </c>
      <c r="J2413" t="n">
        <v>4</v>
      </c>
      <c r="K2413" s="9" t="n">
        <v>392</v>
      </c>
      <c r="L2413" t="inlineStr">
        <is>
          <t>PAID</t>
        </is>
      </c>
      <c r="M2413">
        <f>IF(L2413="VOIDED",0,1)</f>
        <v>1</v>
      </c>
      <c r="N2413" t="n">
        <v>200</v>
      </c>
      <c r="O2413" t="inlineStr">
        <is>
          <t>GST on Income</t>
        </is>
      </c>
      <c r="P2413" t="inlineStr">
        <is>
          <t>R10</t>
        </is>
      </c>
      <c r="Q2413" t="inlineStr">
        <is>
          <t>LAB-RF</t>
        </is>
      </c>
      <c r="R2413">
        <f>IF(OR(Q2413="CONTEXT",Q2413="REVIEW"),"",INDEX('Category Rules'!$D$5:$D$17,MATCH(P2413,'Category Rules'!$A$5:$A$17,0)))</f>
        <v>4020</v>
      </c>
      <c r="S2413" t="str">
        <f>IF(Q2413="CONTEXT","Roofing",IF(Q2413="REVIEW","",INDEX('Category Rules'!$E$5:$E$17,MATCH(P2413,'Category Rules'!$A$5:$A$17,0))))</f>
        <v>Roofing</v>
      </c>
      <c r="T2413" t="str">
        <f>IF(Q2413="DEP","BAS Excluded","GST on Income")</f>
        <v>GST on Income</v>
      </c>
      <c r="U2413">
        <f>IF(O2413=T2413,1,0)</f>
        <v>1</v>
      </c>
      <c r="V2413" s="9">
        <f>IF(OR(M2413=0,U2413=1),0,IF(T2413="GST on Income",ROUND(K2413*0.1,2),ROUND(-K2413*0.1,2)))</f>
        <v>0</v>
      </c>
    </row>
    <row r="2414">
      <c r="A2414" t="inlineStr">
        <is>
          <t>INV-5830-2</t>
        </is>
      </c>
      <c r="B2414" t="inlineStr">
        <is>
          <t>INV-5830</t>
        </is>
      </c>
      <c r="C2414" s="11" t="n">
        <v>46184</v>
      </c>
      <c r="D2414" t="inlineStr">
        <is>
          <t>2026-06</t>
        </is>
      </c>
      <c r="E2414" t="inlineStr">
        <is>
          <t>C0063</t>
        </is>
      </c>
      <c r="F2414" t="inlineStr">
        <is>
          <t>C0063</t>
        </is>
      </c>
      <c r="G2414" t="inlineStr">
        <is>
          <t>Highpoint Insurance Repairs Pty Ltd</t>
        </is>
      </c>
      <c r="H2414" t="inlineStr">
        <is>
          <t>S0507</t>
        </is>
      </c>
      <c r="I2414" t="inlineStr">
        <is>
          <t>Materials - roof tiles (matched)</t>
        </is>
      </c>
      <c r="J2414" t="n">
        <v>1</v>
      </c>
      <c r="K2414" s="9" t="n">
        <v>322.27</v>
      </c>
      <c r="L2414" t="inlineStr">
        <is>
          <t>PAID</t>
        </is>
      </c>
      <c r="M2414">
        <f>IF(L2414="VOIDED",0,1)</f>
        <v>1</v>
      </c>
      <c r="N2414" t="n">
        <v>200</v>
      </c>
      <c r="O2414" t="inlineStr">
        <is>
          <t>GST on Income</t>
        </is>
      </c>
      <c r="P2414" t="inlineStr">
        <is>
          <t>R11</t>
        </is>
      </c>
      <c r="Q2414" t="inlineStr">
        <is>
          <t>MAT-RF</t>
        </is>
      </c>
      <c r="R2414">
        <f>IF(OR(Q2414="CONTEXT",Q2414="REVIEW"),"",INDEX('Category Rules'!$D$5:$D$17,MATCH(P2414,'Category Rules'!$A$5:$A$17,0)))</f>
        <v>4030</v>
      </c>
      <c r="S2414" t="str">
        <f>IF(Q2414="CONTEXT","Roofing",IF(Q2414="REVIEW","",INDEX('Category Rules'!$E$5:$E$17,MATCH(P2414,'Category Rules'!$A$5:$A$17,0))))</f>
        <v>Roofing</v>
      </c>
      <c r="T2414" t="str">
        <f>IF(Q2414="DEP","BAS Excluded","GST on Income")</f>
        <v>GST on Income</v>
      </c>
      <c r="U2414">
        <f>IF(O2414=T2414,1,0)</f>
        <v>1</v>
      </c>
      <c r="V2414" s="9">
        <f>IF(OR(M2414=0,U2414=1),0,IF(T2414="GST on Income",ROUND(K2414*0.1,2),ROUND(-K2414*0.1,2)))</f>
        <v>0</v>
      </c>
    </row>
    <row r="2415">
      <c r="A2415" t="inlineStr">
        <is>
          <t>INV-5830-3</t>
        </is>
      </c>
      <c r="B2415" t="inlineStr">
        <is>
          <t>INV-5830</t>
        </is>
      </c>
      <c r="C2415" s="11" t="n">
        <v>46184</v>
      </c>
      <c r="D2415" t="inlineStr">
        <is>
          <t>2026-06</t>
        </is>
      </c>
      <c r="E2415" t="inlineStr">
        <is>
          <t>C0063</t>
        </is>
      </c>
      <c r="F2415" t="inlineStr">
        <is>
          <t>C0063</t>
        </is>
      </c>
      <c r="G2415" t="inlineStr">
        <is>
          <t>Highpoint Insurance Repairs Pty Ltd</t>
        </is>
      </c>
      <c r="H2415" t="inlineStr">
        <is>
          <t>S0507</t>
        </is>
      </c>
      <c r="I2415" t="inlineStr">
        <is>
          <t>Materials - flashing</t>
        </is>
      </c>
      <c r="J2415" t="n">
        <v>1</v>
      </c>
      <c r="K2415" s="9" t="n">
        <v>268.18</v>
      </c>
      <c r="L2415" t="inlineStr">
        <is>
          <t>PAID</t>
        </is>
      </c>
      <c r="M2415">
        <f>IF(L2415="VOIDED",0,1)</f>
        <v>1</v>
      </c>
      <c r="N2415" t="n">
        <v>200</v>
      </c>
      <c r="O2415" t="inlineStr">
        <is>
          <t>GST on Income</t>
        </is>
      </c>
      <c r="P2415" t="inlineStr">
        <is>
          <t>R11</t>
        </is>
      </c>
      <c r="Q2415" t="inlineStr">
        <is>
          <t>MAT-RF</t>
        </is>
      </c>
      <c r="R2415">
        <f>IF(OR(Q2415="CONTEXT",Q2415="REVIEW"),"",INDEX('Category Rules'!$D$5:$D$17,MATCH(P2415,'Category Rules'!$A$5:$A$17,0)))</f>
        <v>4030</v>
      </c>
      <c r="S2415" t="str">
        <f>IF(Q2415="CONTEXT","Roofing",IF(Q2415="REVIEW","",INDEX('Category Rules'!$E$5:$E$17,MATCH(P2415,'Category Rules'!$A$5:$A$17,0))))</f>
        <v>Roofing</v>
      </c>
      <c r="T2415" t="str">
        <f>IF(Q2415="DEP","BAS Excluded","GST on Income")</f>
        <v>GST on Income</v>
      </c>
      <c r="U2415">
        <f>IF(O2415=T2415,1,0)</f>
        <v>1</v>
      </c>
      <c r="V2415" s="9">
        <f>IF(OR(M2415=0,U2415=1),0,IF(T2415="GST on Income",ROUND(K2415*0.1,2),ROUND(-K2415*0.1,2)))</f>
        <v>0</v>
      </c>
    </row>
    <row r="2416">
      <c r="A2416" t="inlineStr">
        <is>
          <t>INV-4737-1</t>
        </is>
      </c>
      <c r="B2416" t="inlineStr">
        <is>
          <t>INV-4737</t>
        </is>
      </c>
      <c r="C2416" s="11" t="n">
        <v>46185</v>
      </c>
      <c r="D2416" t="inlineStr">
        <is>
          <t>2026-06</t>
        </is>
      </c>
      <c r="E2416" t="inlineStr">
        <is>
          <t>C0033</t>
        </is>
      </c>
      <c r="F2416" t="inlineStr">
        <is>
          <t>C0033</t>
        </is>
      </c>
      <c r="G2416" t="inlineStr">
        <is>
          <t>Granite Projects Pty Ltd</t>
        </is>
      </c>
      <c r="H2416" t="inlineStr">
        <is>
          <t>S0133</t>
        </is>
      </c>
      <c r="I2416" t="inlineStr">
        <is>
          <t>Temporary fence hire 4 wks (15/05/26-11/06/26) - 140 panels</t>
        </is>
      </c>
      <c r="J2416" t="n">
        <v>560</v>
      </c>
      <c r="K2416" s="9" t="n">
        <v>2520</v>
      </c>
      <c r="L2416" t="inlineStr">
        <is>
          <t>PAID</t>
        </is>
      </c>
      <c r="M2416">
        <f>IF(L2416="VOIDED",0,1)</f>
        <v>1</v>
      </c>
      <c r="N2416" t="n">
        <v>200</v>
      </c>
      <c r="O2416" t="inlineStr">
        <is>
          <t>GST on Income</t>
        </is>
      </c>
      <c r="P2416" t="inlineStr">
        <is>
          <t>R03</t>
        </is>
      </c>
      <c r="Q2416" t="inlineStr">
        <is>
          <t>HIRE-FP</t>
        </is>
      </c>
      <c r="R2416">
        <f>IF(OR(Q2416="CONTEXT",Q2416="REVIEW"),"",INDEX('Category Rules'!$D$5:$D$17,MATCH(P2416,'Category Rules'!$A$5:$A$17,0)))</f>
        <v>4010</v>
      </c>
      <c r="S2416" t="str">
        <f>IF(Q2416="CONTEXT","Fencing",IF(Q2416="REVIEW","",INDEX('Category Rules'!$E$5:$E$17,MATCH(P2416,'Category Rules'!$A$5:$A$17,0))))</f>
        <v>Fencing</v>
      </c>
      <c r="T2416" t="str">
        <f>IF(Q2416="DEP","BAS Excluded","GST on Income")</f>
        <v>GST on Income</v>
      </c>
      <c r="U2416">
        <f>IF(O2416=T2416,1,0)</f>
        <v>1</v>
      </c>
      <c r="V2416" s="9">
        <f>IF(OR(M2416=0,U2416=1),0,IF(T2416="GST on Income",ROUND(K2416*0.1,2),ROUND(-K2416*0.1,2)))</f>
        <v>0</v>
      </c>
    </row>
    <row r="2417">
      <c r="A2417" t="inlineStr">
        <is>
          <t>INV-4797-1</t>
        </is>
      </c>
      <c r="B2417" t="inlineStr">
        <is>
          <t>INV-4797</t>
        </is>
      </c>
      <c r="C2417" s="11" t="n">
        <v>46185</v>
      </c>
      <c r="D2417" t="inlineStr">
        <is>
          <t>2026-06</t>
        </is>
      </c>
      <c r="E2417" t="inlineStr">
        <is>
          <t>C0024</t>
        </is>
      </c>
      <c r="F2417" t="inlineStr">
        <is>
          <t>C0024</t>
        </is>
      </c>
      <c r="G2417" t="inlineStr">
        <is>
          <t>Parkview Homes Pty Ltd</t>
        </is>
      </c>
      <c r="H2417" t="inlineStr">
        <is>
          <t>S0148</t>
        </is>
      </c>
      <c r="I2417" t="inlineStr">
        <is>
          <t>Temporary fence hire 4 wks (15/05/26-11/06/26) - 171 panels</t>
        </is>
      </c>
      <c r="J2417" t="n">
        <v>684</v>
      </c>
      <c r="K2417" s="9" t="n">
        <v>3078</v>
      </c>
      <c r="L2417" t="inlineStr">
        <is>
          <t>PAID</t>
        </is>
      </c>
      <c r="M2417">
        <f>IF(L2417="VOIDED",0,1)</f>
        <v>1</v>
      </c>
      <c r="N2417" t="n">
        <v>200</v>
      </c>
      <c r="O2417" t="inlineStr">
        <is>
          <t>GST on Income</t>
        </is>
      </c>
      <c r="P2417" t="inlineStr">
        <is>
          <t>R03</t>
        </is>
      </c>
      <c r="Q2417" t="inlineStr">
        <is>
          <t>HIRE-FP</t>
        </is>
      </c>
      <c r="R2417">
        <f>IF(OR(Q2417="CONTEXT",Q2417="REVIEW"),"",INDEX('Category Rules'!$D$5:$D$17,MATCH(P2417,'Category Rules'!$A$5:$A$17,0)))</f>
        <v>4010</v>
      </c>
      <c r="S2417" t="str">
        <f>IF(Q2417="CONTEXT","Fencing",IF(Q2417="REVIEW","",INDEX('Category Rules'!$E$5:$E$17,MATCH(P2417,'Category Rules'!$A$5:$A$17,0))))</f>
        <v>Fencing</v>
      </c>
      <c r="T2417" t="str">
        <f>IF(Q2417="DEP","BAS Excluded","GST on Income")</f>
        <v>GST on Income</v>
      </c>
      <c r="U2417">
        <f>IF(O2417=T2417,1,0)</f>
        <v>1</v>
      </c>
      <c r="V2417" s="9">
        <f>IF(OR(M2417=0,U2417=1),0,IF(T2417="GST on Income",ROUND(K2417*0.1,2),ROUND(-K2417*0.1,2)))</f>
        <v>0</v>
      </c>
    </row>
    <row r="2418">
      <c r="A2418" t="inlineStr">
        <is>
          <t>INV-5682-1</t>
        </is>
      </c>
      <c r="B2418" t="inlineStr">
        <is>
          <t>INV-5682</t>
        </is>
      </c>
      <c r="C2418" s="11" t="n">
        <v>46185</v>
      </c>
      <c r="D2418" t="inlineStr">
        <is>
          <t>2026-06</t>
        </is>
      </c>
      <c r="E2418" t="inlineStr">
        <is>
          <t>C0066</t>
        </is>
      </c>
      <c r="F2418" t="inlineStr">
        <is>
          <t>C0066</t>
        </is>
      </c>
      <c r="G2418" t="inlineStr">
        <is>
          <t>Northgate Insurance Repairs</t>
        </is>
      </c>
      <c r="H2418" t="inlineStr">
        <is>
          <t>S0423</t>
        </is>
      </c>
      <c r="I2418" t="inlineStr">
        <is>
          <t>Roof repair labour - 4 hrs</t>
        </is>
      </c>
      <c r="J2418" t="n">
        <v>4</v>
      </c>
      <c r="K2418" s="9" t="n">
        <v>392</v>
      </c>
      <c r="L2418" t="inlineStr">
        <is>
          <t>PAID</t>
        </is>
      </c>
      <c r="M2418">
        <f>IF(L2418="VOIDED",0,1)</f>
        <v>1</v>
      </c>
      <c r="N2418" t="n">
        <v>200</v>
      </c>
      <c r="O2418" t="inlineStr">
        <is>
          <t>GST on Income</t>
        </is>
      </c>
      <c r="P2418" t="inlineStr">
        <is>
          <t>R10</t>
        </is>
      </c>
      <c r="Q2418" t="inlineStr">
        <is>
          <t>LAB-RF</t>
        </is>
      </c>
      <c r="R2418">
        <f>IF(OR(Q2418="CONTEXT",Q2418="REVIEW"),"",INDEX('Category Rules'!$D$5:$D$17,MATCH(P2418,'Category Rules'!$A$5:$A$17,0)))</f>
        <v>4020</v>
      </c>
      <c r="S2418" t="str">
        <f>IF(Q2418="CONTEXT","Roofing",IF(Q2418="REVIEW","",INDEX('Category Rules'!$E$5:$E$17,MATCH(P2418,'Category Rules'!$A$5:$A$17,0))))</f>
        <v>Roofing</v>
      </c>
      <c r="T2418" t="str">
        <f>IF(Q2418="DEP","BAS Excluded","GST on Income")</f>
        <v>GST on Income</v>
      </c>
      <c r="U2418">
        <f>IF(O2418=T2418,1,0)</f>
        <v>1</v>
      </c>
      <c r="V2418" s="9">
        <f>IF(OR(M2418=0,U2418=1),0,IF(T2418="GST on Income",ROUND(K2418*0.1,2),ROUND(-K2418*0.1,2)))</f>
        <v>0</v>
      </c>
    </row>
    <row r="2419">
      <c r="A2419" t="inlineStr">
        <is>
          <t>INV-5682-2</t>
        </is>
      </c>
      <c r="B2419" t="inlineStr">
        <is>
          <t>INV-5682</t>
        </is>
      </c>
      <c r="C2419" s="11" t="n">
        <v>46185</v>
      </c>
      <c r="D2419" t="inlineStr">
        <is>
          <t>2026-06</t>
        </is>
      </c>
      <c r="E2419" t="inlineStr">
        <is>
          <t>C0066</t>
        </is>
      </c>
      <c r="F2419" t="inlineStr">
        <is>
          <t>C0066</t>
        </is>
      </c>
      <c r="G2419" t="inlineStr">
        <is>
          <t>Northgate Insurance Repairs</t>
        </is>
      </c>
      <c r="H2419" t="inlineStr">
        <is>
          <t>S0423</t>
        </is>
      </c>
      <c r="I2419" t="inlineStr">
        <is>
          <t>Materials - roof tiles (matched)</t>
        </is>
      </c>
      <c r="J2419" t="n">
        <v>1</v>
      </c>
      <c r="K2419" s="9" t="n">
        <v>952.77</v>
      </c>
      <c r="L2419" t="inlineStr">
        <is>
          <t>PAID</t>
        </is>
      </c>
      <c r="M2419">
        <f>IF(L2419="VOIDED",0,1)</f>
        <v>1</v>
      </c>
      <c r="N2419" t="n">
        <v>200</v>
      </c>
      <c r="O2419" t="inlineStr">
        <is>
          <t>GST on Income</t>
        </is>
      </c>
      <c r="P2419" t="inlineStr">
        <is>
          <t>R11</t>
        </is>
      </c>
      <c r="Q2419" t="inlineStr">
        <is>
          <t>MAT-RF</t>
        </is>
      </c>
      <c r="R2419">
        <f>IF(OR(Q2419="CONTEXT",Q2419="REVIEW"),"",INDEX('Category Rules'!$D$5:$D$17,MATCH(P2419,'Category Rules'!$A$5:$A$17,0)))</f>
        <v>4030</v>
      </c>
      <c r="S2419" t="str">
        <f>IF(Q2419="CONTEXT","Roofing",IF(Q2419="REVIEW","",INDEX('Category Rules'!$E$5:$E$17,MATCH(P2419,'Category Rules'!$A$5:$A$17,0))))</f>
        <v>Roofing</v>
      </c>
      <c r="T2419" t="str">
        <f>IF(Q2419="DEP","BAS Excluded","GST on Income")</f>
        <v>GST on Income</v>
      </c>
      <c r="U2419">
        <f>IF(O2419=T2419,1,0)</f>
        <v>1</v>
      </c>
      <c r="V2419" s="9">
        <f>IF(OR(M2419=0,U2419=1),0,IF(T2419="GST on Income",ROUND(K2419*0.1,2),ROUND(-K2419*0.1,2)))</f>
        <v>0</v>
      </c>
    </row>
    <row r="2420">
      <c r="A2420" t="inlineStr">
        <is>
          <t>INV-5682-3</t>
        </is>
      </c>
      <c r="B2420" t="inlineStr">
        <is>
          <t>INV-5682</t>
        </is>
      </c>
      <c r="C2420" s="11" t="n">
        <v>46185</v>
      </c>
      <c r="D2420" t="inlineStr">
        <is>
          <t>2026-06</t>
        </is>
      </c>
      <c r="E2420" t="inlineStr">
        <is>
          <t>C0066</t>
        </is>
      </c>
      <c r="F2420" t="inlineStr">
        <is>
          <t>C0066</t>
        </is>
      </c>
      <c r="G2420" t="inlineStr">
        <is>
          <t>Northgate Insurance Repairs</t>
        </is>
      </c>
      <c r="H2420" t="inlineStr">
        <is>
          <t>S0423</t>
        </is>
      </c>
      <c r="I2420" t="inlineStr">
        <is>
          <t>Waste removal and tip fees</t>
        </is>
      </c>
      <c r="J2420" t="n">
        <v>1</v>
      </c>
      <c r="K2420" s="9" t="n">
        <v>120</v>
      </c>
      <c r="L2420" t="inlineStr">
        <is>
          <t>PAID</t>
        </is>
      </c>
      <c r="M2420">
        <f>IF(L2420="VOIDED",0,1)</f>
        <v>1</v>
      </c>
      <c r="N2420" t="n">
        <v>200</v>
      </c>
      <c r="O2420" t="inlineStr">
        <is>
          <t>GST on Income</t>
        </is>
      </c>
      <c r="P2420" t="inlineStr">
        <is>
          <t>R11</t>
        </is>
      </c>
      <c r="Q2420" t="inlineStr">
        <is>
          <t>MAT-RF</t>
        </is>
      </c>
      <c r="R2420">
        <f>IF(OR(Q2420="CONTEXT",Q2420="REVIEW"),"",INDEX('Category Rules'!$D$5:$D$17,MATCH(P2420,'Category Rules'!$A$5:$A$17,0)))</f>
        <v>4030</v>
      </c>
      <c r="S2420" t="str">
        <f>IF(Q2420="CONTEXT","Roofing",IF(Q2420="REVIEW","",INDEX('Category Rules'!$E$5:$E$17,MATCH(P2420,'Category Rules'!$A$5:$A$17,0))))</f>
        <v>Roofing</v>
      </c>
      <c r="T2420" t="str">
        <f>IF(Q2420="DEP","BAS Excluded","GST on Income")</f>
        <v>GST on Income</v>
      </c>
      <c r="U2420">
        <f>IF(O2420=T2420,1,0)</f>
        <v>1</v>
      </c>
      <c r="V2420" s="9">
        <f>IF(OR(M2420=0,U2420=1),0,IF(T2420="GST on Income",ROUND(K2420*0.1,2),ROUND(-K2420*0.1,2)))</f>
        <v>0</v>
      </c>
    </row>
    <row r="2421">
      <c r="A2421" t="inlineStr">
        <is>
          <t>INV-4242-1</t>
        </is>
      </c>
      <c r="B2421" t="inlineStr">
        <is>
          <t>INV-4242</t>
        </is>
      </c>
      <c r="C2421" s="11" t="n">
        <v>46186</v>
      </c>
      <c r="D2421" t="inlineStr">
        <is>
          <t>2026-06</t>
        </is>
      </c>
      <c r="E2421" t="inlineStr">
        <is>
          <t>C0122</t>
        </is>
      </c>
      <c r="F2421" t="inlineStr">
        <is>
          <t>C0122</t>
        </is>
      </c>
      <c r="G2421" t="inlineStr">
        <is>
          <t>Bluegum Construction Pty Ltd</t>
        </is>
      </c>
      <c r="H2421" t="inlineStr">
        <is>
          <t>S0027</t>
        </is>
      </c>
      <c r="I2421" t="inlineStr">
        <is>
          <t>Temporary fence hire 4 wks (16/05/26-12/06/26) - 79 panels</t>
        </is>
      </c>
      <c r="J2421" t="n">
        <v>316</v>
      </c>
      <c r="K2421" s="9" t="n">
        <v>1422</v>
      </c>
      <c r="L2421" t="inlineStr">
        <is>
          <t>AUTHORISED</t>
        </is>
      </c>
      <c r="M2421">
        <f>IF(L2421="VOIDED",0,1)</f>
        <v>1</v>
      </c>
      <c r="N2421" t="n">
        <v>200</v>
      </c>
      <c r="O2421" t="inlineStr">
        <is>
          <t>GST on Income</t>
        </is>
      </c>
      <c r="P2421" t="inlineStr">
        <is>
          <t>R03</t>
        </is>
      </c>
      <c r="Q2421" t="inlineStr">
        <is>
          <t>HIRE-FP</t>
        </is>
      </c>
      <c r="R2421">
        <f>IF(OR(Q2421="CONTEXT",Q2421="REVIEW"),"",INDEX('Category Rules'!$D$5:$D$17,MATCH(P2421,'Category Rules'!$A$5:$A$17,0)))</f>
        <v>4010</v>
      </c>
      <c r="S2421" t="str">
        <f>IF(Q2421="CONTEXT","Fencing",IF(Q2421="REVIEW","",INDEX('Category Rules'!$E$5:$E$17,MATCH(P2421,'Category Rules'!$A$5:$A$17,0))))</f>
        <v>Fencing</v>
      </c>
      <c r="T2421" t="str">
        <f>IF(Q2421="DEP","BAS Excluded","GST on Income")</f>
        <v>GST on Income</v>
      </c>
      <c r="U2421">
        <f>IF(O2421=T2421,1,0)</f>
        <v>1</v>
      </c>
      <c r="V2421" s="9">
        <f>IF(OR(M2421=0,U2421=1),0,IF(T2421="GST on Income",ROUND(K2421*0.1,2),ROUND(-K2421*0.1,2)))</f>
        <v>0</v>
      </c>
    </row>
    <row r="2422">
      <c r="A2422" t="inlineStr">
        <is>
          <t>INV-4715-1</t>
        </is>
      </c>
      <c r="B2422" t="inlineStr">
        <is>
          <t>INV-4715</t>
        </is>
      </c>
      <c r="C2422" s="11" t="n">
        <v>46186</v>
      </c>
      <c r="D2422" t="inlineStr">
        <is>
          <t>2026-06</t>
        </is>
      </c>
      <c r="E2422" t="inlineStr">
        <is>
          <t>C0033</t>
        </is>
      </c>
      <c r="F2422" t="inlineStr">
        <is>
          <t>C0033</t>
        </is>
      </c>
      <c r="G2422" t="inlineStr">
        <is>
          <t>Granite Projects Pty Ltd</t>
        </is>
      </c>
      <c r="H2422" t="inlineStr">
        <is>
          <t>S0127</t>
        </is>
      </c>
      <c r="I2422" t="inlineStr">
        <is>
          <t>Temporary fence hire 4 wks (16/05/26-12/06/26) - 51 panels</t>
        </is>
      </c>
      <c r="J2422" t="n">
        <v>204</v>
      </c>
      <c r="K2422" s="9" t="n">
        <v>918</v>
      </c>
      <c r="L2422" t="inlineStr">
        <is>
          <t>AUTHORISED</t>
        </is>
      </c>
      <c r="M2422">
        <f>IF(L2422="VOIDED",0,1)</f>
        <v>1</v>
      </c>
      <c r="N2422" t="n">
        <v>200</v>
      </c>
      <c r="O2422" t="inlineStr">
        <is>
          <t>GST on Income</t>
        </is>
      </c>
      <c r="P2422" t="inlineStr">
        <is>
          <t>R03</t>
        </is>
      </c>
      <c r="Q2422" t="inlineStr">
        <is>
          <t>HIRE-FP</t>
        </is>
      </c>
      <c r="R2422">
        <f>IF(OR(Q2422="CONTEXT",Q2422="REVIEW"),"",INDEX('Category Rules'!$D$5:$D$17,MATCH(P2422,'Category Rules'!$A$5:$A$17,0)))</f>
        <v>4010</v>
      </c>
      <c r="S2422" t="str">
        <f>IF(Q2422="CONTEXT","Fencing",IF(Q2422="REVIEW","",INDEX('Category Rules'!$E$5:$E$17,MATCH(P2422,'Category Rules'!$A$5:$A$17,0))))</f>
        <v>Fencing</v>
      </c>
      <c r="T2422" t="str">
        <f>IF(Q2422="DEP","BAS Excluded","GST on Income")</f>
        <v>GST on Income</v>
      </c>
      <c r="U2422">
        <f>IF(O2422=T2422,1,0)</f>
        <v>1</v>
      </c>
      <c r="V2422" s="9">
        <f>IF(OR(M2422=0,U2422=1),0,IF(T2422="GST on Income",ROUND(K2422*0.1,2),ROUND(-K2422*0.1,2)))</f>
        <v>0</v>
      </c>
    </row>
    <row r="2423">
      <c r="A2423" t="inlineStr">
        <is>
          <t>INV-5029-1</t>
        </is>
      </c>
      <c r="B2423" t="inlineStr">
        <is>
          <t>INV-5029</t>
        </is>
      </c>
      <c r="C2423" s="11" t="n">
        <v>46186</v>
      </c>
      <c r="D2423" t="inlineStr">
        <is>
          <t>2026-06</t>
        </is>
      </c>
      <c r="E2423" t="inlineStr">
        <is>
          <t>C0043</t>
        </is>
      </c>
      <c r="F2423" t="inlineStr">
        <is>
          <t>C0043</t>
        </is>
      </c>
      <c r="G2423" t="inlineStr">
        <is>
          <t>Banksia Projects Pty Ltd</t>
        </is>
      </c>
      <c r="H2423" t="inlineStr">
        <is>
          <t>S0200</t>
        </is>
      </c>
      <c r="I2423" t="inlineStr">
        <is>
          <t>Temporary fence hire 3 wks (27/05/26-12/06/26) - 116 panels</t>
        </is>
      </c>
      <c r="J2423" t="n">
        <v>348</v>
      </c>
      <c r="K2423" s="9" t="n">
        <v>1566</v>
      </c>
      <c r="L2423" t="inlineStr">
        <is>
          <t>AUTHORISED</t>
        </is>
      </c>
      <c r="M2423">
        <f>IF(L2423="VOIDED",0,1)</f>
        <v>1</v>
      </c>
      <c r="N2423" t="n">
        <v>200</v>
      </c>
      <c r="O2423" t="inlineStr">
        <is>
          <t>GST on Income</t>
        </is>
      </c>
      <c r="P2423" t="inlineStr">
        <is>
          <t>R03</t>
        </is>
      </c>
      <c r="Q2423" t="inlineStr">
        <is>
          <t>HIRE-FP</t>
        </is>
      </c>
      <c r="R2423">
        <f>IF(OR(Q2423="CONTEXT",Q2423="REVIEW"),"",INDEX('Category Rules'!$D$5:$D$17,MATCH(P2423,'Category Rules'!$A$5:$A$17,0)))</f>
        <v>4010</v>
      </c>
      <c r="S2423" t="str">
        <f>IF(Q2423="CONTEXT","Fencing",IF(Q2423="REVIEW","",INDEX('Category Rules'!$E$5:$E$17,MATCH(P2423,'Category Rules'!$A$5:$A$17,0))))</f>
        <v>Fencing</v>
      </c>
      <c r="T2423" t="str">
        <f>IF(Q2423="DEP","BAS Excluded","GST on Income")</f>
        <v>GST on Income</v>
      </c>
      <c r="U2423">
        <f>IF(O2423=T2423,1,0)</f>
        <v>1</v>
      </c>
      <c r="V2423" s="9">
        <f>IF(OR(M2423=0,U2423=1),0,IF(T2423="GST on Income",ROUND(K2423*0.1,2),ROUND(-K2423*0.1,2)))</f>
        <v>0</v>
      </c>
    </row>
    <row r="2424">
      <c r="A2424" t="inlineStr">
        <is>
          <t>INV-5031-1</t>
        </is>
      </c>
      <c r="B2424" t="inlineStr">
        <is>
          <t>INV-5031</t>
        </is>
      </c>
      <c r="C2424" s="11" t="n">
        <v>46186</v>
      </c>
      <c r="D2424" t="inlineStr">
        <is>
          <t>2026-06</t>
        </is>
      </c>
      <c r="E2424" t="inlineStr">
        <is>
          <t>C0143</t>
        </is>
      </c>
      <c r="F2424" t="inlineStr">
        <is>
          <t>C0043</t>
        </is>
      </c>
      <c r="G2424" t="inlineStr">
        <is>
          <t>Banksia Projects Pty Ltd</t>
        </is>
      </c>
      <c r="H2424" t="inlineStr">
        <is>
          <t>S0200</t>
        </is>
      </c>
      <c r="I2424" t="inlineStr">
        <is>
          <t>Collection and dismantle - temporary fencing</t>
        </is>
      </c>
      <c r="J2424" t="n">
        <v>1</v>
      </c>
      <c r="K2424" s="9" t="n">
        <v>165</v>
      </c>
      <c r="L2424" t="inlineStr">
        <is>
          <t>AUTHORISED</t>
        </is>
      </c>
      <c r="M2424">
        <f>IF(L2424="VOIDED",0,1)</f>
        <v>1</v>
      </c>
      <c r="N2424" t="n">
        <v>200</v>
      </c>
      <c r="O2424" t="inlineStr">
        <is>
          <t>GST on Income</t>
        </is>
      </c>
      <c r="P2424" t="inlineStr">
        <is>
          <t>R07</t>
        </is>
      </c>
      <c r="Q2424" t="inlineStr">
        <is>
          <t>DEL-FP</t>
        </is>
      </c>
      <c r="R2424">
        <f>IF(OR(Q2424="CONTEXT",Q2424="REVIEW"),"",INDEX('Category Rules'!$D$5:$D$17,MATCH(P2424,'Category Rules'!$A$5:$A$17,0)))</f>
        <v>4020</v>
      </c>
      <c r="S2424" t="str">
        <f>IF(Q2424="CONTEXT","Fencing",IF(Q2424="REVIEW","",INDEX('Category Rules'!$E$5:$E$17,MATCH(P2424,'Category Rules'!$A$5:$A$17,0))))</f>
        <v>Fencing</v>
      </c>
      <c r="T2424" t="str">
        <f>IF(Q2424="DEP","BAS Excluded","GST on Income")</f>
        <v>GST on Income</v>
      </c>
      <c r="U2424">
        <f>IF(O2424=T2424,1,0)</f>
        <v>1</v>
      </c>
      <c r="V2424" s="9">
        <f>IF(OR(M2424=0,U2424=1),0,IF(T2424="GST on Income",ROUND(K2424*0.1,2),ROUND(-K2424*0.1,2)))</f>
        <v>0</v>
      </c>
    </row>
    <row r="2425">
      <c r="A2425" t="inlineStr">
        <is>
          <t>INV-5031-2</t>
        </is>
      </c>
      <c r="B2425" t="inlineStr">
        <is>
          <t>INV-5031</t>
        </is>
      </c>
      <c r="C2425" s="11" t="n">
        <v>46186</v>
      </c>
      <c r="D2425" t="inlineStr">
        <is>
          <t>2026-06</t>
        </is>
      </c>
      <c r="E2425" t="inlineStr">
        <is>
          <t>C0143</t>
        </is>
      </c>
      <c r="F2425" t="inlineStr">
        <is>
          <t>C0043</t>
        </is>
      </c>
      <c r="G2425" t="inlineStr">
        <is>
          <t>Banksia Projects Pty Ltd</t>
        </is>
      </c>
      <c r="H2425" t="inlineStr">
        <is>
          <t>S0200</t>
        </is>
      </c>
      <c r="I2425" t="inlineStr">
        <is>
          <t>Lost/damaged panels charged - 4 @ 145.00</t>
        </is>
      </c>
      <c r="J2425" t="n">
        <v>4</v>
      </c>
      <c r="K2425" s="9" t="n">
        <v>580</v>
      </c>
      <c r="L2425" t="inlineStr">
        <is>
          <t>AUTHORISED</t>
        </is>
      </c>
      <c r="M2425">
        <f>IF(L2425="VOIDED",0,1)</f>
        <v>1</v>
      </c>
      <c r="N2425" t="n">
        <v>200</v>
      </c>
      <c r="O2425" t="inlineStr">
        <is>
          <t>GST on Income</t>
        </is>
      </c>
      <c r="P2425" t="inlineStr">
        <is>
          <t>R02</t>
        </is>
      </c>
      <c r="Q2425" t="inlineStr">
        <is>
          <t>LOSS</t>
        </is>
      </c>
      <c r="R2425">
        <f>IF(OR(Q2425="CONTEXT",Q2425="REVIEW"),"",INDEX('Category Rules'!$D$5:$D$17,MATCH(P2425,'Category Rules'!$A$5:$A$17,0)))</f>
        <v>4040</v>
      </c>
      <c r="S2425" t="str">
        <f>IF(Q2425="CONTEXT","Fencing",IF(Q2425="REVIEW","",INDEX('Category Rules'!$E$5:$E$17,MATCH(P2425,'Category Rules'!$A$5:$A$17,0))))</f>
        <v>Fencing</v>
      </c>
      <c r="T2425" t="str">
        <f>IF(Q2425="DEP","BAS Excluded","GST on Income")</f>
        <v>GST on Income</v>
      </c>
      <c r="U2425">
        <f>IF(O2425=T2425,1,0)</f>
        <v>1</v>
      </c>
      <c r="V2425" s="9">
        <f>IF(OR(M2425=0,U2425=1),0,IF(T2425="GST on Income",ROUND(K2425*0.1,2),ROUND(-K2425*0.1,2)))</f>
        <v>0</v>
      </c>
    </row>
    <row r="2426">
      <c r="A2426" t="inlineStr">
        <is>
          <t>INV-5441-1</t>
        </is>
      </c>
      <c r="B2426" t="inlineStr">
        <is>
          <t>INV-5441</t>
        </is>
      </c>
      <c r="C2426" s="11" t="n">
        <v>46186</v>
      </c>
      <c r="D2426" t="inlineStr">
        <is>
          <t>2026-06</t>
        </is>
      </c>
      <c r="E2426" t="inlineStr">
        <is>
          <t>C0109</t>
        </is>
      </c>
      <c r="F2426" t="inlineStr">
        <is>
          <t>C0109</t>
        </is>
      </c>
      <c r="G2426" t="inlineStr">
        <is>
          <t>Noah Ali</t>
        </is>
      </c>
      <c r="H2426" t="inlineStr">
        <is>
          <t>S0295</t>
        </is>
      </c>
      <c r="I2426" t="inlineStr">
        <is>
          <t>Scaffold tower hire 2 wks (05/06/26-12/06/26) - 2 towers</t>
        </is>
      </c>
      <c r="J2426" t="n">
        <v>4</v>
      </c>
      <c r="K2426" s="9" t="n">
        <v>380</v>
      </c>
      <c r="L2426" t="inlineStr">
        <is>
          <t>AUTHORISED</t>
        </is>
      </c>
      <c r="M2426">
        <f>IF(L2426="VOIDED",0,1)</f>
        <v>1</v>
      </c>
      <c r="N2426" t="n">
        <v>200</v>
      </c>
      <c r="O2426" t="inlineStr">
        <is>
          <t>GST on Income</t>
        </is>
      </c>
      <c r="P2426" t="inlineStr">
        <is>
          <t>R05</t>
        </is>
      </c>
      <c r="Q2426" t="inlineStr">
        <is>
          <t>HIRE-ST</t>
        </is>
      </c>
      <c r="R2426">
        <f>IF(OR(Q2426="CONTEXT",Q2426="REVIEW"),"",INDEX('Category Rules'!$D$5:$D$17,MATCH(P2426,'Category Rules'!$A$5:$A$17,0)))</f>
        <v>4010</v>
      </c>
      <c r="S2426" t="str">
        <f>IF(Q2426="CONTEXT","Scaffolding",IF(Q2426="REVIEW","",INDEX('Category Rules'!$E$5:$E$17,MATCH(P2426,'Category Rules'!$A$5:$A$17,0))))</f>
        <v>Scaffolding</v>
      </c>
      <c r="T2426" t="str">
        <f>IF(Q2426="DEP","BAS Excluded","GST on Income")</f>
        <v>GST on Income</v>
      </c>
      <c r="U2426">
        <f>IF(O2426=T2426,1,0)</f>
        <v>1</v>
      </c>
      <c r="V2426" s="9">
        <f>IF(OR(M2426=0,U2426=1),0,IF(T2426="GST on Income",ROUND(K2426*0.1,2),ROUND(-K2426*0.1,2)))</f>
        <v>0</v>
      </c>
    </row>
    <row r="2427">
      <c r="A2427" t="inlineStr">
        <is>
          <t>INV-5443-1</t>
        </is>
      </c>
      <c r="B2427" t="inlineStr">
        <is>
          <t>INV-5443</t>
        </is>
      </c>
      <c r="C2427" s="11" t="n">
        <v>46186</v>
      </c>
      <c r="D2427" t="inlineStr">
        <is>
          <t>2026-06</t>
        </is>
      </c>
      <c r="E2427" t="inlineStr">
        <is>
          <t>C0109</t>
        </is>
      </c>
      <c r="F2427" t="inlineStr">
        <is>
          <t>C0109</t>
        </is>
      </c>
      <c r="G2427" t="inlineStr">
        <is>
          <t>Noah Ali</t>
        </is>
      </c>
      <c r="H2427" t="inlineStr">
        <is>
          <t>S0295</t>
        </is>
      </c>
      <c r="I2427" t="inlineStr">
        <is>
          <t>Scaffold dismantle - 2 tower(s)</t>
        </is>
      </c>
      <c r="J2427" t="n">
        <v>2</v>
      </c>
      <c r="K2427" s="9" t="n">
        <v>640</v>
      </c>
      <c r="L2427" t="inlineStr">
        <is>
          <t>PAID</t>
        </is>
      </c>
      <c r="M2427">
        <f>IF(L2427="VOIDED",0,1)</f>
        <v>1</v>
      </c>
      <c r="N2427" t="n">
        <v>200</v>
      </c>
      <c r="O2427" t="inlineStr">
        <is>
          <t>GST on Income</t>
        </is>
      </c>
      <c r="P2427" t="inlineStr">
        <is>
          <t>R08</t>
        </is>
      </c>
      <c r="Q2427" t="inlineStr">
        <is>
          <t>LAB-ST</t>
        </is>
      </c>
      <c r="R2427">
        <f>IF(OR(Q2427="CONTEXT",Q2427="REVIEW"),"",INDEX('Category Rules'!$D$5:$D$17,MATCH(P2427,'Category Rules'!$A$5:$A$17,0)))</f>
        <v>4020</v>
      </c>
      <c r="S2427" t="str">
        <f>IF(Q2427="CONTEXT","Scaffolding",IF(Q2427="REVIEW","",INDEX('Category Rules'!$E$5:$E$17,MATCH(P2427,'Category Rules'!$A$5:$A$17,0))))</f>
        <v>Scaffolding</v>
      </c>
      <c r="T2427" t="str">
        <f>IF(Q2427="DEP","BAS Excluded","GST on Income")</f>
        <v>GST on Income</v>
      </c>
      <c r="U2427">
        <f>IF(O2427=T2427,1,0)</f>
        <v>1</v>
      </c>
      <c r="V2427" s="9">
        <f>IF(OR(M2427=0,U2427=1),0,IF(T2427="GST on Income",ROUND(K2427*0.1,2),ROUND(-K2427*0.1,2)))</f>
        <v>0</v>
      </c>
    </row>
    <row r="2428">
      <c r="A2428" t="inlineStr">
        <is>
          <t>INV-4110-1</t>
        </is>
      </c>
      <c r="B2428" t="inlineStr">
        <is>
          <t>INV-4110</t>
        </is>
      </c>
      <c r="C2428" s="11" t="n">
        <v>46187</v>
      </c>
      <c r="D2428" t="inlineStr">
        <is>
          <t>2026-06</t>
        </is>
      </c>
      <c r="E2428" t="inlineStr">
        <is>
          <t>C0024</t>
        </is>
      </c>
      <c r="F2428" t="inlineStr">
        <is>
          <t>C0024</t>
        </is>
      </c>
      <c r="G2428" t="inlineStr">
        <is>
          <t>Parkview Homes Pty Ltd</t>
        </is>
      </c>
      <c r="H2428" t="inlineStr">
        <is>
          <t>S0002</t>
        </is>
      </c>
      <c r="I2428" t="inlineStr">
        <is>
          <t>Delivery and installation - temporary fencing</t>
        </is>
      </c>
      <c r="J2428" t="n">
        <v>1</v>
      </c>
      <c r="K2428" s="9" t="n">
        <v>165</v>
      </c>
      <c r="L2428" t="inlineStr">
        <is>
          <t>PAID</t>
        </is>
      </c>
      <c r="M2428">
        <f>IF(L2428="VOIDED",0,1)</f>
        <v>1</v>
      </c>
      <c r="N2428" t="n">
        <v>200</v>
      </c>
      <c r="O2428" t="inlineStr">
        <is>
          <t>GST on Income</t>
        </is>
      </c>
      <c r="P2428" t="inlineStr">
        <is>
          <t>R07</t>
        </is>
      </c>
      <c r="Q2428" t="inlineStr">
        <is>
          <t>DEL-FP</t>
        </is>
      </c>
      <c r="R2428">
        <f>IF(OR(Q2428="CONTEXT",Q2428="REVIEW"),"",INDEX('Category Rules'!$D$5:$D$17,MATCH(P2428,'Category Rules'!$A$5:$A$17,0)))</f>
        <v>4020</v>
      </c>
      <c r="S2428" t="str">
        <f>IF(Q2428="CONTEXT","Fencing",IF(Q2428="REVIEW","",INDEX('Category Rules'!$E$5:$E$17,MATCH(P2428,'Category Rules'!$A$5:$A$17,0))))</f>
        <v>Fencing</v>
      </c>
      <c r="T2428" t="str">
        <f>IF(Q2428="DEP","BAS Excluded","GST on Income")</f>
        <v>GST on Income</v>
      </c>
      <c r="U2428">
        <f>IF(O2428=T2428,1,0)</f>
        <v>1</v>
      </c>
      <c r="V2428" s="9">
        <f>IF(OR(M2428=0,U2428=1),0,IF(T2428="GST on Income",ROUND(K2428*0.1,2),ROUND(-K2428*0.1,2)))</f>
        <v>0</v>
      </c>
    </row>
    <row r="2429">
      <c r="A2429" t="inlineStr">
        <is>
          <t>INV-4110-2</t>
        </is>
      </c>
      <c r="B2429" t="inlineStr">
        <is>
          <t>INV-4110</t>
        </is>
      </c>
      <c r="C2429" s="11" t="n">
        <v>46187</v>
      </c>
      <c r="D2429" t="inlineStr">
        <is>
          <t>2026-06</t>
        </is>
      </c>
      <c r="E2429" t="inlineStr">
        <is>
          <t>C0024</t>
        </is>
      </c>
      <c r="F2429" t="inlineStr">
        <is>
          <t>C0024</t>
        </is>
      </c>
      <c r="G2429" t="inlineStr">
        <is>
          <t>Parkview Homes Pty Ltd</t>
        </is>
      </c>
      <c r="H2429" t="inlineStr">
        <is>
          <t>S0002</t>
        </is>
      </c>
      <c r="I2429" t="inlineStr">
        <is>
          <t>Installation labour - 13 panels @ 2.20</t>
        </is>
      </c>
      <c r="J2429" t="n">
        <v>13</v>
      </c>
      <c r="K2429" s="9" t="n">
        <v>28.6</v>
      </c>
      <c r="L2429" t="inlineStr">
        <is>
          <t>PAID</t>
        </is>
      </c>
      <c r="M2429">
        <f>IF(L2429="VOIDED",0,1)</f>
        <v>1</v>
      </c>
      <c r="N2429" t="n">
        <v>200</v>
      </c>
      <c r="O2429" t="inlineStr">
        <is>
          <t>GST on Income</t>
        </is>
      </c>
      <c r="P2429" t="inlineStr">
        <is>
          <t>R07</t>
        </is>
      </c>
      <c r="Q2429" t="inlineStr">
        <is>
          <t>DEL-FP</t>
        </is>
      </c>
      <c r="R2429">
        <f>IF(OR(Q2429="CONTEXT",Q2429="REVIEW"),"",INDEX('Category Rules'!$D$5:$D$17,MATCH(P2429,'Category Rules'!$A$5:$A$17,0)))</f>
        <v>4020</v>
      </c>
      <c r="S2429" t="str">
        <f>IF(Q2429="CONTEXT","Fencing",IF(Q2429="REVIEW","",INDEX('Category Rules'!$E$5:$E$17,MATCH(P2429,'Category Rules'!$A$5:$A$17,0))))</f>
        <v>Fencing</v>
      </c>
      <c r="T2429" t="str">
        <f>IF(Q2429="DEP","BAS Excluded","GST on Income")</f>
        <v>GST on Income</v>
      </c>
      <c r="U2429">
        <f>IF(O2429=T2429,1,0)</f>
        <v>1</v>
      </c>
      <c r="V2429" s="9">
        <f>IF(OR(M2429=0,U2429=1),0,IF(T2429="GST on Income",ROUND(K2429*0.1,2),ROUND(-K2429*0.1,2)))</f>
        <v>0</v>
      </c>
    </row>
    <row r="2430">
      <c r="A2430" t="inlineStr">
        <is>
          <t>INV-4139-1</t>
        </is>
      </c>
      <c r="B2430" t="inlineStr">
        <is>
          <t>INV-4139</t>
        </is>
      </c>
      <c r="C2430" s="11" t="n">
        <v>46187</v>
      </c>
      <c r="D2430" t="inlineStr">
        <is>
          <t>2026-06</t>
        </is>
      </c>
      <c r="E2430" t="inlineStr">
        <is>
          <t>C0014</t>
        </is>
      </c>
      <c r="F2430" t="inlineStr">
        <is>
          <t>C0014</t>
        </is>
      </c>
      <c r="G2430" t="inlineStr">
        <is>
          <t>Riverbend Homes Pty Ltd</t>
        </is>
      </c>
      <c r="H2430" t="inlineStr">
        <is>
          <t>S0008</t>
        </is>
      </c>
      <c r="I2430" t="inlineStr">
        <is>
          <t>Temporary fence hire 1 wks (10/06/26-13/06/26) - 62 panels</t>
        </is>
      </c>
      <c r="J2430" t="n">
        <v>62</v>
      </c>
      <c r="K2430" s="9" t="n">
        <v>279</v>
      </c>
      <c r="L2430" t="inlineStr">
        <is>
          <t>AUTHORISED</t>
        </is>
      </c>
      <c r="M2430">
        <f>IF(L2430="VOIDED",0,1)</f>
        <v>1</v>
      </c>
      <c r="N2430" t="n">
        <v>200</v>
      </c>
      <c r="O2430" t="inlineStr">
        <is>
          <t>GST on Income</t>
        </is>
      </c>
      <c r="P2430" t="inlineStr">
        <is>
          <t>R03</t>
        </is>
      </c>
      <c r="Q2430" t="inlineStr">
        <is>
          <t>HIRE-FP</t>
        </is>
      </c>
      <c r="R2430">
        <f>IF(OR(Q2430="CONTEXT",Q2430="REVIEW"),"",INDEX('Category Rules'!$D$5:$D$17,MATCH(P2430,'Category Rules'!$A$5:$A$17,0)))</f>
        <v>4010</v>
      </c>
      <c r="S2430" t="str">
        <f>IF(Q2430="CONTEXT","Fencing",IF(Q2430="REVIEW","",INDEX('Category Rules'!$E$5:$E$17,MATCH(P2430,'Category Rules'!$A$5:$A$17,0))))</f>
        <v>Fencing</v>
      </c>
      <c r="T2430" t="str">
        <f>IF(Q2430="DEP","BAS Excluded","GST on Income")</f>
        <v>GST on Income</v>
      </c>
      <c r="U2430">
        <f>IF(O2430=T2430,1,0)</f>
        <v>1</v>
      </c>
      <c r="V2430" s="9">
        <f>IF(OR(M2430=0,U2430=1),0,IF(T2430="GST on Income",ROUND(K2430*0.1,2),ROUND(-K2430*0.1,2)))</f>
        <v>0</v>
      </c>
    </row>
    <row r="2431">
      <c r="A2431" t="inlineStr">
        <is>
          <t>INV-4144-1</t>
        </is>
      </c>
      <c r="B2431" t="inlineStr">
        <is>
          <t>INV-4144</t>
        </is>
      </c>
      <c r="C2431" s="11" t="n">
        <v>46187</v>
      </c>
      <c r="D2431" t="inlineStr">
        <is>
          <t>2026-06</t>
        </is>
      </c>
      <c r="E2431" t="inlineStr">
        <is>
          <t>C0014</t>
        </is>
      </c>
      <c r="F2431" t="inlineStr">
        <is>
          <t>C0014</t>
        </is>
      </c>
      <c r="G2431" t="inlineStr">
        <is>
          <t>Riverbend Homes Pty Ltd</t>
        </is>
      </c>
      <c r="H2431" t="inlineStr">
        <is>
          <t>S0008</t>
        </is>
      </c>
      <c r="I2431" t="inlineStr">
        <is>
          <t>Pedestrian barrier hire 1 wks (10/06/26-13/06/26) - 21 barriers</t>
        </is>
      </c>
      <c r="J2431" t="n">
        <v>21</v>
      </c>
      <c r="K2431" s="9" t="n">
        <v>67.2</v>
      </c>
      <c r="L2431" t="inlineStr">
        <is>
          <t>PAID</t>
        </is>
      </c>
      <c r="M2431">
        <f>IF(L2431="VOIDED",0,1)</f>
        <v>1</v>
      </c>
      <c r="N2431" t="n">
        <v>200</v>
      </c>
      <c r="O2431" t="inlineStr">
        <is>
          <t>GST on Income</t>
        </is>
      </c>
      <c r="P2431" t="inlineStr">
        <is>
          <t>R04</t>
        </is>
      </c>
      <c r="Q2431" t="inlineStr">
        <is>
          <t>HIRE-BR</t>
        </is>
      </c>
      <c r="R2431">
        <f>IF(OR(Q2431="CONTEXT",Q2431="REVIEW"),"",INDEX('Category Rules'!$D$5:$D$17,MATCH(P2431,'Category Rules'!$A$5:$A$17,0)))</f>
        <v>4010</v>
      </c>
      <c r="S2431" t="str">
        <f>IF(Q2431="CONTEXT","Fencing",IF(Q2431="REVIEW","",INDEX('Category Rules'!$E$5:$E$17,MATCH(P2431,'Category Rules'!$A$5:$A$17,0))))</f>
        <v>Fencing</v>
      </c>
      <c r="T2431" t="str">
        <f>IF(Q2431="DEP","BAS Excluded","GST on Income")</f>
        <v>GST on Income</v>
      </c>
      <c r="U2431">
        <f>IF(O2431=T2431,1,0)</f>
        <v>1</v>
      </c>
      <c r="V2431" s="9">
        <f>IF(OR(M2431=0,U2431=1),0,IF(T2431="GST on Income",ROUND(K2431*0.1,2),ROUND(-K2431*0.1,2)))</f>
        <v>0</v>
      </c>
    </row>
    <row r="2432">
      <c r="A2432" t="inlineStr">
        <is>
          <t>INV-4146-1</t>
        </is>
      </c>
      <c r="B2432" t="inlineStr">
        <is>
          <t>INV-4146</t>
        </is>
      </c>
      <c r="C2432" s="11" t="n">
        <v>46187</v>
      </c>
      <c r="D2432" t="inlineStr">
        <is>
          <t>2026-06</t>
        </is>
      </c>
      <c r="E2432" t="inlineStr">
        <is>
          <t>C0133</t>
        </is>
      </c>
      <c r="F2432" t="inlineStr">
        <is>
          <t>C0014</t>
        </is>
      </c>
      <c r="G2432" t="inlineStr">
        <is>
          <t>Riverbend Homes Pty Ltd</t>
        </is>
      </c>
      <c r="H2432" t="inlineStr">
        <is>
          <t>S0008</t>
        </is>
      </c>
      <c r="I2432" t="inlineStr">
        <is>
          <t>Collection and dismantle - temporary fencing</t>
        </is>
      </c>
      <c r="J2432" t="n">
        <v>1</v>
      </c>
      <c r="K2432" s="9" t="n">
        <v>165</v>
      </c>
      <c r="L2432" t="inlineStr">
        <is>
          <t>PAID</t>
        </is>
      </c>
      <c r="M2432">
        <f>IF(L2432="VOIDED",0,1)</f>
        <v>1</v>
      </c>
      <c r="N2432" t="n">
        <v>200</v>
      </c>
      <c r="O2432" t="inlineStr">
        <is>
          <t>GST on Income</t>
        </is>
      </c>
      <c r="P2432" t="inlineStr">
        <is>
          <t>R07</t>
        </is>
      </c>
      <c r="Q2432" t="inlineStr">
        <is>
          <t>DEL-FP</t>
        </is>
      </c>
      <c r="R2432">
        <f>IF(OR(Q2432="CONTEXT",Q2432="REVIEW"),"",INDEX('Category Rules'!$D$5:$D$17,MATCH(P2432,'Category Rules'!$A$5:$A$17,0)))</f>
        <v>4020</v>
      </c>
      <c r="S2432" t="str">
        <f>IF(Q2432="CONTEXT","Fencing",IF(Q2432="REVIEW","",INDEX('Category Rules'!$E$5:$E$17,MATCH(P2432,'Category Rules'!$A$5:$A$17,0))))</f>
        <v>Fencing</v>
      </c>
      <c r="T2432" t="str">
        <f>IF(Q2432="DEP","BAS Excluded","GST on Income")</f>
        <v>GST on Income</v>
      </c>
      <c r="U2432">
        <f>IF(O2432=T2432,1,0)</f>
        <v>1</v>
      </c>
      <c r="V2432" s="9">
        <f>IF(OR(M2432=0,U2432=1),0,IF(T2432="GST on Income",ROUND(K2432*0.1,2),ROUND(-K2432*0.1,2)))</f>
        <v>0</v>
      </c>
    </row>
    <row r="2433">
      <c r="A2433" t="inlineStr">
        <is>
          <t>INV-4501-1</t>
        </is>
      </c>
      <c r="B2433" t="inlineStr">
        <is>
          <t>INV-4501</t>
        </is>
      </c>
      <c r="C2433" s="11" t="n">
        <v>46187</v>
      </c>
      <c r="D2433" t="inlineStr">
        <is>
          <t>2026-06</t>
        </is>
      </c>
      <c r="E2433" t="inlineStr">
        <is>
          <t>C0001</t>
        </is>
      </c>
      <c r="F2433" t="inlineStr">
        <is>
          <t>C0001</t>
        </is>
      </c>
      <c r="G2433" t="inlineStr">
        <is>
          <t>Parkview Projects Pty Ltd</t>
        </is>
      </c>
      <c r="H2433" t="inlineStr">
        <is>
          <t>S0083</t>
        </is>
      </c>
      <c r="I2433" t="inlineStr">
        <is>
          <t>Temporary fence hire 2 wks (02/06/26-13/06/26) - 111 panels</t>
        </is>
      </c>
      <c r="J2433" t="n">
        <v>222</v>
      </c>
      <c r="K2433" s="9" t="n">
        <v>999</v>
      </c>
      <c r="L2433" t="inlineStr">
        <is>
          <t>PAID</t>
        </is>
      </c>
      <c r="M2433">
        <f>IF(L2433="VOIDED",0,1)</f>
        <v>1</v>
      </c>
      <c r="N2433" t="n">
        <v>200</v>
      </c>
      <c r="O2433" t="inlineStr">
        <is>
          <t>GST on Income</t>
        </is>
      </c>
      <c r="P2433" t="inlineStr">
        <is>
          <t>R03</t>
        </is>
      </c>
      <c r="Q2433" t="inlineStr">
        <is>
          <t>HIRE-FP</t>
        </is>
      </c>
      <c r="R2433">
        <f>IF(OR(Q2433="CONTEXT",Q2433="REVIEW"),"",INDEX('Category Rules'!$D$5:$D$17,MATCH(P2433,'Category Rules'!$A$5:$A$17,0)))</f>
        <v>4010</v>
      </c>
      <c r="S2433" t="str">
        <f>IF(Q2433="CONTEXT","Fencing",IF(Q2433="REVIEW","",INDEX('Category Rules'!$E$5:$E$17,MATCH(P2433,'Category Rules'!$A$5:$A$17,0))))</f>
        <v>Fencing</v>
      </c>
      <c r="T2433" t="str">
        <f>IF(Q2433="DEP","BAS Excluded","GST on Income")</f>
        <v>GST on Income</v>
      </c>
      <c r="U2433">
        <f>IF(O2433=T2433,1,0)</f>
        <v>1</v>
      </c>
      <c r="V2433" s="9">
        <f>IF(OR(M2433=0,U2433=1),0,IF(T2433="GST on Income",ROUND(K2433*0.1,2),ROUND(-K2433*0.1,2)))</f>
        <v>0</v>
      </c>
    </row>
    <row r="2434">
      <c r="A2434" t="inlineStr">
        <is>
          <t>INV-4503-1</t>
        </is>
      </c>
      <c r="B2434" t="inlineStr">
        <is>
          <t>INV-4503</t>
        </is>
      </c>
      <c r="C2434" s="11" t="n">
        <v>46187</v>
      </c>
      <c r="D2434" t="inlineStr">
        <is>
          <t>2026-06</t>
        </is>
      </c>
      <c r="E2434" t="inlineStr">
        <is>
          <t>C0144</t>
        </is>
      </c>
      <c r="F2434" t="inlineStr">
        <is>
          <t>C0001</t>
        </is>
      </c>
      <c r="G2434" t="inlineStr">
        <is>
          <t>Parkview Projects Pty Ltd</t>
        </is>
      </c>
      <c r="H2434" t="inlineStr">
        <is>
          <t>S0083</t>
        </is>
      </c>
      <c r="I2434" t="inlineStr">
        <is>
          <t>Collection and dismantle - temporary fencing</t>
        </is>
      </c>
      <c r="J2434" t="n">
        <v>1</v>
      </c>
      <c r="K2434" s="9" t="n">
        <v>165</v>
      </c>
      <c r="L2434" t="inlineStr">
        <is>
          <t>PAID</t>
        </is>
      </c>
      <c r="M2434">
        <f>IF(L2434="VOIDED",0,1)</f>
        <v>1</v>
      </c>
      <c r="N2434" t="n">
        <v>200</v>
      </c>
      <c r="O2434" t="inlineStr">
        <is>
          <t>GST on Income</t>
        </is>
      </c>
      <c r="P2434" t="inlineStr">
        <is>
          <t>R07</t>
        </is>
      </c>
      <c r="Q2434" t="inlineStr">
        <is>
          <t>DEL-FP</t>
        </is>
      </c>
      <c r="R2434">
        <f>IF(OR(Q2434="CONTEXT",Q2434="REVIEW"),"",INDEX('Category Rules'!$D$5:$D$17,MATCH(P2434,'Category Rules'!$A$5:$A$17,0)))</f>
        <v>4020</v>
      </c>
      <c r="S2434" t="str">
        <f>IF(Q2434="CONTEXT","Fencing",IF(Q2434="REVIEW","",INDEX('Category Rules'!$E$5:$E$17,MATCH(P2434,'Category Rules'!$A$5:$A$17,0))))</f>
        <v>Fencing</v>
      </c>
      <c r="T2434" t="str">
        <f>IF(Q2434="DEP","BAS Excluded","GST on Income")</f>
        <v>GST on Income</v>
      </c>
      <c r="U2434">
        <f>IF(O2434=T2434,1,0)</f>
        <v>1</v>
      </c>
      <c r="V2434" s="9">
        <f>IF(OR(M2434=0,U2434=1),0,IF(T2434="GST on Income",ROUND(K2434*0.1,2),ROUND(-K2434*0.1,2)))</f>
        <v>0</v>
      </c>
    </row>
    <row r="2435">
      <c r="A2435" t="inlineStr">
        <is>
          <t>INV-4530-1</t>
        </is>
      </c>
      <c r="B2435" t="inlineStr">
        <is>
          <t>INV-4530</t>
        </is>
      </c>
      <c r="C2435" s="11" t="n">
        <v>46187</v>
      </c>
      <c r="D2435" t="inlineStr">
        <is>
          <t>2026-06</t>
        </is>
      </c>
      <c r="E2435" t="inlineStr">
        <is>
          <t>C0033</t>
        </is>
      </c>
      <c r="F2435" t="inlineStr">
        <is>
          <t>C0033</t>
        </is>
      </c>
      <c r="G2435" t="inlineStr">
        <is>
          <t>Granite Projects Pty Ltd</t>
        </is>
      </c>
      <c r="H2435" t="inlineStr">
        <is>
          <t>S0086</t>
        </is>
      </c>
      <c r="I2435" t="inlineStr">
        <is>
          <t>Temporary fence hire 4 wks (17/05/26-13/06/26) - 29 panels</t>
        </is>
      </c>
      <c r="J2435" t="n">
        <v>116</v>
      </c>
      <c r="K2435" s="9" t="n">
        <v>522</v>
      </c>
      <c r="L2435" t="inlineStr">
        <is>
          <t>PAID</t>
        </is>
      </c>
      <c r="M2435">
        <f>IF(L2435="VOIDED",0,1)</f>
        <v>1</v>
      </c>
      <c r="N2435" t="n">
        <v>200</v>
      </c>
      <c r="O2435" t="inlineStr">
        <is>
          <t>GST on Income</t>
        </is>
      </c>
      <c r="P2435" t="inlineStr">
        <is>
          <t>R03</t>
        </is>
      </c>
      <c r="Q2435" t="inlineStr">
        <is>
          <t>HIRE-FP</t>
        </is>
      </c>
      <c r="R2435">
        <f>IF(OR(Q2435="CONTEXT",Q2435="REVIEW"),"",INDEX('Category Rules'!$D$5:$D$17,MATCH(P2435,'Category Rules'!$A$5:$A$17,0)))</f>
        <v>4010</v>
      </c>
      <c r="S2435" t="str">
        <f>IF(Q2435="CONTEXT","Fencing",IF(Q2435="REVIEW","",INDEX('Category Rules'!$E$5:$E$17,MATCH(P2435,'Category Rules'!$A$5:$A$17,0))))</f>
        <v>Fencing</v>
      </c>
      <c r="T2435" t="str">
        <f>IF(Q2435="DEP","BAS Excluded","GST on Income")</f>
        <v>GST on Income</v>
      </c>
      <c r="U2435">
        <f>IF(O2435=T2435,1,0)</f>
        <v>1</v>
      </c>
      <c r="V2435" s="9">
        <f>IF(OR(M2435=0,U2435=1),0,IF(T2435="GST on Income",ROUND(K2435*0.1,2),ROUND(-K2435*0.1,2)))</f>
        <v>0</v>
      </c>
    </row>
    <row r="2436">
      <c r="A2436" t="inlineStr">
        <is>
          <t>INV-5519-1</t>
        </is>
      </c>
      <c r="B2436" t="inlineStr">
        <is>
          <t>INV-5519</t>
        </is>
      </c>
      <c r="C2436" s="11" t="n">
        <v>46187</v>
      </c>
      <c r="D2436" t="inlineStr">
        <is>
          <t>2026-06</t>
        </is>
      </c>
      <c r="E2436" t="inlineStr">
        <is>
          <t>C0060</t>
        </is>
      </c>
      <c r="F2436" t="inlineStr">
        <is>
          <t>C0060</t>
        </is>
      </c>
      <c r="G2436" t="inlineStr">
        <is>
          <t>Redline Claims Services</t>
        </is>
      </c>
      <c r="H2436" t="inlineStr">
        <is>
          <t>S0335</t>
        </is>
      </c>
      <c r="I2436" t="inlineStr">
        <is>
          <t>Emergency make safe call-out - after hours</t>
        </is>
      </c>
      <c r="J2436" t="n">
        <v>1</v>
      </c>
      <c r="K2436" s="9" t="n">
        <v>560</v>
      </c>
      <c r="L2436" t="inlineStr">
        <is>
          <t>PAID</t>
        </is>
      </c>
      <c r="M2436">
        <f>IF(L2436="VOIDED",0,1)</f>
        <v>1</v>
      </c>
      <c r="N2436" t="n">
        <v>200</v>
      </c>
      <c r="O2436" t="inlineStr">
        <is>
          <t>GST on Income</t>
        </is>
      </c>
      <c r="P2436" t="inlineStr">
        <is>
          <t>R09</t>
        </is>
      </c>
      <c r="Q2436" t="inlineStr">
        <is>
          <t>MS</t>
        </is>
      </c>
      <c r="R2436">
        <f>IF(OR(Q2436="CONTEXT",Q2436="REVIEW"),"",INDEX('Category Rules'!$D$5:$D$17,MATCH(P2436,'Category Rules'!$A$5:$A$17,0)))</f>
        <v>4020</v>
      </c>
      <c r="S2436" t="str">
        <f>IF(Q2436="CONTEXT","Make-safe",IF(Q2436="REVIEW","",INDEX('Category Rules'!$E$5:$E$17,MATCH(P2436,'Category Rules'!$A$5:$A$17,0))))</f>
        <v>Make-safe</v>
      </c>
      <c r="T2436" t="str">
        <f>IF(Q2436="DEP","BAS Excluded","GST on Income")</f>
        <v>GST on Income</v>
      </c>
      <c r="U2436">
        <f>IF(O2436=T2436,1,0)</f>
        <v>1</v>
      </c>
      <c r="V2436" s="9">
        <f>IF(OR(M2436=0,U2436=1),0,IF(T2436="GST on Income",ROUND(K2436*0.1,2),ROUND(-K2436*0.1,2)))</f>
        <v>0</v>
      </c>
    </row>
    <row r="2437">
      <c r="A2437" t="inlineStr">
        <is>
          <t>INV-4251-1</t>
        </is>
      </c>
      <c r="B2437" t="inlineStr">
        <is>
          <t>INV-4251</t>
        </is>
      </c>
      <c r="C2437" s="11" t="n">
        <v>46188</v>
      </c>
      <c r="D2437" t="inlineStr">
        <is>
          <t>2026-06</t>
        </is>
      </c>
      <c r="E2437" t="inlineStr">
        <is>
          <t>C0018</t>
        </is>
      </c>
      <c r="F2437" t="inlineStr">
        <is>
          <t>C0018</t>
        </is>
      </c>
      <c r="G2437" t="inlineStr">
        <is>
          <t>Wattle Constructions Pty Ltd</t>
        </is>
      </c>
      <c r="H2437" t="inlineStr">
        <is>
          <t>S0030</t>
        </is>
      </c>
      <c r="I2437" t="inlineStr">
        <is>
          <t>Temporary fence hire 2 wks (07/06/26-14/06/26) - 136 panels</t>
        </is>
      </c>
      <c r="J2437" t="n">
        <v>272</v>
      </c>
      <c r="K2437" s="9" t="n">
        <v>1224</v>
      </c>
      <c r="L2437" t="inlineStr">
        <is>
          <t>AUTHORISED</t>
        </is>
      </c>
      <c r="M2437">
        <f>IF(L2437="VOIDED",0,1)</f>
        <v>1</v>
      </c>
      <c r="N2437" t="n">
        <v>200</v>
      </c>
      <c r="O2437" t="inlineStr">
        <is>
          <t>GST on Income</t>
        </is>
      </c>
      <c r="P2437" t="inlineStr">
        <is>
          <t>R03</t>
        </is>
      </c>
      <c r="Q2437" t="inlineStr">
        <is>
          <t>HIRE-FP</t>
        </is>
      </c>
      <c r="R2437">
        <f>IF(OR(Q2437="CONTEXT",Q2437="REVIEW"),"",INDEX('Category Rules'!$D$5:$D$17,MATCH(P2437,'Category Rules'!$A$5:$A$17,0)))</f>
        <v>4010</v>
      </c>
      <c r="S2437" t="str">
        <f>IF(Q2437="CONTEXT","Fencing",IF(Q2437="REVIEW","",INDEX('Category Rules'!$E$5:$E$17,MATCH(P2437,'Category Rules'!$A$5:$A$17,0))))</f>
        <v>Fencing</v>
      </c>
      <c r="T2437" t="str">
        <f>IF(Q2437="DEP","BAS Excluded","GST on Income")</f>
        <v>GST on Income</v>
      </c>
      <c r="U2437">
        <f>IF(O2437=T2437,1,0)</f>
        <v>1</v>
      </c>
      <c r="V2437" s="9">
        <f>IF(OR(M2437=0,U2437=1),0,IF(T2437="GST on Income",ROUND(K2437*0.1,2),ROUND(-K2437*0.1,2)))</f>
        <v>0</v>
      </c>
    </row>
    <row r="2438">
      <c r="A2438" t="inlineStr">
        <is>
          <t>INV-4253-1</t>
        </is>
      </c>
      <c r="B2438" t="inlineStr">
        <is>
          <t>INV-4253</t>
        </is>
      </c>
      <c r="C2438" s="11" t="n">
        <v>46188</v>
      </c>
      <c r="D2438" t="inlineStr">
        <is>
          <t>2026-06</t>
        </is>
      </c>
      <c r="E2438" t="inlineStr">
        <is>
          <t>C0018</t>
        </is>
      </c>
      <c r="F2438" t="inlineStr">
        <is>
          <t>C0018</t>
        </is>
      </c>
      <c r="G2438" t="inlineStr">
        <is>
          <t>Wattle Constructions Pty Ltd</t>
        </is>
      </c>
      <c r="H2438" t="inlineStr">
        <is>
          <t>S0030</t>
        </is>
      </c>
      <c r="I2438" t="inlineStr">
        <is>
          <t>Collection and dismantle - temporary fencing</t>
        </is>
      </c>
      <c r="J2438" t="n">
        <v>1</v>
      </c>
      <c r="K2438" s="9" t="n">
        <v>165</v>
      </c>
      <c r="L2438" t="inlineStr">
        <is>
          <t>PAID</t>
        </is>
      </c>
      <c r="M2438">
        <f>IF(L2438="VOIDED",0,1)</f>
        <v>1</v>
      </c>
      <c r="N2438" t="n">
        <v>200</v>
      </c>
      <c r="O2438" t="inlineStr">
        <is>
          <t>GST on Income</t>
        </is>
      </c>
      <c r="P2438" t="inlineStr">
        <is>
          <t>R07</t>
        </is>
      </c>
      <c r="Q2438" t="inlineStr">
        <is>
          <t>DEL-FP</t>
        </is>
      </c>
      <c r="R2438">
        <f>IF(OR(Q2438="CONTEXT",Q2438="REVIEW"),"",INDEX('Category Rules'!$D$5:$D$17,MATCH(P2438,'Category Rules'!$A$5:$A$17,0)))</f>
        <v>4020</v>
      </c>
      <c r="S2438" t="str">
        <f>IF(Q2438="CONTEXT","Fencing",IF(Q2438="REVIEW","",INDEX('Category Rules'!$E$5:$E$17,MATCH(P2438,'Category Rules'!$A$5:$A$17,0))))</f>
        <v>Fencing</v>
      </c>
      <c r="T2438" t="str">
        <f>IF(Q2438="DEP","BAS Excluded","GST on Income")</f>
        <v>GST on Income</v>
      </c>
      <c r="U2438">
        <f>IF(O2438=T2438,1,0)</f>
        <v>1</v>
      </c>
      <c r="V2438" s="9">
        <f>IF(OR(M2438=0,U2438=1),0,IF(T2438="GST on Income",ROUND(K2438*0.1,2),ROUND(-K2438*0.1,2)))</f>
        <v>0</v>
      </c>
    </row>
    <row r="2439">
      <c r="A2439" t="inlineStr">
        <is>
          <t>INV-4269-1</t>
        </is>
      </c>
      <c r="B2439" t="inlineStr">
        <is>
          <t>INV-4269</t>
        </is>
      </c>
      <c r="C2439" s="11" t="n">
        <v>46188</v>
      </c>
      <c r="D2439" t="inlineStr">
        <is>
          <t>2026-06</t>
        </is>
      </c>
      <c r="E2439" t="inlineStr">
        <is>
          <t>C0078</t>
        </is>
      </c>
      <c r="F2439" t="inlineStr">
        <is>
          <t>C0078</t>
        </is>
      </c>
      <c r="G2439" t="inlineStr">
        <is>
          <t>Oakridge Festivals</t>
        </is>
      </c>
      <c r="H2439" t="inlineStr">
        <is>
          <t>S0035</t>
        </is>
      </c>
      <c r="I2439" t="inlineStr">
        <is>
          <t>Delivery and installation - temporary fencing</t>
        </is>
      </c>
      <c r="J2439" t="n">
        <v>1</v>
      </c>
      <c r="K2439" s="9" t="n">
        <v>165</v>
      </c>
      <c r="L2439" t="inlineStr">
        <is>
          <t>PAID</t>
        </is>
      </c>
      <c r="M2439">
        <f>IF(L2439="VOIDED",0,1)</f>
        <v>1</v>
      </c>
      <c r="N2439" t="n">
        <v>200</v>
      </c>
      <c r="O2439" t="inlineStr">
        <is>
          <t>GST on Income</t>
        </is>
      </c>
      <c r="P2439" t="inlineStr">
        <is>
          <t>R07</t>
        </is>
      </c>
      <c r="Q2439" t="inlineStr">
        <is>
          <t>DEL-FP</t>
        </is>
      </c>
      <c r="R2439">
        <f>IF(OR(Q2439="CONTEXT",Q2439="REVIEW"),"",INDEX('Category Rules'!$D$5:$D$17,MATCH(P2439,'Category Rules'!$A$5:$A$17,0)))</f>
        <v>4020</v>
      </c>
      <c r="S2439" t="str">
        <f>IF(Q2439="CONTEXT","Fencing",IF(Q2439="REVIEW","",INDEX('Category Rules'!$E$5:$E$17,MATCH(P2439,'Category Rules'!$A$5:$A$17,0))))</f>
        <v>Fencing</v>
      </c>
      <c r="T2439" t="str">
        <f>IF(Q2439="DEP","BAS Excluded","GST on Income")</f>
        <v>GST on Income</v>
      </c>
      <c r="U2439">
        <f>IF(O2439=T2439,1,0)</f>
        <v>1</v>
      </c>
      <c r="V2439" s="9">
        <f>IF(OR(M2439=0,U2439=1),0,IF(T2439="GST on Income",ROUND(K2439*0.1,2),ROUND(-K2439*0.1,2)))</f>
        <v>0</v>
      </c>
    </row>
    <row r="2440">
      <c r="A2440" t="inlineStr">
        <is>
          <t>INV-4269-2</t>
        </is>
      </c>
      <c r="B2440" t="inlineStr">
        <is>
          <t>INV-4269</t>
        </is>
      </c>
      <c r="C2440" s="11" t="n">
        <v>46188</v>
      </c>
      <c r="D2440" t="inlineStr">
        <is>
          <t>2026-06</t>
        </is>
      </c>
      <c r="E2440" t="inlineStr">
        <is>
          <t>C0078</t>
        </is>
      </c>
      <c r="F2440" t="inlineStr">
        <is>
          <t>C0078</t>
        </is>
      </c>
      <c r="G2440" t="inlineStr">
        <is>
          <t>Oakridge Festivals</t>
        </is>
      </c>
      <c r="H2440" t="inlineStr">
        <is>
          <t>S0035</t>
        </is>
      </c>
      <c r="I2440" t="inlineStr">
        <is>
          <t>Installation labour - 98 panels @ 2.20</t>
        </is>
      </c>
      <c r="J2440" t="n">
        <v>98</v>
      </c>
      <c r="K2440" s="9" t="n">
        <v>215.6</v>
      </c>
      <c r="L2440" t="inlineStr">
        <is>
          <t>PAID</t>
        </is>
      </c>
      <c r="M2440">
        <f>IF(L2440="VOIDED",0,1)</f>
        <v>1</v>
      </c>
      <c r="N2440" t="n">
        <v>200</v>
      </c>
      <c r="O2440" t="inlineStr">
        <is>
          <t>GST on Income</t>
        </is>
      </c>
      <c r="P2440" t="inlineStr">
        <is>
          <t>R07</t>
        </is>
      </c>
      <c r="Q2440" t="inlineStr">
        <is>
          <t>DEL-FP</t>
        </is>
      </c>
      <c r="R2440">
        <f>IF(OR(Q2440="CONTEXT",Q2440="REVIEW"),"",INDEX('Category Rules'!$D$5:$D$17,MATCH(P2440,'Category Rules'!$A$5:$A$17,0)))</f>
        <v>4020</v>
      </c>
      <c r="S2440" t="str">
        <f>IF(Q2440="CONTEXT","Fencing",IF(Q2440="REVIEW","",INDEX('Category Rules'!$E$5:$E$17,MATCH(P2440,'Category Rules'!$A$5:$A$17,0))))</f>
        <v>Fencing</v>
      </c>
      <c r="T2440" t="str">
        <f>IF(Q2440="DEP","BAS Excluded","GST on Income")</f>
        <v>GST on Income</v>
      </c>
      <c r="U2440">
        <f>IF(O2440=T2440,1,0)</f>
        <v>1</v>
      </c>
      <c r="V2440" s="9">
        <f>IF(OR(M2440=0,U2440=1),0,IF(T2440="GST on Income",ROUND(K2440*0.1,2),ROUND(-K2440*0.1,2)))</f>
        <v>0</v>
      </c>
    </row>
    <row r="2441">
      <c r="A2441" t="inlineStr">
        <is>
          <t>INV-4269-3</t>
        </is>
      </c>
      <c r="B2441" t="inlineStr">
        <is>
          <t>INV-4269</t>
        </is>
      </c>
      <c r="C2441" s="11" t="n">
        <v>46188</v>
      </c>
      <c r="D2441" t="inlineStr">
        <is>
          <t>2026-06</t>
        </is>
      </c>
      <c r="E2441" t="inlineStr">
        <is>
          <t>C0078</t>
        </is>
      </c>
      <c r="F2441" t="inlineStr">
        <is>
          <t>C0078</t>
        </is>
      </c>
      <c r="G2441" t="inlineStr">
        <is>
          <t>Oakridge Festivals</t>
        </is>
      </c>
      <c r="H2441" t="inlineStr">
        <is>
          <t>S0035</t>
        </is>
      </c>
      <c r="I2441" t="inlineStr">
        <is>
          <t>Security deposit - fence panels (refundable)</t>
        </is>
      </c>
      <c r="J2441" t="n">
        <v>1</v>
      </c>
      <c r="K2441" s="9" t="n">
        <v>780</v>
      </c>
      <c r="L2441" t="inlineStr">
        <is>
          <t>PAID</t>
        </is>
      </c>
      <c r="M2441">
        <f>IF(L2441="VOIDED",0,1)</f>
        <v>1</v>
      </c>
      <c r="N2441" t="n">
        <v>200</v>
      </c>
      <c r="O2441" t="inlineStr">
        <is>
          <t>BAS Excluded</t>
        </is>
      </c>
      <c r="P2441" t="inlineStr">
        <is>
          <t>R01</t>
        </is>
      </c>
      <c r="Q2441" t="inlineStr">
        <is>
          <t>DEP</t>
        </is>
      </c>
      <c r="R2441">
        <f>IF(OR(Q2441="CONTEXT",Q2441="REVIEW"),"",INDEX('Category Rules'!$D$5:$D$17,MATCH(P2441,'Category Rules'!$A$5:$A$17,0)))</f>
        <v>835</v>
      </c>
      <c r="S2441" t="str">
        <f>IF(Q2441="CONTEXT","Fencing",IF(Q2441="REVIEW","",INDEX('Category Rules'!$E$5:$E$17,MATCH(P2441,'Category Rules'!$A$5:$A$17,0))))</f>
        <v>Fencing</v>
      </c>
      <c r="T2441" t="str">
        <f>IF(Q2441="DEP","BAS Excluded","GST on Income")</f>
        <v>BAS Excluded</v>
      </c>
      <c r="U2441">
        <f>IF(O2441=T2441,1,0)</f>
        <v>1</v>
      </c>
      <c r="V2441" s="9">
        <f>IF(OR(M2441=0,U2441=1),0,IF(T2441="GST on Income",ROUND(K2441*0.1,2),ROUND(-K2441*0.1,2)))</f>
        <v>0</v>
      </c>
    </row>
    <row r="2442">
      <c r="A2442" t="inlineStr">
        <is>
          <t>INV-4591-1</t>
        </is>
      </c>
      <c r="B2442" t="inlineStr">
        <is>
          <t>INV-4591</t>
        </is>
      </c>
      <c r="C2442" s="11" t="n">
        <v>46188</v>
      </c>
      <c r="D2442" t="inlineStr">
        <is>
          <t>2026-06</t>
        </is>
      </c>
      <c r="E2442" t="inlineStr">
        <is>
          <t>C0022</t>
        </is>
      </c>
      <c r="F2442" t="inlineStr">
        <is>
          <t>C0022</t>
        </is>
      </c>
      <c r="G2442" t="inlineStr">
        <is>
          <t>Highpoint Projects</t>
        </is>
      </c>
      <c r="H2442" t="inlineStr">
        <is>
          <t>S0099</t>
        </is>
      </c>
      <c r="I2442" t="inlineStr">
        <is>
          <t>Temporary fence hire 4 wks (18/05/26-14/06/26) - 70 panels</t>
        </is>
      </c>
      <c r="J2442" t="n">
        <v>280</v>
      </c>
      <c r="K2442" s="9" t="n">
        <v>1260</v>
      </c>
      <c r="L2442" t="inlineStr">
        <is>
          <t>PAID</t>
        </is>
      </c>
      <c r="M2442">
        <f>IF(L2442="VOIDED",0,1)</f>
        <v>1</v>
      </c>
      <c r="N2442" t="n">
        <v>200</v>
      </c>
      <c r="O2442" t="inlineStr">
        <is>
          <t>GST on Income</t>
        </is>
      </c>
      <c r="P2442" t="inlineStr">
        <is>
          <t>R03</t>
        </is>
      </c>
      <c r="Q2442" t="inlineStr">
        <is>
          <t>HIRE-FP</t>
        </is>
      </c>
      <c r="R2442">
        <f>IF(OR(Q2442="CONTEXT",Q2442="REVIEW"),"",INDEX('Category Rules'!$D$5:$D$17,MATCH(P2442,'Category Rules'!$A$5:$A$17,0)))</f>
        <v>4010</v>
      </c>
      <c r="S2442" t="str">
        <f>IF(Q2442="CONTEXT","Fencing",IF(Q2442="REVIEW","",INDEX('Category Rules'!$E$5:$E$17,MATCH(P2442,'Category Rules'!$A$5:$A$17,0))))</f>
        <v>Fencing</v>
      </c>
      <c r="T2442" t="str">
        <f>IF(Q2442="DEP","BAS Excluded","GST on Income")</f>
        <v>GST on Income</v>
      </c>
      <c r="U2442">
        <f>IF(O2442=T2442,1,0)</f>
        <v>1</v>
      </c>
      <c r="V2442" s="9">
        <f>IF(OR(M2442=0,U2442=1),0,IF(T2442="GST on Income",ROUND(K2442*0.1,2),ROUND(-K2442*0.1,2)))</f>
        <v>0</v>
      </c>
    </row>
    <row r="2443">
      <c r="A2443" t="inlineStr">
        <is>
          <t>INV-4596-1</t>
        </is>
      </c>
      <c r="B2443" t="inlineStr">
        <is>
          <t>INV-4596</t>
        </is>
      </c>
      <c r="C2443" s="11" t="n">
        <v>46188</v>
      </c>
      <c r="D2443" t="inlineStr">
        <is>
          <t>2026-06</t>
        </is>
      </c>
      <c r="E2443" t="inlineStr">
        <is>
          <t>C0022</t>
        </is>
      </c>
      <c r="F2443" t="inlineStr">
        <is>
          <t>C0022</t>
        </is>
      </c>
      <c r="G2443" t="inlineStr">
        <is>
          <t>Highpoint Projects</t>
        </is>
      </c>
      <c r="H2443" t="inlineStr">
        <is>
          <t>S0099</t>
        </is>
      </c>
      <c r="I2443" t="inlineStr">
        <is>
          <t>Pedestrian barrier hire 4 wks (18/05/26-14/06/26) - 10 barriers</t>
        </is>
      </c>
      <c r="J2443" t="n">
        <v>40</v>
      </c>
      <c r="K2443" s="9" t="n">
        <v>128</v>
      </c>
      <c r="L2443" t="inlineStr">
        <is>
          <t>AUTHORISED</t>
        </is>
      </c>
      <c r="M2443">
        <f>IF(L2443="VOIDED",0,1)</f>
        <v>1</v>
      </c>
      <c r="N2443" t="n">
        <v>200</v>
      </c>
      <c r="O2443" t="inlineStr">
        <is>
          <t>GST on Income</t>
        </is>
      </c>
      <c r="P2443" t="inlineStr">
        <is>
          <t>R04</t>
        </is>
      </c>
      <c r="Q2443" t="inlineStr">
        <is>
          <t>HIRE-BR</t>
        </is>
      </c>
      <c r="R2443">
        <f>IF(OR(Q2443="CONTEXT",Q2443="REVIEW"),"",INDEX('Category Rules'!$D$5:$D$17,MATCH(P2443,'Category Rules'!$A$5:$A$17,0)))</f>
        <v>4010</v>
      </c>
      <c r="S2443" t="str">
        <f>IF(Q2443="CONTEXT","Fencing",IF(Q2443="REVIEW","",INDEX('Category Rules'!$E$5:$E$17,MATCH(P2443,'Category Rules'!$A$5:$A$17,0))))</f>
        <v>Fencing</v>
      </c>
      <c r="T2443" t="str">
        <f>IF(Q2443="DEP","BAS Excluded","GST on Income")</f>
        <v>GST on Income</v>
      </c>
      <c r="U2443">
        <f>IF(O2443=T2443,1,0)</f>
        <v>1</v>
      </c>
      <c r="V2443" s="9">
        <f>IF(OR(M2443=0,U2443=1),0,IF(T2443="GST on Income",ROUND(K2443*0.1,2),ROUND(-K2443*0.1,2)))</f>
        <v>0</v>
      </c>
    </row>
    <row r="2444">
      <c r="A2444" t="inlineStr">
        <is>
          <t>INV-5567-1</t>
        </is>
      </c>
      <c r="B2444" t="inlineStr">
        <is>
          <t>INV-5567</t>
        </is>
      </c>
      <c r="C2444" s="11" t="n">
        <v>46188</v>
      </c>
      <c r="D2444" t="inlineStr">
        <is>
          <t>2026-06</t>
        </is>
      </c>
      <c r="E2444" t="inlineStr">
        <is>
          <t>C0029</t>
        </is>
      </c>
      <c r="F2444" t="inlineStr">
        <is>
          <t>C0029</t>
        </is>
      </c>
      <c r="G2444" t="inlineStr">
        <is>
          <t>Ironbark Constructions</t>
        </is>
      </c>
      <c r="H2444" t="inlineStr">
        <is>
          <t>S0362</t>
        </is>
      </c>
      <c r="I2444" t="inlineStr">
        <is>
          <t>Roof repair labour - 4 hrs</t>
        </is>
      </c>
      <c r="J2444" t="n">
        <v>4</v>
      </c>
      <c r="K2444" s="9" t="n">
        <v>392</v>
      </c>
      <c r="L2444" t="inlineStr">
        <is>
          <t>PAID</t>
        </is>
      </c>
      <c r="M2444">
        <f>IF(L2444="VOIDED",0,1)</f>
        <v>1</v>
      </c>
      <c r="N2444" t="n">
        <v>200</v>
      </c>
      <c r="O2444" t="inlineStr">
        <is>
          <t>GST on Income</t>
        </is>
      </c>
      <c r="P2444" t="inlineStr">
        <is>
          <t>R10</t>
        </is>
      </c>
      <c r="Q2444" t="inlineStr">
        <is>
          <t>LAB-RF</t>
        </is>
      </c>
      <c r="R2444">
        <f>IF(OR(Q2444="CONTEXT",Q2444="REVIEW"),"",INDEX('Category Rules'!$D$5:$D$17,MATCH(P2444,'Category Rules'!$A$5:$A$17,0)))</f>
        <v>4020</v>
      </c>
      <c r="S2444" t="str">
        <f>IF(Q2444="CONTEXT","Roofing",IF(Q2444="REVIEW","",INDEX('Category Rules'!$E$5:$E$17,MATCH(P2444,'Category Rules'!$A$5:$A$17,0))))</f>
        <v>Roofing</v>
      </c>
      <c r="T2444" t="str">
        <f>IF(Q2444="DEP","BAS Excluded","GST on Income")</f>
        <v>GST on Income</v>
      </c>
      <c r="U2444">
        <f>IF(O2444=T2444,1,0)</f>
        <v>1</v>
      </c>
      <c r="V2444" s="9">
        <f>IF(OR(M2444=0,U2444=1),0,IF(T2444="GST on Income",ROUND(K2444*0.1,2),ROUND(-K2444*0.1,2)))</f>
        <v>0</v>
      </c>
    </row>
    <row r="2445">
      <c r="A2445" t="inlineStr">
        <is>
          <t>INV-5567-2</t>
        </is>
      </c>
      <c r="B2445" t="inlineStr">
        <is>
          <t>INV-5567</t>
        </is>
      </c>
      <c r="C2445" s="11" t="n">
        <v>46188</v>
      </c>
      <c r="D2445" t="inlineStr">
        <is>
          <t>2026-06</t>
        </is>
      </c>
      <c r="E2445" t="inlineStr">
        <is>
          <t>C0029</t>
        </is>
      </c>
      <c r="F2445" t="inlineStr">
        <is>
          <t>C0029</t>
        </is>
      </c>
      <c r="G2445" t="inlineStr">
        <is>
          <t>Ironbark Constructions</t>
        </is>
      </c>
      <c r="H2445" t="inlineStr">
        <is>
          <t>S0362</t>
        </is>
      </c>
      <c r="I2445" t="inlineStr">
        <is>
          <t>Materials - ridge capping</t>
        </is>
      </c>
      <c r="J2445" t="n">
        <v>1</v>
      </c>
      <c r="K2445" s="9" t="n">
        <v>1136.98</v>
      </c>
      <c r="L2445" t="inlineStr">
        <is>
          <t>PAID</t>
        </is>
      </c>
      <c r="M2445">
        <f>IF(L2445="VOIDED",0,1)</f>
        <v>1</v>
      </c>
      <c r="N2445" t="n">
        <v>200</v>
      </c>
      <c r="O2445" t="inlineStr">
        <is>
          <t>GST on Income</t>
        </is>
      </c>
      <c r="P2445" t="inlineStr">
        <is>
          <t>R11</t>
        </is>
      </c>
      <c r="Q2445" t="inlineStr">
        <is>
          <t>MAT-RF</t>
        </is>
      </c>
      <c r="R2445">
        <f>IF(OR(Q2445="CONTEXT",Q2445="REVIEW"),"",INDEX('Category Rules'!$D$5:$D$17,MATCH(P2445,'Category Rules'!$A$5:$A$17,0)))</f>
        <v>4030</v>
      </c>
      <c r="S2445" t="str">
        <f>IF(Q2445="CONTEXT","Roofing",IF(Q2445="REVIEW","",INDEX('Category Rules'!$E$5:$E$17,MATCH(P2445,'Category Rules'!$A$5:$A$17,0))))</f>
        <v>Roofing</v>
      </c>
      <c r="T2445" t="str">
        <f>IF(Q2445="DEP","BAS Excluded","GST on Income")</f>
        <v>GST on Income</v>
      </c>
      <c r="U2445">
        <f>IF(O2445=T2445,1,0)</f>
        <v>1</v>
      </c>
      <c r="V2445" s="9">
        <f>IF(OR(M2445=0,U2445=1),0,IF(T2445="GST on Income",ROUND(K2445*0.1,2),ROUND(-K2445*0.1,2)))</f>
        <v>0</v>
      </c>
    </row>
    <row r="2446">
      <c r="A2446" t="inlineStr">
        <is>
          <t>INV-5567-3</t>
        </is>
      </c>
      <c r="B2446" t="inlineStr">
        <is>
          <t>INV-5567</t>
        </is>
      </c>
      <c r="C2446" s="11" t="n">
        <v>46188</v>
      </c>
      <c r="D2446" t="inlineStr">
        <is>
          <t>2026-06</t>
        </is>
      </c>
      <c r="E2446" t="inlineStr">
        <is>
          <t>C0029</t>
        </is>
      </c>
      <c r="F2446" t="inlineStr">
        <is>
          <t>C0029</t>
        </is>
      </c>
      <c r="G2446" t="inlineStr">
        <is>
          <t>Ironbark Constructions</t>
        </is>
      </c>
      <c r="H2446" t="inlineStr">
        <is>
          <t>S0362</t>
        </is>
      </c>
      <c r="I2446" t="inlineStr">
        <is>
          <t>Waste removal and tip fees</t>
        </is>
      </c>
      <c r="J2446" t="n">
        <v>1</v>
      </c>
      <c r="K2446" s="9" t="n">
        <v>120</v>
      </c>
      <c r="L2446" t="inlineStr">
        <is>
          <t>PAID</t>
        </is>
      </c>
      <c r="M2446">
        <f>IF(L2446="VOIDED",0,1)</f>
        <v>1</v>
      </c>
      <c r="N2446" t="n">
        <v>200</v>
      </c>
      <c r="O2446" t="inlineStr">
        <is>
          <t>GST on Income</t>
        </is>
      </c>
      <c r="P2446" t="inlineStr">
        <is>
          <t>R11</t>
        </is>
      </c>
      <c r="Q2446" t="inlineStr">
        <is>
          <t>MAT-RF</t>
        </is>
      </c>
      <c r="R2446">
        <f>IF(OR(Q2446="CONTEXT",Q2446="REVIEW"),"",INDEX('Category Rules'!$D$5:$D$17,MATCH(P2446,'Category Rules'!$A$5:$A$17,0)))</f>
        <v>4030</v>
      </c>
      <c r="S2446" t="str">
        <f>IF(Q2446="CONTEXT","Roofing",IF(Q2446="REVIEW","",INDEX('Category Rules'!$E$5:$E$17,MATCH(P2446,'Category Rules'!$A$5:$A$17,0))))</f>
        <v>Roofing</v>
      </c>
      <c r="T2446" t="str">
        <f>IF(Q2446="DEP","BAS Excluded","GST on Income")</f>
        <v>GST on Income</v>
      </c>
      <c r="U2446">
        <f>IF(O2446=T2446,1,0)</f>
        <v>1</v>
      </c>
      <c r="V2446" s="9">
        <f>IF(OR(M2446=0,U2446=1),0,IF(T2446="GST on Income",ROUND(K2446*0.1,2),ROUND(-K2446*0.1,2)))</f>
        <v>0</v>
      </c>
    </row>
    <row r="2447">
      <c r="A2447" t="inlineStr">
        <is>
          <t>INV-5879-1</t>
        </is>
      </c>
      <c r="B2447" t="inlineStr">
        <is>
          <t>INV-5879</t>
        </is>
      </c>
      <c r="C2447" s="11" t="n">
        <v>46188</v>
      </c>
      <c r="D2447" t="inlineStr">
        <is>
          <t>2026-06</t>
        </is>
      </c>
      <c r="E2447" t="inlineStr">
        <is>
          <t>C0033</t>
        </is>
      </c>
      <c r="F2447" t="inlineStr">
        <is>
          <t>C0033</t>
        </is>
      </c>
      <c r="G2447" t="inlineStr">
        <is>
          <t>Granite Projects Pty Ltd</t>
        </is>
      </c>
      <c r="H2447" t="inlineStr">
        <is>
          <t>S0539</t>
        </is>
      </c>
      <c r="I2447" t="inlineStr">
        <is>
          <t>Roof repair labour - 12 hrs</t>
        </is>
      </c>
      <c r="J2447" t="n">
        <v>12</v>
      </c>
      <c r="K2447" s="9" t="n">
        <v>1176</v>
      </c>
      <c r="L2447" t="inlineStr">
        <is>
          <t>PAID</t>
        </is>
      </c>
      <c r="M2447">
        <f>IF(L2447="VOIDED",0,1)</f>
        <v>1</v>
      </c>
      <c r="N2447" t="n">
        <v>200</v>
      </c>
      <c r="O2447" t="inlineStr">
        <is>
          <t>GST on Income</t>
        </is>
      </c>
      <c r="P2447" t="inlineStr">
        <is>
          <t>R10</t>
        </is>
      </c>
      <c r="Q2447" t="inlineStr">
        <is>
          <t>LAB-RF</t>
        </is>
      </c>
      <c r="R2447">
        <f>IF(OR(Q2447="CONTEXT",Q2447="REVIEW"),"",INDEX('Category Rules'!$D$5:$D$17,MATCH(P2447,'Category Rules'!$A$5:$A$17,0)))</f>
        <v>4020</v>
      </c>
      <c r="S2447" t="str">
        <f>IF(Q2447="CONTEXT","Roofing",IF(Q2447="REVIEW","",INDEX('Category Rules'!$E$5:$E$17,MATCH(P2447,'Category Rules'!$A$5:$A$17,0))))</f>
        <v>Roofing</v>
      </c>
      <c r="T2447" t="str">
        <f>IF(Q2447="DEP","BAS Excluded","GST on Income")</f>
        <v>GST on Income</v>
      </c>
      <c r="U2447">
        <f>IF(O2447=T2447,1,0)</f>
        <v>1</v>
      </c>
      <c r="V2447" s="9">
        <f>IF(OR(M2447=0,U2447=1),0,IF(T2447="GST on Income",ROUND(K2447*0.1,2),ROUND(-K2447*0.1,2)))</f>
        <v>0</v>
      </c>
    </row>
    <row r="2448">
      <c r="A2448" t="inlineStr">
        <is>
          <t>INV-5879-2</t>
        </is>
      </c>
      <c r="B2448" t="inlineStr">
        <is>
          <t>INV-5879</t>
        </is>
      </c>
      <c r="C2448" s="11" t="n">
        <v>46188</v>
      </c>
      <c r="D2448" t="inlineStr">
        <is>
          <t>2026-06</t>
        </is>
      </c>
      <c r="E2448" t="inlineStr">
        <is>
          <t>C0033</t>
        </is>
      </c>
      <c r="F2448" t="inlineStr">
        <is>
          <t>C0033</t>
        </is>
      </c>
      <c r="G2448" t="inlineStr">
        <is>
          <t>Granite Projects Pty Ltd</t>
        </is>
      </c>
      <c r="H2448" t="inlineStr">
        <is>
          <t>S0539</t>
        </is>
      </c>
      <c r="I2448" t="inlineStr">
        <is>
          <t>Materials - sealant and fixings</t>
        </is>
      </c>
      <c r="J2448" t="n">
        <v>1</v>
      </c>
      <c r="K2448" s="9" t="n">
        <v>511.22</v>
      </c>
      <c r="L2448" t="inlineStr">
        <is>
          <t>PAID</t>
        </is>
      </c>
      <c r="M2448">
        <f>IF(L2448="VOIDED",0,1)</f>
        <v>1</v>
      </c>
      <c r="N2448" t="n">
        <v>200</v>
      </c>
      <c r="O2448" t="inlineStr">
        <is>
          <t>GST on Income</t>
        </is>
      </c>
      <c r="P2448" t="inlineStr">
        <is>
          <t>R11</t>
        </is>
      </c>
      <c r="Q2448" t="inlineStr">
        <is>
          <t>MAT-RF</t>
        </is>
      </c>
      <c r="R2448">
        <f>IF(OR(Q2448="CONTEXT",Q2448="REVIEW"),"",INDEX('Category Rules'!$D$5:$D$17,MATCH(P2448,'Category Rules'!$A$5:$A$17,0)))</f>
        <v>4030</v>
      </c>
      <c r="S2448" t="str">
        <f>IF(Q2448="CONTEXT","Roofing",IF(Q2448="REVIEW","",INDEX('Category Rules'!$E$5:$E$17,MATCH(P2448,'Category Rules'!$A$5:$A$17,0))))</f>
        <v>Roofing</v>
      </c>
      <c r="T2448" t="str">
        <f>IF(Q2448="DEP","BAS Excluded","GST on Income")</f>
        <v>GST on Income</v>
      </c>
      <c r="U2448">
        <f>IF(O2448=T2448,1,0)</f>
        <v>1</v>
      </c>
      <c r="V2448" s="9">
        <f>IF(OR(M2448=0,U2448=1),0,IF(T2448="GST on Income",ROUND(K2448*0.1,2),ROUND(-K2448*0.1,2)))</f>
        <v>0</v>
      </c>
    </row>
    <row r="2449">
      <c r="A2449" t="inlineStr">
        <is>
          <t>INV-5879-3</t>
        </is>
      </c>
      <c r="B2449" t="inlineStr">
        <is>
          <t>INV-5879</t>
        </is>
      </c>
      <c r="C2449" s="11" t="n">
        <v>46188</v>
      </c>
      <c r="D2449" t="inlineStr">
        <is>
          <t>2026-06</t>
        </is>
      </c>
      <c r="E2449" t="inlineStr">
        <is>
          <t>C0033</t>
        </is>
      </c>
      <c r="F2449" t="inlineStr">
        <is>
          <t>C0033</t>
        </is>
      </c>
      <c r="G2449" t="inlineStr">
        <is>
          <t>Granite Projects Pty Ltd</t>
        </is>
      </c>
      <c r="H2449" t="inlineStr">
        <is>
          <t>S0539</t>
        </is>
      </c>
      <c r="I2449" t="inlineStr">
        <is>
          <t>Materials - Colorbond sheet</t>
        </is>
      </c>
      <c r="J2449" t="n">
        <v>1</v>
      </c>
      <c r="K2449" s="9" t="n">
        <v>95.5</v>
      </c>
      <c r="L2449" t="inlineStr">
        <is>
          <t>PAID</t>
        </is>
      </c>
      <c r="M2449">
        <f>IF(L2449="VOIDED",0,1)</f>
        <v>1</v>
      </c>
      <c r="N2449" t="n">
        <v>200</v>
      </c>
      <c r="O2449" t="inlineStr">
        <is>
          <t>GST on Income</t>
        </is>
      </c>
      <c r="P2449" t="inlineStr">
        <is>
          <t>R11</t>
        </is>
      </c>
      <c r="Q2449" t="inlineStr">
        <is>
          <t>MAT-RF</t>
        </is>
      </c>
      <c r="R2449">
        <f>IF(OR(Q2449="CONTEXT",Q2449="REVIEW"),"",INDEX('Category Rules'!$D$5:$D$17,MATCH(P2449,'Category Rules'!$A$5:$A$17,0)))</f>
        <v>4030</v>
      </c>
      <c r="S2449" t="str">
        <f>IF(Q2449="CONTEXT","Roofing",IF(Q2449="REVIEW","",INDEX('Category Rules'!$E$5:$E$17,MATCH(P2449,'Category Rules'!$A$5:$A$17,0))))</f>
        <v>Roofing</v>
      </c>
      <c r="T2449" t="str">
        <f>IF(Q2449="DEP","BAS Excluded","GST on Income")</f>
        <v>GST on Income</v>
      </c>
      <c r="U2449">
        <f>IF(O2449=T2449,1,0)</f>
        <v>1</v>
      </c>
      <c r="V2449" s="9">
        <f>IF(OR(M2449=0,U2449=1),0,IF(T2449="GST on Income",ROUND(K2449*0.1,2),ROUND(-K2449*0.1,2)))</f>
        <v>0</v>
      </c>
    </row>
    <row r="2450">
      <c r="A2450" t="inlineStr">
        <is>
          <t>INV-4245-1</t>
        </is>
      </c>
      <c r="B2450" t="inlineStr">
        <is>
          <t>INV-4245</t>
        </is>
      </c>
      <c r="C2450" s="11" t="n">
        <v>46189</v>
      </c>
      <c r="D2450" t="inlineStr">
        <is>
          <t>2026-06</t>
        </is>
      </c>
      <c r="E2450" t="inlineStr">
        <is>
          <t>C0003</t>
        </is>
      </c>
      <c r="F2450" t="inlineStr">
        <is>
          <t>C0003</t>
        </is>
      </c>
      <c r="G2450" t="inlineStr">
        <is>
          <t>Summit Projects Pty Ltd</t>
        </is>
      </c>
      <c r="H2450" t="inlineStr">
        <is>
          <t>S0028</t>
        </is>
      </c>
      <c r="I2450" t="inlineStr">
        <is>
          <t>Temporary fence hire 3 wks (30/05/26-15/06/26) - 102 panels</t>
        </is>
      </c>
      <c r="J2450" t="n">
        <v>306</v>
      </c>
      <c r="K2450" s="9" t="n">
        <v>1377</v>
      </c>
      <c r="L2450" t="inlineStr">
        <is>
          <t>AUTHORISED</t>
        </is>
      </c>
      <c r="M2450">
        <f>IF(L2450="VOIDED",0,1)</f>
        <v>1</v>
      </c>
      <c r="N2450" t="n">
        <v>200</v>
      </c>
      <c r="O2450" t="inlineStr">
        <is>
          <t>GST on Income</t>
        </is>
      </c>
      <c r="P2450" t="inlineStr">
        <is>
          <t>R03</t>
        </is>
      </c>
      <c r="Q2450" t="inlineStr">
        <is>
          <t>HIRE-FP</t>
        </is>
      </c>
      <c r="R2450">
        <f>IF(OR(Q2450="CONTEXT",Q2450="REVIEW"),"",INDEX('Category Rules'!$D$5:$D$17,MATCH(P2450,'Category Rules'!$A$5:$A$17,0)))</f>
        <v>4010</v>
      </c>
      <c r="S2450" t="str">
        <f>IF(Q2450="CONTEXT","Fencing",IF(Q2450="REVIEW","",INDEX('Category Rules'!$E$5:$E$17,MATCH(P2450,'Category Rules'!$A$5:$A$17,0))))</f>
        <v>Fencing</v>
      </c>
      <c r="T2450" t="str">
        <f>IF(Q2450="DEP","BAS Excluded","GST on Income")</f>
        <v>GST on Income</v>
      </c>
      <c r="U2450">
        <f>IF(O2450=T2450,1,0)</f>
        <v>1</v>
      </c>
      <c r="V2450" s="9">
        <f>IF(OR(M2450=0,U2450=1),0,IF(T2450="GST on Income",ROUND(K2450*0.1,2),ROUND(-K2450*0.1,2)))</f>
        <v>0</v>
      </c>
    </row>
    <row r="2451">
      <c r="A2451" t="inlineStr">
        <is>
          <t>INV-4247-1</t>
        </is>
      </c>
      <c r="B2451" t="inlineStr">
        <is>
          <t>INV-4247</t>
        </is>
      </c>
      <c r="C2451" s="11" t="n">
        <v>46189</v>
      </c>
      <c r="D2451" t="inlineStr">
        <is>
          <t>2026-06</t>
        </is>
      </c>
      <c r="E2451" t="inlineStr">
        <is>
          <t>C0003</t>
        </is>
      </c>
      <c r="F2451" t="inlineStr">
        <is>
          <t>C0003</t>
        </is>
      </c>
      <c r="G2451" t="inlineStr">
        <is>
          <t>Summit Projects Pty Ltd</t>
        </is>
      </c>
      <c r="H2451" t="inlineStr">
        <is>
          <t>S0028</t>
        </is>
      </c>
      <c r="I2451" t="inlineStr">
        <is>
          <t>Pedestrian barrier hire 3 wks (30/05/26-15/06/26) - 12 barriers</t>
        </is>
      </c>
      <c r="J2451" t="n">
        <v>36</v>
      </c>
      <c r="K2451" s="9" t="n">
        <v>115.2</v>
      </c>
      <c r="L2451" t="inlineStr">
        <is>
          <t>PAID</t>
        </is>
      </c>
      <c r="M2451">
        <f>IF(L2451="VOIDED",0,1)</f>
        <v>1</v>
      </c>
      <c r="N2451" t="n">
        <v>200</v>
      </c>
      <c r="O2451" t="inlineStr">
        <is>
          <t>GST on Income</t>
        </is>
      </c>
      <c r="P2451" t="inlineStr">
        <is>
          <t>R04</t>
        </is>
      </c>
      <c r="Q2451" t="inlineStr">
        <is>
          <t>HIRE-BR</t>
        </is>
      </c>
      <c r="R2451">
        <f>IF(OR(Q2451="CONTEXT",Q2451="REVIEW"),"",INDEX('Category Rules'!$D$5:$D$17,MATCH(P2451,'Category Rules'!$A$5:$A$17,0)))</f>
        <v>4010</v>
      </c>
      <c r="S2451" t="str">
        <f>IF(Q2451="CONTEXT","Fencing",IF(Q2451="REVIEW","",INDEX('Category Rules'!$E$5:$E$17,MATCH(P2451,'Category Rules'!$A$5:$A$17,0))))</f>
        <v>Fencing</v>
      </c>
      <c r="T2451" t="str">
        <f>IF(Q2451="DEP","BAS Excluded","GST on Income")</f>
        <v>GST on Income</v>
      </c>
      <c r="U2451">
        <f>IF(O2451=T2451,1,0)</f>
        <v>1</v>
      </c>
      <c r="V2451" s="9">
        <f>IF(OR(M2451=0,U2451=1),0,IF(T2451="GST on Income",ROUND(K2451*0.1,2),ROUND(-K2451*0.1,2)))</f>
        <v>0</v>
      </c>
    </row>
    <row r="2452">
      <c r="A2452" t="inlineStr">
        <is>
          <t>INV-4249-1</t>
        </is>
      </c>
      <c r="B2452" t="inlineStr">
        <is>
          <t>INV-4249</t>
        </is>
      </c>
      <c r="C2452" s="11" t="n">
        <v>46189</v>
      </c>
      <c r="D2452" t="inlineStr">
        <is>
          <t>2026-06</t>
        </is>
      </c>
      <c r="E2452" t="inlineStr">
        <is>
          <t>C0003</t>
        </is>
      </c>
      <c r="F2452" t="inlineStr">
        <is>
          <t>C0003</t>
        </is>
      </c>
      <c r="G2452" t="inlineStr">
        <is>
          <t>Summit Projects Pty Ltd</t>
        </is>
      </c>
      <c r="H2452" t="inlineStr">
        <is>
          <t>S0028</t>
        </is>
      </c>
      <c r="I2452" t="inlineStr">
        <is>
          <t>Collection and dismantle - temporary fencing</t>
        </is>
      </c>
      <c r="J2452" t="n">
        <v>1</v>
      </c>
      <c r="K2452" s="9" t="n">
        <v>165</v>
      </c>
      <c r="L2452" t="inlineStr">
        <is>
          <t>PAID</t>
        </is>
      </c>
      <c r="M2452">
        <f>IF(L2452="VOIDED",0,1)</f>
        <v>1</v>
      </c>
      <c r="N2452" t="n">
        <v>200</v>
      </c>
      <c r="O2452" t="inlineStr">
        <is>
          <t>GST on Income</t>
        </is>
      </c>
      <c r="P2452" t="inlineStr">
        <is>
          <t>R07</t>
        </is>
      </c>
      <c r="Q2452" t="inlineStr">
        <is>
          <t>DEL-FP</t>
        </is>
      </c>
      <c r="R2452">
        <f>IF(OR(Q2452="CONTEXT",Q2452="REVIEW"),"",INDEX('Category Rules'!$D$5:$D$17,MATCH(P2452,'Category Rules'!$A$5:$A$17,0)))</f>
        <v>4020</v>
      </c>
      <c r="S2452" t="str">
        <f>IF(Q2452="CONTEXT","Fencing",IF(Q2452="REVIEW","",INDEX('Category Rules'!$E$5:$E$17,MATCH(P2452,'Category Rules'!$A$5:$A$17,0))))</f>
        <v>Fencing</v>
      </c>
      <c r="T2452" t="str">
        <f>IF(Q2452="DEP","BAS Excluded","GST on Income")</f>
        <v>GST on Income</v>
      </c>
      <c r="U2452">
        <f>IF(O2452=T2452,1,0)</f>
        <v>1</v>
      </c>
      <c r="V2452" s="9">
        <f>IF(OR(M2452=0,U2452=1),0,IF(T2452="GST on Income",ROUND(K2452*0.1,2),ROUND(-K2452*0.1,2)))</f>
        <v>0</v>
      </c>
    </row>
    <row r="2453">
      <c r="A2453" t="inlineStr">
        <is>
          <t>INV-4982-1</t>
        </is>
      </c>
      <c r="B2453" t="inlineStr">
        <is>
          <t>INV-4982</t>
        </is>
      </c>
      <c r="C2453" s="11" t="n">
        <v>46189</v>
      </c>
      <c r="D2453" t="inlineStr">
        <is>
          <t>2026-06</t>
        </is>
      </c>
      <c r="E2453" t="inlineStr">
        <is>
          <t>C0010</t>
        </is>
      </c>
      <c r="F2453" t="inlineStr">
        <is>
          <t>C0010</t>
        </is>
      </c>
      <c r="G2453" t="inlineStr">
        <is>
          <t>Eastlink Developments</t>
        </is>
      </c>
      <c r="H2453" t="inlineStr">
        <is>
          <t>S0187</t>
        </is>
      </c>
      <c r="I2453" t="inlineStr">
        <is>
          <t>Temporary fence hire 4 wks (19/05/26-15/06/26) - 120 panels</t>
        </is>
      </c>
      <c r="J2453" t="n">
        <v>480</v>
      </c>
      <c r="K2453" s="9" t="n">
        <v>2160</v>
      </c>
      <c r="L2453" t="inlineStr">
        <is>
          <t>PAID</t>
        </is>
      </c>
      <c r="M2453">
        <f>IF(L2453="VOIDED",0,1)</f>
        <v>1</v>
      </c>
      <c r="N2453" t="n">
        <v>200</v>
      </c>
      <c r="O2453" t="inlineStr">
        <is>
          <t>GST on Income</t>
        </is>
      </c>
      <c r="P2453" t="inlineStr">
        <is>
          <t>R03</t>
        </is>
      </c>
      <c r="Q2453" t="inlineStr">
        <is>
          <t>HIRE-FP</t>
        </is>
      </c>
      <c r="R2453">
        <f>IF(OR(Q2453="CONTEXT",Q2453="REVIEW"),"",INDEX('Category Rules'!$D$5:$D$17,MATCH(P2453,'Category Rules'!$A$5:$A$17,0)))</f>
        <v>4010</v>
      </c>
      <c r="S2453" t="str">
        <f>IF(Q2453="CONTEXT","Fencing",IF(Q2453="REVIEW","",INDEX('Category Rules'!$E$5:$E$17,MATCH(P2453,'Category Rules'!$A$5:$A$17,0))))</f>
        <v>Fencing</v>
      </c>
      <c r="T2453" t="str">
        <f>IF(Q2453="DEP","BAS Excluded","GST on Income")</f>
        <v>GST on Income</v>
      </c>
      <c r="U2453">
        <f>IF(O2453=T2453,1,0)</f>
        <v>1</v>
      </c>
      <c r="V2453" s="9">
        <f>IF(OR(M2453=0,U2453=1),0,IF(T2453="GST on Income",ROUND(K2453*0.1,2),ROUND(-K2453*0.1,2)))</f>
        <v>0</v>
      </c>
    </row>
    <row r="2454">
      <c r="A2454" t="inlineStr">
        <is>
          <t>INV-5330-1</t>
        </is>
      </c>
      <c r="B2454" t="inlineStr">
        <is>
          <t>INV-5330</t>
        </is>
      </c>
      <c r="C2454" s="11" t="n">
        <v>46189</v>
      </c>
      <c r="D2454" t="inlineStr">
        <is>
          <t>2026-06</t>
        </is>
      </c>
      <c r="E2454" t="inlineStr">
        <is>
          <t>C0038</t>
        </is>
      </c>
      <c r="F2454" t="inlineStr">
        <is>
          <t>C0038</t>
        </is>
      </c>
      <c r="G2454" t="inlineStr">
        <is>
          <t>Cobalt Constructions Pty Ltd</t>
        </is>
      </c>
      <c r="H2454" t="inlineStr">
        <is>
          <t>S0266</t>
        </is>
      </c>
      <c r="I2454" t="inlineStr">
        <is>
          <t>Scaffold tower hire 4 wks (19/05/26-15/06/26) - 4 towers</t>
        </is>
      </c>
      <c r="J2454" t="n">
        <v>16</v>
      </c>
      <c r="K2454" s="9" t="n">
        <v>1520</v>
      </c>
      <c r="L2454" t="inlineStr">
        <is>
          <t>AUTHORISED</t>
        </is>
      </c>
      <c r="M2454">
        <f>IF(L2454="VOIDED",0,1)</f>
        <v>1</v>
      </c>
      <c r="N2454" t="n">
        <v>200</v>
      </c>
      <c r="O2454" t="inlineStr">
        <is>
          <t>GST on Income</t>
        </is>
      </c>
      <c r="P2454" t="inlineStr">
        <is>
          <t>R05</t>
        </is>
      </c>
      <c r="Q2454" t="inlineStr">
        <is>
          <t>HIRE-ST</t>
        </is>
      </c>
      <c r="R2454">
        <f>IF(OR(Q2454="CONTEXT",Q2454="REVIEW"),"",INDEX('Category Rules'!$D$5:$D$17,MATCH(P2454,'Category Rules'!$A$5:$A$17,0)))</f>
        <v>4010</v>
      </c>
      <c r="S2454" t="str">
        <f>IF(Q2454="CONTEXT","Scaffolding",IF(Q2454="REVIEW","",INDEX('Category Rules'!$E$5:$E$17,MATCH(P2454,'Category Rules'!$A$5:$A$17,0))))</f>
        <v>Scaffolding</v>
      </c>
      <c r="T2454" t="str">
        <f>IF(Q2454="DEP","BAS Excluded","GST on Income")</f>
        <v>GST on Income</v>
      </c>
      <c r="U2454">
        <f>IF(O2454=T2454,1,0)</f>
        <v>1</v>
      </c>
      <c r="V2454" s="9">
        <f>IF(OR(M2454=0,U2454=1),0,IF(T2454="GST on Income",ROUND(K2454*0.1,2),ROUND(-K2454*0.1,2)))</f>
        <v>0</v>
      </c>
    </row>
    <row r="2455">
      <c r="A2455" t="inlineStr">
        <is>
          <t>INV-5598-1</t>
        </is>
      </c>
      <c r="B2455" t="inlineStr">
        <is>
          <t>INV-5598</t>
        </is>
      </c>
      <c r="C2455" s="11" t="n">
        <v>46189</v>
      </c>
      <c r="D2455" t="inlineStr">
        <is>
          <t>2026-06</t>
        </is>
      </c>
      <c r="E2455" t="inlineStr">
        <is>
          <t>C0049</t>
        </is>
      </c>
      <c r="F2455" t="inlineStr">
        <is>
          <t>C0049</t>
        </is>
      </c>
      <c r="G2455" t="inlineStr">
        <is>
          <t>Fairway Body Corporate Pty Ltd</t>
        </is>
      </c>
      <c r="H2455" t="inlineStr">
        <is>
          <t>S0380</t>
        </is>
      </c>
      <c r="I2455" t="inlineStr">
        <is>
          <t>Tarp kit hire 2 wks (08/06/26-15/06/26) - 3 kits</t>
        </is>
      </c>
      <c r="J2455" t="n">
        <v>6</v>
      </c>
      <c r="K2455" s="9" t="n">
        <v>210</v>
      </c>
      <c r="L2455" t="inlineStr">
        <is>
          <t>PAID</t>
        </is>
      </c>
      <c r="M2455">
        <f>IF(L2455="VOIDED",0,1)</f>
        <v>1</v>
      </c>
      <c r="N2455" t="n">
        <v>200</v>
      </c>
      <c r="O2455" t="inlineStr">
        <is>
          <t>GST on Income</t>
        </is>
      </c>
      <c r="P2455" t="inlineStr">
        <is>
          <t>R06</t>
        </is>
      </c>
      <c r="Q2455" t="inlineStr">
        <is>
          <t>HIRE-TK</t>
        </is>
      </c>
      <c r="R2455">
        <f>IF(OR(Q2455="CONTEXT",Q2455="REVIEW"),"",INDEX('Category Rules'!$D$5:$D$17,MATCH(P2455,'Category Rules'!$A$5:$A$17,0)))</f>
        <v>4010</v>
      </c>
      <c r="S2455" t="str">
        <f>IF(Q2455="CONTEXT","Make-safe",IF(Q2455="REVIEW","",INDEX('Category Rules'!$E$5:$E$17,MATCH(P2455,'Category Rules'!$A$5:$A$17,0))))</f>
        <v>Make-safe</v>
      </c>
      <c r="T2455" t="str">
        <f>IF(Q2455="DEP","BAS Excluded","GST on Income")</f>
        <v>GST on Income</v>
      </c>
      <c r="U2455">
        <f>IF(O2455=T2455,1,0)</f>
        <v>1</v>
      </c>
      <c r="V2455" s="9">
        <f>IF(OR(M2455=0,U2455=1),0,IF(T2455="GST on Income",ROUND(K2455*0.1,2),ROUND(-K2455*0.1,2)))</f>
        <v>0</v>
      </c>
    </row>
    <row r="2456">
      <c r="A2456" t="inlineStr">
        <is>
          <t>INV-4601-1</t>
        </is>
      </c>
      <c r="B2456" t="inlineStr">
        <is>
          <t>INV-4601</t>
        </is>
      </c>
      <c r="C2456" s="11" t="n">
        <v>46190</v>
      </c>
      <c r="D2456" t="inlineStr">
        <is>
          <t>2026-06</t>
        </is>
      </c>
      <c r="E2456" t="inlineStr">
        <is>
          <t>C0027</t>
        </is>
      </c>
      <c r="F2456" t="inlineStr">
        <is>
          <t>C0027</t>
        </is>
      </c>
      <c r="G2456" t="inlineStr">
        <is>
          <t>Metro Projects Pty Ltd</t>
        </is>
      </c>
      <c r="H2456" t="inlineStr">
        <is>
          <t>S0100</t>
        </is>
      </c>
      <c r="I2456" t="inlineStr">
        <is>
          <t>Temporary fence hire 4 wks (20/05/26-16/06/26) - 141 panels</t>
        </is>
      </c>
      <c r="J2456" t="n">
        <v>564</v>
      </c>
      <c r="K2456" s="9" t="n">
        <v>2538</v>
      </c>
      <c r="L2456" t="inlineStr">
        <is>
          <t>PAID</t>
        </is>
      </c>
      <c r="M2456">
        <f>IF(L2456="VOIDED",0,1)</f>
        <v>1</v>
      </c>
      <c r="N2456" t="n">
        <v>200</v>
      </c>
      <c r="O2456" t="inlineStr">
        <is>
          <t>GST on Income</t>
        </is>
      </c>
      <c r="P2456" t="inlineStr">
        <is>
          <t>R03</t>
        </is>
      </c>
      <c r="Q2456" t="inlineStr">
        <is>
          <t>HIRE-FP</t>
        </is>
      </c>
      <c r="R2456">
        <f>IF(OR(Q2456="CONTEXT",Q2456="REVIEW"),"",INDEX('Category Rules'!$D$5:$D$17,MATCH(P2456,'Category Rules'!$A$5:$A$17,0)))</f>
        <v>4010</v>
      </c>
      <c r="S2456" t="str">
        <f>IF(Q2456="CONTEXT","Fencing",IF(Q2456="REVIEW","",INDEX('Category Rules'!$E$5:$E$17,MATCH(P2456,'Category Rules'!$A$5:$A$17,0))))</f>
        <v>Fencing</v>
      </c>
      <c r="T2456" t="str">
        <f>IF(Q2456="DEP","BAS Excluded","GST on Income")</f>
        <v>GST on Income</v>
      </c>
      <c r="U2456">
        <f>IF(O2456=T2456,1,0)</f>
        <v>1</v>
      </c>
      <c r="V2456" s="9">
        <f>IF(OR(M2456=0,U2456=1),0,IF(T2456="GST on Income",ROUND(K2456*0.1,2),ROUND(-K2456*0.1,2)))</f>
        <v>0</v>
      </c>
    </row>
    <row r="2457">
      <c r="A2457" t="inlineStr">
        <is>
          <t>INV-4606-1</t>
        </is>
      </c>
      <c r="B2457" t="inlineStr">
        <is>
          <t>INV-4606</t>
        </is>
      </c>
      <c r="C2457" s="11" t="n">
        <v>46190</v>
      </c>
      <c r="D2457" t="inlineStr">
        <is>
          <t>2026-06</t>
        </is>
      </c>
      <c r="E2457" t="inlineStr">
        <is>
          <t>C0027</t>
        </is>
      </c>
      <c r="F2457" t="inlineStr">
        <is>
          <t>C0027</t>
        </is>
      </c>
      <c r="G2457" t="inlineStr">
        <is>
          <t>Metro Projects Pty Ltd</t>
        </is>
      </c>
      <c r="H2457" t="inlineStr">
        <is>
          <t>S0100</t>
        </is>
      </c>
      <c r="I2457" t="inlineStr">
        <is>
          <t>Pedestrian barrier hire 4 wks (20/05/26-16/06/26) - 14 barriers</t>
        </is>
      </c>
      <c r="J2457" t="n">
        <v>56</v>
      </c>
      <c r="K2457" s="9" t="n">
        <v>179.2</v>
      </c>
      <c r="L2457" t="inlineStr">
        <is>
          <t>PAID</t>
        </is>
      </c>
      <c r="M2457">
        <f>IF(L2457="VOIDED",0,1)</f>
        <v>1</v>
      </c>
      <c r="N2457" t="n">
        <v>200</v>
      </c>
      <c r="O2457" t="inlineStr">
        <is>
          <t>GST on Income</t>
        </is>
      </c>
      <c r="P2457" t="inlineStr">
        <is>
          <t>R04</t>
        </is>
      </c>
      <c r="Q2457" t="inlineStr">
        <is>
          <t>HIRE-BR</t>
        </is>
      </c>
      <c r="R2457">
        <f>IF(OR(Q2457="CONTEXT",Q2457="REVIEW"),"",INDEX('Category Rules'!$D$5:$D$17,MATCH(P2457,'Category Rules'!$A$5:$A$17,0)))</f>
        <v>4010</v>
      </c>
      <c r="S2457" t="str">
        <f>IF(Q2457="CONTEXT","Fencing",IF(Q2457="REVIEW","",INDEX('Category Rules'!$E$5:$E$17,MATCH(P2457,'Category Rules'!$A$5:$A$17,0))))</f>
        <v>Fencing</v>
      </c>
      <c r="T2457" t="str">
        <f>IF(Q2457="DEP","BAS Excluded","GST on Income")</f>
        <v>GST on Income</v>
      </c>
      <c r="U2457">
        <f>IF(O2457=T2457,1,0)</f>
        <v>1</v>
      </c>
      <c r="V2457" s="9">
        <f>IF(OR(M2457=0,U2457=1),0,IF(T2457="GST on Income",ROUND(K2457*0.1,2),ROUND(-K2457*0.1,2)))</f>
        <v>0</v>
      </c>
    </row>
    <row r="2458">
      <c r="A2458" t="inlineStr">
        <is>
          <t>INV-5358-1</t>
        </is>
      </c>
      <c r="B2458" t="inlineStr">
        <is>
          <t>INV-5358</t>
        </is>
      </c>
      <c r="C2458" s="11" t="n">
        <v>46190</v>
      </c>
      <c r="D2458" t="inlineStr">
        <is>
          <t>2026-06</t>
        </is>
      </c>
      <c r="E2458" t="inlineStr">
        <is>
          <t>C0139</t>
        </is>
      </c>
      <c r="F2458" t="inlineStr">
        <is>
          <t>C0106</t>
        </is>
      </c>
      <c r="G2458" t="inlineStr">
        <is>
          <t>Ella Wilson</t>
        </is>
      </c>
      <c r="H2458" t="inlineStr">
        <is>
          <t>S0273</t>
        </is>
      </c>
      <c r="I2458" t="inlineStr">
        <is>
          <t>Scaffold tower hire 3 wks (02/06/26-16/06/26) - 2 towers</t>
        </is>
      </c>
      <c r="J2458" t="n">
        <v>6</v>
      </c>
      <c r="K2458" s="9" t="n">
        <v>570</v>
      </c>
      <c r="L2458" t="inlineStr">
        <is>
          <t>PAID</t>
        </is>
      </c>
      <c r="M2458">
        <f>IF(L2458="VOIDED",0,1)</f>
        <v>1</v>
      </c>
      <c r="N2458" t="n">
        <v>200</v>
      </c>
      <c r="O2458" t="inlineStr">
        <is>
          <t>GST on Income</t>
        </is>
      </c>
      <c r="P2458" t="inlineStr">
        <is>
          <t>R05</t>
        </is>
      </c>
      <c r="Q2458" t="inlineStr">
        <is>
          <t>HIRE-ST</t>
        </is>
      </c>
      <c r="R2458">
        <f>IF(OR(Q2458="CONTEXT",Q2458="REVIEW"),"",INDEX('Category Rules'!$D$5:$D$17,MATCH(P2458,'Category Rules'!$A$5:$A$17,0)))</f>
        <v>4010</v>
      </c>
      <c r="S2458" t="str">
        <f>IF(Q2458="CONTEXT","Scaffolding",IF(Q2458="REVIEW","",INDEX('Category Rules'!$E$5:$E$17,MATCH(P2458,'Category Rules'!$A$5:$A$17,0))))</f>
        <v>Scaffolding</v>
      </c>
      <c r="T2458" t="str">
        <f>IF(Q2458="DEP","BAS Excluded","GST on Income")</f>
        <v>GST on Income</v>
      </c>
      <c r="U2458">
        <f>IF(O2458=T2458,1,0)</f>
        <v>1</v>
      </c>
      <c r="V2458" s="9">
        <f>IF(OR(M2458=0,U2458=1),0,IF(T2458="GST on Income",ROUND(K2458*0.1,2),ROUND(-K2458*0.1,2)))</f>
        <v>0</v>
      </c>
    </row>
    <row r="2459">
      <c r="A2459" t="inlineStr">
        <is>
          <t>INV-5360-1</t>
        </is>
      </c>
      <c r="B2459" t="inlineStr">
        <is>
          <t>INV-5360</t>
        </is>
      </c>
      <c r="C2459" s="11" t="n">
        <v>46190</v>
      </c>
      <c r="D2459" t="inlineStr">
        <is>
          <t>2026-06</t>
        </is>
      </c>
      <c r="E2459" t="inlineStr">
        <is>
          <t>C0140</t>
        </is>
      </c>
      <c r="F2459" t="inlineStr">
        <is>
          <t>C0106</t>
        </is>
      </c>
      <c r="G2459" t="inlineStr">
        <is>
          <t>Ella Wilson</t>
        </is>
      </c>
      <c r="H2459" t="inlineStr">
        <is>
          <t>S0273</t>
        </is>
      </c>
      <c r="I2459" t="inlineStr">
        <is>
          <t>Scaffold dismantle - 2 tower(s)</t>
        </is>
      </c>
      <c r="J2459" t="n">
        <v>2</v>
      </c>
      <c r="K2459" s="9" t="n">
        <v>640</v>
      </c>
      <c r="L2459" t="inlineStr">
        <is>
          <t>PAID</t>
        </is>
      </c>
      <c r="M2459">
        <f>IF(L2459="VOIDED",0,1)</f>
        <v>1</v>
      </c>
      <c r="N2459" t="n">
        <v>200</v>
      </c>
      <c r="O2459" t="inlineStr">
        <is>
          <t>GST on Income</t>
        </is>
      </c>
      <c r="P2459" t="inlineStr">
        <is>
          <t>R08</t>
        </is>
      </c>
      <c r="Q2459" t="inlineStr">
        <is>
          <t>LAB-ST</t>
        </is>
      </c>
      <c r="R2459">
        <f>IF(OR(Q2459="CONTEXT",Q2459="REVIEW"),"",INDEX('Category Rules'!$D$5:$D$17,MATCH(P2459,'Category Rules'!$A$5:$A$17,0)))</f>
        <v>4020</v>
      </c>
      <c r="S2459" t="str">
        <f>IF(Q2459="CONTEXT","Scaffolding",IF(Q2459="REVIEW","",INDEX('Category Rules'!$E$5:$E$17,MATCH(P2459,'Category Rules'!$A$5:$A$17,0))))</f>
        <v>Scaffolding</v>
      </c>
      <c r="T2459" t="str">
        <f>IF(Q2459="DEP","BAS Excluded","GST on Income")</f>
        <v>GST on Income</v>
      </c>
      <c r="U2459">
        <f>IF(O2459=T2459,1,0)</f>
        <v>1</v>
      </c>
      <c r="V2459" s="9">
        <f>IF(OR(M2459=0,U2459=1),0,IF(T2459="GST on Income",ROUND(K2459*0.1,2),ROUND(-K2459*0.1,2)))</f>
        <v>0</v>
      </c>
    </row>
    <row r="2460">
      <c r="A2460" t="inlineStr">
        <is>
          <t>INV-5579-1</t>
        </is>
      </c>
      <c r="B2460" t="inlineStr">
        <is>
          <t>INV-5579</t>
        </is>
      </c>
      <c r="C2460" s="11" t="n">
        <v>46190</v>
      </c>
      <c r="D2460" t="inlineStr">
        <is>
          <t>2026-06</t>
        </is>
      </c>
      <c r="E2460" t="inlineStr">
        <is>
          <t>C0035</t>
        </is>
      </c>
      <c r="F2460" t="inlineStr">
        <is>
          <t>C0035</t>
        </is>
      </c>
      <c r="G2460" t="inlineStr">
        <is>
          <t>Bayside Homes Pty Ltd</t>
        </is>
      </c>
      <c r="H2460" t="inlineStr">
        <is>
          <t>S0369</t>
        </is>
      </c>
      <c r="I2460" t="inlineStr">
        <is>
          <t>Make safe call-out</t>
        </is>
      </c>
      <c r="J2460" t="n">
        <v>1</v>
      </c>
      <c r="K2460" s="9" t="n">
        <v>385</v>
      </c>
      <c r="L2460" t="inlineStr">
        <is>
          <t>PAID</t>
        </is>
      </c>
      <c r="M2460">
        <f>IF(L2460="VOIDED",0,1)</f>
        <v>1</v>
      </c>
      <c r="N2460" t="n">
        <v>200</v>
      </c>
      <c r="O2460" t="inlineStr">
        <is>
          <t>GST on Income</t>
        </is>
      </c>
      <c r="P2460" t="inlineStr">
        <is>
          <t>R09</t>
        </is>
      </c>
      <c r="Q2460" t="inlineStr">
        <is>
          <t>MS</t>
        </is>
      </c>
      <c r="R2460">
        <f>IF(OR(Q2460="CONTEXT",Q2460="REVIEW"),"",INDEX('Category Rules'!$D$5:$D$17,MATCH(P2460,'Category Rules'!$A$5:$A$17,0)))</f>
        <v>4020</v>
      </c>
      <c r="S2460" t="str">
        <f>IF(Q2460="CONTEXT","Make-safe",IF(Q2460="REVIEW","",INDEX('Category Rules'!$E$5:$E$17,MATCH(P2460,'Category Rules'!$A$5:$A$17,0))))</f>
        <v>Make-safe</v>
      </c>
      <c r="T2460" t="str">
        <f>IF(Q2460="DEP","BAS Excluded","GST on Income")</f>
        <v>GST on Income</v>
      </c>
      <c r="U2460">
        <f>IF(O2460=T2460,1,0)</f>
        <v>1</v>
      </c>
      <c r="V2460" s="9">
        <f>IF(OR(M2460=0,U2460=1),0,IF(T2460="GST on Income",ROUND(K2460*0.1,2),ROUND(-K2460*0.1,2)))</f>
        <v>0</v>
      </c>
    </row>
    <row r="2461">
      <c r="A2461" t="inlineStr">
        <is>
          <t>INV-5579-2</t>
        </is>
      </c>
      <c r="B2461" t="inlineStr">
        <is>
          <t>INV-5579</t>
        </is>
      </c>
      <c r="C2461" s="11" t="n">
        <v>46190</v>
      </c>
      <c r="D2461" t="inlineStr">
        <is>
          <t>2026-06</t>
        </is>
      </c>
      <c r="E2461" t="inlineStr">
        <is>
          <t>C0035</t>
        </is>
      </c>
      <c r="F2461" t="inlineStr">
        <is>
          <t>C0035</t>
        </is>
      </c>
      <c r="G2461" t="inlineStr">
        <is>
          <t>Bayside Homes Pty Ltd</t>
        </is>
      </c>
      <c r="H2461" t="inlineStr">
        <is>
          <t>S0369</t>
        </is>
      </c>
      <c r="I2461" t="inlineStr">
        <is>
          <t>Tarp supply and install - 2 tarp(s)</t>
        </is>
      </c>
      <c r="J2461" t="n">
        <v>2</v>
      </c>
      <c r="K2461" s="9" t="n">
        <v>480</v>
      </c>
      <c r="L2461" t="inlineStr">
        <is>
          <t>PAID</t>
        </is>
      </c>
      <c r="M2461">
        <f>IF(L2461="VOIDED",0,1)</f>
        <v>1</v>
      </c>
      <c r="N2461" t="n">
        <v>200</v>
      </c>
      <c r="O2461" t="inlineStr">
        <is>
          <t>GST on Income</t>
        </is>
      </c>
      <c r="P2461" t="inlineStr">
        <is>
          <t>R09</t>
        </is>
      </c>
      <c r="Q2461" t="inlineStr">
        <is>
          <t>MS</t>
        </is>
      </c>
      <c r="R2461">
        <f>IF(OR(Q2461="CONTEXT",Q2461="REVIEW"),"",INDEX('Category Rules'!$D$5:$D$17,MATCH(P2461,'Category Rules'!$A$5:$A$17,0)))</f>
        <v>4020</v>
      </c>
      <c r="S2461" t="str">
        <f>IF(Q2461="CONTEXT","Make-safe",IF(Q2461="REVIEW","",INDEX('Category Rules'!$E$5:$E$17,MATCH(P2461,'Category Rules'!$A$5:$A$17,0))))</f>
        <v>Make-safe</v>
      </c>
      <c r="T2461" t="str">
        <f>IF(Q2461="DEP","BAS Excluded","GST on Income")</f>
        <v>GST on Income</v>
      </c>
      <c r="U2461">
        <f>IF(O2461=T2461,1,0)</f>
        <v>1</v>
      </c>
      <c r="V2461" s="9">
        <f>IF(OR(M2461=0,U2461=1),0,IF(T2461="GST on Income",ROUND(K2461*0.1,2),ROUND(-K2461*0.1,2)))</f>
        <v>0</v>
      </c>
    </row>
    <row r="2462">
      <c r="A2462" t="inlineStr">
        <is>
          <t>INV-4147-1</t>
        </is>
      </c>
      <c r="B2462" t="inlineStr">
        <is>
          <t>INV-4147</t>
        </is>
      </c>
      <c r="C2462" s="11" t="n">
        <v>46191</v>
      </c>
      <c r="D2462" t="inlineStr">
        <is>
          <t>2026-06</t>
        </is>
      </c>
      <c r="E2462" t="inlineStr">
        <is>
          <t>C0014</t>
        </is>
      </c>
      <c r="F2462" t="inlineStr">
        <is>
          <t>C0014</t>
        </is>
      </c>
      <c r="G2462" t="inlineStr">
        <is>
          <t>Riverbend Homes Pty Ltd</t>
        </is>
      </c>
      <c r="H2462" t="inlineStr">
        <is>
          <t>S0009</t>
        </is>
      </c>
      <c r="I2462" t="inlineStr">
        <is>
          <t>Temporary fence hire 4 wks (21/05/26-17/06/26) - 43 panels</t>
        </is>
      </c>
      <c r="J2462" t="n">
        <v>172</v>
      </c>
      <c r="K2462" s="9" t="n">
        <v>774</v>
      </c>
      <c r="L2462" t="inlineStr">
        <is>
          <t>AUTHORISED</t>
        </is>
      </c>
      <c r="M2462">
        <f>IF(L2462="VOIDED",0,1)</f>
        <v>1</v>
      </c>
      <c r="N2462" t="n">
        <v>200</v>
      </c>
      <c r="O2462" t="inlineStr">
        <is>
          <t>GST on Income</t>
        </is>
      </c>
      <c r="P2462" t="inlineStr">
        <is>
          <t>R03</t>
        </is>
      </c>
      <c r="Q2462" t="inlineStr">
        <is>
          <t>HIRE-FP</t>
        </is>
      </c>
      <c r="R2462">
        <f>IF(OR(Q2462="CONTEXT",Q2462="REVIEW"),"",INDEX('Category Rules'!$D$5:$D$17,MATCH(P2462,'Category Rules'!$A$5:$A$17,0)))</f>
        <v>4010</v>
      </c>
      <c r="S2462" t="str">
        <f>IF(Q2462="CONTEXT","Fencing",IF(Q2462="REVIEW","",INDEX('Category Rules'!$E$5:$E$17,MATCH(P2462,'Category Rules'!$A$5:$A$17,0))))</f>
        <v>Fencing</v>
      </c>
      <c r="T2462" t="str">
        <f>IF(Q2462="DEP","BAS Excluded","GST on Income")</f>
        <v>GST on Income</v>
      </c>
      <c r="U2462">
        <f>IF(O2462=T2462,1,0)</f>
        <v>1</v>
      </c>
      <c r="V2462" s="9">
        <f>IF(OR(M2462=0,U2462=1),0,IF(T2462="GST on Income",ROUND(K2462*0.1,2),ROUND(-K2462*0.1,2)))</f>
        <v>0</v>
      </c>
    </row>
    <row r="2463">
      <c r="A2463" t="inlineStr">
        <is>
          <t>INV-4148-1</t>
        </is>
      </c>
      <c r="B2463" t="inlineStr">
        <is>
          <t>INV-4148</t>
        </is>
      </c>
      <c r="C2463" s="11" t="n">
        <v>46191</v>
      </c>
      <c r="D2463" t="inlineStr">
        <is>
          <t>2026-06</t>
        </is>
      </c>
      <c r="E2463" t="inlineStr">
        <is>
          <t>C0014</t>
        </is>
      </c>
      <c r="F2463" t="inlineStr">
        <is>
          <t>C0014</t>
        </is>
      </c>
      <c r="G2463" t="inlineStr">
        <is>
          <t>Riverbend Homes Pty Ltd</t>
        </is>
      </c>
      <c r="H2463" t="inlineStr">
        <is>
          <t>S0009</t>
        </is>
      </c>
      <c r="I2463" t="inlineStr">
        <is>
          <t>Pedestrian barrier hire 4 wks (21/05/26-17/06/26) - 4 barriers</t>
        </is>
      </c>
      <c r="J2463" t="n">
        <v>16</v>
      </c>
      <c r="K2463" s="9" t="n">
        <v>51.2</v>
      </c>
      <c r="L2463" t="inlineStr">
        <is>
          <t>AUTHORISED</t>
        </is>
      </c>
      <c r="M2463">
        <f>IF(L2463="VOIDED",0,1)</f>
        <v>1</v>
      </c>
      <c r="N2463" t="n">
        <v>260</v>
      </c>
      <c r="O2463" t="inlineStr">
        <is>
          <t>GST on Income</t>
        </is>
      </c>
      <c r="P2463" t="inlineStr">
        <is>
          <t>R04</t>
        </is>
      </c>
      <c r="Q2463" t="inlineStr">
        <is>
          <t>HIRE-BR</t>
        </is>
      </c>
      <c r="R2463">
        <f>IF(OR(Q2463="CONTEXT",Q2463="REVIEW"),"",INDEX('Category Rules'!$D$5:$D$17,MATCH(P2463,'Category Rules'!$A$5:$A$17,0)))</f>
        <v>4010</v>
      </c>
      <c r="S2463" t="str">
        <f>IF(Q2463="CONTEXT","Fencing",IF(Q2463="REVIEW","",INDEX('Category Rules'!$E$5:$E$17,MATCH(P2463,'Category Rules'!$A$5:$A$17,0))))</f>
        <v>Fencing</v>
      </c>
      <c r="T2463" t="str">
        <f>IF(Q2463="DEP","BAS Excluded","GST on Income")</f>
        <v>GST on Income</v>
      </c>
      <c r="U2463">
        <f>IF(O2463=T2463,1,0)</f>
        <v>1</v>
      </c>
      <c r="V2463" s="9">
        <f>IF(OR(M2463=0,U2463=1),0,IF(T2463="GST on Income",ROUND(K2463*0.1,2),ROUND(-K2463*0.1,2)))</f>
        <v>0</v>
      </c>
    </row>
    <row r="2464">
      <c r="A2464" t="inlineStr">
        <is>
          <t>INV-4531-1</t>
        </is>
      </c>
      <c r="B2464" t="inlineStr">
        <is>
          <t>INV-4531</t>
        </is>
      </c>
      <c r="C2464" s="11" t="n">
        <v>46191</v>
      </c>
      <c r="D2464" t="inlineStr">
        <is>
          <t>2026-06</t>
        </is>
      </c>
      <c r="E2464" t="inlineStr">
        <is>
          <t>C0033</t>
        </is>
      </c>
      <c r="F2464" t="inlineStr">
        <is>
          <t>C0033</t>
        </is>
      </c>
      <c r="G2464" t="inlineStr">
        <is>
          <t>Granite Projects Pty Ltd</t>
        </is>
      </c>
      <c r="H2464" t="inlineStr">
        <is>
          <t>S0086</t>
        </is>
      </c>
      <c r="I2464" t="inlineStr">
        <is>
          <t>Temporary fence hire 1 wks (14/06/26-17/06/26) - 29 panels</t>
        </is>
      </c>
      <c r="J2464" t="n">
        <v>29</v>
      </c>
      <c r="K2464" s="9" t="n">
        <v>130.5</v>
      </c>
      <c r="L2464" t="inlineStr">
        <is>
          <t>PAID</t>
        </is>
      </c>
      <c r="M2464">
        <f>IF(L2464="VOIDED",0,1)</f>
        <v>1</v>
      </c>
      <c r="N2464" t="n">
        <v>200</v>
      </c>
      <c r="O2464" t="inlineStr">
        <is>
          <t>GST on Income</t>
        </is>
      </c>
      <c r="P2464" t="inlineStr">
        <is>
          <t>R03</t>
        </is>
      </c>
      <c r="Q2464" t="inlineStr">
        <is>
          <t>HIRE-FP</t>
        </is>
      </c>
      <c r="R2464">
        <f>IF(OR(Q2464="CONTEXT",Q2464="REVIEW"),"",INDEX('Category Rules'!$D$5:$D$17,MATCH(P2464,'Category Rules'!$A$5:$A$17,0)))</f>
        <v>4010</v>
      </c>
      <c r="S2464" t="str">
        <f>IF(Q2464="CONTEXT","Fencing",IF(Q2464="REVIEW","",INDEX('Category Rules'!$E$5:$E$17,MATCH(P2464,'Category Rules'!$A$5:$A$17,0))))</f>
        <v>Fencing</v>
      </c>
      <c r="T2464" t="str">
        <f>IF(Q2464="DEP","BAS Excluded","GST on Income")</f>
        <v>GST on Income</v>
      </c>
      <c r="U2464">
        <f>IF(O2464=T2464,1,0)</f>
        <v>1</v>
      </c>
      <c r="V2464" s="9">
        <f>IF(OR(M2464=0,U2464=1),0,IF(T2464="GST on Income",ROUND(K2464*0.1,2),ROUND(-K2464*0.1,2)))</f>
        <v>0</v>
      </c>
    </row>
    <row r="2465">
      <c r="A2465" t="inlineStr">
        <is>
          <t>INV-4533-1</t>
        </is>
      </c>
      <c r="B2465" t="inlineStr">
        <is>
          <t>INV-4533</t>
        </is>
      </c>
      <c r="C2465" s="11" t="n">
        <v>46191</v>
      </c>
      <c r="D2465" t="inlineStr">
        <is>
          <t>2026-06</t>
        </is>
      </c>
      <c r="E2465" t="inlineStr">
        <is>
          <t>C0033</t>
        </is>
      </c>
      <c r="F2465" t="inlineStr">
        <is>
          <t>C0033</t>
        </is>
      </c>
      <c r="G2465" t="inlineStr">
        <is>
          <t>Granite Projects Pty Ltd</t>
        </is>
      </c>
      <c r="H2465" t="inlineStr">
        <is>
          <t>S0086</t>
        </is>
      </c>
      <c r="I2465" t="inlineStr">
        <is>
          <t>Collection and dismantle - temporary fencing</t>
        </is>
      </c>
      <c r="J2465" t="n">
        <v>1</v>
      </c>
      <c r="K2465" s="9" t="n">
        <v>165</v>
      </c>
      <c r="L2465" t="inlineStr">
        <is>
          <t>PAID</t>
        </is>
      </c>
      <c r="M2465">
        <f>IF(L2465="VOIDED",0,1)</f>
        <v>1</v>
      </c>
      <c r="N2465" t="n">
        <v>200</v>
      </c>
      <c r="O2465" t="inlineStr">
        <is>
          <t>GST on Income</t>
        </is>
      </c>
      <c r="P2465" t="inlineStr">
        <is>
          <t>R07</t>
        </is>
      </c>
      <c r="Q2465" t="inlineStr">
        <is>
          <t>DEL-FP</t>
        </is>
      </c>
      <c r="R2465">
        <f>IF(OR(Q2465="CONTEXT",Q2465="REVIEW"),"",INDEX('Category Rules'!$D$5:$D$17,MATCH(P2465,'Category Rules'!$A$5:$A$17,0)))</f>
        <v>4020</v>
      </c>
      <c r="S2465" t="str">
        <f>IF(Q2465="CONTEXT","Fencing",IF(Q2465="REVIEW","",INDEX('Category Rules'!$E$5:$E$17,MATCH(P2465,'Category Rules'!$A$5:$A$17,0))))</f>
        <v>Fencing</v>
      </c>
      <c r="T2465" t="str">
        <f>IF(Q2465="DEP","BAS Excluded","GST on Income")</f>
        <v>GST on Income</v>
      </c>
      <c r="U2465">
        <f>IF(O2465=T2465,1,0)</f>
        <v>1</v>
      </c>
      <c r="V2465" s="9">
        <f>IF(OR(M2465=0,U2465=1),0,IF(T2465="GST on Income",ROUND(K2465*0.1,2),ROUND(-K2465*0.1,2)))</f>
        <v>0</v>
      </c>
    </row>
    <row r="2466">
      <c r="A2466" t="inlineStr">
        <is>
          <t>INV-4870-1</t>
        </is>
      </c>
      <c r="B2466" t="inlineStr">
        <is>
          <t>INV-4870</t>
        </is>
      </c>
      <c r="C2466" s="11" t="n">
        <v>46191</v>
      </c>
      <c r="D2466" t="inlineStr">
        <is>
          <t>2026-06</t>
        </is>
      </c>
      <c r="E2466" t="inlineStr">
        <is>
          <t>C0022</t>
        </is>
      </c>
      <c r="F2466" t="inlineStr">
        <is>
          <t>C0022</t>
        </is>
      </c>
      <c r="G2466" t="inlineStr">
        <is>
          <t>Highpoint Projects</t>
        </is>
      </c>
      <c r="H2466" t="inlineStr">
        <is>
          <t>S0162</t>
        </is>
      </c>
      <c r="I2466" t="inlineStr">
        <is>
          <t>Temporary fence hire 4 wks (21/05/26-17/06/26) - 39 panels</t>
        </is>
      </c>
      <c r="J2466" t="n">
        <v>156</v>
      </c>
      <c r="K2466" s="9" t="n">
        <v>702</v>
      </c>
      <c r="L2466" t="inlineStr">
        <is>
          <t>PAID</t>
        </is>
      </c>
      <c r="M2466">
        <f>IF(L2466="VOIDED",0,1)</f>
        <v>1</v>
      </c>
      <c r="N2466" t="n">
        <v>200</v>
      </c>
      <c r="O2466" t="inlineStr">
        <is>
          <t>GST on Income</t>
        </is>
      </c>
      <c r="P2466" t="inlineStr">
        <is>
          <t>R03</t>
        </is>
      </c>
      <c r="Q2466" t="inlineStr">
        <is>
          <t>HIRE-FP</t>
        </is>
      </c>
      <c r="R2466">
        <f>IF(OR(Q2466="CONTEXT",Q2466="REVIEW"),"",INDEX('Category Rules'!$D$5:$D$17,MATCH(P2466,'Category Rules'!$A$5:$A$17,0)))</f>
        <v>4010</v>
      </c>
      <c r="S2466" t="str">
        <f>IF(Q2466="CONTEXT","Fencing",IF(Q2466="REVIEW","",INDEX('Category Rules'!$E$5:$E$17,MATCH(P2466,'Category Rules'!$A$5:$A$17,0))))</f>
        <v>Fencing</v>
      </c>
      <c r="T2466" t="str">
        <f>IF(Q2466="DEP","BAS Excluded","GST on Income")</f>
        <v>GST on Income</v>
      </c>
      <c r="U2466">
        <f>IF(O2466=T2466,1,0)</f>
        <v>1</v>
      </c>
      <c r="V2466" s="9">
        <f>IF(OR(M2466=0,U2466=1),0,IF(T2466="GST on Income",ROUND(K2466*0.1,2),ROUND(-K2466*0.1,2)))</f>
        <v>0</v>
      </c>
    </row>
    <row r="2467">
      <c r="A2467" t="inlineStr">
        <is>
          <t>INV-4912-1</t>
        </is>
      </c>
      <c r="B2467" t="inlineStr">
        <is>
          <t>INV-4912</t>
        </is>
      </c>
      <c r="C2467" s="11" t="n">
        <v>46191</v>
      </c>
      <c r="D2467" t="inlineStr">
        <is>
          <t>2026-06</t>
        </is>
      </c>
      <c r="E2467" t="inlineStr">
        <is>
          <t>C0102</t>
        </is>
      </c>
      <c r="F2467" t="inlineStr">
        <is>
          <t>C0102</t>
        </is>
      </c>
      <c r="G2467" t="inlineStr">
        <is>
          <t>Arjun Doyle</t>
        </is>
      </c>
      <c r="H2467" t="inlineStr">
        <is>
          <t>S0171</t>
        </is>
      </c>
      <c r="I2467" t="inlineStr">
        <is>
          <t>Temporary fence hire 4 wks (21/05/26-17/06/26) - 82 panels</t>
        </is>
      </c>
      <c r="J2467" t="n">
        <v>328</v>
      </c>
      <c r="K2467" s="9" t="n">
        <v>1476</v>
      </c>
      <c r="L2467" t="inlineStr">
        <is>
          <t>PAID</t>
        </is>
      </c>
      <c r="M2467">
        <f>IF(L2467="VOIDED",0,1)</f>
        <v>1</v>
      </c>
      <c r="N2467" t="n">
        <v>200</v>
      </c>
      <c r="O2467" t="inlineStr">
        <is>
          <t>GST on Income</t>
        </is>
      </c>
      <c r="P2467" t="inlineStr">
        <is>
          <t>R03</t>
        </is>
      </c>
      <c r="Q2467" t="inlineStr">
        <is>
          <t>HIRE-FP</t>
        </is>
      </c>
      <c r="R2467">
        <f>IF(OR(Q2467="CONTEXT",Q2467="REVIEW"),"",INDEX('Category Rules'!$D$5:$D$17,MATCH(P2467,'Category Rules'!$A$5:$A$17,0)))</f>
        <v>4010</v>
      </c>
      <c r="S2467" t="str">
        <f>IF(Q2467="CONTEXT","Fencing",IF(Q2467="REVIEW","",INDEX('Category Rules'!$E$5:$E$17,MATCH(P2467,'Category Rules'!$A$5:$A$17,0))))</f>
        <v>Fencing</v>
      </c>
      <c r="T2467" t="str">
        <f>IF(Q2467="DEP","BAS Excluded","GST on Income")</f>
        <v>GST on Income</v>
      </c>
      <c r="U2467">
        <f>IF(O2467=T2467,1,0)</f>
        <v>1</v>
      </c>
      <c r="V2467" s="9">
        <f>IF(OR(M2467=0,U2467=1),0,IF(T2467="GST on Income",ROUND(K2467*0.1,2),ROUND(-K2467*0.1,2)))</f>
        <v>0</v>
      </c>
    </row>
    <row r="2468">
      <c r="A2468" t="inlineStr">
        <is>
          <t>INV-4913-1</t>
        </is>
      </c>
      <c r="B2468" t="inlineStr">
        <is>
          <t>INV-4913</t>
        </is>
      </c>
      <c r="C2468" s="11" t="n">
        <v>46191</v>
      </c>
      <c r="D2468" t="inlineStr">
        <is>
          <t>2026-06</t>
        </is>
      </c>
      <c r="E2468" t="inlineStr">
        <is>
          <t>C0102</t>
        </is>
      </c>
      <c r="F2468" t="inlineStr">
        <is>
          <t>C0102</t>
        </is>
      </c>
      <c r="G2468" t="inlineStr">
        <is>
          <t>Arjun Doyle</t>
        </is>
      </c>
      <c r="H2468" t="inlineStr">
        <is>
          <t>S0171</t>
        </is>
      </c>
      <c r="I2468" t="inlineStr">
        <is>
          <t>Pedestrian barrier hire 4 wks (21/05/26-17/06/26) - 15 barriers</t>
        </is>
      </c>
      <c r="J2468" t="n">
        <v>60</v>
      </c>
      <c r="K2468" s="9" t="n">
        <v>192</v>
      </c>
      <c r="L2468" t="inlineStr">
        <is>
          <t>AUTHORISED</t>
        </is>
      </c>
      <c r="M2468">
        <f>IF(L2468="VOIDED",0,1)</f>
        <v>1</v>
      </c>
      <c r="N2468" t="n">
        <v>200</v>
      </c>
      <c r="O2468" t="inlineStr">
        <is>
          <t>GST on Income</t>
        </is>
      </c>
      <c r="P2468" t="inlineStr">
        <is>
          <t>R04</t>
        </is>
      </c>
      <c r="Q2468" t="inlineStr">
        <is>
          <t>HIRE-BR</t>
        </is>
      </c>
      <c r="R2468">
        <f>IF(OR(Q2468="CONTEXT",Q2468="REVIEW"),"",INDEX('Category Rules'!$D$5:$D$17,MATCH(P2468,'Category Rules'!$A$5:$A$17,0)))</f>
        <v>4010</v>
      </c>
      <c r="S2468" t="str">
        <f>IF(Q2468="CONTEXT","Fencing",IF(Q2468="REVIEW","",INDEX('Category Rules'!$E$5:$E$17,MATCH(P2468,'Category Rules'!$A$5:$A$17,0))))</f>
        <v>Fencing</v>
      </c>
      <c r="T2468" t="str">
        <f>IF(Q2468="DEP","BAS Excluded","GST on Income")</f>
        <v>GST on Income</v>
      </c>
      <c r="U2468">
        <f>IF(O2468=T2468,1,0)</f>
        <v>1</v>
      </c>
      <c r="V2468" s="9">
        <f>IF(OR(M2468=0,U2468=1),0,IF(T2468="GST on Income",ROUND(K2468*0.1,2),ROUND(-K2468*0.1,2)))</f>
        <v>0</v>
      </c>
    </row>
    <row r="2469">
      <c r="A2469" t="inlineStr">
        <is>
          <t>INV-5869-1</t>
        </is>
      </c>
      <c r="B2469" t="inlineStr">
        <is>
          <t>INV-5869</t>
        </is>
      </c>
      <c r="C2469" s="11" t="n">
        <v>46191</v>
      </c>
      <c r="D2469" t="inlineStr">
        <is>
          <t>2026-06</t>
        </is>
      </c>
      <c r="E2469" t="inlineStr">
        <is>
          <t>C0027</t>
        </is>
      </c>
      <c r="F2469" t="inlineStr">
        <is>
          <t>C0027</t>
        </is>
      </c>
      <c r="G2469" t="inlineStr">
        <is>
          <t>Metro Projects Pty Ltd</t>
        </is>
      </c>
      <c r="H2469" t="inlineStr">
        <is>
          <t>S0531</t>
        </is>
      </c>
      <c r="I2469" t="inlineStr">
        <is>
          <t>Make safe call-out</t>
        </is>
      </c>
      <c r="J2469" t="n">
        <v>1</v>
      </c>
      <c r="K2469" s="9" t="n">
        <v>385</v>
      </c>
      <c r="L2469" t="inlineStr">
        <is>
          <t>AUTHORISED</t>
        </is>
      </c>
      <c r="M2469">
        <f>IF(L2469="VOIDED",0,1)</f>
        <v>1</v>
      </c>
      <c r="N2469" t="n">
        <v>200</v>
      </c>
      <c r="O2469" t="inlineStr">
        <is>
          <t>GST Free Income</t>
        </is>
      </c>
      <c r="P2469" t="inlineStr">
        <is>
          <t>R09</t>
        </is>
      </c>
      <c r="Q2469" t="inlineStr">
        <is>
          <t>MS</t>
        </is>
      </c>
      <c r="R2469">
        <f>IF(OR(Q2469="CONTEXT",Q2469="REVIEW"),"",INDEX('Category Rules'!$D$5:$D$17,MATCH(P2469,'Category Rules'!$A$5:$A$17,0)))</f>
        <v>4020</v>
      </c>
      <c r="S2469" t="str">
        <f>IF(Q2469="CONTEXT","Make-safe",IF(Q2469="REVIEW","",INDEX('Category Rules'!$E$5:$E$17,MATCH(P2469,'Category Rules'!$A$5:$A$17,0))))</f>
        <v>Make-safe</v>
      </c>
      <c r="T2469" t="str">
        <f>IF(Q2469="DEP","BAS Excluded","GST on Income")</f>
        <v>GST on Income</v>
      </c>
      <c r="U2469">
        <f>IF(O2469=T2469,1,0)</f>
        <v>0</v>
      </c>
      <c r="V2469" s="9">
        <f>IF(OR(M2469=0,U2469=1),0,IF(T2469="GST on Income",ROUND(K2469*0.1,2),ROUND(-K2469*0.1,2)))</f>
        <v>38.5</v>
      </c>
    </row>
    <row r="2470">
      <c r="A2470" t="inlineStr">
        <is>
          <t>INV-5019-1</t>
        </is>
      </c>
      <c r="B2470" t="inlineStr">
        <is>
          <t>INV-5019</t>
        </is>
      </c>
      <c r="C2470" s="11" t="n">
        <v>46192</v>
      </c>
      <c r="D2470" t="inlineStr">
        <is>
          <t>2026-06</t>
        </is>
      </c>
      <c r="E2470" t="inlineStr">
        <is>
          <t>C0015</t>
        </is>
      </c>
      <c r="F2470" t="inlineStr">
        <is>
          <t>C0015</t>
        </is>
      </c>
      <c r="G2470" t="inlineStr">
        <is>
          <t>Bluegum Building Group</t>
        </is>
      </c>
      <c r="H2470" t="inlineStr">
        <is>
          <t>S0198</t>
        </is>
      </c>
      <c r="I2470" t="inlineStr">
        <is>
          <t>Delivery and installation - temporary fencing</t>
        </is>
      </c>
      <c r="J2470" t="n">
        <v>1</v>
      </c>
      <c r="K2470" s="9" t="n">
        <v>165</v>
      </c>
      <c r="L2470" t="inlineStr">
        <is>
          <t>AUTHORISED</t>
        </is>
      </c>
      <c r="M2470">
        <f>IF(L2470="VOIDED",0,1)</f>
        <v>1</v>
      </c>
      <c r="N2470" t="n">
        <v>260</v>
      </c>
      <c r="O2470" t="inlineStr">
        <is>
          <t>GST on Income</t>
        </is>
      </c>
      <c r="P2470" t="inlineStr">
        <is>
          <t>R07</t>
        </is>
      </c>
      <c r="Q2470" t="inlineStr">
        <is>
          <t>DEL-FP</t>
        </is>
      </c>
      <c r="R2470">
        <f>IF(OR(Q2470="CONTEXT",Q2470="REVIEW"),"",INDEX('Category Rules'!$D$5:$D$17,MATCH(P2470,'Category Rules'!$A$5:$A$17,0)))</f>
        <v>4020</v>
      </c>
      <c r="S2470" t="str">
        <f>IF(Q2470="CONTEXT","Fencing",IF(Q2470="REVIEW","",INDEX('Category Rules'!$E$5:$E$17,MATCH(P2470,'Category Rules'!$A$5:$A$17,0))))</f>
        <v>Fencing</v>
      </c>
      <c r="T2470" t="str">
        <f>IF(Q2470="DEP","BAS Excluded","GST on Income")</f>
        <v>GST on Income</v>
      </c>
      <c r="U2470">
        <f>IF(O2470=T2470,1,0)</f>
        <v>1</v>
      </c>
      <c r="V2470" s="9">
        <f>IF(OR(M2470=0,U2470=1),0,IF(T2470="GST on Income",ROUND(K2470*0.1,2),ROUND(-K2470*0.1,2)))</f>
        <v>0</v>
      </c>
    </row>
    <row r="2471">
      <c r="A2471" t="inlineStr">
        <is>
          <t>INV-5019-2</t>
        </is>
      </c>
      <c r="B2471" t="inlineStr">
        <is>
          <t>INV-5019</t>
        </is>
      </c>
      <c r="C2471" s="11" t="n">
        <v>46192</v>
      </c>
      <c r="D2471" t="inlineStr">
        <is>
          <t>2026-06</t>
        </is>
      </c>
      <c r="E2471" t="inlineStr">
        <is>
          <t>C0015</t>
        </is>
      </c>
      <c r="F2471" t="inlineStr">
        <is>
          <t>C0015</t>
        </is>
      </c>
      <c r="G2471" t="inlineStr">
        <is>
          <t>Bluegum Building Group</t>
        </is>
      </c>
      <c r="H2471" t="inlineStr">
        <is>
          <t>S0198</t>
        </is>
      </c>
      <c r="I2471" t="inlineStr">
        <is>
          <t>Installation labour - 84 panels @ 2.20</t>
        </is>
      </c>
      <c r="J2471" t="n">
        <v>84</v>
      </c>
      <c r="K2471" s="9" t="n">
        <v>184.8</v>
      </c>
      <c r="L2471" t="inlineStr">
        <is>
          <t>AUTHORISED</t>
        </is>
      </c>
      <c r="M2471">
        <f>IF(L2471="VOIDED",0,1)</f>
        <v>1</v>
      </c>
      <c r="N2471" t="n">
        <v>200</v>
      </c>
      <c r="O2471" t="inlineStr">
        <is>
          <t>GST on Income</t>
        </is>
      </c>
      <c r="P2471" t="inlineStr">
        <is>
          <t>R07</t>
        </is>
      </c>
      <c r="Q2471" t="inlineStr">
        <is>
          <t>DEL-FP</t>
        </is>
      </c>
      <c r="R2471">
        <f>IF(OR(Q2471="CONTEXT",Q2471="REVIEW"),"",INDEX('Category Rules'!$D$5:$D$17,MATCH(P2471,'Category Rules'!$A$5:$A$17,0)))</f>
        <v>4020</v>
      </c>
      <c r="S2471" t="str">
        <f>IF(Q2471="CONTEXT","Fencing",IF(Q2471="REVIEW","",INDEX('Category Rules'!$E$5:$E$17,MATCH(P2471,'Category Rules'!$A$5:$A$17,0))))</f>
        <v>Fencing</v>
      </c>
      <c r="T2471" t="str">
        <f>IF(Q2471="DEP","BAS Excluded","GST on Income")</f>
        <v>GST on Income</v>
      </c>
      <c r="U2471">
        <f>IF(O2471=T2471,1,0)</f>
        <v>1</v>
      </c>
      <c r="V2471" s="9">
        <f>IF(OR(M2471=0,U2471=1),0,IF(T2471="GST on Income",ROUND(K2471*0.1,2),ROUND(-K2471*0.1,2)))</f>
        <v>0</v>
      </c>
    </row>
    <row r="2472">
      <c r="A2472" t="inlineStr">
        <is>
          <t>INV-5019-3</t>
        </is>
      </c>
      <c r="B2472" t="inlineStr">
        <is>
          <t>INV-5019</t>
        </is>
      </c>
      <c r="C2472" s="11" t="n">
        <v>46192</v>
      </c>
      <c r="D2472" t="inlineStr">
        <is>
          <t>2026-06</t>
        </is>
      </c>
      <c r="E2472" t="inlineStr">
        <is>
          <t>C0015</t>
        </is>
      </c>
      <c r="F2472" t="inlineStr">
        <is>
          <t>C0015</t>
        </is>
      </c>
      <c r="G2472" t="inlineStr">
        <is>
          <t>Bluegum Building Group</t>
        </is>
      </c>
      <c r="H2472" t="inlineStr">
        <is>
          <t>S0198</t>
        </is>
      </c>
      <c r="I2472" t="inlineStr">
        <is>
          <t>Security deposit - fence panels (refundable)</t>
        </is>
      </c>
      <c r="J2472" t="n">
        <v>1</v>
      </c>
      <c r="K2472" s="9" t="n">
        <v>670</v>
      </c>
      <c r="L2472" t="inlineStr">
        <is>
          <t>AUTHORISED</t>
        </is>
      </c>
      <c r="M2472">
        <f>IF(L2472="VOIDED",0,1)</f>
        <v>1</v>
      </c>
      <c r="N2472" t="n">
        <v>200</v>
      </c>
      <c r="O2472" t="inlineStr">
        <is>
          <t>BAS Excluded</t>
        </is>
      </c>
      <c r="P2472" t="inlineStr">
        <is>
          <t>R01</t>
        </is>
      </c>
      <c r="Q2472" t="inlineStr">
        <is>
          <t>DEP</t>
        </is>
      </c>
      <c r="R2472">
        <f>IF(OR(Q2472="CONTEXT",Q2472="REVIEW"),"",INDEX('Category Rules'!$D$5:$D$17,MATCH(P2472,'Category Rules'!$A$5:$A$17,0)))</f>
        <v>835</v>
      </c>
      <c r="S2472" t="str">
        <f>IF(Q2472="CONTEXT","Fencing",IF(Q2472="REVIEW","",INDEX('Category Rules'!$E$5:$E$17,MATCH(P2472,'Category Rules'!$A$5:$A$17,0))))</f>
        <v>Fencing</v>
      </c>
      <c r="T2472" t="str">
        <f>IF(Q2472="DEP","BAS Excluded","GST on Income")</f>
        <v>BAS Excluded</v>
      </c>
      <c r="U2472">
        <f>IF(O2472=T2472,1,0)</f>
        <v>1</v>
      </c>
      <c r="V2472" s="9">
        <f>IF(OR(M2472=0,U2472=1),0,IF(T2472="GST on Income",ROUND(K2472*0.1,2),ROUND(-K2472*0.1,2)))</f>
        <v>0</v>
      </c>
    </row>
    <row r="2473">
      <c r="A2473" t="inlineStr">
        <is>
          <t>INV-5615-1</t>
        </is>
      </c>
      <c r="B2473" t="inlineStr">
        <is>
          <t>INV-5615</t>
        </is>
      </c>
      <c r="C2473" s="11" t="n">
        <v>46192</v>
      </c>
      <c r="D2473" t="inlineStr">
        <is>
          <t>2026-06</t>
        </is>
      </c>
      <c r="E2473" t="inlineStr">
        <is>
          <t>C0059</t>
        </is>
      </c>
      <c r="F2473" t="inlineStr">
        <is>
          <t>C0059</t>
        </is>
      </c>
      <c r="G2473" t="inlineStr">
        <is>
          <t>Silverleaf Insurance Repairs Pty Ltd</t>
        </is>
      </c>
      <c r="H2473" t="inlineStr">
        <is>
          <t>S0387</t>
        </is>
      </c>
      <c r="I2473" t="inlineStr">
        <is>
          <t>Make safe call-out</t>
        </is>
      </c>
      <c r="J2473" t="n">
        <v>1</v>
      </c>
      <c r="K2473" s="9" t="n">
        <v>385</v>
      </c>
      <c r="L2473" t="inlineStr">
        <is>
          <t>PAID</t>
        </is>
      </c>
      <c r="M2473">
        <f>IF(L2473="VOIDED",0,1)</f>
        <v>1</v>
      </c>
      <c r="N2473" t="n">
        <v>200</v>
      </c>
      <c r="O2473" t="inlineStr">
        <is>
          <t>GST on Income</t>
        </is>
      </c>
      <c r="P2473" t="inlineStr">
        <is>
          <t>R09</t>
        </is>
      </c>
      <c r="Q2473" t="inlineStr">
        <is>
          <t>MS</t>
        </is>
      </c>
      <c r="R2473">
        <f>IF(OR(Q2473="CONTEXT",Q2473="REVIEW"),"",INDEX('Category Rules'!$D$5:$D$17,MATCH(P2473,'Category Rules'!$A$5:$A$17,0)))</f>
        <v>4020</v>
      </c>
      <c r="S2473" t="str">
        <f>IF(Q2473="CONTEXT","Make-safe",IF(Q2473="REVIEW","",INDEX('Category Rules'!$E$5:$E$17,MATCH(P2473,'Category Rules'!$A$5:$A$17,0))))</f>
        <v>Make-safe</v>
      </c>
      <c r="T2473" t="str">
        <f>IF(Q2473="DEP","BAS Excluded","GST on Income")</f>
        <v>GST on Income</v>
      </c>
      <c r="U2473">
        <f>IF(O2473=T2473,1,0)</f>
        <v>1</v>
      </c>
      <c r="V2473" s="9">
        <f>IF(OR(M2473=0,U2473=1),0,IF(T2473="GST on Income",ROUND(K2473*0.1,2),ROUND(-K2473*0.1,2)))</f>
        <v>0</v>
      </c>
    </row>
    <row r="2474">
      <c r="A2474" t="inlineStr">
        <is>
          <t>INV-5615-2</t>
        </is>
      </c>
      <c r="B2474" t="inlineStr">
        <is>
          <t>INV-5615</t>
        </is>
      </c>
      <c r="C2474" s="11" t="n">
        <v>46192</v>
      </c>
      <c r="D2474" t="inlineStr">
        <is>
          <t>2026-06</t>
        </is>
      </c>
      <c r="E2474" t="inlineStr">
        <is>
          <t>C0059</t>
        </is>
      </c>
      <c r="F2474" t="inlineStr">
        <is>
          <t>C0059</t>
        </is>
      </c>
      <c r="G2474" t="inlineStr">
        <is>
          <t>Silverleaf Insurance Repairs Pty Ltd</t>
        </is>
      </c>
      <c r="H2474" t="inlineStr">
        <is>
          <t>S0387</t>
        </is>
      </c>
      <c r="I2474" t="inlineStr">
        <is>
          <t>Tarp supply and install - 2 tarp(s)</t>
        </is>
      </c>
      <c r="J2474" t="n">
        <v>2</v>
      </c>
      <c r="K2474" s="9" t="n">
        <v>480</v>
      </c>
      <c r="L2474" t="inlineStr">
        <is>
          <t>PAID</t>
        </is>
      </c>
      <c r="M2474">
        <f>IF(L2474="VOIDED",0,1)</f>
        <v>1</v>
      </c>
      <c r="N2474" t="n">
        <v>200</v>
      </c>
      <c r="O2474" t="inlineStr">
        <is>
          <t>GST on Income</t>
        </is>
      </c>
      <c r="P2474" t="inlineStr">
        <is>
          <t>R09</t>
        </is>
      </c>
      <c r="Q2474" t="inlineStr">
        <is>
          <t>MS</t>
        </is>
      </c>
      <c r="R2474">
        <f>IF(OR(Q2474="CONTEXT",Q2474="REVIEW"),"",INDEX('Category Rules'!$D$5:$D$17,MATCH(P2474,'Category Rules'!$A$5:$A$17,0)))</f>
        <v>4020</v>
      </c>
      <c r="S2474" t="str">
        <f>IF(Q2474="CONTEXT","Make-safe",IF(Q2474="REVIEW","",INDEX('Category Rules'!$E$5:$E$17,MATCH(P2474,'Category Rules'!$A$5:$A$17,0))))</f>
        <v>Make-safe</v>
      </c>
      <c r="T2474" t="str">
        <f>IF(Q2474="DEP","BAS Excluded","GST on Income")</f>
        <v>GST on Income</v>
      </c>
      <c r="U2474">
        <f>IF(O2474=T2474,1,0)</f>
        <v>1</v>
      </c>
      <c r="V2474" s="9">
        <f>IF(OR(M2474=0,U2474=1),0,IF(T2474="GST on Income",ROUND(K2474*0.1,2),ROUND(-K2474*0.1,2)))</f>
        <v>0</v>
      </c>
    </row>
    <row r="2475">
      <c r="A2475" t="inlineStr">
        <is>
          <t>INV-4382-1</t>
        </is>
      </c>
      <c r="B2475" t="inlineStr">
        <is>
          <t>INV-4382</t>
        </is>
      </c>
      <c r="C2475" s="11" t="n">
        <v>46193</v>
      </c>
      <c r="D2475" t="inlineStr">
        <is>
          <t>2026-06</t>
        </is>
      </c>
      <c r="E2475" t="inlineStr">
        <is>
          <t>C0022</t>
        </is>
      </c>
      <c r="F2475" t="inlineStr">
        <is>
          <t>C0022</t>
        </is>
      </c>
      <c r="G2475" t="inlineStr">
        <is>
          <t>Highpoint Projects</t>
        </is>
      </c>
      <c r="H2475" t="inlineStr">
        <is>
          <t>S0057</t>
        </is>
      </c>
      <c r="I2475" t="inlineStr">
        <is>
          <t>Temporary fence hire 4 wks (23/05/26-19/06/26) - 133 panels</t>
        </is>
      </c>
      <c r="J2475" t="n">
        <v>532</v>
      </c>
      <c r="K2475" s="9" t="n">
        <v>2394</v>
      </c>
      <c r="L2475" t="inlineStr">
        <is>
          <t>AUTHORISED</t>
        </is>
      </c>
      <c r="M2475">
        <f>IF(L2475="VOIDED",0,1)</f>
        <v>1</v>
      </c>
      <c r="N2475" t="n">
        <v>200</v>
      </c>
      <c r="O2475" t="inlineStr">
        <is>
          <t>GST on Income</t>
        </is>
      </c>
      <c r="P2475" t="inlineStr">
        <is>
          <t>R03</t>
        </is>
      </c>
      <c r="Q2475" t="inlineStr">
        <is>
          <t>HIRE-FP</t>
        </is>
      </c>
      <c r="R2475">
        <f>IF(OR(Q2475="CONTEXT",Q2475="REVIEW"),"",INDEX('Category Rules'!$D$5:$D$17,MATCH(P2475,'Category Rules'!$A$5:$A$17,0)))</f>
        <v>4010</v>
      </c>
      <c r="S2475" t="str">
        <f>IF(Q2475="CONTEXT","Fencing",IF(Q2475="REVIEW","",INDEX('Category Rules'!$E$5:$E$17,MATCH(P2475,'Category Rules'!$A$5:$A$17,0))))</f>
        <v>Fencing</v>
      </c>
      <c r="T2475" t="str">
        <f>IF(Q2475="DEP","BAS Excluded","GST on Income")</f>
        <v>GST on Income</v>
      </c>
      <c r="U2475">
        <f>IF(O2475=T2475,1,0)</f>
        <v>1</v>
      </c>
      <c r="V2475" s="9">
        <f>IF(OR(M2475=0,U2475=1),0,IF(T2475="GST on Income",ROUND(K2475*0.1,2),ROUND(-K2475*0.1,2)))</f>
        <v>0</v>
      </c>
    </row>
    <row r="2476">
      <c r="A2476" t="inlineStr">
        <is>
          <t>INV-4579-1</t>
        </is>
      </c>
      <c r="B2476" t="inlineStr">
        <is>
          <t>INV-4579</t>
        </is>
      </c>
      <c r="C2476" s="11" t="n">
        <v>46193</v>
      </c>
      <c r="D2476" t="inlineStr">
        <is>
          <t>2026-06</t>
        </is>
      </c>
      <c r="E2476" t="inlineStr">
        <is>
          <t>C0041</t>
        </is>
      </c>
      <c r="F2476" t="inlineStr">
        <is>
          <t>C0041</t>
        </is>
      </c>
      <c r="G2476" t="inlineStr">
        <is>
          <t>Summit Builders Pty Ltd</t>
        </is>
      </c>
      <c r="H2476" t="inlineStr">
        <is>
          <t>S0096</t>
        </is>
      </c>
      <c r="I2476" t="inlineStr">
        <is>
          <t>Temporary fence hire 4 wks (23/05/26-19/06/26) - 88 panels</t>
        </is>
      </c>
      <c r="J2476" t="n">
        <v>352</v>
      </c>
      <c r="K2476" s="9" t="n">
        <v>1584</v>
      </c>
      <c r="L2476" t="inlineStr">
        <is>
          <t>PAID</t>
        </is>
      </c>
      <c r="M2476">
        <f>IF(L2476="VOIDED",0,1)</f>
        <v>1</v>
      </c>
      <c r="N2476" t="n">
        <v>200</v>
      </c>
      <c r="O2476" t="inlineStr">
        <is>
          <t>GST on Income</t>
        </is>
      </c>
      <c r="P2476" t="inlineStr">
        <is>
          <t>R03</t>
        </is>
      </c>
      <c r="Q2476" t="inlineStr">
        <is>
          <t>HIRE-FP</t>
        </is>
      </c>
      <c r="R2476">
        <f>IF(OR(Q2476="CONTEXT",Q2476="REVIEW"),"",INDEX('Category Rules'!$D$5:$D$17,MATCH(P2476,'Category Rules'!$A$5:$A$17,0)))</f>
        <v>4010</v>
      </c>
      <c r="S2476" t="str">
        <f>IF(Q2476="CONTEXT","Fencing",IF(Q2476="REVIEW","",INDEX('Category Rules'!$E$5:$E$17,MATCH(P2476,'Category Rules'!$A$5:$A$17,0))))</f>
        <v>Fencing</v>
      </c>
      <c r="T2476" t="str">
        <f>IF(Q2476="DEP","BAS Excluded","GST on Income")</f>
        <v>GST on Income</v>
      </c>
      <c r="U2476">
        <f>IF(O2476=T2476,1,0)</f>
        <v>1</v>
      </c>
      <c r="V2476" s="9">
        <f>IF(OR(M2476=0,U2476=1),0,IF(T2476="GST on Income",ROUND(K2476*0.1,2),ROUND(-K2476*0.1,2)))</f>
        <v>0</v>
      </c>
    </row>
    <row r="2477">
      <c r="A2477" t="inlineStr">
        <is>
          <t>INV-4810-1</t>
        </is>
      </c>
      <c r="B2477" t="inlineStr">
        <is>
          <t>INV-4810</t>
        </is>
      </c>
      <c r="C2477" s="11" t="n">
        <v>46193</v>
      </c>
      <c r="D2477" t="inlineStr">
        <is>
          <t>2026-06</t>
        </is>
      </c>
      <c r="E2477" t="inlineStr">
        <is>
          <t>C0071</t>
        </is>
      </c>
      <c r="F2477" t="inlineStr">
        <is>
          <t>C0071</t>
        </is>
      </c>
      <c r="G2477" t="inlineStr">
        <is>
          <t>Maribyrnong City Council</t>
        </is>
      </c>
      <c r="H2477" t="inlineStr">
        <is>
          <t>S0152</t>
        </is>
      </c>
      <c r="I2477" t="inlineStr">
        <is>
          <t>Temporary fence hire 4 wks (29/05/26-19/06/26) - 127 panels</t>
        </is>
      </c>
      <c r="J2477" t="n">
        <v>508</v>
      </c>
      <c r="K2477" s="9" t="n">
        <v>2286</v>
      </c>
      <c r="L2477" t="inlineStr">
        <is>
          <t>AUTHORISED</t>
        </is>
      </c>
      <c r="M2477">
        <f>IF(L2477="VOIDED",0,1)</f>
        <v>1</v>
      </c>
      <c r="N2477" t="n">
        <v>200</v>
      </c>
      <c r="O2477" t="inlineStr">
        <is>
          <t>GST on Income</t>
        </is>
      </c>
      <c r="P2477" t="inlineStr">
        <is>
          <t>R03</t>
        </is>
      </c>
      <c r="Q2477" t="inlineStr">
        <is>
          <t>HIRE-FP</t>
        </is>
      </c>
      <c r="R2477">
        <f>IF(OR(Q2477="CONTEXT",Q2477="REVIEW"),"",INDEX('Category Rules'!$D$5:$D$17,MATCH(P2477,'Category Rules'!$A$5:$A$17,0)))</f>
        <v>4010</v>
      </c>
      <c r="S2477" t="str">
        <f>IF(Q2477="CONTEXT","Fencing",IF(Q2477="REVIEW","",INDEX('Category Rules'!$E$5:$E$17,MATCH(P2477,'Category Rules'!$A$5:$A$17,0))))</f>
        <v>Fencing</v>
      </c>
      <c r="T2477" t="str">
        <f>IF(Q2477="DEP","BAS Excluded","GST on Income")</f>
        <v>GST on Income</v>
      </c>
      <c r="U2477">
        <f>IF(O2477=T2477,1,0)</f>
        <v>1</v>
      </c>
      <c r="V2477" s="9">
        <f>IF(OR(M2477=0,U2477=1),0,IF(T2477="GST on Income",ROUND(K2477*0.1,2),ROUND(-K2477*0.1,2)))</f>
        <v>0</v>
      </c>
    </row>
    <row r="2478">
      <c r="A2478" t="inlineStr">
        <is>
          <t>INV-4811-1</t>
        </is>
      </c>
      <c r="B2478" t="inlineStr">
        <is>
          <t>INV-4811</t>
        </is>
      </c>
      <c r="C2478" s="11" t="n">
        <v>46193</v>
      </c>
      <c r="D2478" t="inlineStr">
        <is>
          <t>2026-06</t>
        </is>
      </c>
      <c r="E2478" t="inlineStr">
        <is>
          <t>C0071</t>
        </is>
      </c>
      <c r="F2478" t="inlineStr">
        <is>
          <t>C0071</t>
        </is>
      </c>
      <c r="G2478" t="inlineStr">
        <is>
          <t>Maribyrnong City Council</t>
        </is>
      </c>
      <c r="H2478" t="inlineStr">
        <is>
          <t>S0152</t>
        </is>
      </c>
      <c r="I2478" t="inlineStr">
        <is>
          <t>Pedestrian barrier hire 4 wks (29/05/26-19/06/26) - 21 barriers</t>
        </is>
      </c>
      <c r="J2478" t="n">
        <v>84</v>
      </c>
      <c r="K2478" s="9" t="n">
        <v>268.8</v>
      </c>
      <c r="L2478" t="inlineStr">
        <is>
          <t>PAID</t>
        </is>
      </c>
      <c r="M2478">
        <f>IF(L2478="VOIDED",0,1)</f>
        <v>1</v>
      </c>
      <c r="N2478" t="n">
        <v>200</v>
      </c>
      <c r="O2478" t="inlineStr">
        <is>
          <t>GST on Income</t>
        </is>
      </c>
      <c r="P2478" t="inlineStr">
        <is>
          <t>R04</t>
        </is>
      </c>
      <c r="Q2478" t="inlineStr">
        <is>
          <t>HIRE-BR</t>
        </is>
      </c>
      <c r="R2478">
        <f>IF(OR(Q2478="CONTEXT",Q2478="REVIEW"),"",INDEX('Category Rules'!$D$5:$D$17,MATCH(P2478,'Category Rules'!$A$5:$A$17,0)))</f>
        <v>4010</v>
      </c>
      <c r="S2478" t="str">
        <f>IF(Q2478="CONTEXT","Fencing",IF(Q2478="REVIEW","",INDEX('Category Rules'!$E$5:$E$17,MATCH(P2478,'Category Rules'!$A$5:$A$17,0))))</f>
        <v>Fencing</v>
      </c>
      <c r="T2478" t="str">
        <f>IF(Q2478="DEP","BAS Excluded","GST on Income")</f>
        <v>GST on Income</v>
      </c>
      <c r="U2478">
        <f>IF(O2478=T2478,1,0)</f>
        <v>1</v>
      </c>
      <c r="V2478" s="9">
        <f>IF(OR(M2478=0,U2478=1),0,IF(T2478="GST on Income",ROUND(K2478*0.1,2),ROUND(-K2478*0.1,2)))</f>
        <v>0</v>
      </c>
    </row>
    <row r="2479">
      <c r="A2479" t="inlineStr">
        <is>
          <t>INV-4813-1</t>
        </is>
      </c>
      <c r="B2479" t="inlineStr">
        <is>
          <t>INV-4813</t>
        </is>
      </c>
      <c r="C2479" s="11" t="n">
        <v>46193</v>
      </c>
      <c r="D2479" t="inlineStr">
        <is>
          <t>2026-06</t>
        </is>
      </c>
      <c r="E2479" t="inlineStr">
        <is>
          <t>C0071</t>
        </is>
      </c>
      <c r="F2479" t="inlineStr">
        <is>
          <t>C0071</t>
        </is>
      </c>
      <c r="G2479" t="inlineStr">
        <is>
          <t>Maribyrnong City Council</t>
        </is>
      </c>
      <c r="H2479" t="inlineStr">
        <is>
          <t>S0152</t>
        </is>
      </c>
      <c r="I2479" t="inlineStr">
        <is>
          <t>Collection and dismantle - temporary fencing</t>
        </is>
      </c>
      <c r="J2479" t="n">
        <v>1</v>
      </c>
      <c r="K2479" s="9" t="n">
        <v>165</v>
      </c>
      <c r="L2479" t="inlineStr">
        <is>
          <t>PAID</t>
        </is>
      </c>
      <c r="M2479">
        <f>IF(L2479="VOIDED",0,1)</f>
        <v>1</v>
      </c>
      <c r="N2479" t="n">
        <v>200</v>
      </c>
      <c r="O2479" t="inlineStr">
        <is>
          <t>GST on Income</t>
        </is>
      </c>
      <c r="P2479" t="inlineStr">
        <is>
          <t>R07</t>
        </is>
      </c>
      <c r="Q2479" t="inlineStr">
        <is>
          <t>DEL-FP</t>
        </is>
      </c>
      <c r="R2479">
        <f>IF(OR(Q2479="CONTEXT",Q2479="REVIEW"),"",INDEX('Category Rules'!$D$5:$D$17,MATCH(P2479,'Category Rules'!$A$5:$A$17,0)))</f>
        <v>4020</v>
      </c>
      <c r="S2479" t="str">
        <f>IF(Q2479="CONTEXT","Fencing",IF(Q2479="REVIEW","",INDEX('Category Rules'!$E$5:$E$17,MATCH(P2479,'Category Rules'!$A$5:$A$17,0))))</f>
        <v>Fencing</v>
      </c>
      <c r="T2479" t="str">
        <f>IF(Q2479="DEP","BAS Excluded","GST on Income")</f>
        <v>GST on Income</v>
      </c>
      <c r="U2479">
        <f>IF(O2479=T2479,1,0)</f>
        <v>1</v>
      </c>
      <c r="V2479" s="9">
        <f>IF(OR(M2479=0,U2479=1),0,IF(T2479="GST on Income",ROUND(K2479*0.1,2),ROUND(-K2479*0.1,2)))</f>
        <v>0</v>
      </c>
    </row>
    <row r="2480">
      <c r="A2480" t="inlineStr">
        <is>
          <t>INV-4887-1</t>
        </is>
      </c>
      <c r="B2480" t="inlineStr">
        <is>
          <t>INV-4887</t>
        </is>
      </c>
      <c r="C2480" s="11" t="n">
        <v>46193</v>
      </c>
      <c r="D2480" t="inlineStr">
        <is>
          <t>2026-06</t>
        </is>
      </c>
      <c r="E2480" t="inlineStr">
        <is>
          <t>C0119</t>
        </is>
      </c>
      <c r="F2480" t="inlineStr">
        <is>
          <t>C0119</t>
        </is>
      </c>
      <c r="G2480" t="inlineStr">
        <is>
          <t>Northgate Builders Pty Ltd</t>
        </is>
      </c>
      <c r="H2480" t="inlineStr">
        <is>
          <t>S0165</t>
        </is>
      </c>
      <c r="I2480" t="inlineStr">
        <is>
          <t>Temporary fence hire 4 wks (23/05/26-19/06/26) - 140 panels</t>
        </is>
      </c>
      <c r="J2480" t="n">
        <v>560</v>
      </c>
      <c r="K2480" s="9" t="n">
        <v>2520</v>
      </c>
      <c r="L2480" t="inlineStr">
        <is>
          <t>PAID</t>
        </is>
      </c>
      <c r="M2480">
        <f>IF(L2480="VOIDED",0,1)</f>
        <v>1</v>
      </c>
      <c r="N2480" t="n">
        <v>200</v>
      </c>
      <c r="O2480" t="inlineStr">
        <is>
          <t>GST on Income</t>
        </is>
      </c>
      <c r="P2480" t="inlineStr">
        <is>
          <t>R03</t>
        </is>
      </c>
      <c r="Q2480" t="inlineStr">
        <is>
          <t>HIRE-FP</t>
        </is>
      </c>
      <c r="R2480">
        <f>IF(OR(Q2480="CONTEXT",Q2480="REVIEW"),"",INDEX('Category Rules'!$D$5:$D$17,MATCH(P2480,'Category Rules'!$A$5:$A$17,0)))</f>
        <v>4010</v>
      </c>
      <c r="S2480" t="str">
        <f>IF(Q2480="CONTEXT","Fencing",IF(Q2480="REVIEW","",INDEX('Category Rules'!$E$5:$E$17,MATCH(P2480,'Category Rules'!$A$5:$A$17,0))))</f>
        <v>Fencing</v>
      </c>
      <c r="T2480" t="str">
        <f>IF(Q2480="DEP","BAS Excluded","GST on Income")</f>
        <v>GST on Income</v>
      </c>
      <c r="U2480">
        <f>IF(O2480=T2480,1,0)</f>
        <v>1</v>
      </c>
      <c r="V2480" s="9">
        <f>IF(OR(M2480=0,U2480=1),0,IF(T2480="GST on Income",ROUND(K2480*0.1,2),ROUND(-K2480*0.1,2)))</f>
        <v>0</v>
      </c>
    </row>
    <row r="2481">
      <c r="A2481" t="inlineStr">
        <is>
          <t>INV-4177-1</t>
        </is>
      </c>
      <c r="B2481" t="inlineStr">
        <is>
          <t>INV-4177</t>
        </is>
      </c>
      <c r="C2481" s="11" t="n">
        <v>46194</v>
      </c>
      <c r="D2481" t="inlineStr">
        <is>
          <t>2026-06</t>
        </is>
      </c>
      <c r="E2481" t="inlineStr">
        <is>
          <t>C0028</t>
        </is>
      </c>
      <c r="F2481" t="inlineStr">
        <is>
          <t>C0028</t>
        </is>
      </c>
      <c r="G2481" t="inlineStr">
        <is>
          <t>Banksia Homes</t>
        </is>
      </c>
      <c r="H2481" t="inlineStr">
        <is>
          <t>S0014</t>
        </is>
      </c>
      <c r="I2481" t="inlineStr">
        <is>
          <t>Temporary fence hire 4 wks (24/05/26-20/06/26) - 30 panels</t>
        </is>
      </c>
      <c r="J2481" t="n">
        <v>120</v>
      </c>
      <c r="K2481" s="9" t="n">
        <v>540</v>
      </c>
      <c r="L2481" t="inlineStr">
        <is>
          <t>AUTHORISED</t>
        </is>
      </c>
      <c r="M2481">
        <f>IF(L2481="VOIDED",0,1)</f>
        <v>1</v>
      </c>
      <c r="N2481" t="n">
        <v>200</v>
      </c>
      <c r="O2481" t="inlineStr">
        <is>
          <t>GST on Income</t>
        </is>
      </c>
      <c r="P2481" t="inlineStr">
        <is>
          <t>R03</t>
        </is>
      </c>
      <c r="Q2481" t="inlineStr">
        <is>
          <t>HIRE-FP</t>
        </is>
      </c>
      <c r="R2481">
        <f>IF(OR(Q2481="CONTEXT",Q2481="REVIEW"),"",INDEX('Category Rules'!$D$5:$D$17,MATCH(P2481,'Category Rules'!$A$5:$A$17,0)))</f>
        <v>4010</v>
      </c>
      <c r="S2481" t="str">
        <f>IF(Q2481="CONTEXT","Fencing",IF(Q2481="REVIEW","",INDEX('Category Rules'!$E$5:$E$17,MATCH(P2481,'Category Rules'!$A$5:$A$17,0))))</f>
        <v>Fencing</v>
      </c>
      <c r="T2481" t="str">
        <f>IF(Q2481="DEP","BAS Excluded","GST on Income")</f>
        <v>GST on Income</v>
      </c>
      <c r="U2481">
        <f>IF(O2481=T2481,1,0)</f>
        <v>1</v>
      </c>
      <c r="V2481" s="9">
        <f>IF(OR(M2481=0,U2481=1),0,IF(T2481="GST on Income",ROUND(K2481*0.1,2),ROUND(-K2481*0.1,2)))</f>
        <v>0</v>
      </c>
    </row>
    <row r="2482">
      <c r="A2482" t="inlineStr">
        <is>
          <t>INV-4181-1</t>
        </is>
      </c>
      <c r="B2482" t="inlineStr">
        <is>
          <t>INV-4181</t>
        </is>
      </c>
      <c r="C2482" s="11" t="n">
        <v>46194</v>
      </c>
      <c r="D2482" t="inlineStr">
        <is>
          <t>2026-06</t>
        </is>
      </c>
      <c r="E2482" t="inlineStr">
        <is>
          <t>C0141</t>
        </is>
      </c>
      <c r="F2482" t="inlineStr">
        <is>
          <t>C0028</t>
        </is>
      </c>
      <c r="G2482" t="inlineStr">
        <is>
          <t>Banksia Homes</t>
        </is>
      </c>
      <c r="H2482" t="inlineStr">
        <is>
          <t>S0014</t>
        </is>
      </c>
      <c r="I2482" t="inlineStr">
        <is>
          <t>Pedestrian barrier hire 4 wks (24/05/26-20/06/26) - 14 barriers</t>
        </is>
      </c>
      <c r="J2482" t="n">
        <v>56</v>
      </c>
      <c r="K2482" s="9" t="n">
        <v>179.2</v>
      </c>
      <c r="L2482" t="inlineStr">
        <is>
          <t>AUTHORISED</t>
        </is>
      </c>
      <c r="M2482">
        <f>IF(L2482="VOIDED",0,1)</f>
        <v>1</v>
      </c>
      <c r="N2482" t="n">
        <v>200</v>
      </c>
      <c r="O2482" t="inlineStr">
        <is>
          <t>GST on Income</t>
        </is>
      </c>
      <c r="P2482" t="inlineStr">
        <is>
          <t>R04</t>
        </is>
      </c>
      <c r="Q2482" t="inlineStr">
        <is>
          <t>HIRE-BR</t>
        </is>
      </c>
      <c r="R2482">
        <f>IF(OR(Q2482="CONTEXT",Q2482="REVIEW"),"",INDEX('Category Rules'!$D$5:$D$17,MATCH(P2482,'Category Rules'!$A$5:$A$17,0)))</f>
        <v>4010</v>
      </c>
      <c r="S2482" t="str">
        <f>IF(Q2482="CONTEXT","Fencing",IF(Q2482="REVIEW","",INDEX('Category Rules'!$E$5:$E$17,MATCH(P2482,'Category Rules'!$A$5:$A$17,0))))</f>
        <v>Fencing</v>
      </c>
      <c r="T2482" t="str">
        <f>IF(Q2482="DEP","BAS Excluded","GST on Income")</f>
        <v>GST on Income</v>
      </c>
      <c r="U2482">
        <f>IF(O2482=T2482,1,0)</f>
        <v>1</v>
      </c>
      <c r="V2482" s="9">
        <f>IF(OR(M2482=0,U2482=1),0,IF(T2482="GST on Income",ROUND(K2482*0.1,2),ROUND(-K2482*0.1,2)))</f>
        <v>0</v>
      </c>
    </row>
    <row r="2483">
      <c r="A2483" t="inlineStr">
        <is>
          <t>INV-4186-1</t>
        </is>
      </c>
      <c r="B2483" t="inlineStr">
        <is>
          <t>INV-4186</t>
        </is>
      </c>
      <c r="C2483" s="11" t="n">
        <v>46194</v>
      </c>
      <c r="D2483" t="inlineStr">
        <is>
          <t>2026-06</t>
        </is>
      </c>
      <c r="E2483" t="inlineStr">
        <is>
          <t>C0017</t>
        </is>
      </c>
      <c r="F2483" t="inlineStr">
        <is>
          <t>C0017</t>
        </is>
      </c>
      <c r="G2483" t="inlineStr">
        <is>
          <t>Cobalt Developments Pty Ltd</t>
        </is>
      </c>
      <c r="H2483" t="inlineStr">
        <is>
          <t>S0016</t>
        </is>
      </c>
      <c r="I2483" t="inlineStr">
        <is>
          <t>Temporary fence hire 4 wks (24/05/26-20/06/26) - 49 panels</t>
        </is>
      </c>
      <c r="J2483" t="n">
        <v>196</v>
      </c>
      <c r="K2483" s="9" t="n">
        <v>882</v>
      </c>
      <c r="L2483" t="inlineStr">
        <is>
          <t>PAID</t>
        </is>
      </c>
      <c r="M2483">
        <f>IF(L2483="VOIDED",0,1)</f>
        <v>1</v>
      </c>
      <c r="N2483" t="n">
        <v>200</v>
      </c>
      <c r="O2483" t="inlineStr">
        <is>
          <t>GST on Income</t>
        </is>
      </c>
      <c r="P2483" t="inlineStr">
        <is>
          <t>R03</t>
        </is>
      </c>
      <c r="Q2483" t="inlineStr">
        <is>
          <t>HIRE-FP</t>
        </is>
      </c>
      <c r="R2483">
        <f>IF(OR(Q2483="CONTEXT",Q2483="REVIEW"),"",INDEX('Category Rules'!$D$5:$D$17,MATCH(P2483,'Category Rules'!$A$5:$A$17,0)))</f>
        <v>4010</v>
      </c>
      <c r="S2483" t="str">
        <f>IF(Q2483="CONTEXT","Fencing",IF(Q2483="REVIEW","",INDEX('Category Rules'!$E$5:$E$17,MATCH(P2483,'Category Rules'!$A$5:$A$17,0))))</f>
        <v>Fencing</v>
      </c>
      <c r="T2483" t="str">
        <f>IF(Q2483="DEP","BAS Excluded","GST on Income")</f>
        <v>GST on Income</v>
      </c>
      <c r="U2483">
        <f>IF(O2483=T2483,1,0)</f>
        <v>1</v>
      </c>
      <c r="V2483" s="9">
        <f>IF(OR(M2483=0,U2483=1),0,IF(T2483="GST on Income",ROUND(K2483*0.1,2),ROUND(-K2483*0.1,2)))</f>
        <v>0</v>
      </c>
    </row>
    <row r="2484">
      <c r="A2484" t="inlineStr">
        <is>
          <t>INV-4190-1</t>
        </is>
      </c>
      <c r="B2484" t="inlineStr">
        <is>
          <t>INV-4190</t>
        </is>
      </c>
      <c r="C2484" s="11" t="n">
        <v>46194</v>
      </c>
      <c r="D2484" t="inlineStr">
        <is>
          <t>2026-06</t>
        </is>
      </c>
      <c r="E2484" t="inlineStr">
        <is>
          <t>C0017</t>
        </is>
      </c>
      <c r="F2484" t="inlineStr">
        <is>
          <t>C0017</t>
        </is>
      </c>
      <c r="G2484" t="inlineStr">
        <is>
          <t>Cobalt Developments Pty Ltd</t>
        </is>
      </c>
      <c r="H2484" t="inlineStr">
        <is>
          <t>S0016</t>
        </is>
      </c>
      <c r="I2484" t="inlineStr">
        <is>
          <t>Pedestrian barrier hire 4 wks (24/05/26-20/06/26) - 13 barriers</t>
        </is>
      </c>
      <c r="J2484" t="n">
        <v>52</v>
      </c>
      <c r="K2484" s="9" t="n">
        <v>166.4</v>
      </c>
      <c r="L2484" t="inlineStr">
        <is>
          <t>AUTHORISED</t>
        </is>
      </c>
      <c r="M2484">
        <f>IF(L2484="VOIDED",0,1)</f>
        <v>1</v>
      </c>
      <c r="N2484" t="n">
        <v>200</v>
      </c>
      <c r="O2484" t="inlineStr">
        <is>
          <t>GST on Income</t>
        </is>
      </c>
      <c r="P2484" t="inlineStr">
        <is>
          <t>R04</t>
        </is>
      </c>
      <c r="Q2484" t="inlineStr">
        <is>
          <t>HIRE-BR</t>
        </is>
      </c>
      <c r="R2484">
        <f>IF(OR(Q2484="CONTEXT",Q2484="REVIEW"),"",INDEX('Category Rules'!$D$5:$D$17,MATCH(P2484,'Category Rules'!$A$5:$A$17,0)))</f>
        <v>4010</v>
      </c>
      <c r="S2484" t="str">
        <f>IF(Q2484="CONTEXT","Fencing",IF(Q2484="REVIEW","",INDEX('Category Rules'!$E$5:$E$17,MATCH(P2484,'Category Rules'!$A$5:$A$17,0))))</f>
        <v>Fencing</v>
      </c>
      <c r="T2484" t="str">
        <f>IF(Q2484="DEP","BAS Excluded","GST on Income")</f>
        <v>GST on Income</v>
      </c>
      <c r="U2484">
        <f>IF(O2484=T2484,1,0)</f>
        <v>1</v>
      </c>
      <c r="V2484" s="9">
        <f>IF(OR(M2484=0,U2484=1),0,IF(T2484="GST on Income",ROUND(K2484*0.1,2),ROUND(-K2484*0.1,2)))</f>
        <v>0</v>
      </c>
    </row>
    <row r="2485">
      <c r="A2485" t="inlineStr">
        <is>
          <t>INV-4673-1</t>
        </is>
      </c>
      <c r="B2485" t="inlineStr">
        <is>
          <t>INV-4673</t>
        </is>
      </c>
      <c r="C2485" s="11" t="n">
        <v>46194</v>
      </c>
      <c r="D2485" t="inlineStr">
        <is>
          <t>2026-06</t>
        </is>
      </c>
      <c r="E2485" t="inlineStr">
        <is>
          <t>C0066</t>
        </is>
      </c>
      <c r="F2485" t="inlineStr">
        <is>
          <t>C0066</t>
        </is>
      </c>
      <c r="G2485" t="inlineStr">
        <is>
          <t>Northgate Insurance Repairs</t>
        </is>
      </c>
      <c r="H2485" t="inlineStr">
        <is>
          <t>S0118</t>
        </is>
      </c>
      <c r="I2485" t="inlineStr">
        <is>
          <t>Delivery and installation - temporary fencing</t>
        </is>
      </c>
      <c r="J2485" t="n">
        <v>1</v>
      </c>
      <c r="K2485" s="9" t="n">
        <v>165</v>
      </c>
      <c r="L2485" t="inlineStr">
        <is>
          <t>AUTHORISED</t>
        </is>
      </c>
      <c r="M2485">
        <f>IF(L2485="VOIDED",0,1)</f>
        <v>1</v>
      </c>
      <c r="N2485" t="n">
        <v>200</v>
      </c>
      <c r="O2485" t="inlineStr">
        <is>
          <t>GST on Income</t>
        </is>
      </c>
      <c r="P2485" t="inlineStr">
        <is>
          <t>R07</t>
        </is>
      </c>
      <c r="Q2485" t="inlineStr">
        <is>
          <t>DEL-FP</t>
        </is>
      </c>
      <c r="R2485">
        <f>IF(OR(Q2485="CONTEXT",Q2485="REVIEW"),"",INDEX('Category Rules'!$D$5:$D$17,MATCH(P2485,'Category Rules'!$A$5:$A$17,0)))</f>
        <v>4020</v>
      </c>
      <c r="S2485" t="str">
        <f>IF(Q2485="CONTEXT","Fencing",IF(Q2485="REVIEW","",INDEX('Category Rules'!$E$5:$E$17,MATCH(P2485,'Category Rules'!$A$5:$A$17,0))))</f>
        <v>Fencing</v>
      </c>
      <c r="T2485" t="str">
        <f>IF(Q2485="DEP","BAS Excluded","GST on Income")</f>
        <v>GST on Income</v>
      </c>
      <c r="U2485">
        <f>IF(O2485=T2485,1,0)</f>
        <v>1</v>
      </c>
      <c r="V2485" s="9">
        <f>IF(OR(M2485=0,U2485=1),0,IF(T2485="GST on Income",ROUND(K2485*0.1,2),ROUND(-K2485*0.1,2)))</f>
        <v>0</v>
      </c>
    </row>
    <row r="2486">
      <c r="A2486" t="inlineStr">
        <is>
          <t>INV-4673-2</t>
        </is>
      </c>
      <c r="B2486" t="inlineStr">
        <is>
          <t>INV-4673</t>
        </is>
      </c>
      <c r="C2486" s="11" t="n">
        <v>46194</v>
      </c>
      <c r="D2486" t="inlineStr">
        <is>
          <t>2026-06</t>
        </is>
      </c>
      <c r="E2486" t="inlineStr">
        <is>
          <t>C0066</t>
        </is>
      </c>
      <c r="F2486" t="inlineStr">
        <is>
          <t>C0066</t>
        </is>
      </c>
      <c r="G2486" t="inlineStr">
        <is>
          <t>Northgate Insurance Repairs</t>
        </is>
      </c>
      <c r="H2486" t="inlineStr">
        <is>
          <t>S0118</t>
        </is>
      </c>
      <c r="I2486" t="inlineStr">
        <is>
          <t>Installation labour - 136 panels @ 2.20</t>
        </is>
      </c>
      <c r="J2486" t="n">
        <v>136</v>
      </c>
      <c r="K2486" s="9" t="n">
        <v>299.2</v>
      </c>
      <c r="L2486" t="inlineStr">
        <is>
          <t>AUTHORISED</t>
        </is>
      </c>
      <c r="M2486">
        <f>IF(L2486="VOIDED",0,1)</f>
        <v>1</v>
      </c>
      <c r="N2486" t="n">
        <v>200</v>
      </c>
      <c r="O2486" t="inlineStr">
        <is>
          <t>GST on Income</t>
        </is>
      </c>
      <c r="P2486" t="inlineStr">
        <is>
          <t>R07</t>
        </is>
      </c>
      <c r="Q2486" t="inlineStr">
        <is>
          <t>DEL-FP</t>
        </is>
      </c>
      <c r="R2486">
        <f>IF(OR(Q2486="CONTEXT",Q2486="REVIEW"),"",INDEX('Category Rules'!$D$5:$D$17,MATCH(P2486,'Category Rules'!$A$5:$A$17,0)))</f>
        <v>4020</v>
      </c>
      <c r="S2486" t="str">
        <f>IF(Q2486="CONTEXT","Fencing",IF(Q2486="REVIEW","",INDEX('Category Rules'!$E$5:$E$17,MATCH(P2486,'Category Rules'!$A$5:$A$17,0))))</f>
        <v>Fencing</v>
      </c>
      <c r="T2486" t="str">
        <f>IF(Q2486="DEP","BAS Excluded","GST on Income")</f>
        <v>GST on Income</v>
      </c>
      <c r="U2486">
        <f>IF(O2486=T2486,1,0)</f>
        <v>1</v>
      </c>
      <c r="V2486" s="9">
        <f>IF(OR(M2486=0,U2486=1),0,IF(T2486="GST on Income",ROUND(K2486*0.1,2),ROUND(-K2486*0.1,2)))</f>
        <v>0</v>
      </c>
    </row>
    <row r="2487">
      <c r="A2487" t="inlineStr">
        <is>
          <t>INV-5559-1</t>
        </is>
      </c>
      <c r="B2487" t="inlineStr">
        <is>
          <t>INV-5559</t>
        </is>
      </c>
      <c r="C2487" s="11" t="n">
        <v>46194</v>
      </c>
      <c r="D2487" t="inlineStr">
        <is>
          <t>2026-06</t>
        </is>
      </c>
      <c r="E2487" t="inlineStr">
        <is>
          <t>C0023</t>
        </is>
      </c>
      <c r="F2487" t="inlineStr">
        <is>
          <t>C0023</t>
        </is>
      </c>
      <c r="G2487" t="inlineStr">
        <is>
          <t>Ashford Constructions Pty Ltd</t>
        </is>
      </c>
      <c r="H2487" t="inlineStr">
        <is>
          <t>S0356</t>
        </is>
      </c>
      <c r="I2487" t="inlineStr">
        <is>
          <t>Make safe call-out</t>
        </is>
      </c>
      <c r="J2487" t="n">
        <v>1</v>
      </c>
      <c r="K2487" s="9" t="n">
        <v>385</v>
      </c>
      <c r="L2487" t="inlineStr">
        <is>
          <t>AUTHORISED</t>
        </is>
      </c>
      <c r="M2487">
        <f>IF(L2487="VOIDED",0,1)</f>
        <v>1</v>
      </c>
      <c r="N2487" t="n">
        <v>200</v>
      </c>
      <c r="O2487" t="inlineStr">
        <is>
          <t>GST on Income</t>
        </is>
      </c>
      <c r="P2487" t="inlineStr">
        <is>
          <t>R09</t>
        </is>
      </c>
      <c r="Q2487" t="inlineStr">
        <is>
          <t>MS</t>
        </is>
      </c>
      <c r="R2487">
        <f>IF(OR(Q2487="CONTEXT",Q2487="REVIEW"),"",INDEX('Category Rules'!$D$5:$D$17,MATCH(P2487,'Category Rules'!$A$5:$A$17,0)))</f>
        <v>4020</v>
      </c>
      <c r="S2487" t="str">
        <f>IF(Q2487="CONTEXT","Make-safe",IF(Q2487="REVIEW","",INDEX('Category Rules'!$E$5:$E$17,MATCH(P2487,'Category Rules'!$A$5:$A$17,0))))</f>
        <v>Make-safe</v>
      </c>
      <c r="T2487" t="str">
        <f>IF(Q2487="DEP","BAS Excluded","GST on Income")</f>
        <v>GST on Income</v>
      </c>
      <c r="U2487">
        <f>IF(O2487=T2487,1,0)</f>
        <v>1</v>
      </c>
      <c r="V2487" s="9">
        <f>IF(OR(M2487=0,U2487=1),0,IF(T2487="GST on Income",ROUND(K2487*0.1,2),ROUND(-K2487*0.1,2)))</f>
        <v>0</v>
      </c>
    </row>
    <row r="2488">
      <c r="A2488" t="inlineStr">
        <is>
          <t>INV-5559-2</t>
        </is>
      </c>
      <c r="B2488" t="inlineStr">
        <is>
          <t>INV-5559</t>
        </is>
      </c>
      <c r="C2488" s="11" t="n">
        <v>46194</v>
      </c>
      <c r="D2488" t="inlineStr">
        <is>
          <t>2026-06</t>
        </is>
      </c>
      <c r="E2488" t="inlineStr">
        <is>
          <t>C0023</t>
        </is>
      </c>
      <c r="F2488" t="inlineStr">
        <is>
          <t>C0023</t>
        </is>
      </c>
      <c r="G2488" t="inlineStr">
        <is>
          <t>Ashford Constructions Pty Ltd</t>
        </is>
      </c>
      <c r="H2488" t="inlineStr">
        <is>
          <t>S0356</t>
        </is>
      </c>
      <c r="I2488" t="inlineStr">
        <is>
          <t>Tarp supply and install - 3 tarp(s)</t>
        </is>
      </c>
      <c r="J2488" t="n">
        <v>3</v>
      </c>
      <c r="K2488" s="9" t="n">
        <v>720</v>
      </c>
      <c r="L2488" t="inlineStr">
        <is>
          <t>AUTHORISED</t>
        </is>
      </c>
      <c r="M2488">
        <f>IF(L2488="VOIDED",0,1)</f>
        <v>1</v>
      </c>
      <c r="N2488" t="n">
        <v>200</v>
      </c>
      <c r="O2488" t="inlineStr">
        <is>
          <t>GST on Income</t>
        </is>
      </c>
      <c r="P2488" t="inlineStr">
        <is>
          <t>R09</t>
        </is>
      </c>
      <c r="Q2488" t="inlineStr">
        <is>
          <t>MS</t>
        </is>
      </c>
      <c r="R2488">
        <f>IF(OR(Q2488="CONTEXT",Q2488="REVIEW"),"",INDEX('Category Rules'!$D$5:$D$17,MATCH(P2488,'Category Rules'!$A$5:$A$17,0)))</f>
        <v>4020</v>
      </c>
      <c r="S2488" t="str">
        <f>IF(Q2488="CONTEXT","Make-safe",IF(Q2488="REVIEW","",INDEX('Category Rules'!$E$5:$E$17,MATCH(P2488,'Category Rules'!$A$5:$A$17,0))))</f>
        <v>Make-safe</v>
      </c>
      <c r="T2488" t="str">
        <f>IF(Q2488="DEP","BAS Excluded","GST on Income")</f>
        <v>GST on Income</v>
      </c>
      <c r="U2488">
        <f>IF(O2488=T2488,1,0)</f>
        <v>1</v>
      </c>
      <c r="V2488" s="9">
        <f>IF(OR(M2488=0,U2488=1),0,IF(T2488="GST on Income",ROUND(K2488*0.1,2),ROUND(-K2488*0.1,2)))</f>
        <v>0</v>
      </c>
    </row>
    <row r="2489">
      <c r="A2489" t="inlineStr">
        <is>
          <t>INV-5733-1</t>
        </is>
      </c>
      <c r="B2489" t="inlineStr">
        <is>
          <t>INV-5733</t>
        </is>
      </c>
      <c r="C2489" s="11" t="n">
        <v>46194</v>
      </c>
      <c r="D2489" t="inlineStr">
        <is>
          <t>2026-06</t>
        </is>
      </c>
      <c r="E2489" t="inlineStr">
        <is>
          <t>C0131</t>
        </is>
      </c>
      <c r="F2489" t="inlineStr">
        <is>
          <t>C0050</t>
        </is>
      </c>
      <c r="G2489" t="inlineStr">
        <is>
          <t>Southbank Body Corporate Pty Ltd</t>
        </is>
      </c>
      <c r="H2489" t="inlineStr">
        <is>
          <t>S0452</t>
        </is>
      </c>
      <c r="I2489" t="inlineStr">
        <is>
          <t>Emergency make safe call-out - after hours</t>
        </is>
      </c>
      <c r="J2489" t="n">
        <v>1</v>
      </c>
      <c r="K2489" s="9" t="n">
        <v>560</v>
      </c>
      <c r="L2489" t="inlineStr">
        <is>
          <t>AUTHORISED</t>
        </is>
      </c>
      <c r="M2489">
        <f>IF(L2489="VOIDED",0,1)</f>
        <v>1</v>
      </c>
      <c r="N2489" t="n">
        <v>200</v>
      </c>
      <c r="O2489" t="inlineStr">
        <is>
          <t>GST on Income</t>
        </is>
      </c>
      <c r="P2489" t="inlineStr">
        <is>
          <t>R09</t>
        </is>
      </c>
      <c r="Q2489" t="inlineStr">
        <is>
          <t>MS</t>
        </is>
      </c>
      <c r="R2489">
        <f>IF(OR(Q2489="CONTEXT",Q2489="REVIEW"),"",INDEX('Category Rules'!$D$5:$D$17,MATCH(P2489,'Category Rules'!$A$5:$A$17,0)))</f>
        <v>4020</v>
      </c>
      <c r="S2489" t="str">
        <f>IF(Q2489="CONTEXT","Make-safe",IF(Q2489="REVIEW","",INDEX('Category Rules'!$E$5:$E$17,MATCH(P2489,'Category Rules'!$A$5:$A$17,0))))</f>
        <v>Make-safe</v>
      </c>
      <c r="T2489" t="str">
        <f>IF(Q2489="DEP","BAS Excluded","GST on Income")</f>
        <v>GST on Income</v>
      </c>
      <c r="U2489">
        <f>IF(O2489=T2489,1,0)</f>
        <v>1</v>
      </c>
      <c r="V2489" s="9">
        <f>IF(OR(M2489=0,U2489=1),0,IF(T2489="GST on Income",ROUND(K2489*0.1,2),ROUND(-K2489*0.1,2)))</f>
        <v>0</v>
      </c>
    </row>
    <row r="2490">
      <c r="A2490" t="inlineStr">
        <is>
          <t>INV-5776-1</t>
        </is>
      </c>
      <c r="B2490" t="inlineStr">
        <is>
          <t>INV-5776</t>
        </is>
      </c>
      <c r="C2490" s="11" t="n">
        <v>46194</v>
      </c>
      <c r="D2490" t="inlineStr">
        <is>
          <t>2026-06</t>
        </is>
      </c>
      <c r="E2490" t="inlineStr">
        <is>
          <t>C0035</t>
        </is>
      </c>
      <c r="F2490" t="inlineStr">
        <is>
          <t>C0035</t>
        </is>
      </c>
      <c r="G2490" t="inlineStr">
        <is>
          <t>Bayside Homes Pty Ltd</t>
        </is>
      </c>
      <c r="H2490" t="inlineStr">
        <is>
          <t>S0478</t>
        </is>
      </c>
      <c r="I2490" t="inlineStr">
        <is>
          <t>Roof repair labour - 16 hrs</t>
        </is>
      </c>
      <c r="J2490" t="n">
        <v>16</v>
      </c>
      <c r="K2490" s="9" t="n">
        <v>1568</v>
      </c>
      <c r="L2490" t="inlineStr">
        <is>
          <t>AUTHORISED</t>
        </is>
      </c>
      <c r="M2490">
        <f>IF(L2490="VOIDED",0,1)</f>
        <v>1</v>
      </c>
      <c r="N2490" t="n">
        <v>200</v>
      </c>
      <c r="O2490" t="inlineStr">
        <is>
          <t>GST on Income</t>
        </is>
      </c>
      <c r="P2490" t="inlineStr">
        <is>
          <t>R10</t>
        </is>
      </c>
      <c r="Q2490" t="inlineStr">
        <is>
          <t>LAB-RF</t>
        </is>
      </c>
      <c r="R2490">
        <f>IF(OR(Q2490="CONTEXT",Q2490="REVIEW"),"",INDEX('Category Rules'!$D$5:$D$17,MATCH(P2490,'Category Rules'!$A$5:$A$17,0)))</f>
        <v>4020</v>
      </c>
      <c r="S2490" t="str">
        <f>IF(Q2490="CONTEXT","Roofing",IF(Q2490="REVIEW","",INDEX('Category Rules'!$E$5:$E$17,MATCH(P2490,'Category Rules'!$A$5:$A$17,0))))</f>
        <v>Roofing</v>
      </c>
      <c r="T2490" t="str">
        <f>IF(Q2490="DEP","BAS Excluded","GST on Income")</f>
        <v>GST on Income</v>
      </c>
      <c r="U2490">
        <f>IF(O2490=T2490,1,0)</f>
        <v>1</v>
      </c>
      <c r="V2490" s="9">
        <f>IF(OR(M2490=0,U2490=1),0,IF(T2490="GST on Income",ROUND(K2490*0.1,2),ROUND(-K2490*0.1,2)))</f>
        <v>0</v>
      </c>
    </row>
    <row r="2491">
      <c r="A2491" t="inlineStr">
        <is>
          <t>INV-5776-2</t>
        </is>
      </c>
      <c r="B2491" t="inlineStr">
        <is>
          <t>INV-5776</t>
        </is>
      </c>
      <c r="C2491" s="11" t="n">
        <v>46194</v>
      </c>
      <c r="D2491" t="inlineStr">
        <is>
          <t>2026-06</t>
        </is>
      </c>
      <c r="E2491" t="inlineStr">
        <is>
          <t>C0035</t>
        </is>
      </c>
      <c r="F2491" t="inlineStr">
        <is>
          <t>C0035</t>
        </is>
      </c>
      <c r="G2491" t="inlineStr">
        <is>
          <t>Bayside Homes Pty Ltd</t>
        </is>
      </c>
      <c r="H2491" t="inlineStr">
        <is>
          <t>S0478</t>
        </is>
      </c>
      <c r="I2491" t="inlineStr">
        <is>
          <t>Materials - Colorbond sheet</t>
        </is>
      </c>
      <c r="J2491" t="n">
        <v>1</v>
      </c>
      <c r="K2491" s="9" t="n">
        <v>908.0700000000001</v>
      </c>
      <c r="L2491" t="inlineStr">
        <is>
          <t>AUTHORISED</t>
        </is>
      </c>
      <c r="M2491">
        <f>IF(L2491="VOIDED",0,1)</f>
        <v>1</v>
      </c>
      <c r="N2491" t="n">
        <v>200</v>
      </c>
      <c r="O2491" t="inlineStr">
        <is>
          <t>GST on Income</t>
        </is>
      </c>
      <c r="P2491" t="inlineStr">
        <is>
          <t>R11</t>
        </is>
      </c>
      <c r="Q2491" t="inlineStr">
        <is>
          <t>MAT-RF</t>
        </is>
      </c>
      <c r="R2491">
        <f>IF(OR(Q2491="CONTEXT",Q2491="REVIEW"),"",INDEX('Category Rules'!$D$5:$D$17,MATCH(P2491,'Category Rules'!$A$5:$A$17,0)))</f>
        <v>4030</v>
      </c>
      <c r="S2491" t="str">
        <f>IF(Q2491="CONTEXT","Roofing",IF(Q2491="REVIEW","",INDEX('Category Rules'!$E$5:$E$17,MATCH(P2491,'Category Rules'!$A$5:$A$17,0))))</f>
        <v>Roofing</v>
      </c>
      <c r="T2491" t="str">
        <f>IF(Q2491="DEP","BAS Excluded","GST on Income")</f>
        <v>GST on Income</v>
      </c>
      <c r="U2491">
        <f>IF(O2491=T2491,1,0)</f>
        <v>1</v>
      </c>
      <c r="V2491" s="9">
        <f>IF(OR(M2491=0,U2491=1),0,IF(T2491="GST on Income",ROUND(K2491*0.1,2),ROUND(-K2491*0.1,2)))</f>
        <v>0</v>
      </c>
    </row>
    <row r="2492">
      <c r="A2492" t="inlineStr">
        <is>
          <t>INV-5776-3</t>
        </is>
      </c>
      <c r="B2492" t="inlineStr">
        <is>
          <t>INV-5776</t>
        </is>
      </c>
      <c r="C2492" s="11" t="n">
        <v>46194</v>
      </c>
      <c r="D2492" t="inlineStr">
        <is>
          <t>2026-06</t>
        </is>
      </c>
      <c r="E2492" t="inlineStr">
        <is>
          <t>C0035</t>
        </is>
      </c>
      <c r="F2492" t="inlineStr">
        <is>
          <t>C0035</t>
        </is>
      </c>
      <c r="G2492" t="inlineStr">
        <is>
          <t>Bayside Homes Pty Ltd</t>
        </is>
      </c>
      <c r="H2492" t="inlineStr">
        <is>
          <t>S0478</t>
        </is>
      </c>
      <c r="I2492" t="inlineStr">
        <is>
          <t>Materials - flashing</t>
        </is>
      </c>
      <c r="J2492" t="n">
        <v>1</v>
      </c>
      <c r="K2492" s="9" t="n">
        <v>141.85</v>
      </c>
      <c r="L2492" t="inlineStr">
        <is>
          <t>AUTHORISED</t>
        </is>
      </c>
      <c r="M2492">
        <f>IF(L2492="VOIDED",0,1)</f>
        <v>1</v>
      </c>
      <c r="N2492" t="n">
        <v>200</v>
      </c>
      <c r="O2492" t="inlineStr">
        <is>
          <t>GST on Income</t>
        </is>
      </c>
      <c r="P2492" t="inlineStr">
        <is>
          <t>R11</t>
        </is>
      </c>
      <c r="Q2492" t="inlineStr">
        <is>
          <t>MAT-RF</t>
        </is>
      </c>
      <c r="R2492">
        <f>IF(OR(Q2492="CONTEXT",Q2492="REVIEW"),"",INDEX('Category Rules'!$D$5:$D$17,MATCH(P2492,'Category Rules'!$A$5:$A$17,0)))</f>
        <v>4030</v>
      </c>
      <c r="S2492" t="str">
        <f>IF(Q2492="CONTEXT","Roofing",IF(Q2492="REVIEW","",INDEX('Category Rules'!$E$5:$E$17,MATCH(P2492,'Category Rules'!$A$5:$A$17,0))))</f>
        <v>Roofing</v>
      </c>
      <c r="T2492" t="str">
        <f>IF(Q2492="DEP","BAS Excluded","GST on Income")</f>
        <v>GST on Income</v>
      </c>
      <c r="U2492">
        <f>IF(O2492=T2492,1,0)</f>
        <v>1</v>
      </c>
      <c r="V2492" s="9">
        <f>IF(OR(M2492=0,U2492=1),0,IF(T2492="GST on Income",ROUND(K2492*0.1,2),ROUND(-K2492*0.1,2)))</f>
        <v>0</v>
      </c>
    </row>
    <row r="2493">
      <c r="A2493" t="inlineStr">
        <is>
          <t>INV-5776-4</t>
        </is>
      </c>
      <c r="B2493" t="inlineStr">
        <is>
          <t>INV-5776</t>
        </is>
      </c>
      <c r="C2493" s="11" t="n">
        <v>46194</v>
      </c>
      <c r="D2493" t="inlineStr">
        <is>
          <t>2026-06</t>
        </is>
      </c>
      <c r="E2493" t="inlineStr">
        <is>
          <t>C0035</t>
        </is>
      </c>
      <c r="F2493" t="inlineStr">
        <is>
          <t>C0035</t>
        </is>
      </c>
      <c r="G2493" t="inlineStr">
        <is>
          <t>Bayside Homes Pty Ltd</t>
        </is>
      </c>
      <c r="H2493" t="inlineStr">
        <is>
          <t>S0478</t>
        </is>
      </c>
      <c r="I2493" t="inlineStr">
        <is>
          <t>Materials - roof tiles (matched)</t>
        </is>
      </c>
      <c r="J2493" t="n">
        <v>1</v>
      </c>
      <c r="K2493" s="9" t="n">
        <v>1129.64</v>
      </c>
      <c r="L2493" t="inlineStr">
        <is>
          <t>AUTHORISED</t>
        </is>
      </c>
      <c r="M2493">
        <f>IF(L2493="VOIDED",0,1)</f>
        <v>1</v>
      </c>
      <c r="N2493" t="n">
        <v>200</v>
      </c>
      <c r="O2493" t="inlineStr">
        <is>
          <t>GST on Income</t>
        </is>
      </c>
      <c r="P2493" t="inlineStr">
        <is>
          <t>R11</t>
        </is>
      </c>
      <c r="Q2493" t="inlineStr">
        <is>
          <t>MAT-RF</t>
        </is>
      </c>
      <c r="R2493">
        <f>IF(OR(Q2493="CONTEXT",Q2493="REVIEW"),"",INDEX('Category Rules'!$D$5:$D$17,MATCH(P2493,'Category Rules'!$A$5:$A$17,0)))</f>
        <v>4030</v>
      </c>
      <c r="S2493" t="str">
        <f>IF(Q2493="CONTEXT","Roofing",IF(Q2493="REVIEW","",INDEX('Category Rules'!$E$5:$E$17,MATCH(P2493,'Category Rules'!$A$5:$A$17,0))))</f>
        <v>Roofing</v>
      </c>
      <c r="T2493" t="str">
        <f>IF(Q2493="DEP","BAS Excluded","GST on Income")</f>
        <v>GST on Income</v>
      </c>
      <c r="U2493">
        <f>IF(O2493=T2493,1,0)</f>
        <v>1</v>
      </c>
      <c r="V2493" s="9">
        <f>IF(OR(M2493=0,U2493=1),0,IF(T2493="GST on Income",ROUND(K2493*0.1,2),ROUND(-K2493*0.1,2)))</f>
        <v>0</v>
      </c>
    </row>
    <row r="2494">
      <c r="A2494" t="inlineStr">
        <is>
          <t>INV-5776-5</t>
        </is>
      </c>
      <c r="B2494" t="inlineStr">
        <is>
          <t>INV-5776</t>
        </is>
      </c>
      <c r="C2494" s="11" t="n">
        <v>46194</v>
      </c>
      <c r="D2494" t="inlineStr">
        <is>
          <t>2026-06</t>
        </is>
      </c>
      <c r="E2494" t="inlineStr">
        <is>
          <t>C0035</t>
        </is>
      </c>
      <c r="F2494" t="inlineStr">
        <is>
          <t>C0035</t>
        </is>
      </c>
      <c r="G2494" t="inlineStr">
        <is>
          <t>Bayside Homes Pty Ltd</t>
        </is>
      </c>
      <c r="H2494" t="inlineStr">
        <is>
          <t>S0478</t>
        </is>
      </c>
      <c r="I2494" t="inlineStr">
        <is>
          <t>Waste removal and tip fees</t>
        </is>
      </c>
      <c r="J2494" t="n">
        <v>1</v>
      </c>
      <c r="K2494" s="9" t="n">
        <v>120</v>
      </c>
      <c r="L2494" t="inlineStr">
        <is>
          <t>AUTHORISED</t>
        </is>
      </c>
      <c r="M2494">
        <f>IF(L2494="VOIDED",0,1)</f>
        <v>1</v>
      </c>
      <c r="N2494" t="n">
        <v>200</v>
      </c>
      <c r="O2494" t="inlineStr">
        <is>
          <t>GST on Income</t>
        </is>
      </c>
      <c r="P2494" t="inlineStr">
        <is>
          <t>R11</t>
        </is>
      </c>
      <c r="Q2494" t="inlineStr">
        <is>
          <t>MAT-RF</t>
        </is>
      </c>
      <c r="R2494">
        <f>IF(OR(Q2494="CONTEXT",Q2494="REVIEW"),"",INDEX('Category Rules'!$D$5:$D$17,MATCH(P2494,'Category Rules'!$A$5:$A$17,0)))</f>
        <v>4030</v>
      </c>
      <c r="S2494" t="str">
        <f>IF(Q2494="CONTEXT","Roofing",IF(Q2494="REVIEW","",INDEX('Category Rules'!$E$5:$E$17,MATCH(P2494,'Category Rules'!$A$5:$A$17,0))))</f>
        <v>Roofing</v>
      </c>
      <c r="T2494" t="str">
        <f>IF(Q2494="DEP","BAS Excluded","GST on Income")</f>
        <v>GST on Income</v>
      </c>
      <c r="U2494">
        <f>IF(O2494=T2494,1,0)</f>
        <v>1</v>
      </c>
      <c r="V2494" s="9">
        <f>IF(OR(M2494=0,U2494=1),0,IF(T2494="GST on Income",ROUND(K2494*0.1,2),ROUND(-K2494*0.1,2)))</f>
        <v>0</v>
      </c>
    </row>
    <row r="2495">
      <c r="A2495" t="inlineStr">
        <is>
          <t>INV-4309-1</t>
        </is>
      </c>
      <c r="B2495" t="inlineStr">
        <is>
          <t>INV-4309</t>
        </is>
      </c>
      <c r="C2495" s="11" t="n">
        <v>46195</v>
      </c>
      <c r="D2495" t="inlineStr">
        <is>
          <t>2026-06</t>
        </is>
      </c>
      <c r="E2495" t="inlineStr">
        <is>
          <t>C0083</t>
        </is>
      </c>
      <c r="F2495" t="inlineStr">
        <is>
          <t>C0083</t>
        </is>
      </c>
      <c r="G2495" t="inlineStr">
        <is>
          <t>Noah Williams</t>
        </is>
      </c>
      <c r="H2495" t="inlineStr">
        <is>
          <t>S0042</t>
        </is>
      </c>
      <c r="I2495" t="inlineStr">
        <is>
          <t>Temporary fence hire 4 wks (25/05/26-21/06/26) - 81 panels</t>
        </is>
      </c>
      <c r="J2495" t="n">
        <v>324</v>
      </c>
      <c r="K2495" s="9" t="n">
        <v>1458</v>
      </c>
      <c r="L2495" t="inlineStr">
        <is>
          <t>AUTHORISED</t>
        </is>
      </c>
      <c r="M2495">
        <f>IF(L2495="VOIDED",0,1)</f>
        <v>1</v>
      </c>
      <c r="N2495" t="n">
        <v>200</v>
      </c>
      <c r="O2495" t="inlineStr">
        <is>
          <t>GST on Income</t>
        </is>
      </c>
      <c r="P2495" t="inlineStr">
        <is>
          <t>R03</t>
        </is>
      </c>
      <c r="Q2495" t="inlineStr">
        <is>
          <t>HIRE-FP</t>
        </is>
      </c>
      <c r="R2495">
        <f>IF(OR(Q2495="CONTEXT",Q2495="REVIEW"),"",INDEX('Category Rules'!$D$5:$D$17,MATCH(P2495,'Category Rules'!$A$5:$A$17,0)))</f>
        <v>4010</v>
      </c>
      <c r="S2495" t="str">
        <f>IF(Q2495="CONTEXT","Fencing",IF(Q2495="REVIEW","",INDEX('Category Rules'!$E$5:$E$17,MATCH(P2495,'Category Rules'!$A$5:$A$17,0))))</f>
        <v>Fencing</v>
      </c>
      <c r="T2495" t="str">
        <f>IF(Q2495="DEP","BAS Excluded","GST on Income")</f>
        <v>GST on Income</v>
      </c>
      <c r="U2495">
        <f>IF(O2495=T2495,1,0)</f>
        <v>1</v>
      </c>
      <c r="V2495" s="9">
        <f>IF(OR(M2495=0,U2495=1),0,IF(T2495="GST on Income",ROUND(K2495*0.1,2),ROUND(-K2495*0.1,2)))</f>
        <v>0</v>
      </c>
    </row>
    <row r="2496">
      <c r="A2496" t="inlineStr">
        <is>
          <t>INV-4902-1</t>
        </is>
      </c>
      <c r="B2496" t="inlineStr">
        <is>
          <t>INV-4902</t>
        </is>
      </c>
      <c r="C2496" s="11" t="n">
        <v>46195</v>
      </c>
      <c r="D2496" t="inlineStr">
        <is>
          <t>2026-06</t>
        </is>
      </c>
      <c r="E2496" t="inlineStr">
        <is>
          <t>C0011</t>
        </is>
      </c>
      <c r="F2496" t="inlineStr">
        <is>
          <t>C0011</t>
        </is>
      </c>
      <c r="G2496" t="inlineStr">
        <is>
          <t>Wattle Homes Pty Ltd</t>
        </is>
      </c>
      <c r="H2496" t="inlineStr">
        <is>
          <t>S0169</t>
        </is>
      </c>
      <c r="I2496" t="inlineStr">
        <is>
          <t>Temporary fence hire 4 wks (25/05/26-21/06/26) - 29 panels</t>
        </is>
      </c>
      <c r="J2496" t="n">
        <v>116</v>
      </c>
      <c r="K2496" s="9" t="n">
        <v>522</v>
      </c>
      <c r="L2496" t="inlineStr">
        <is>
          <t>AUTHORISED</t>
        </is>
      </c>
      <c r="M2496">
        <f>IF(L2496="VOIDED",0,1)</f>
        <v>1</v>
      </c>
      <c r="N2496" t="n">
        <v>200</v>
      </c>
      <c r="O2496" t="inlineStr">
        <is>
          <t>GST on Income</t>
        </is>
      </c>
      <c r="P2496" t="inlineStr">
        <is>
          <t>R03</t>
        </is>
      </c>
      <c r="Q2496" t="inlineStr">
        <is>
          <t>HIRE-FP</t>
        </is>
      </c>
      <c r="R2496">
        <f>IF(OR(Q2496="CONTEXT",Q2496="REVIEW"),"",INDEX('Category Rules'!$D$5:$D$17,MATCH(P2496,'Category Rules'!$A$5:$A$17,0)))</f>
        <v>4010</v>
      </c>
      <c r="S2496" t="str">
        <f>IF(Q2496="CONTEXT","Fencing",IF(Q2496="REVIEW","",INDEX('Category Rules'!$E$5:$E$17,MATCH(P2496,'Category Rules'!$A$5:$A$17,0))))</f>
        <v>Fencing</v>
      </c>
      <c r="T2496" t="str">
        <f>IF(Q2496="DEP","BAS Excluded","GST on Income")</f>
        <v>GST on Income</v>
      </c>
      <c r="U2496">
        <f>IF(O2496=T2496,1,0)</f>
        <v>1</v>
      </c>
      <c r="V2496" s="9">
        <f>IF(OR(M2496=0,U2496=1),0,IF(T2496="GST on Income",ROUND(K2496*0.1,2),ROUND(-K2496*0.1,2)))</f>
        <v>0</v>
      </c>
    </row>
    <row r="2497">
      <c r="A2497" t="inlineStr">
        <is>
          <t>INV-4907-1</t>
        </is>
      </c>
      <c r="B2497" t="inlineStr">
        <is>
          <t>INV-4907</t>
        </is>
      </c>
      <c r="C2497" s="11" t="n">
        <v>46195</v>
      </c>
      <c r="D2497" t="inlineStr">
        <is>
          <t>2026-06</t>
        </is>
      </c>
      <c r="E2497" t="inlineStr">
        <is>
          <t>C0011</t>
        </is>
      </c>
      <c r="F2497" t="inlineStr">
        <is>
          <t>C0011</t>
        </is>
      </c>
      <c r="G2497" t="inlineStr">
        <is>
          <t>Wattle Homes Pty Ltd</t>
        </is>
      </c>
      <c r="H2497" t="inlineStr">
        <is>
          <t>S0169</t>
        </is>
      </c>
      <c r="I2497" t="inlineStr">
        <is>
          <t>Pedestrian barrier hire 4 wks (25/05/26-21/06/26) - 16 barriers</t>
        </is>
      </c>
      <c r="J2497" t="n">
        <v>64</v>
      </c>
      <c r="K2497" s="9" t="n">
        <v>204.8</v>
      </c>
      <c r="L2497" t="inlineStr">
        <is>
          <t>AUTHORISED</t>
        </is>
      </c>
      <c r="M2497">
        <f>IF(L2497="VOIDED",0,1)</f>
        <v>1</v>
      </c>
      <c r="N2497" t="n">
        <v>260</v>
      </c>
      <c r="O2497" t="inlineStr">
        <is>
          <t>GST on Income</t>
        </is>
      </c>
      <c r="P2497" t="inlineStr">
        <is>
          <t>R04</t>
        </is>
      </c>
      <c r="Q2497" t="inlineStr">
        <is>
          <t>HIRE-BR</t>
        </is>
      </c>
      <c r="R2497">
        <f>IF(OR(Q2497="CONTEXT",Q2497="REVIEW"),"",INDEX('Category Rules'!$D$5:$D$17,MATCH(P2497,'Category Rules'!$A$5:$A$17,0)))</f>
        <v>4010</v>
      </c>
      <c r="S2497" t="str">
        <f>IF(Q2497="CONTEXT","Fencing",IF(Q2497="REVIEW","",INDEX('Category Rules'!$E$5:$E$17,MATCH(P2497,'Category Rules'!$A$5:$A$17,0))))</f>
        <v>Fencing</v>
      </c>
      <c r="T2497" t="str">
        <f>IF(Q2497="DEP","BAS Excluded","GST on Income")</f>
        <v>GST on Income</v>
      </c>
      <c r="U2497">
        <f>IF(O2497=T2497,1,0)</f>
        <v>1</v>
      </c>
      <c r="V2497" s="9">
        <f>IF(OR(M2497=0,U2497=1),0,IF(T2497="GST on Income",ROUND(K2497*0.1,2),ROUND(-K2497*0.1,2)))</f>
        <v>0</v>
      </c>
    </row>
    <row r="2498">
      <c r="A2498" t="inlineStr">
        <is>
          <t>INV-5333-1</t>
        </is>
      </c>
      <c r="B2498" t="inlineStr">
        <is>
          <t>INV-5333</t>
        </is>
      </c>
      <c r="C2498" s="11" t="n">
        <v>46195</v>
      </c>
      <c r="D2498" t="inlineStr">
        <is>
          <t>2026-06</t>
        </is>
      </c>
      <c r="E2498" t="inlineStr">
        <is>
          <t>C0086</t>
        </is>
      </c>
      <c r="F2498" t="inlineStr">
        <is>
          <t>C0086</t>
        </is>
      </c>
      <c r="G2498" t="inlineStr">
        <is>
          <t>Mei Ali</t>
        </is>
      </c>
      <c r="H2498" t="inlineStr">
        <is>
          <t>S0267</t>
        </is>
      </c>
      <c r="I2498" t="inlineStr">
        <is>
          <t>Scaffold tower hire 4 wks (25/05/26-21/06/26) - 2 towers</t>
        </is>
      </c>
      <c r="J2498" t="n">
        <v>8</v>
      </c>
      <c r="K2498" s="9" t="n">
        <v>760</v>
      </c>
      <c r="L2498" t="inlineStr">
        <is>
          <t>AUTHORISED</t>
        </is>
      </c>
      <c r="M2498">
        <f>IF(L2498="VOIDED",0,1)</f>
        <v>1</v>
      </c>
      <c r="N2498" t="n">
        <v>200</v>
      </c>
      <c r="O2498" t="inlineStr">
        <is>
          <t>GST on Income</t>
        </is>
      </c>
      <c r="P2498" t="inlineStr">
        <is>
          <t>R05</t>
        </is>
      </c>
      <c r="Q2498" t="inlineStr">
        <is>
          <t>HIRE-ST</t>
        </is>
      </c>
      <c r="R2498">
        <f>IF(OR(Q2498="CONTEXT",Q2498="REVIEW"),"",INDEX('Category Rules'!$D$5:$D$17,MATCH(P2498,'Category Rules'!$A$5:$A$17,0)))</f>
        <v>4010</v>
      </c>
      <c r="S2498" t="str">
        <f>IF(Q2498="CONTEXT","Scaffolding",IF(Q2498="REVIEW","",INDEX('Category Rules'!$E$5:$E$17,MATCH(P2498,'Category Rules'!$A$5:$A$17,0))))</f>
        <v>Scaffolding</v>
      </c>
      <c r="T2498" t="str">
        <f>IF(Q2498="DEP","BAS Excluded","GST on Income")</f>
        <v>GST on Income</v>
      </c>
      <c r="U2498">
        <f>IF(O2498=T2498,1,0)</f>
        <v>1</v>
      </c>
      <c r="V2498" s="9">
        <f>IF(OR(M2498=0,U2498=1),0,IF(T2498="GST on Income",ROUND(K2498*0.1,2),ROUND(-K2498*0.1,2)))</f>
        <v>0</v>
      </c>
    </row>
    <row r="2499">
      <c r="A2499" t="inlineStr">
        <is>
          <t>INV-5673-1</t>
        </is>
      </c>
      <c r="B2499" t="inlineStr">
        <is>
          <t>INV-5673</t>
        </is>
      </c>
      <c r="C2499" s="11" t="n">
        <v>46195</v>
      </c>
      <c r="D2499" t="inlineStr">
        <is>
          <t>2026-06</t>
        </is>
      </c>
      <c r="E2499" t="inlineStr">
        <is>
          <t>C0063</t>
        </is>
      </c>
      <c r="F2499" t="inlineStr">
        <is>
          <t>C0063</t>
        </is>
      </c>
      <c r="G2499" t="inlineStr">
        <is>
          <t>Highpoint Insurance Repairs Pty Ltd</t>
        </is>
      </c>
      <c r="H2499" t="inlineStr">
        <is>
          <t>S0420</t>
        </is>
      </c>
      <c r="I2499" t="inlineStr">
        <is>
          <t>Roof repair labour - 16 hrs</t>
        </is>
      </c>
      <c r="J2499" t="n">
        <v>16</v>
      </c>
      <c r="K2499" s="9" t="n">
        <v>1568</v>
      </c>
      <c r="L2499" t="inlineStr">
        <is>
          <t>AUTHORISED</t>
        </is>
      </c>
      <c r="M2499">
        <f>IF(L2499="VOIDED",0,1)</f>
        <v>1</v>
      </c>
      <c r="N2499" t="n">
        <v>200</v>
      </c>
      <c r="O2499" t="inlineStr">
        <is>
          <t>GST on Income</t>
        </is>
      </c>
      <c r="P2499" t="inlineStr">
        <is>
          <t>R10</t>
        </is>
      </c>
      <c r="Q2499" t="inlineStr">
        <is>
          <t>LAB-RF</t>
        </is>
      </c>
      <c r="R2499">
        <f>IF(OR(Q2499="CONTEXT",Q2499="REVIEW"),"",INDEX('Category Rules'!$D$5:$D$17,MATCH(P2499,'Category Rules'!$A$5:$A$17,0)))</f>
        <v>4020</v>
      </c>
      <c r="S2499" t="str">
        <f>IF(Q2499="CONTEXT","Roofing",IF(Q2499="REVIEW","",INDEX('Category Rules'!$E$5:$E$17,MATCH(P2499,'Category Rules'!$A$5:$A$17,0))))</f>
        <v>Roofing</v>
      </c>
      <c r="T2499" t="str">
        <f>IF(Q2499="DEP","BAS Excluded","GST on Income")</f>
        <v>GST on Income</v>
      </c>
      <c r="U2499">
        <f>IF(O2499=T2499,1,0)</f>
        <v>1</v>
      </c>
      <c r="V2499" s="9">
        <f>IF(OR(M2499=0,U2499=1),0,IF(T2499="GST on Income",ROUND(K2499*0.1,2),ROUND(-K2499*0.1,2)))</f>
        <v>0</v>
      </c>
    </row>
    <row r="2500">
      <c r="A2500" t="inlineStr">
        <is>
          <t>INV-5673-2</t>
        </is>
      </c>
      <c r="B2500" t="inlineStr">
        <is>
          <t>INV-5673</t>
        </is>
      </c>
      <c r="C2500" s="11" t="n">
        <v>46195</v>
      </c>
      <c r="D2500" t="inlineStr">
        <is>
          <t>2026-06</t>
        </is>
      </c>
      <c r="E2500" t="inlineStr">
        <is>
          <t>C0063</t>
        </is>
      </c>
      <c r="F2500" t="inlineStr">
        <is>
          <t>C0063</t>
        </is>
      </c>
      <c r="G2500" t="inlineStr">
        <is>
          <t>Highpoint Insurance Repairs Pty Ltd</t>
        </is>
      </c>
      <c r="H2500" t="inlineStr">
        <is>
          <t>S0420</t>
        </is>
      </c>
      <c r="I2500" t="inlineStr">
        <is>
          <t>Materials - roof tiles (matched)</t>
        </is>
      </c>
      <c r="J2500" t="n">
        <v>1</v>
      </c>
      <c r="K2500" s="9" t="n">
        <v>579.5700000000001</v>
      </c>
      <c r="L2500" t="inlineStr">
        <is>
          <t>AUTHORISED</t>
        </is>
      </c>
      <c r="M2500">
        <f>IF(L2500="VOIDED",0,1)</f>
        <v>1</v>
      </c>
      <c r="N2500" t="n">
        <v>200</v>
      </c>
      <c r="O2500" t="inlineStr">
        <is>
          <t>GST Free Income</t>
        </is>
      </c>
      <c r="P2500" t="inlineStr">
        <is>
          <t>R11</t>
        </is>
      </c>
      <c r="Q2500" t="inlineStr">
        <is>
          <t>MAT-RF</t>
        </is>
      </c>
      <c r="R2500">
        <f>IF(OR(Q2500="CONTEXT",Q2500="REVIEW"),"",INDEX('Category Rules'!$D$5:$D$17,MATCH(P2500,'Category Rules'!$A$5:$A$17,0)))</f>
        <v>4030</v>
      </c>
      <c r="S2500" t="str">
        <f>IF(Q2500="CONTEXT","Roofing",IF(Q2500="REVIEW","",INDEX('Category Rules'!$E$5:$E$17,MATCH(P2500,'Category Rules'!$A$5:$A$17,0))))</f>
        <v>Roofing</v>
      </c>
      <c r="T2500" t="str">
        <f>IF(Q2500="DEP","BAS Excluded","GST on Income")</f>
        <v>GST on Income</v>
      </c>
      <c r="U2500">
        <f>IF(O2500=T2500,1,0)</f>
        <v>0</v>
      </c>
      <c r="V2500" s="9">
        <f>IF(OR(M2500=0,U2500=1),0,IF(T2500="GST on Income",ROUND(K2500*0.1,2),ROUND(-K2500*0.1,2)))</f>
        <v>57.96</v>
      </c>
    </row>
    <row r="2501">
      <c r="A2501" t="inlineStr">
        <is>
          <t>INV-5673-3</t>
        </is>
      </c>
      <c r="B2501" t="inlineStr">
        <is>
          <t>INV-5673</t>
        </is>
      </c>
      <c r="C2501" s="11" t="n">
        <v>46195</v>
      </c>
      <c r="D2501" t="inlineStr">
        <is>
          <t>2026-06</t>
        </is>
      </c>
      <c r="E2501" t="inlineStr">
        <is>
          <t>C0063</t>
        </is>
      </c>
      <c r="F2501" t="inlineStr">
        <is>
          <t>C0063</t>
        </is>
      </c>
      <c r="G2501" t="inlineStr">
        <is>
          <t>Highpoint Insurance Repairs Pty Ltd</t>
        </is>
      </c>
      <c r="H2501" t="inlineStr">
        <is>
          <t>S0420</t>
        </is>
      </c>
      <c r="I2501" t="inlineStr">
        <is>
          <t>Materials - ridge capping</t>
        </is>
      </c>
      <c r="J2501" t="n">
        <v>1</v>
      </c>
      <c r="K2501" s="9" t="n">
        <v>687.15</v>
      </c>
      <c r="L2501" t="inlineStr">
        <is>
          <t>AUTHORISED</t>
        </is>
      </c>
      <c r="M2501">
        <f>IF(L2501="VOIDED",0,1)</f>
        <v>1</v>
      </c>
      <c r="N2501" t="n">
        <v>200</v>
      </c>
      <c r="O2501" t="inlineStr">
        <is>
          <t>GST on Income</t>
        </is>
      </c>
      <c r="P2501" t="inlineStr">
        <is>
          <t>R11</t>
        </is>
      </c>
      <c r="Q2501" t="inlineStr">
        <is>
          <t>MAT-RF</t>
        </is>
      </c>
      <c r="R2501">
        <f>IF(OR(Q2501="CONTEXT",Q2501="REVIEW"),"",INDEX('Category Rules'!$D$5:$D$17,MATCH(P2501,'Category Rules'!$A$5:$A$17,0)))</f>
        <v>4030</v>
      </c>
      <c r="S2501" t="str">
        <f>IF(Q2501="CONTEXT","Roofing",IF(Q2501="REVIEW","",INDEX('Category Rules'!$E$5:$E$17,MATCH(P2501,'Category Rules'!$A$5:$A$17,0))))</f>
        <v>Roofing</v>
      </c>
      <c r="T2501" t="str">
        <f>IF(Q2501="DEP","BAS Excluded","GST on Income")</f>
        <v>GST on Income</v>
      </c>
      <c r="U2501">
        <f>IF(O2501=T2501,1,0)</f>
        <v>1</v>
      </c>
      <c r="V2501" s="9">
        <f>IF(OR(M2501=0,U2501=1),0,IF(T2501="GST on Income",ROUND(K2501*0.1,2),ROUND(-K2501*0.1,2)))</f>
        <v>0</v>
      </c>
    </row>
    <row r="2502">
      <c r="A2502" t="inlineStr">
        <is>
          <t>INV-5775-1</t>
        </is>
      </c>
      <c r="B2502" t="inlineStr">
        <is>
          <t>INV-5775</t>
        </is>
      </c>
      <c r="C2502" s="11" t="n">
        <v>46195</v>
      </c>
      <c r="D2502" t="inlineStr">
        <is>
          <t>2026-06</t>
        </is>
      </c>
      <c r="E2502" t="inlineStr">
        <is>
          <t>C0062</t>
        </is>
      </c>
      <c r="F2502" t="inlineStr">
        <is>
          <t>C0062</t>
        </is>
      </c>
      <c r="G2502" t="inlineStr">
        <is>
          <t>Wattle Insurance Repairs Pty Ltd</t>
        </is>
      </c>
      <c r="H2502" t="inlineStr">
        <is>
          <t>S0477</t>
        </is>
      </c>
      <c r="I2502" t="inlineStr">
        <is>
          <t>Make safe call-out</t>
        </is>
      </c>
      <c r="J2502" t="n">
        <v>1</v>
      </c>
      <c r="K2502" s="9" t="n">
        <v>385</v>
      </c>
      <c r="L2502" t="inlineStr">
        <is>
          <t>AUTHORISED</t>
        </is>
      </c>
      <c r="M2502">
        <f>IF(L2502="VOIDED",0,1)</f>
        <v>1</v>
      </c>
      <c r="N2502" t="n">
        <v>200</v>
      </c>
      <c r="O2502" t="inlineStr">
        <is>
          <t>GST on Income</t>
        </is>
      </c>
      <c r="P2502" t="inlineStr">
        <is>
          <t>R09</t>
        </is>
      </c>
      <c r="Q2502" t="inlineStr">
        <is>
          <t>MS</t>
        </is>
      </c>
      <c r="R2502">
        <f>IF(OR(Q2502="CONTEXT",Q2502="REVIEW"),"",INDEX('Category Rules'!$D$5:$D$17,MATCH(P2502,'Category Rules'!$A$5:$A$17,0)))</f>
        <v>4020</v>
      </c>
      <c r="S2502" t="str">
        <f>IF(Q2502="CONTEXT","Make-safe",IF(Q2502="REVIEW","",INDEX('Category Rules'!$E$5:$E$17,MATCH(P2502,'Category Rules'!$A$5:$A$17,0))))</f>
        <v>Make-safe</v>
      </c>
      <c r="T2502" t="str">
        <f>IF(Q2502="DEP","BAS Excluded","GST on Income")</f>
        <v>GST on Income</v>
      </c>
      <c r="U2502">
        <f>IF(O2502=T2502,1,0)</f>
        <v>1</v>
      </c>
      <c r="V2502" s="9">
        <f>IF(OR(M2502=0,U2502=1),0,IF(T2502="GST on Income",ROUND(K2502*0.1,2),ROUND(-K2502*0.1,2)))</f>
        <v>0</v>
      </c>
    </row>
    <row r="2503">
      <c r="A2503" t="inlineStr">
        <is>
          <t>INV-5834-1</t>
        </is>
      </c>
      <c r="B2503" t="inlineStr">
        <is>
          <t>INV-5834</t>
        </is>
      </c>
      <c r="C2503" s="11" t="n">
        <v>46196</v>
      </c>
      <c r="D2503" t="inlineStr">
        <is>
          <t>2026-06</t>
        </is>
      </c>
      <c r="E2503" t="inlineStr">
        <is>
          <t>C0060</t>
        </is>
      </c>
      <c r="F2503" t="inlineStr">
        <is>
          <t>C0060</t>
        </is>
      </c>
      <c r="G2503" t="inlineStr">
        <is>
          <t>Redline Claims Services</t>
        </is>
      </c>
      <c r="H2503" t="inlineStr">
        <is>
          <t>S0510</t>
        </is>
      </c>
      <c r="I2503" t="inlineStr">
        <is>
          <t>Tarp kit hire 4 wks (26/05/26-22/06/26) - 1 kits</t>
        </is>
      </c>
      <c r="J2503" t="n">
        <v>4</v>
      </c>
      <c r="K2503" s="9" t="n">
        <v>140</v>
      </c>
      <c r="L2503" t="inlineStr">
        <is>
          <t>AUTHORISED</t>
        </is>
      </c>
      <c r="M2503">
        <f>IF(L2503="VOIDED",0,1)</f>
        <v>1</v>
      </c>
      <c r="N2503" t="n">
        <v>200</v>
      </c>
      <c r="O2503" t="inlineStr">
        <is>
          <t>GST on Income</t>
        </is>
      </c>
      <c r="P2503" t="inlineStr">
        <is>
          <t>R06</t>
        </is>
      </c>
      <c r="Q2503" t="inlineStr">
        <is>
          <t>HIRE-TK</t>
        </is>
      </c>
      <c r="R2503">
        <f>IF(OR(Q2503="CONTEXT",Q2503="REVIEW"),"",INDEX('Category Rules'!$D$5:$D$17,MATCH(P2503,'Category Rules'!$A$5:$A$17,0)))</f>
        <v>4010</v>
      </c>
      <c r="S2503" t="str">
        <f>IF(Q2503="CONTEXT","Make-safe",IF(Q2503="REVIEW","",INDEX('Category Rules'!$E$5:$E$17,MATCH(P2503,'Category Rules'!$A$5:$A$17,0))))</f>
        <v>Make-safe</v>
      </c>
      <c r="T2503" t="str">
        <f>IF(Q2503="DEP","BAS Excluded","GST on Income")</f>
        <v>GST on Income</v>
      </c>
      <c r="U2503">
        <f>IF(O2503=T2503,1,0)</f>
        <v>1</v>
      </c>
      <c r="V2503" s="9">
        <f>IF(OR(M2503=0,U2503=1),0,IF(T2503="GST on Income",ROUND(K2503*0.1,2),ROUND(-K2503*0.1,2)))</f>
        <v>0</v>
      </c>
    </row>
    <row r="2504">
      <c r="A2504" t="inlineStr">
        <is>
          <t>INV-4920-1</t>
        </is>
      </c>
      <c r="B2504" t="inlineStr">
        <is>
          <t>INV-4920</t>
        </is>
      </c>
      <c r="C2504" s="11" t="n">
        <v>46197</v>
      </c>
      <c r="D2504" t="inlineStr">
        <is>
          <t>2026-06</t>
        </is>
      </c>
      <c r="E2504" t="inlineStr">
        <is>
          <t>C0018</t>
        </is>
      </c>
      <c r="F2504" t="inlineStr">
        <is>
          <t>C0018</t>
        </is>
      </c>
      <c r="G2504" t="inlineStr">
        <is>
          <t>Wattle Constructions Pty Ltd</t>
        </is>
      </c>
      <c r="H2504" t="inlineStr">
        <is>
          <t>S0173</t>
        </is>
      </c>
      <c r="I2504" t="inlineStr">
        <is>
          <t>Temporary fence hire 4 wks (27/05/26-23/06/26) - 149 panels</t>
        </is>
      </c>
      <c r="J2504" t="n">
        <v>596</v>
      </c>
      <c r="K2504" s="9" t="n">
        <v>2682</v>
      </c>
      <c r="L2504" t="inlineStr">
        <is>
          <t>AUTHORISED</t>
        </is>
      </c>
      <c r="M2504">
        <f>IF(L2504="VOIDED",0,1)</f>
        <v>1</v>
      </c>
      <c r="N2504" t="n">
        <v>200</v>
      </c>
      <c r="O2504" t="inlineStr">
        <is>
          <t>GST on Income</t>
        </is>
      </c>
      <c r="P2504" t="inlineStr">
        <is>
          <t>R03</t>
        </is>
      </c>
      <c r="Q2504" t="inlineStr">
        <is>
          <t>HIRE-FP</t>
        </is>
      </c>
      <c r="R2504">
        <f>IF(OR(Q2504="CONTEXT",Q2504="REVIEW"),"",INDEX('Category Rules'!$D$5:$D$17,MATCH(P2504,'Category Rules'!$A$5:$A$17,0)))</f>
        <v>4010</v>
      </c>
      <c r="S2504" t="str">
        <f>IF(Q2504="CONTEXT","Fencing",IF(Q2504="REVIEW","",INDEX('Category Rules'!$E$5:$E$17,MATCH(P2504,'Category Rules'!$A$5:$A$17,0))))</f>
        <v>Fencing</v>
      </c>
      <c r="T2504" t="str">
        <f>IF(Q2504="DEP","BAS Excluded","GST on Income")</f>
        <v>GST on Income</v>
      </c>
      <c r="U2504">
        <f>IF(O2504=T2504,1,0)</f>
        <v>1</v>
      </c>
      <c r="V2504" s="9">
        <f>IF(OR(M2504=0,U2504=1),0,IF(T2504="GST on Income",ROUND(K2504*0.1,2),ROUND(-K2504*0.1,2)))</f>
        <v>0</v>
      </c>
    </row>
    <row r="2505">
      <c r="A2505" t="inlineStr">
        <is>
          <t>INV-5799-1</t>
        </is>
      </c>
      <c r="B2505" t="inlineStr">
        <is>
          <t>INV-5799</t>
        </is>
      </c>
      <c r="C2505" s="11" t="n">
        <v>46197</v>
      </c>
      <c r="D2505" t="inlineStr">
        <is>
          <t>2026-06</t>
        </is>
      </c>
      <c r="E2505" t="inlineStr">
        <is>
          <t>C0089</t>
        </is>
      </c>
      <c r="F2505" t="inlineStr">
        <is>
          <t>C0089</t>
        </is>
      </c>
      <c r="G2505" t="inlineStr">
        <is>
          <t>Leo Hughes</t>
        </is>
      </c>
      <c r="H2505" t="inlineStr">
        <is>
          <t>S0490</t>
        </is>
      </c>
      <c r="I2505" t="inlineStr">
        <is>
          <t>Tarp kit hire 4 wks (27/05/26-23/06/26) - 1 kits</t>
        </is>
      </c>
      <c r="J2505" t="n">
        <v>4</v>
      </c>
      <c r="K2505" s="9" t="n">
        <v>140</v>
      </c>
      <c r="L2505" t="inlineStr">
        <is>
          <t>PAID</t>
        </is>
      </c>
      <c r="M2505">
        <f>IF(L2505="VOIDED",0,1)</f>
        <v>1</v>
      </c>
      <c r="N2505" t="n">
        <v>200</v>
      </c>
      <c r="O2505" t="inlineStr">
        <is>
          <t>GST on Income</t>
        </is>
      </c>
      <c r="P2505" t="inlineStr">
        <is>
          <t>R06</t>
        </is>
      </c>
      <c r="Q2505" t="inlineStr">
        <is>
          <t>HIRE-TK</t>
        </is>
      </c>
      <c r="R2505">
        <f>IF(OR(Q2505="CONTEXT",Q2505="REVIEW"),"",INDEX('Category Rules'!$D$5:$D$17,MATCH(P2505,'Category Rules'!$A$5:$A$17,0)))</f>
        <v>4010</v>
      </c>
      <c r="S2505" t="str">
        <f>IF(Q2505="CONTEXT","Make-safe",IF(Q2505="REVIEW","",INDEX('Category Rules'!$E$5:$E$17,MATCH(P2505,'Category Rules'!$A$5:$A$17,0))))</f>
        <v>Make-safe</v>
      </c>
      <c r="T2505" t="str">
        <f>IF(Q2505="DEP","BAS Excluded","GST on Income")</f>
        <v>GST on Income</v>
      </c>
      <c r="U2505">
        <f>IF(O2505=T2505,1,0)</f>
        <v>1</v>
      </c>
      <c r="V2505" s="9">
        <f>IF(OR(M2505=0,U2505=1),0,IF(T2505="GST on Income",ROUND(K2505*0.1,2),ROUND(-K2505*0.1,2)))</f>
        <v>0</v>
      </c>
    </row>
    <row r="2506">
      <c r="A2506" t="inlineStr">
        <is>
          <t>CN-5944-1</t>
        </is>
      </c>
      <c r="B2506" t="inlineStr">
        <is>
          <t>CN-5944</t>
        </is>
      </c>
      <c r="C2506" s="11" t="n">
        <v>46198</v>
      </c>
      <c r="D2506" t="inlineStr">
        <is>
          <t>2026-06</t>
        </is>
      </c>
      <c r="E2506" t="inlineStr">
        <is>
          <t>C0022</t>
        </is>
      </c>
      <c r="F2506" t="inlineStr">
        <is>
          <t>C0022</t>
        </is>
      </c>
      <c r="G2506" t="inlineStr">
        <is>
          <t>Highpoint Projects</t>
        </is>
      </c>
      <c r="H2506" t="inlineStr">
        <is>
          <t>S0054</t>
        </is>
      </c>
      <c r="I2506" t="inlineStr">
        <is>
          <t>Refund of security deposit - fence panels</t>
        </is>
      </c>
      <c r="J2506" t="n">
        <v>1</v>
      </c>
      <c r="K2506" s="9" t="n">
        <v>-530</v>
      </c>
      <c r="L2506" t="inlineStr">
        <is>
          <t>PAID</t>
        </is>
      </c>
      <c r="M2506">
        <f>IF(L2506="VOIDED",0,1)</f>
        <v>1</v>
      </c>
      <c r="N2506" t="n">
        <v>200</v>
      </c>
      <c r="O2506" t="inlineStr">
        <is>
          <t>GST on Income</t>
        </is>
      </c>
      <c r="P2506" t="inlineStr">
        <is>
          <t>R01</t>
        </is>
      </c>
      <c r="Q2506" t="inlineStr">
        <is>
          <t>DEP</t>
        </is>
      </c>
      <c r="R2506">
        <f>IF(OR(Q2506="CONTEXT",Q2506="REVIEW"),"",INDEX('Category Rules'!$D$5:$D$17,MATCH(P2506,'Category Rules'!$A$5:$A$17,0)))</f>
        <v>835</v>
      </c>
      <c r="S2506" t="str">
        <f>IF(Q2506="CONTEXT","Fencing",IF(Q2506="REVIEW","",INDEX('Category Rules'!$E$5:$E$17,MATCH(P2506,'Category Rules'!$A$5:$A$17,0))))</f>
        <v>Fencing</v>
      </c>
      <c r="T2506" t="str">
        <f>IF(Q2506="DEP","BAS Excluded","GST on Income")</f>
        <v>BAS Excluded</v>
      </c>
      <c r="U2506">
        <f>IF(O2506=T2506,1,0)</f>
        <v>0</v>
      </c>
      <c r="V2506" s="9">
        <f>IF(OR(M2506=0,U2506=1),0,IF(T2506="GST on Income",ROUND(K2506*0.1,2),ROUND(-K2506*0.1,2)))</f>
        <v>53</v>
      </c>
    </row>
    <row r="2507">
      <c r="A2507" t="inlineStr">
        <is>
          <t>INV-4561-1</t>
        </is>
      </c>
      <c r="B2507" t="inlineStr">
        <is>
          <t>INV-4561</t>
        </is>
      </c>
      <c r="C2507" s="11" t="n">
        <v>46198</v>
      </c>
      <c r="D2507" t="inlineStr">
        <is>
          <t>2026-06</t>
        </is>
      </c>
      <c r="E2507" t="inlineStr">
        <is>
          <t>C0141</t>
        </is>
      </c>
      <c r="F2507" t="inlineStr">
        <is>
          <t>C0028</t>
        </is>
      </c>
      <c r="G2507" t="inlineStr">
        <is>
          <t>Banksia Homes</t>
        </is>
      </c>
      <c r="H2507" t="inlineStr">
        <is>
          <t>S0092</t>
        </is>
      </c>
      <c r="I2507" t="inlineStr">
        <is>
          <t>Temporary fence hire 4 wks (28/05/26-24/06/26) - 104 panels</t>
        </is>
      </c>
      <c r="J2507" t="n">
        <v>416</v>
      </c>
      <c r="K2507" s="9" t="n">
        <v>1872</v>
      </c>
      <c r="L2507" t="inlineStr">
        <is>
          <t>PAID</t>
        </is>
      </c>
      <c r="M2507">
        <f>IF(L2507="VOIDED",0,1)</f>
        <v>1</v>
      </c>
      <c r="N2507" t="n">
        <v>200</v>
      </c>
      <c r="O2507" t="inlineStr">
        <is>
          <t>GST on Income</t>
        </is>
      </c>
      <c r="P2507" t="inlineStr">
        <is>
          <t>R03</t>
        </is>
      </c>
      <c r="Q2507" t="inlineStr">
        <is>
          <t>HIRE-FP</t>
        </is>
      </c>
      <c r="R2507">
        <f>IF(OR(Q2507="CONTEXT",Q2507="REVIEW"),"",INDEX('Category Rules'!$D$5:$D$17,MATCH(P2507,'Category Rules'!$A$5:$A$17,0)))</f>
        <v>4010</v>
      </c>
      <c r="S2507" t="str">
        <f>IF(Q2507="CONTEXT","Fencing",IF(Q2507="REVIEW","",INDEX('Category Rules'!$E$5:$E$17,MATCH(P2507,'Category Rules'!$A$5:$A$17,0))))</f>
        <v>Fencing</v>
      </c>
      <c r="T2507" t="str">
        <f>IF(Q2507="DEP","BAS Excluded","GST on Income")</f>
        <v>GST on Income</v>
      </c>
      <c r="U2507">
        <f>IF(O2507=T2507,1,0)</f>
        <v>1</v>
      </c>
      <c r="V2507" s="9">
        <f>IF(OR(M2507=0,U2507=1),0,IF(T2507="GST on Income",ROUND(K2507*0.1,2),ROUND(-K2507*0.1,2)))</f>
        <v>0</v>
      </c>
    </row>
    <row r="2508">
      <c r="A2508" t="inlineStr">
        <is>
          <t>INV-5578-1</t>
        </is>
      </c>
      <c r="B2508" t="inlineStr">
        <is>
          <t>INV-5578</t>
        </is>
      </c>
      <c r="C2508" s="11" t="n">
        <v>46198</v>
      </c>
      <c r="D2508" t="inlineStr">
        <is>
          <t>2026-06</t>
        </is>
      </c>
      <c r="E2508" t="inlineStr">
        <is>
          <t>C0035</t>
        </is>
      </c>
      <c r="F2508" t="inlineStr">
        <is>
          <t>C0035</t>
        </is>
      </c>
      <c r="G2508" t="inlineStr">
        <is>
          <t>Bayside Homes Pty Ltd</t>
        </is>
      </c>
      <c r="H2508" t="inlineStr">
        <is>
          <t>S0369</t>
        </is>
      </c>
      <c r="I2508" t="inlineStr">
        <is>
          <t>Tarp kit hire 2 wks (17/06/26-24/06/26) - 2 kits</t>
        </is>
      </c>
      <c r="J2508" t="n">
        <v>4</v>
      </c>
      <c r="K2508" s="9" t="n">
        <v>140</v>
      </c>
      <c r="L2508" t="inlineStr">
        <is>
          <t>AUTHORISED</t>
        </is>
      </c>
      <c r="M2508">
        <f>IF(L2508="VOIDED",0,1)</f>
        <v>1</v>
      </c>
      <c r="N2508" t="n">
        <v>200</v>
      </c>
      <c r="O2508" t="inlineStr">
        <is>
          <t>GST on Income</t>
        </is>
      </c>
      <c r="P2508" t="inlineStr">
        <is>
          <t>R06</t>
        </is>
      </c>
      <c r="Q2508" t="inlineStr">
        <is>
          <t>HIRE-TK</t>
        </is>
      </c>
      <c r="R2508">
        <f>IF(OR(Q2508="CONTEXT",Q2508="REVIEW"),"",INDEX('Category Rules'!$D$5:$D$17,MATCH(P2508,'Category Rules'!$A$5:$A$17,0)))</f>
        <v>4010</v>
      </c>
      <c r="S2508" t="str">
        <f>IF(Q2508="CONTEXT","Make-safe",IF(Q2508="REVIEW","",INDEX('Category Rules'!$E$5:$E$17,MATCH(P2508,'Category Rules'!$A$5:$A$17,0))))</f>
        <v>Make-safe</v>
      </c>
      <c r="T2508" t="str">
        <f>IF(Q2508="DEP","BAS Excluded","GST on Income")</f>
        <v>GST on Income</v>
      </c>
      <c r="U2508">
        <f>IF(O2508=T2508,1,0)</f>
        <v>1</v>
      </c>
      <c r="V2508" s="9">
        <f>IF(OR(M2508=0,U2508=1),0,IF(T2508="GST on Income",ROUND(K2508*0.1,2),ROUND(-K2508*0.1,2)))</f>
        <v>0</v>
      </c>
    </row>
    <row r="2509">
      <c r="A2509" t="inlineStr">
        <is>
          <t>INV-5671-1</t>
        </is>
      </c>
      <c r="B2509" t="inlineStr">
        <is>
          <t>INV-5671</t>
        </is>
      </c>
      <c r="C2509" s="11" t="n">
        <v>46198</v>
      </c>
      <c r="D2509" t="inlineStr">
        <is>
          <t>2026-06</t>
        </is>
      </c>
      <c r="E2509" t="inlineStr">
        <is>
          <t>C0063</t>
        </is>
      </c>
      <c r="F2509" t="inlineStr">
        <is>
          <t>C0063</t>
        </is>
      </c>
      <c r="G2509" t="inlineStr">
        <is>
          <t>Highpoint Insurance Repairs Pty Ltd</t>
        </is>
      </c>
      <c r="H2509" t="inlineStr">
        <is>
          <t>S0420</t>
        </is>
      </c>
      <c r="I2509" t="inlineStr">
        <is>
          <t>Tarp kit hire 3 wks (10/06/26-24/06/26) - 2 kits</t>
        </is>
      </c>
      <c r="J2509" t="n">
        <v>6</v>
      </c>
      <c r="K2509" s="9" t="n">
        <v>210</v>
      </c>
      <c r="L2509" t="inlineStr">
        <is>
          <t>PAID</t>
        </is>
      </c>
      <c r="M2509">
        <f>IF(L2509="VOIDED",0,1)</f>
        <v>1</v>
      </c>
      <c r="N2509" t="n">
        <v>200</v>
      </c>
      <c r="O2509" t="inlineStr">
        <is>
          <t>GST on Income</t>
        </is>
      </c>
      <c r="P2509" t="inlineStr">
        <is>
          <t>R06</t>
        </is>
      </c>
      <c r="Q2509" t="inlineStr">
        <is>
          <t>HIRE-TK</t>
        </is>
      </c>
      <c r="R2509">
        <f>IF(OR(Q2509="CONTEXT",Q2509="REVIEW"),"",INDEX('Category Rules'!$D$5:$D$17,MATCH(P2509,'Category Rules'!$A$5:$A$17,0)))</f>
        <v>4010</v>
      </c>
      <c r="S2509" t="str">
        <f>IF(Q2509="CONTEXT","Make-safe",IF(Q2509="REVIEW","",INDEX('Category Rules'!$E$5:$E$17,MATCH(P2509,'Category Rules'!$A$5:$A$17,0))))</f>
        <v>Make-safe</v>
      </c>
      <c r="T2509" t="str">
        <f>IF(Q2509="DEP","BAS Excluded","GST on Income")</f>
        <v>GST on Income</v>
      </c>
      <c r="U2509">
        <f>IF(O2509=T2509,1,0)</f>
        <v>1</v>
      </c>
      <c r="V2509" s="9">
        <f>IF(OR(M2509=0,U2509=1),0,IF(T2509="GST on Income",ROUND(K2509*0.1,2),ROUND(-K2509*0.1,2)))</f>
        <v>0</v>
      </c>
    </row>
    <row r="2510">
      <c r="A2510" t="inlineStr">
        <is>
          <t>INV-5734-1</t>
        </is>
      </c>
      <c r="B2510" t="inlineStr">
        <is>
          <t>INV-5734</t>
        </is>
      </c>
      <c r="C2510" s="11" t="n">
        <v>46198</v>
      </c>
      <c r="D2510" t="inlineStr">
        <is>
          <t>2026-06</t>
        </is>
      </c>
      <c r="E2510" t="inlineStr">
        <is>
          <t>C0131</t>
        </is>
      </c>
      <c r="F2510" t="inlineStr">
        <is>
          <t>C0050</t>
        </is>
      </c>
      <c r="G2510" t="inlineStr">
        <is>
          <t>Southbank Body Corporate Pty Ltd</t>
        </is>
      </c>
      <c r="H2510" t="inlineStr">
        <is>
          <t>S0452</t>
        </is>
      </c>
      <c r="I2510" t="inlineStr">
        <is>
          <t>Roof repair labour - 3 hrs</t>
        </is>
      </c>
      <c r="J2510" t="n">
        <v>3</v>
      </c>
      <c r="K2510" s="9" t="n">
        <v>294</v>
      </c>
      <c r="L2510" t="inlineStr">
        <is>
          <t>AUTHORISED</t>
        </is>
      </c>
      <c r="M2510">
        <f>IF(L2510="VOIDED",0,1)</f>
        <v>1</v>
      </c>
      <c r="N2510" t="n">
        <v>200</v>
      </c>
      <c r="O2510" t="inlineStr">
        <is>
          <t>GST Free Income</t>
        </is>
      </c>
      <c r="P2510" t="inlineStr">
        <is>
          <t>R10</t>
        </is>
      </c>
      <c r="Q2510" t="inlineStr">
        <is>
          <t>LAB-RF</t>
        </is>
      </c>
      <c r="R2510">
        <f>IF(OR(Q2510="CONTEXT",Q2510="REVIEW"),"",INDEX('Category Rules'!$D$5:$D$17,MATCH(P2510,'Category Rules'!$A$5:$A$17,0)))</f>
        <v>4020</v>
      </c>
      <c r="S2510" t="str">
        <f>IF(Q2510="CONTEXT","Roofing",IF(Q2510="REVIEW","",INDEX('Category Rules'!$E$5:$E$17,MATCH(P2510,'Category Rules'!$A$5:$A$17,0))))</f>
        <v>Roofing</v>
      </c>
      <c r="T2510" t="str">
        <f>IF(Q2510="DEP","BAS Excluded","GST on Income")</f>
        <v>GST on Income</v>
      </c>
      <c r="U2510">
        <f>IF(O2510=T2510,1,0)</f>
        <v>0</v>
      </c>
      <c r="V2510" s="9">
        <f>IF(OR(M2510=0,U2510=1),0,IF(T2510="GST on Income",ROUND(K2510*0.1,2),ROUND(-K2510*0.1,2)))</f>
        <v>29.4</v>
      </c>
    </row>
    <row r="2511">
      <c r="A2511" t="inlineStr">
        <is>
          <t>INV-5734-2</t>
        </is>
      </c>
      <c r="B2511" t="inlineStr">
        <is>
          <t>INV-5734</t>
        </is>
      </c>
      <c r="C2511" s="11" t="n">
        <v>46198</v>
      </c>
      <c r="D2511" t="inlineStr">
        <is>
          <t>2026-06</t>
        </is>
      </c>
      <c r="E2511" t="inlineStr">
        <is>
          <t>C0131</t>
        </is>
      </c>
      <c r="F2511" t="inlineStr">
        <is>
          <t>C0050</t>
        </is>
      </c>
      <c r="G2511" t="inlineStr">
        <is>
          <t>Southbank Body Corporate Pty Ltd</t>
        </is>
      </c>
      <c r="H2511" t="inlineStr">
        <is>
          <t>S0452</t>
        </is>
      </c>
      <c r="I2511" t="inlineStr">
        <is>
          <t>Materials - roof tiles (matched)</t>
        </is>
      </c>
      <c r="J2511" t="n">
        <v>1</v>
      </c>
      <c r="K2511" s="9" t="n">
        <v>971.22</v>
      </c>
      <c r="L2511" t="inlineStr">
        <is>
          <t>AUTHORISED</t>
        </is>
      </c>
      <c r="M2511">
        <f>IF(L2511="VOIDED",0,1)</f>
        <v>1</v>
      </c>
      <c r="N2511" t="n">
        <v>200</v>
      </c>
      <c r="O2511" t="inlineStr">
        <is>
          <t>GST on Income</t>
        </is>
      </c>
      <c r="P2511" t="inlineStr">
        <is>
          <t>R11</t>
        </is>
      </c>
      <c r="Q2511" t="inlineStr">
        <is>
          <t>MAT-RF</t>
        </is>
      </c>
      <c r="R2511">
        <f>IF(OR(Q2511="CONTEXT",Q2511="REVIEW"),"",INDEX('Category Rules'!$D$5:$D$17,MATCH(P2511,'Category Rules'!$A$5:$A$17,0)))</f>
        <v>4030</v>
      </c>
      <c r="S2511" t="str">
        <f>IF(Q2511="CONTEXT","Roofing",IF(Q2511="REVIEW","",INDEX('Category Rules'!$E$5:$E$17,MATCH(P2511,'Category Rules'!$A$5:$A$17,0))))</f>
        <v>Roofing</v>
      </c>
      <c r="T2511" t="str">
        <f>IF(Q2511="DEP","BAS Excluded","GST on Income")</f>
        <v>GST on Income</v>
      </c>
      <c r="U2511">
        <f>IF(O2511=T2511,1,0)</f>
        <v>1</v>
      </c>
      <c r="V2511" s="9">
        <f>IF(OR(M2511=0,U2511=1),0,IF(T2511="GST on Income",ROUND(K2511*0.1,2),ROUND(-K2511*0.1,2)))</f>
        <v>0</v>
      </c>
    </row>
    <row r="2512">
      <c r="A2512" t="inlineStr">
        <is>
          <t>INV-5734-3</t>
        </is>
      </c>
      <c r="B2512" t="inlineStr">
        <is>
          <t>INV-5734</t>
        </is>
      </c>
      <c r="C2512" s="11" t="n">
        <v>46198</v>
      </c>
      <c r="D2512" t="inlineStr">
        <is>
          <t>2026-06</t>
        </is>
      </c>
      <c r="E2512" t="inlineStr">
        <is>
          <t>C0131</t>
        </is>
      </c>
      <c r="F2512" t="inlineStr">
        <is>
          <t>C0050</t>
        </is>
      </c>
      <c r="G2512" t="inlineStr">
        <is>
          <t>Southbank Body Corporate Pty Ltd</t>
        </is>
      </c>
      <c r="H2512" t="inlineStr">
        <is>
          <t>S0452</t>
        </is>
      </c>
      <c r="I2512" t="inlineStr">
        <is>
          <t>Waste removal and tip fees</t>
        </is>
      </c>
      <c r="J2512" t="n">
        <v>1</v>
      </c>
      <c r="K2512" s="9" t="n">
        <v>120</v>
      </c>
      <c r="L2512" t="inlineStr">
        <is>
          <t>AUTHORISED</t>
        </is>
      </c>
      <c r="M2512">
        <f>IF(L2512="VOIDED",0,1)</f>
        <v>1</v>
      </c>
      <c r="N2512" t="n">
        <v>200</v>
      </c>
      <c r="O2512" t="inlineStr">
        <is>
          <t>GST on Income</t>
        </is>
      </c>
      <c r="P2512" t="inlineStr">
        <is>
          <t>R11</t>
        </is>
      </c>
      <c r="Q2512" t="inlineStr">
        <is>
          <t>MAT-RF</t>
        </is>
      </c>
      <c r="R2512">
        <f>IF(OR(Q2512="CONTEXT",Q2512="REVIEW"),"",INDEX('Category Rules'!$D$5:$D$17,MATCH(P2512,'Category Rules'!$A$5:$A$17,0)))</f>
        <v>4030</v>
      </c>
      <c r="S2512" t="str">
        <f>IF(Q2512="CONTEXT","Roofing",IF(Q2512="REVIEW","",INDEX('Category Rules'!$E$5:$E$17,MATCH(P2512,'Category Rules'!$A$5:$A$17,0))))</f>
        <v>Roofing</v>
      </c>
      <c r="T2512" t="str">
        <f>IF(Q2512="DEP","BAS Excluded","GST on Income")</f>
        <v>GST on Income</v>
      </c>
      <c r="U2512">
        <f>IF(O2512=T2512,1,0)</f>
        <v>1</v>
      </c>
      <c r="V2512" s="9">
        <f>IF(OR(M2512=0,U2512=1),0,IF(T2512="GST on Income",ROUND(K2512*0.1,2),ROUND(-K2512*0.1,2)))</f>
        <v>0</v>
      </c>
    </row>
    <row r="2513">
      <c r="A2513" t="inlineStr">
        <is>
          <t>INV-5800-1</t>
        </is>
      </c>
      <c r="B2513" t="inlineStr">
        <is>
          <t>INV-5800</t>
        </is>
      </c>
      <c r="C2513" s="11" t="n">
        <v>46198</v>
      </c>
      <c r="D2513" t="inlineStr">
        <is>
          <t>2026-06</t>
        </is>
      </c>
      <c r="E2513" t="inlineStr">
        <is>
          <t>C0089</t>
        </is>
      </c>
      <c r="F2513" t="inlineStr">
        <is>
          <t>C0089</t>
        </is>
      </c>
      <c r="G2513" t="inlineStr">
        <is>
          <t>Leo Hughes</t>
        </is>
      </c>
      <c r="H2513" t="inlineStr">
        <is>
          <t>S0490</t>
        </is>
      </c>
      <c r="I2513" t="inlineStr">
        <is>
          <t>Tarp kit hire 1 wks (24/06/26-24/06/26) - 1 kits</t>
        </is>
      </c>
      <c r="J2513" t="n">
        <v>1</v>
      </c>
      <c r="K2513" s="9" t="n">
        <v>35</v>
      </c>
      <c r="L2513" t="inlineStr">
        <is>
          <t>PAID</t>
        </is>
      </c>
      <c r="M2513">
        <f>IF(L2513="VOIDED",0,1)</f>
        <v>1</v>
      </c>
      <c r="N2513" t="n">
        <v>260</v>
      </c>
      <c r="O2513" t="inlineStr">
        <is>
          <t>GST on Income</t>
        </is>
      </c>
      <c r="P2513" t="inlineStr">
        <is>
          <t>R06</t>
        </is>
      </c>
      <c r="Q2513" t="inlineStr">
        <is>
          <t>HIRE-TK</t>
        </is>
      </c>
      <c r="R2513">
        <f>IF(OR(Q2513="CONTEXT",Q2513="REVIEW"),"",INDEX('Category Rules'!$D$5:$D$17,MATCH(P2513,'Category Rules'!$A$5:$A$17,0)))</f>
        <v>4010</v>
      </c>
      <c r="S2513" t="str">
        <f>IF(Q2513="CONTEXT","Make-safe",IF(Q2513="REVIEW","",INDEX('Category Rules'!$E$5:$E$17,MATCH(P2513,'Category Rules'!$A$5:$A$17,0))))</f>
        <v>Make-safe</v>
      </c>
      <c r="T2513" t="str">
        <f>IF(Q2513="DEP","BAS Excluded","GST on Income")</f>
        <v>GST on Income</v>
      </c>
      <c r="U2513">
        <f>IF(O2513=T2513,1,0)</f>
        <v>1</v>
      </c>
      <c r="V2513" s="9">
        <f>IF(OR(M2513=0,U2513=1),0,IF(T2513="GST on Income",ROUND(K2513*0.1,2),ROUND(-K2513*0.1,2)))</f>
        <v>0</v>
      </c>
    </row>
    <row r="2514">
      <c r="A2514" t="inlineStr">
        <is>
          <t>INV-4348-1</t>
        </is>
      </c>
      <c r="B2514" t="inlineStr">
        <is>
          <t>INV-4348</t>
        </is>
      </c>
      <c r="C2514" s="11" t="n">
        <v>46199</v>
      </c>
      <c r="D2514" t="inlineStr">
        <is>
          <t>2026-06</t>
        </is>
      </c>
      <c r="E2514" t="inlineStr">
        <is>
          <t>C0043</t>
        </is>
      </c>
      <c r="F2514" t="inlineStr">
        <is>
          <t>C0043</t>
        </is>
      </c>
      <c r="G2514" t="inlineStr">
        <is>
          <t>Banksia Projects Pty Ltd</t>
        </is>
      </c>
      <c r="H2514" t="inlineStr">
        <is>
          <t>S0052</t>
        </is>
      </c>
      <c r="I2514" t="inlineStr">
        <is>
          <t>Temporary fence hire 4 wks (29/05/26-25/06/26) - 107 panels</t>
        </is>
      </c>
      <c r="J2514" t="n">
        <v>428</v>
      </c>
      <c r="K2514" s="9" t="n">
        <v>1926</v>
      </c>
      <c r="L2514" t="inlineStr">
        <is>
          <t>PAID</t>
        </is>
      </c>
      <c r="M2514">
        <f>IF(L2514="VOIDED",0,1)</f>
        <v>1</v>
      </c>
      <c r="N2514" t="n">
        <v>200</v>
      </c>
      <c r="O2514" t="inlineStr">
        <is>
          <t>GST on Income</t>
        </is>
      </c>
      <c r="P2514" t="inlineStr">
        <is>
          <t>R03</t>
        </is>
      </c>
      <c r="Q2514" t="inlineStr">
        <is>
          <t>HIRE-FP</t>
        </is>
      </c>
      <c r="R2514">
        <f>IF(OR(Q2514="CONTEXT",Q2514="REVIEW"),"",INDEX('Category Rules'!$D$5:$D$17,MATCH(P2514,'Category Rules'!$A$5:$A$17,0)))</f>
        <v>4010</v>
      </c>
      <c r="S2514" t="str">
        <f>IF(Q2514="CONTEXT","Fencing",IF(Q2514="REVIEW","",INDEX('Category Rules'!$E$5:$E$17,MATCH(P2514,'Category Rules'!$A$5:$A$17,0))))</f>
        <v>Fencing</v>
      </c>
      <c r="T2514" t="str">
        <f>IF(Q2514="DEP","BAS Excluded","GST on Income")</f>
        <v>GST on Income</v>
      </c>
      <c r="U2514">
        <f>IF(O2514=T2514,1,0)</f>
        <v>1</v>
      </c>
      <c r="V2514" s="9">
        <f>IF(OR(M2514=0,U2514=1),0,IF(T2514="GST on Income",ROUND(K2514*0.1,2),ROUND(-K2514*0.1,2)))</f>
        <v>0</v>
      </c>
    </row>
    <row r="2515">
      <c r="A2515" t="inlineStr">
        <is>
          <t>INV-4459-1</t>
        </is>
      </c>
      <c r="B2515" t="inlineStr">
        <is>
          <t>INV-4459</t>
        </is>
      </c>
      <c r="C2515" s="11" t="n">
        <v>46199</v>
      </c>
      <c r="D2515" t="inlineStr">
        <is>
          <t>2026-06</t>
        </is>
      </c>
      <c r="E2515" t="inlineStr">
        <is>
          <t>C0018</t>
        </is>
      </c>
      <c r="F2515" t="inlineStr">
        <is>
          <t>C0018</t>
        </is>
      </c>
      <c r="G2515" t="inlineStr">
        <is>
          <t>Wattle Constructions Pty Ltd</t>
        </is>
      </c>
      <c r="H2515" t="inlineStr">
        <is>
          <t>S0073</t>
        </is>
      </c>
      <c r="I2515" t="inlineStr">
        <is>
          <t>Temporary fence hire 4 wks (29/05/26-25/06/26) - 70 panels</t>
        </is>
      </c>
      <c r="J2515" t="n">
        <v>280</v>
      </c>
      <c r="K2515" s="9" t="n">
        <v>1260</v>
      </c>
      <c r="L2515" t="inlineStr">
        <is>
          <t>AUTHORISED</t>
        </is>
      </c>
      <c r="M2515">
        <f>IF(L2515="VOIDED",0,1)</f>
        <v>1</v>
      </c>
      <c r="N2515" t="n">
        <v>200</v>
      </c>
      <c r="O2515" t="inlineStr">
        <is>
          <t>GST on Income</t>
        </is>
      </c>
      <c r="P2515" t="inlineStr">
        <is>
          <t>R03</t>
        </is>
      </c>
      <c r="Q2515" t="inlineStr">
        <is>
          <t>HIRE-FP</t>
        </is>
      </c>
      <c r="R2515">
        <f>IF(OR(Q2515="CONTEXT",Q2515="REVIEW"),"",INDEX('Category Rules'!$D$5:$D$17,MATCH(P2515,'Category Rules'!$A$5:$A$17,0)))</f>
        <v>4010</v>
      </c>
      <c r="S2515" t="str">
        <f>IF(Q2515="CONTEXT","Fencing",IF(Q2515="REVIEW","",INDEX('Category Rules'!$E$5:$E$17,MATCH(P2515,'Category Rules'!$A$5:$A$17,0))))</f>
        <v>Fencing</v>
      </c>
      <c r="T2515" t="str">
        <f>IF(Q2515="DEP","BAS Excluded","GST on Income")</f>
        <v>GST on Income</v>
      </c>
      <c r="U2515">
        <f>IF(O2515=T2515,1,0)</f>
        <v>1</v>
      </c>
      <c r="V2515" s="9">
        <f>IF(OR(M2515=0,U2515=1),0,IF(T2515="GST on Income",ROUND(K2515*0.1,2),ROUND(-K2515*0.1,2)))</f>
        <v>0</v>
      </c>
    </row>
    <row r="2516">
      <c r="A2516" t="inlineStr">
        <is>
          <t>INV-4461-1</t>
        </is>
      </c>
      <c r="B2516" t="inlineStr">
        <is>
          <t>INV-4461</t>
        </is>
      </c>
      <c r="C2516" s="11" t="n">
        <v>46199</v>
      </c>
      <c r="D2516" t="inlineStr">
        <is>
          <t>2026-06</t>
        </is>
      </c>
      <c r="E2516" t="inlineStr">
        <is>
          <t>C0018</t>
        </is>
      </c>
      <c r="F2516" t="inlineStr">
        <is>
          <t>C0018</t>
        </is>
      </c>
      <c r="G2516" t="inlineStr">
        <is>
          <t>Wattle Constructions Pty Ltd</t>
        </is>
      </c>
      <c r="H2516" t="inlineStr">
        <is>
          <t>S0073</t>
        </is>
      </c>
      <c r="I2516" t="inlineStr">
        <is>
          <t>Pedestrian barrier hire 4 wks (29/05/26-25/06/26) - 23 barriers</t>
        </is>
      </c>
      <c r="J2516" t="n">
        <v>92</v>
      </c>
      <c r="K2516" s="9" t="n">
        <v>294.4</v>
      </c>
      <c r="L2516" t="inlineStr">
        <is>
          <t>PAID</t>
        </is>
      </c>
      <c r="M2516">
        <f>IF(L2516="VOIDED",0,1)</f>
        <v>1</v>
      </c>
      <c r="N2516" t="n">
        <v>200</v>
      </c>
      <c r="O2516" t="inlineStr">
        <is>
          <t>GST on Income</t>
        </is>
      </c>
      <c r="P2516" t="inlineStr">
        <is>
          <t>R04</t>
        </is>
      </c>
      <c r="Q2516" t="inlineStr">
        <is>
          <t>HIRE-BR</t>
        </is>
      </c>
      <c r="R2516">
        <f>IF(OR(Q2516="CONTEXT",Q2516="REVIEW"),"",INDEX('Category Rules'!$D$5:$D$17,MATCH(P2516,'Category Rules'!$A$5:$A$17,0)))</f>
        <v>4010</v>
      </c>
      <c r="S2516" t="str">
        <f>IF(Q2516="CONTEXT","Fencing",IF(Q2516="REVIEW","",INDEX('Category Rules'!$E$5:$E$17,MATCH(P2516,'Category Rules'!$A$5:$A$17,0))))</f>
        <v>Fencing</v>
      </c>
      <c r="T2516" t="str">
        <f>IF(Q2516="DEP","BAS Excluded","GST on Income")</f>
        <v>GST on Income</v>
      </c>
      <c r="U2516">
        <f>IF(O2516=T2516,1,0)</f>
        <v>1</v>
      </c>
      <c r="V2516" s="9">
        <f>IF(OR(M2516=0,U2516=1),0,IF(T2516="GST on Income",ROUND(K2516*0.1,2),ROUND(-K2516*0.1,2)))</f>
        <v>0</v>
      </c>
    </row>
    <row r="2517">
      <c r="A2517" t="inlineStr">
        <is>
          <t>INV-5401-1</t>
        </is>
      </c>
      <c r="B2517" t="inlineStr">
        <is>
          <t>INV-5401</t>
        </is>
      </c>
      <c r="C2517" s="11" t="n">
        <v>46199</v>
      </c>
      <c r="D2517" t="inlineStr">
        <is>
          <t>2026-06</t>
        </is>
      </c>
      <c r="E2517" t="inlineStr">
        <is>
          <t>C0122</t>
        </is>
      </c>
      <c r="F2517" t="inlineStr">
        <is>
          <t>C0122</t>
        </is>
      </c>
      <c r="G2517" t="inlineStr">
        <is>
          <t>Bluegum Construction Pty Ltd</t>
        </is>
      </c>
      <c r="H2517" t="inlineStr">
        <is>
          <t>S0283</t>
        </is>
      </c>
      <c r="I2517" t="inlineStr">
        <is>
          <t>Scaffold tower hire 3 wks (11/06/26-25/06/26) - 2 towers</t>
        </is>
      </c>
      <c r="J2517" t="n">
        <v>6</v>
      </c>
      <c r="K2517" s="9" t="n">
        <v>570</v>
      </c>
      <c r="L2517" t="inlineStr">
        <is>
          <t>AUTHORISED</t>
        </is>
      </c>
      <c r="M2517">
        <f>IF(L2517="VOIDED",0,1)</f>
        <v>1</v>
      </c>
      <c r="N2517" t="n">
        <v>200</v>
      </c>
      <c r="O2517" t="inlineStr">
        <is>
          <t>GST on Income</t>
        </is>
      </c>
      <c r="P2517" t="inlineStr">
        <is>
          <t>R05</t>
        </is>
      </c>
      <c r="Q2517" t="inlineStr">
        <is>
          <t>HIRE-ST</t>
        </is>
      </c>
      <c r="R2517">
        <f>IF(OR(Q2517="CONTEXT",Q2517="REVIEW"),"",INDEX('Category Rules'!$D$5:$D$17,MATCH(P2517,'Category Rules'!$A$5:$A$17,0)))</f>
        <v>4010</v>
      </c>
      <c r="S2517" t="str">
        <f>IF(Q2517="CONTEXT","Scaffolding",IF(Q2517="REVIEW","",INDEX('Category Rules'!$E$5:$E$17,MATCH(P2517,'Category Rules'!$A$5:$A$17,0))))</f>
        <v>Scaffolding</v>
      </c>
      <c r="T2517" t="str">
        <f>IF(Q2517="DEP","BAS Excluded","GST on Income")</f>
        <v>GST on Income</v>
      </c>
      <c r="U2517">
        <f>IF(O2517=T2517,1,0)</f>
        <v>1</v>
      </c>
      <c r="V2517" s="9">
        <f>IF(OR(M2517=0,U2517=1),0,IF(T2517="GST on Income",ROUND(K2517*0.1,2),ROUND(-K2517*0.1,2)))</f>
        <v>0</v>
      </c>
    </row>
    <row r="2518">
      <c r="A2518" t="inlineStr">
        <is>
          <t>INV-5403-1</t>
        </is>
      </c>
      <c r="B2518" t="inlineStr">
        <is>
          <t>INV-5403</t>
        </is>
      </c>
      <c r="C2518" s="11" t="n">
        <v>46199</v>
      </c>
      <c r="D2518" t="inlineStr">
        <is>
          <t>2026-06</t>
        </is>
      </c>
      <c r="E2518" t="inlineStr">
        <is>
          <t>C0122</t>
        </is>
      </c>
      <c r="F2518" t="inlineStr">
        <is>
          <t>C0122</t>
        </is>
      </c>
      <c r="G2518" t="inlineStr">
        <is>
          <t>Bluegum Construction Pty Ltd</t>
        </is>
      </c>
      <c r="H2518" t="inlineStr">
        <is>
          <t>S0283</t>
        </is>
      </c>
      <c r="I2518" t="inlineStr">
        <is>
          <t>Scaffold dismantle - 2 tower(s)</t>
        </is>
      </c>
      <c r="J2518" t="n">
        <v>2</v>
      </c>
      <c r="K2518" s="9" t="n">
        <v>640</v>
      </c>
      <c r="L2518" t="inlineStr">
        <is>
          <t>PAID</t>
        </is>
      </c>
      <c r="M2518">
        <f>IF(L2518="VOIDED",0,1)</f>
        <v>1</v>
      </c>
      <c r="N2518" t="n">
        <v>200</v>
      </c>
      <c r="O2518" t="inlineStr">
        <is>
          <t>GST on Income</t>
        </is>
      </c>
      <c r="P2518" t="inlineStr">
        <is>
          <t>R08</t>
        </is>
      </c>
      <c r="Q2518" t="inlineStr">
        <is>
          <t>LAB-ST</t>
        </is>
      </c>
      <c r="R2518">
        <f>IF(OR(Q2518="CONTEXT",Q2518="REVIEW"),"",INDEX('Category Rules'!$D$5:$D$17,MATCH(P2518,'Category Rules'!$A$5:$A$17,0)))</f>
        <v>4020</v>
      </c>
      <c r="S2518" t="str">
        <f>IF(Q2518="CONTEXT","Scaffolding",IF(Q2518="REVIEW","",INDEX('Category Rules'!$E$5:$E$17,MATCH(P2518,'Category Rules'!$A$5:$A$17,0))))</f>
        <v>Scaffolding</v>
      </c>
      <c r="T2518" t="str">
        <f>IF(Q2518="DEP","BAS Excluded","GST on Income")</f>
        <v>GST on Income</v>
      </c>
      <c r="U2518">
        <f>IF(O2518=T2518,1,0)</f>
        <v>1</v>
      </c>
      <c r="V2518" s="9">
        <f>IF(OR(M2518=0,U2518=1),0,IF(T2518="GST on Income",ROUND(K2518*0.1,2),ROUND(-K2518*0.1,2)))</f>
        <v>0</v>
      </c>
    </row>
    <row r="2519">
      <c r="A2519" t="inlineStr">
        <is>
          <t>INV-5596-1</t>
        </is>
      </c>
      <c r="B2519" t="inlineStr">
        <is>
          <t>INV-5596</t>
        </is>
      </c>
      <c r="C2519" s="11" t="n">
        <v>46199</v>
      </c>
      <c r="D2519" t="inlineStr">
        <is>
          <t>2026-06</t>
        </is>
      </c>
      <c r="E2519" t="inlineStr">
        <is>
          <t>C0066</t>
        </is>
      </c>
      <c r="F2519" t="inlineStr">
        <is>
          <t>C0066</t>
        </is>
      </c>
      <c r="G2519" t="inlineStr">
        <is>
          <t>Northgate Insurance Repairs</t>
        </is>
      </c>
      <c r="H2519" t="inlineStr">
        <is>
          <t>S0378</t>
        </is>
      </c>
      <c r="I2519" t="inlineStr">
        <is>
          <t>Make safe call-out</t>
        </is>
      </c>
      <c r="J2519" t="n">
        <v>1</v>
      </c>
      <c r="K2519" s="9" t="n">
        <v>385</v>
      </c>
      <c r="L2519" t="inlineStr">
        <is>
          <t>AUTHORISED</t>
        </is>
      </c>
      <c r="M2519">
        <f>IF(L2519="VOIDED",0,1)</f>
        <v>1</v>
      </c>
      <c r="N2519" t="n">
        <v>200</v>
      </c>
      <c r="O2519" t="inlineStr">
        <is>
          <t>GST on Income</t>
        </is>
      </c>
      <c r="P2519" t="inlineStr">
        <is>
          <t>R09</t>
        </is>
      </c>
      <c r="Q2519" t="inlineStr">
        <is>
          <t>MS</t>
        </is>
      </c>
      <c r="R2519">
        <f>IF(OR(Q2519="CONTEXT",Q2519="REVIEW"),"",INDEX('Category Rules'!$D$5:$D$17,MATCH(P2519,'Category Rules'!$A$5:$A$17,0)))</f>
        <v>4020</v>
      </c>
      <c r="S2519" t="str">
        <f>IF(Q2519="CONTEXT","Make-safe",IF(Q2519="REVIEW","",INDEX('Category Rules'!$E$5:$E$17,MATCH(P2519,'Category Rules'!$A$5:$A$17,0))))</f>
        <v>Make-safe</v>
      </c>
      <c r="T2519" t="str">
        <f>IF(Q2519="DEP","BAS Excluded","GST on Income")</f>
        <v>GST on Income</v>
      </c>
      <c r="U2519">
        <f>IF(O2519=T2519,1,0)</f>
        <v>1</v>
      </c>
      <c r="V2519" s="9">
        <f>IF(OR(M2519=0,U2519=1),0,IF(T2519="GST on Income",ROUND(K2519*0.1,2),ROUND(-K2519*0.1,2)))</f>
        <v>0</v>
      </c>
    </row>
    <row r="2520">
      <c r="A2520" t="inlineStr">
        <is>
          <t>INV-5773-1</t>
        </is>
      </c>
      <c r="B2520" t="inlineStr">
        <is>
          <t>INV-5773</t>
        </is>
      </c>
      <c r="C2520" s="11" t="n">
        <v>46199</v>
      </c>
      <c r="D2520" t="inlineStr">
        <is>
          <t>2026-06</t>
        </is>
      </c>
      <c r="E2520" t="inlineStr">
        <is>
          <t>C0102</t>
        </is>
      </c>
      <c r="F2520" t="inlineStr">
        <is>
          <t>C0102</t>
        </is>
      </c>
      <c r="G2520" t="inlineStr">
        <is>
          <t>Arjun Doyle</t>
        </is>
      </c>
      <c r="H2520" t="inlineStr">
        <is>
          <t>S0475</t>
        </is>
      </c>
      <c r="I2520" t="inlineStr">
        <is>
          <t>Emergency make safe call-out - after hours</t>
        </is>
      </c>
      <c r="J2520" t="n">
        <v>1</v>
      </c>
      <c r="K2520" s="9" t="n">
        <v>560</v>
      </c>
      <c r="L2520" t="inlineStr">
        <is>
          <t>AUTHORISED</t>
        </is>
      </c>
      <c r="M2520">
        <f>IF(L2520="VOIDED",0,1)</f>
        <v>1</v>
      </c>
      <c r="N2520" t="n">
        <v>200</v>
      </c>
      <c r="O2520" t="inlineStr">
        <is>
          <t>GST on Income</t>
        </is>
      </c>
      <c r="P2520" t="inlineStr">
        <is>
          <t>R09</t>
        </is>
      </c>
      <c r="Q2520" t="inlineStr">
        <is>
          <t>MS</t>
        </is>
      </c>
      <c r="R2520">
        <f>IF(OR(Q2520="CONTEXT",Q2520="REVIEW"),"",INDEX('Category Rules'!$D$5:$D$17,MATCH(P2520,'Category Rules'!$A$5:$A$17,0)))</f>
        <v>4020</v>
      </c>
      <c r="S2520" t="str">
        <f>IF(Q2520="CONTEXT","Make-safe",IF(Q2520="REVIEW","",INDEX('Category Rules'!$E$5:$E$17,MATCH(P2520,'Category Rules'!$A$5:$A$17,0))))</f>
        <v>Make-safe</v>
      </c>
      <c r="T2520" t="str">
        <f>IF(Q2520="DEP","BAS Excluded","GST on Income")</f>
        <v>GST on Income</v>
      </c>
      <c r="U2520">
        <f>IF(O2520=T2520,1,0)</f>
        <v>1</v>
      </c>
      <c r="V2520" s="9">
        <f>IF(OR(M2520=0,U2520=1),0,IF(T2520="GST on Income",ROUND(K2520*0.1,2),ROUND(-K2520*0.1,2)))</f>
        <v>0</v>
      </c>
    </row>
    <row r="2521">
      <c r="A2521" t="inlineStr">
        <is>
          <t>INV-5773-2</t>
        </is>
      </c>
      <c r="B2521" t="inlineStr">
        <is>
          <t>INV-5773</t>
        </is>
      </c>
      <c r="C2521" s="11" t="n">
        <v>46199</v>
      </c>
      <c r="D2521" t="inlineStr">
        <is>
          <t>2026-06</t>
        </is>
      </c>
      <c r="E2521" t="inlineStr">
        <is>
          <t>C0102</t>
        </is>
      </c>
      <c r="F2521" t="inlineStr">
        <is>
          <t>C0102</t>
        </is>
      </c>
      <c r="G2521" t="inlineStr">
        <is>
          <t>Arjun Doyle</t>
        </is>
      </c>
      <c r="H2521" t="inlineStr">
        <is>
          <t>S0475</t>
        </is>
      </c>
      <c r="I2521" t="inlineStr">
        <is>
          <t>Tarp supply and install - 1 tarp(s)</t>
        </is>
      </c>
      <c r="J2521" t="n">
        <v>1</v>
      </c>
      <c r="K2521" s="9" t="n">
        <v>240</v>
      </c>
      <c r="L2521" t="inlineStr">
        <is>
          <t>AUTHORISED</t>
        </is>
      </c>
      <c r="M2521">
        <f>IF(L2521="VOIDED",0,1)</f>
        <v>1</v>
      </c>
      <c r="N2521" t="n">
        <v>200</v>
      </c>
      <c r="O2521" t="inlineStr">
        <is>
          <t>GST on Income</t>
        </is>
      </c>
      <c r="P2521" t="inlineStr">
        <is>
          <t>R09</t>
        </is>
      </c>
      <c r="Q2521" t="inlineStr">
        <is>
          <t>MS</t>
        </is>
      </c>
      <c r="R2521">
        <f>IF(OR(Q2521="CONTEXT",Q2521="REVIEW"),"",INDEX('Category Rules'!$D$5:$D$17,MATCH(P2521,'Category Rules'!$A$5:$A$17,0)))</f>
        <v>4020</v>
      </c>
      <c r="S2521" t="str">
        <f>IF(Q2521="CONTEXT","Make-safe",IF(Q2521="REVIEW","",INDEX('Category Rules'!$E$5:$E$17,MATCH(P2521,'Category Rules'!$A$5:$A$17,0))))</f>
        <v>Make-safe</v>
      </c>
      <c r="T2521" t="str">
        <f>IF(Q2521="DEP","BAS Excluded","GST on Income")</f>
        <v>GST on Income</v>
      </c>
      <c r="U2521">
        <f>IF(O2521=T2521,1,0)</f>
        <v>1</v>
      </c>
      <c r="V2521" s="9">
        <f>IF(OR(M2521=0,U2521=1),0,IF(T2521="GST on Income",ROUND(K2521*0.1,2),ROUND(-K2521*0.1,2)))</f>
        <v>0</v>
      </c>
    </row>
    <row r="2522">
      <c r="A2522" t="inlineStr">
        <is>
          <t>INV-4774-1</t>
        </is>
      </c>
      <c r="B2522" t="inlineStr">
        <is>
          <t>INV-4774</t>
        </is>
      </c>
      <c r="C2522" s="11" t="n">
        <v>46200</v>
      </c>
      <c r="D2522" t="inlineStr">
        <is>
          <t>2026-06</t>
        </is>
      </c>
      <c r="E2522" t="inlineStr">
        <is>
          <t>C0083</t>
        </is>
      </c>
      <c r="F2522" t="inlineStr">
        <is>
          <t>C0083</t>
        </is>
      </c>
      <c r="G2522" t="inlineStr">
        <is>
          <t>Noah Williams</t>
        </is>
      </c>
      <c r="H2522" t="inlineStr">
        <is>
          <t>S0143</t>
        </is>
      </c>
      <c r="I2522" t="inlineStr">
        <is>
          <t>Temporary fence hire 4 wks (30/05/26-26/06/26) - 70 panels</t>
        </is>
      </c>
      <c r="J2522" t="n">
        <v>280</v>
      </c>
      <c r="K2522" s="9" t="n">
        <v>1260</v>
      </c>
      <c r="L2522" t="inlineStr">
        <is>
          <t>AUTHORISED</t>
        </is>
      </c>
      <c r="M2522">
        <f>IF(L2522="VOIDED",0,1)</f>
        <v>1</v>
      </c>
      <c r="N2522" t="n">
        <v>200</v>
      </c>
      <c r="O2522" t="inlineStr">
        <is>
          <t>GST on Income</t>
        </is>
      </c>
      <c r="P2522" t="inlineStr">
        <is>
          <t>R03</t>
        </is>
      </c>
      <c r="Q2522" t="inlineStr">
        <is>
          <t>HIRE-FP</t>
        </is>
      </c>
      <c r="R2522">
        <f>IF(OR(Q2522="CONTEXT",Q2522="REVIEW"),"",INDEX('Category Rules'!$D$5:$D$17,MATCH(P2522,'Category Rules'!$A$5:$A$17,0)))</f>
        <v>4010</v>
      </c>
      <c r="S2522" t="str">
        <f>IF(Q2522="CONTEXT","Fencing",IF(Q2522="REVIEW","",INDEX('Category Rules'!$E$5:$E$17,MATCH(P2522,'Category Rules'!$A$5:$A$17,0))))</f>
        <v>Fencing</v>
      </c>
      <c r="T2522" t="str">
        <f>IF(Q2522="DEP","BAS Excluded","GST on Income")</f>
        <v>GST on Income</v>
      </c>
      <c r="U2522">
        <f>IF(O2522=T2522,1,0)</f>
        <v>1</v>
      </c>
      <c r="V2522" s="9">
        <f>IF(OR(M2522=0,U2522=1),0,IF(T2522="GST on Income",ROUND(K2522*0.1,2),ROUND(-K2522*0.1,2)))</f>
        <v>0</v>
      </c>
    </row>
    <row r="2523">
      <c r="A2523" t="inlineStr">
        <is>
          <t>INV-5136-1</t>
        </is>
      </c>
      <c r="B2523" t="inlineStr">
        <is>
          <t>INV-5136</t>
        </is>
      </c>
      <c r="C2523" s="11" t="n">
        <v>46200</v>
      </c>
      <c r="D2523" t="inlineStr">
        <is>
          <t>2026-06</t>
        </is>
      </c>
      <c r="E2523" t="inlineStr">
        <is>
          <t>C0136</t>
        </is>
      </c>
      <c r="F2523" t="inlineStr">
        <is>
          <t>C0036</t>
        </is>
      </c>
      <c r="G2523" t="inlineStr">
        <is>
          <t>Summit Homes Pty Ltd</t>
        </is>
      </c>
      <c r="H2523" t="inlineStr">
        <is>
          <t>S0221</t>
        </is>
      </c>
      <c r="I2523" t="inlineStr">
        <is>
          <t>Temporary fence hire 4 wks (30/05/26-26/06/26) - 42 panels</t>
        </is>
      </c>
      <c r="J2523" t="n">
        <v>168</v>
      </c>
      <c r="K2523" s="9" t="n">
        <v>756</v>
      </c>
      <c r="L2523" t="inlineStr">
        <is>
          <t>AUTHORISED</t>
        </is>
      </c>
      <c r="M2523">
        <f>IF(L2523="VOIDED",0,1)</f>
        <v>1</v>
      </c>
      <c r="N2523" t="n">
        <v>200</v>
      </c>
      <c r="O2523" t="inlineStr">
        <is>
          <t>GST on Income</t>
        </is>
      </c>
      <c r="P2523" t="inlineStr">
        <is>
          <t>R03</t>
        </is>
      </c>
      <c r="Q2523" t="inlineStr">
        <is>
          <t>HIRE-FP</t>
        </is>
      </c>
      <c r="R2523">
        <f>IF(OR(Q2523="CONTEXT",Q2523="REVIEW"),"",INDEX('Category Rules'!$D$5:$D$17,MATCH(P2523,'Category Rules'!$A$5:$A$17,0)))</f>
        <v>4010</v>
      </c>
      <c r="S2523" t="str">
        <f>IF(Q2523="CONTEXT","Fencing",IF(Q2523="REVIEW","",INDEX('Category Rules'!$E$5:$E$17,MATCH(P2523,'Category Rules'!$A$5:$A$17,0))))</f>
        <v>Fencing</v>
      </c>
      <c r="T2523" t="str">
        <f>IF(Q2523="DEP","BAS Excluded","GST on Income")</f>
        <v>GST on Income</v>
      </c>
      <c r="U2523">
        <f>IF(O2523=T2523,1,0)</f>
        <v>1</v>
      </c>
      <c r="V2523" s="9">
        <f>IF(OR(M2523=0,U2523=1),0,IF(T2523="GST on Income",ROUND(K2523*0.1,2),ROUND(-K2523*0.1,2)))</f>
        <v>0</v>
      </c>
    </row>
    <row r="2524">
      <c r="A2524" t="inlineStr">
        <is>
          <t>INV-5606-1</t>
        </is>
      </c>
      <c r="B2524" t="inlineStr">
        <is>
          <t>INV-5606</t>
        </is>
      </c>
      <c r="C2524" s="11" t="n">
        <v>46200</v>
      </c>
      <c r="D2524" t="inlineStr">
        <is>
          <t>2026-06</t>
        </is>
      </c>
      <c r="E2524" t="inlineStr">
        <is>
          <t>C0024</t>
        </is>
      </c>
      <c r="F2524" t="inlineStr">
        <is>
          <t>C0024</t>
        </is>
      </c>
      <c r="G2524" t="inlineStr">
        <is>
          <t>Parkview Homes Pty Ltd</t>
        </is>
      </c>
      <c r="H2524" t="inlineStr">
        <is>
          <t>S0384</t>
        </is>
      </c>
      <c r="I2524" t="inlineStr">
        <is>
          <t>Tarp kit hire 4 wks (30/05/26-26/06/26) - 3 kits</t>
        </is>
      </c>
      <c r="J2524" t="n">
        <v>12</v>
      </c>
      <c r="K2524" s="9" t="n">
        <v>420</v>
      </c>
      <c r="L2524" t="inlineStr">
        <is>
          <t>AUTHORISED</t>
        </is>
      </c>
      <c r="M2524">
        <f>IF(L2524="VOIDED",0,1)</f>
        <v>1</v>
      </c>
      <c r="N2524" t="n">
        <v>200</v>
      </c>
      <c r="O2524" t="inlineStr">
        <is>
          <t>GST on Income</t>
        </is>
      </c>
      <c r="P2524" t="inlineStr">
        <is>
          <t>R06</t>
        </is>
      </c>
      <c r="Q2524" t="inlineStr">
        <is>
          <t>HIRE-TK</t>
        </is>
      </c>
      <c r="R2524">
        <f>IF(OR(Q2524="CONTEXT",Q2524="REVIEW"),"",INDEX('Category Rules'!$D$5:$D$17,MATCH(P2524,'Category Rules'!$A$5:$A$17,0)))</f>
        <v>4010</v>
      </c>
      <c r="S2524" t="str">
        <f>IF(Q2524="CONTEXT","Make-safe",IF(Q2524="REVIEW","",INDEX('Category Rules'!$E$5:$E$17,MATCH(P2524,'Category Rules'!$A$5:$A$17,0))))</f>
        <v>Make-safe</v>
      </c>
      <c r="T2524" t="str">
        <f>IF(Q2524="DEP","BAS Excluded","GST on Income")</f>
        <v>GST on Income</v>
      </c>
      <c r="U2524">
        <f>IF(O2524=T2524,1,0)</f>
        <v>1</v>
      </c>
      <c r="V2524" s="9">
        <f>IF(OR(M2524=0,U2524=1),0,IF(T2524="GST on Income",ROUND(K2524*0.1,2),ROUND(-K2524*0.1,2)))</f>
        <v>0</v>
      </c>
    </row>
    <row r="2525">
      <c r="A2525" t="inlineStr">
        <is>
          <t>INV-4577-1</t>
        </is>
      </c>
      <c r="B2525" t="inlineStr">
        <is>
          <t>INV-4577</t>
        </is>
      </c>
      <c r="C2525" s="11" t="n">
        <v>46201</v>
      </c>
      <c r="D2525" t="inlineStr">
        <is>
          <t>2026-06</t>
        </is>
      </c>
      <c r="E2525" t="inlineStr">
        <is>
          <t>C0143</t>
        </is>
      </c>
      <c r="F2525" t="inlineStr">
        <is>
          <t>C0043</t>
        </is>
      </c>
      <c r="G2525" t="inlineStr">
        <is>
          <t>Banksia Projects Pty Ltd</t>
        </is>
      </c>
      <c r="H2525" t="inlineStr">
        <is>
          <t>S0095</t>
        </is>
      </c>
      <c r="I2525" t="inlineStr">
        <is>
          <t>Temporary fence hire 4 wks (31/05/26-27/06/26) - 129 panels</t>
        </is>
      </c>
      <c r="J2525" t="n">
        <v>516</v>
      </c>
      <c r="K2525" s="9" t="n">
        <v>2322</v>
      </c>
      <c r="L2525" t="inlineStr">
        <is>
          <t>AUTHORISED</t>
        </is>
      </c>
      <c r="M2525">
        <f>IF(L2525="VOIDED",0,1)</f>
        <v>1</v>
      </c>
      <c r="N2525" t="n">
        <v>200</v>
      </c>
      <c r="O2525" t="inlineStr">
        <is>
          <t>GST on Income</t>
        </is>
      </c>
      <c r="P2525" t="inlineStr">
        <is>
          <t>R03</t>
        </is>
      </c>
      <c r="Q2525" t="inlineStr">
        <is>
          <t>HIRE-FP</t>
        </is>
      </c>
      <c r="R2525">
        <f>IF(OR(Q2525="CONTEXT",Q2525="REVIEW"),"",INDEX('Category Rules'!$D$5:$D$17,MATCH(P2525,'Category Rules'!$A$5:$A$17,0)))</f>
        <v>4010</v>
      </c>
      <c r="S2525" t="str">
        <f>IF(Q2525="CONTEXT","Fencing",IF(Q2525="REVIEW","",INDEX('Category Rules'!$E$5:$E$17,MATCH(P2525,'Category Rules'!$A$5:$A$17,0))))</f>
        <v>Fencing</v>
      </c>
      <c r="T2525" t="str">
        <f>IF(Q2525="DEP","BAS Excluded","GST on Income")</f>
        <v>GST on Income</v>
      </c>
      <c r="U2525">
        <f>IF(O2525=T2525,1,0)</f>
        <v>1</v>
      </c>
      <c r="V2525" s="9">
        <f>IF(OR(M2525=0,U2525=1),0,IF(T2525="GST on Income",ROUND(K2525*0.1,2),ROUND(-K2525*0.1,2)))</f>
        <v>0</v>
      </c>
    </row>
    <row r="2526">
      <c r="A2526" t="inlineStr">
        <is>
          <t>INV-5550-1</t>
        </is>
      </c>
      <c r="B2526" t="inlineStr">
        <is>
          <t>INV-5550</t>
        </is>
      </c>
      <c r="C2526" s="11" t="n">
        <v>46201</v>
      </c>
      <c r="D2526" t="inlineStr">
        <is>
          <t>2026-06</t>
        </is>
      </c>
      <c r="E2526" t="inlineStr">
        <is>
          <t>C0060</t>
        </is>
      </c>
      <c r="F2526" t="inlineStr">
        <is>
          <t>C0060</t>
        </is>
      </c>
      <c r="G2526" t="inlineStr">
        <is>
          <t>Redline Claims Services</t>
        </is>
      </c>
      <c r="H2526" t="inlineStr">
        <is>
          <t>S0349</t>
        </is>
      </c>
      <c r="I2526" t="inlineStr">
        <is>
          <t>Emergency make safe call-out - after hours</t>
        </is>
      </c>
      <c r="J2526" t="n">
        <v>1</v>
      </c>
      <c r="K2526" s="9" t="n">
        <v>560</v>
      </c>
      <c r="L2526" t="inlineStr">
        <is>
          <t>AUTHORISED</t>
        </is>
      </c>
      <c r="M2526">
        <f>IF(L2526="VOIDED",0,1)</f>
        <v>1</v>
      </c>
      <c r="N2526" t="n">
        <v>200</v>
      </c>
      <c r="O2526" t="inlineStr">
        <is>
          <t>GST on Income</t>
        </is>
      </c>
      <c r="P2526" t="inlineStr">
        <is>
          <t>R09</t>
        </is>
      </c>
      <c r="Q2526" t="inlineStr">
        <is>
          <t>MS</t>
        </is>
      </c>
      <c r="R2526">
        <f>IF(OR(Q2526="CONTEXT",Q2526="REVIEW"),"",INDEX('Category Rules'!$D$5:$D$17,MATCH(P2526,'Category Rules'!$A$5:$A$17,0)))</f>
        <v>4020</v>
      </c>
      <c r="S2526" t="str">
        <f>IF(Q2526="CONTEXT","Make-safe",IF(Q2526="REVIEW","",INDEX('Category Rules'!$E$5:$E$17,MATCH(P2526,'Category Rules'!$A$5:$A$17,0))))</f>
        <v>Make-safe</v>
      </c>
      <c r="T2526" t="str">
        <f>IF(Q2526="DEP","BAS Excluded","GST on Income")</f>
        <v>GST on Income</v>
      </c>
      <c r="U2526">
        <f>IF(O2526=T2526,1,0)</f>
        <v>1</v>
      </c>
      <c r="V2526" s="9">
        <f>IF(OR(M2526=0,U2526=1),0,IF(T2526="GST on Income",ROUND(K2526*0.1,2),ROUND(-K2526*0.1,2)))</f>
        <v>0</v>
      </c>
    </row>
    <row r="2527">
      <c r="A2527" t="inlineStr">
        <is>
          <t>INV-5550-2</t>
        </is>
      </c>
      <c r="B2527" t="inlineStr">
        <is>
          <t>INV-5550</t>
        </is>
      </c>
      <c r="C2527" s="11" t="n">
        <v>46201</v>
      </c>
      <c r="D2527" t="inlineStr">
        <is>
          <t>2026-06</t>
        </is>
      </c>
      <c r="E2527" t="inlineStr">
        <is>
          <t>C0060</t>
        </is>
      </c>
      <c r="F2527" t="inlineStr">
        <is>
          <t>C0060</t>
        </is>
      </c>
      <c r="G2527" t="inlineStr">
        <is>
          <t>Redline Claims Services</t>
        </is>
      </c>
      <c r="H2527" t="inlineStr">
        <is>
          <t>S0349</t>
        </is>
      </c>
      <c r="I2527" t="inlineStr">
        <is>
          <t>Tarp supply and install - 1 tarp(s)</t>
        </is>
      </c>
      <c r="J2527" t="n">
        <v>1</v>
      </c>
      <c r="K2527" s="9" t="n">
        <v>240</v>
      </c>
      <c r="L2527" t="inlineStr">
        <is>
          <t>AUTHORISED</t>
        </is>
      </c>
      <c r="M2527">
        <f>IF(L2527="VOIDED",0,1)</f>
        <v>1</v>
      </c>
      <c r="N2527" t="n">
        <v>200</v>
      </c>
      <c r="O2527" t="inlineStr">
        <is>
          <t>GST on Income</t>
        </is>
      </c>
      <c r="P2527" t="inlineStr">
        <is>
          <t>R09</t>
        </is>
      </c>
      <c r="Q2527" t="inlineStr">
        <is>
          <t>MS</t>
        </is>
      </c>
      <c r="R2527">
        <f>IF(OR(Q2527="CONTEXT",Q2527="REVIEW"),"",INDEX('Category Rules'!$D$5:$D$17,MATCH(P2527,'Category Rules'!$A$5:$A$17,0)))</f>
        <v>4020</v>
      </c>
      <c r="S2527" t="str">
        <f>IF(Q2527="CONTEXT","Make-safe",IF(Q2527="REVIEW","",INDEX('Category Rules'!$E$5:$E$17,MATCH(P2527,'Category Rules'!$A$5:$A$17,0))))</f>
        <v>Make-safe</v>
      </c>
      <c r="T2527" t="str">
        <f>IF(Q2527="DEP","BAS Excluded","GST on Income")</f>
        <v>GST on Income</v>
      </c>
      <c r="U2527">
        <f>IF(O2527=T2527,1,0)</f>
        <v>1</v>
      </c>
      <c r="V2527" s="9">
        <f>IF(OR(M2527=0,U2527=1),0,IF(T2527="GST on Income",ROUND(K2527*0.1,2),ROUND(-K2527*0.1,2)))</f>
        <v>0</v>
      </c>
    </row>
    <row r="2528">
      <c r="A2528" t="inlineStr">
        <is>
          <t>INV-5607-1</t>
        </is>
      </c>
      <c r="B2528" t="inlineStr">
        <is>
          <t>INV-5607</t>
        </is>
      </c>
      <c r="C2528" s="11" t="n">
        <v>46201</v>
      </c>
      <c r="D2528" t="inlineStr">
        <is>
          <t>2026-06</t>
        </is>
      </c>
      <c r="E2528" t="inlineStr">
        <is>
          <t>C0024</t>
        </is>
      </c>
      <c r="F2528" t="inlineStr">
        <is>
          <t>C0024</t>
        </is>
      </c>
      <c r="G2528" t="inlineStr">
        <is>
          <t>Parkview Homes Pty Ltd</t>
        </is>
      </c>
      <c r="H2528" t="inlineStr">
        <is>
          <t>S0384</t>
        </is>
      </c>
      <c r="I2528" t="inlineStr">
        <is>
          <t>Tarp kit hire 1 wks (27/06/26-27/06/26) - 3 kits</t>
        </is>
      </c>
      <c r="J2528" t="n">
        <v>3</v>
      </c>
      <c r="K2528" s="9" t="n">
        <v>105</v>
      </c>
      <c r="L2528" t="inlineStr">
        <is>
          <t>AUTHORISED</t>
        </is>
      </c>
      <c r="M2528">
        <f>IF(L2528="VOIDED",0,1)</f>
        <v>1</v>
      </c>
      <c r="N2528" t="n">
        <v>200</v>
      </c>
      <c r="O2528" t="inlineStr">
        <is>
          <t>GST on Income</t>
        </is>
      </c>
      <c r="P2528" t="inlineStr">
        <is>
          <t>R06</t>
        </is>
      </c>
      <c r="Q2528" t="inlineStr">
        <is>
          <t>HIRE-TK</t>
        </is>
      </c>
      <c r="R2528">
        <f>IF(OR(Q2528="CONTEXT",Q2528="REVIEW"),"",INDEX('Category Rules'!$D$5:$D$17,MATCH(P2528,'Category Rules'!$A$5:$A$17,0)))</f>
        <v>4010</v>
      </c>
      <c r="S2528" t="str">
        <f>IF(Q2528="CONTEXT","Make-safe",IF(Q2528="REVIEW","",INDEX('Category Rules'!$E$5:$E$17,MATCH(P2528,'Category Rules'!$A$5:$A$17,0))))</f>
        <v>Make-safe</v>
      </c>
      <c r="T2528" t="str">
        <f>IF(Q2528="DEP","BAS Excluded","GST on Income")</f>
        <v>GST on Income</v>
      </c>
      <c r="U2528">
        <f>IF(O2528=T2528,1,0)</f>
        <v>1</v>
      </c>
      <c r="V2528" s="9">
        <f>IF(OR(M2528=0,U2528=1),0,IF(T2528="GST on Income",ROUND(K2528*0.1,2),ROUND(-K2528*0.1,2)))</f>
        <v>0</v>
      </c>
    </row>
    <row r="2529">
      <c r="A2529" t="inlineStr">
        <is>
          <t>INV-5805-1</t>
        </is>
      </c>
      <c r="B2529" t="inlineStr">
        <is>
          <t>INV-5805</t>
        </is>
      </c>
      <c r="C2529" s="11" t="n">
        <v>46201</v>
      </c>
      <c r="D2529" t="inlineStr">
        <is>
          <t>2026-06</t>
        </is>
      </c>
      <c r="E2529" t="inlineStr">
        <is>
          <t>C0046</t>
        </is>
      </c>
      <c r="F2529" t="inlineStr">
        <is>
          <t>C0046</t>
        </is>
      </c>
      <c r="G2529" t="inlineStr">
        <is>
          <t>Bayside Owners Corporation Services Pty Ltd</t>
        </is>
      </c>
      <c r="H2529" t="inlineStr">
        <is>
          <t>S0492</t>
        </is>
      </c>
      <c r="I2529" t="inlineStr">
        <is>
          <t>Emergency make safe call-out - after hours</t>
        </is>
      </c>
      <c r="J2529" t="n">
        <v>1</v>
      </c>
      <c r="K2529" s="9" t="n">
        <v>560</v>
      </c>
      <c r="L2529" t="inlineStr">
        <is>
          <t>AUTHORISED</t>
        </is>
      </c>
      <c r="M2529">
        <f>IF(L2529="VOIDED",0,1)</f>
        <v>1</v>
      </c>
      <c r="N2529" t="n">
        <v>200</v>
      </c>
      <c r="O2529" t="inlineStr">
        <is>
          <t>GST on Income</t>
        </is>
      </c>
      <c r="P2529" t="inlineStr">
        <is>
          <t>R09</t>
        </is>
      </c>
      <c r="Q2529" t="inlineStr">
        <is>
          <t>MS</t>
        </is>
      </c>
      <c r="R2529">
        <f>IF(OR(Q2529="CONTEXT",Q2529="REVIEW"),"",INDEX('Category Rules'!$D$5:$D$17,MATCH(P2529,'Category Rules'!$A$5:$A$17,0)))</f>
        <v>4020</v>
      </c>
      <c r="S2529" t="str">
        <f>IF(Q2529="CONTEXT","Make-safe",IF(Q2529="REVIEW","",INDEX('Category Rules'!$E$5:$E$17,MATCH(P2529,'Category Rules'!$A$5:$A$17,0))))</f>
        <v>Make-safe</v>
      </c>
      <c r="T2529" t="str">
        <f>IF(Q2529="DEP","BAS Excluded","GST on Income")</f>
        <v>GST on Income</v>
      </c>
      <c r="U2529">
        <f>IF(O2529=T2529,1,0)</f>
        <v>1</v>
      </c>
      <c r="V2529" s="9">
        <f>IF(OR(M2529=0,U2529=1),0,IF(T2529="GST on Income",ROUND(K2529*0.1,2),ROUND(-K2529*0.1,2)))</f>
        <v>0</v>
      </c>
    </row>
    <row r="2530">
      <c r="A2530" t="inlineStr">
        <is>
          <t>INV-5805-2</t>
        </is>
      </c>
      <c r="B2530" t="inlineStr">
        <is>
          <t>INV-5805</t>
        </is>
      </c>
      <c r="C2530" s="11" t="n">
        <v>46201</v>
      </c>
      <c r="D2530" t="inlineStr">
        <is>
          <t>2026-06</t>
        </is>
      </c>
      <c r="E2530" t="inlineStr">
        <is>
          <t>C0046</t>
        </is>
      </c>
      <c r="F2530" t="inlineStr">
        <is>
          <t>C0046</t>
        </is>
      </c>
      <c r="G2530" t="inlineStr">
        <is>
          <t>Bayside Owners Corporation Services Pty Ltd</t>
        </is>
      </c>
      <c r="H2530" t="inlineStr">
        <is>
          <t>S0492</t>
        </is>
      </c>
      <c r="I2530" t="inlineStr">
        <is>
          <t>Tarp supply and install - 2 tarp(s)</t>
        </is>
      </c>
      <c r="J2530" t="n">
        <v>2</v>
      </c>
      <c r="K2530" s="9" t="n">
        <v>480</v>
      </c>
      <c r="L2530" t="inlineStr">
        <is>
          <t>AUTHORISED</t>
        </is>
      </c>
      <c r="M2530">
        <f>IF(L2530="VOIDED",0,1)</f>
        <v>1</v>
      </c>
      <c r="N2530" t="n">
        <v>200</v>
      </c>
      <c r="O2530" t="inlineStr">
        <is>
          <t>GST on Income</t>
        </is>
      </c>
      <c r="P2530" t="inlineStr">
        <is>
          <t>R09</t>
        </is>
      </c>
      <c r="Q2530" t="inlineStr">
        <is>
          <t>MS</t>
        </is>
      </c>
      <c r="R2530">
        <f>IF(OR(Q2530="CONTEXT",Q2530="REVIEW"),"",INDEX('Category Rules'!$D$5:$D$17,MATCH(P2530,'Category Rules'!$A$5:$A$17,0)))</f>
        <v>4020</v>
      </c>
      <c r="S2530" t="str">
        <f>IF(Q2530="CONTEXT","Make-safe",IF(Q2530="REVIEW","",INDEX('Category Rules'!$E$5:$E$17,MATCH(P2530,'Category Rules'!$A$5:$A$17,0))))</f>
        <v>Make-safe</v>
      </c>
      <c r="T2530" t="str">
        <f>IF(Q2530="DEP","BAS Excluded","GST on Income")</f>
        <v>GST on Income</v>
      </c>
      <c r="U2530">
        <f>IF(O2530=T2530,1,0)</f>
        <v>1</v>
      </c>
      <c r="V2530" s="9">
        <f>IF(OR(M2530=0,U2530=1),0,IF(T2530="GST on Income",ROUND(K2530*0.1,2),ROUND(-K2530*0.1,2)))</f>
        <v>0</v>
      </c>
    </row>
    <row r="2531">
      <c r="A2531" t="inlineStr">
        <is>
          <t>INV-5859-1</t>
        </is>
      </c>
      <c r="B2531" t="inlineStr">
        <is>
          <t>INV-5859</t>
        </is>
      </c>
      <c r="C2531" s="11" t="n">
        <v>46201</v>
      </c>
      <c r="D2531" t="inlineStr">
        <is>
          <t>2026-06</t>
        </is>
      </c>
      <c r="E2531" t="inlineStr">
        <is>
          <t>C0055</t>
        </is>
      </c>
      <c r="F2531" t="inlineStr">
        <is>
          <t>C0055</t>
        </is>
      </c>
      <c r="G2531" t="inlineStr">
        <is>
          <t>Coastline Strata Management Pty Ltd</t>
        </is>
      </c>
      <c r="H2531" t="inlineStr">
        <is>
          <t>S0525</t>
        </is>
      </c>
      <c r="I2531" t="inlineStr">
        <is>
          <t>Make safe call-out</t>
        </is>
      </c>
      <c r="J2531" t="n">
        <v>1</v>
      </c>
      <c r="K2531" s="9" t="n">
        <v>385</v>
      </c>
      <c r="L2531" t="inlineStr">
        <is>
          <t>PAID</t>
        </is>
      </c>
      <c r="M2531">
        <f>IF(L2531="VOIDED",0,1)</f>
        <v>1</v>
      </c>
      <c r="N2531" t="n">
        <v>200</v>
      </c>
      <c r="O2531" t="inlineStr">
        <is>
          <t>GST on Income</t>
        </is>
      </c>
      <c r="P2531" t="inlineStr">
        <is>
          <t>R09</t>
        </is>
      </c>
      <c r="Q2531" t="inlineStr">
        <is>
          <t>MS</t>
        </is>
      </c>
      <c r="R2531">
        <f>IF(OR(Q2531="CONTEXT",Q2531="REVIEW"),"",INDEX('Category Rules'!$D$5:$D$17,MATCH(P2531,'Category Rules'!$A$5:$A$17,0)))</f>
        <v>4020</v>
      </c>
      <c r="S2531" t="str">
        <f>IF(Q2531="CONTEXT","Make-safe",IF(Q2531="REVIEW","",INDEX('Category Rules'!$E$5:$E$17,MATCH(P2531,'Category Rules'!$A$5:$A$17,0))))</f>
        <v>Make-safe</v>
      </c>
      <c r="T2531" t="str">
        <f>IF(Q2531="DEP","BAS Excluded","GST on Income")</f>
        <v>GST on Income</v>
      </c>
      <c r="U2531">
        <f>IF(O2531=T2531,1,0)</f>
        <v>1</v>
      </c>
      <c r="V2531" s="9">
        <f>IF(OR(M2531=0,U2531=1),0,IF(T2531="GST on Income",ROUND(K2531*0.1,2),ROUND(-K2531*0.1,2)))</f>
        <v>0</v>
      </c>
    </row>
    <row r="2532">
      <c r="A2532" t="inlineStr">
        <is>
          <t>INV-5859-2</t>
        </is>
      </c>
      <c r="B2532" t="inlineStr">
        <is>
          <t>INV-5859</t>
        </is>
      </c>
      <c r="C2532" s="11" t="n">
        <v>46201</v>
      </c>
      <c r="D2532" t="inlineStr">
        <is>
          <t>2026-06</t>
        </is>
      </c>
      <c r="E2532" t="inlineStr">
        <is>
          <t>C0055</t>
        </is>
      </c>
      <c r="F2532" t="inlineStr">
        <is>
          <t>C0055</t>
        </is>
      </c>
      <c r="G2532" t="inlineStr">
        <is>
          <t>Coastline Strata Management Pty Ltd</t>
        </is>
      </c>
      <c r="H2532" t="inlineStr">
        <is>
          <t>S0525</t>
        </is>
      </c>
      <c r="I2532" t="inlineStr">
        <is>
          <t>Tarp supply and install - 2 tarp(s)</t>
        </is>
      </c>
      <c r="J2532" t="n">
        <v>2</v>
      </c>
      <c r="K2532" s="9" t="n">
        <v>480</v>
      </c>
      <c r="L2532" t="inlineStr">
        <is>
          <t>PAID</t>
        </is>
      </c>
      <c r="M2532">
        <f>IF(L2532="VOIDED",0,1)</f>
        <v>1</v>
      </c>
      <c r="N2532" t="n">
        <v>200</v>
      </c>
      <c r="O2532" t="inlineStr">
        <is>
          <t>GST on Income</t>
        </is>
      </c>
      <c r="P2532" t="inlineStr">
        <is>
          <t>R09</t>
        </is>
      </c>
      <c r="Q2532" t="inlineStr">
        <is>
          <t>MS</t>
        </is>
      </c>
      <c r="R2532">
        <f>IF(OR(Q2532="CONTEXT",Q2532="REVIEW"),"",INDEX('Category Rules'!$D$5:$D$17,MATCH(P2532,'Category Rules'!$A$5:$A$17,0)))</f>
        <v>4020</v>
      </c>
      <c r="S2532" t="str">
        <f>IF(Q2532="CONTEXT","Make-safe",IF(Q2532="REVIEW","",INDEX('Category Rules'!$E$5:$E$17,MATCH(P2532,'Category Rules'!$A$5:$A$17,0))))</f>
        <v>Make-safe</v>
      </c>
      <c r="T2532" t="str">
        <f>IF(Q2532="DEP","BAS Excluded","GST on Income")</f>
        <v>GST on Income</v>
      </c>
      <c r="U2532">
        <f>IF(O2532=T2532,1,0)</f>
        <v>1</v>
      </c>
      <c r="V2532" s="9">
        <f>IF(OR(M2532=0,U2532=1),0,IF(T2532="GST on Income",ROUND(K2532*0.1,2),ROUND(-K2532*0.1,2)))</f>
        <v>0</v>
      </c>
    </row>
    <row r="2533">
      <c r="A2533" t="inlineStr">
        <is>
          <t>INV-5469-1</t>
        </is>
      </c>
      <c r="B2533" t="inlineStr">
        <is>
          <t>INV-5469</t>
        </is>
      </c>
      <c r="C2533" s="11" t="n">
        <v>46202</v>
      </c>
      <c r="D2533" t="inlineStr">
        <is>
          <t>2026-06</t>
        </is>
      </c>
      <c r="E2533" t="inlineStr">
        <is>
          <t>C0107</t>
        </is>
      </c>
      <c r="F2533" t="inlineStr">
        <is>
          <t>C0107</t>
        </is>
      </c>
      <c r="G2533" t="inlineStr">
        <is>
          <t>Sofia Hughes</t>
        </is>
      </c>
      <c r="H2533" t="inlineStr">
        <is>
          <t>S0307</t>
        </is>
      </c>
      <c r="I2533" t="inlineStr">
        <is>
          <t>Make safe call-out</t>
        </is>
      </c>
      <c r="J2533" t="n">
        <v>1</v>
      </c>
      <c r="K2533" s="9" t="n">
        <v>385</v>
      </c>
      <c r="L2533" t="inlineStr">
        <is>
          <t>AUTHORISED</t>
        </is>
      </c>
      <c r="M2533">
        <f>IF(L2533="VOIDED",0,1)</f>
        <v>1</v>
      </c>
      <c r="N2533" t="n">
        <v>200</v>
      </c>
      <c r="O2533" t="inlineStr">
        <is>
          <t>GST on Income</t>
        </is>
      </c>
      <c r="P2533" t="inlineStr">
        <is>
          <t>R09</t>
        </is>
      </c>
      <c r="Q2533" t="inlineStr">
        <is>
          <t>MS</t>
        </is>
      </c>
      <c r="R2533">
        <f>IF(OR(Q2533="CONTEXT",Q2533="REVIEW"),"",INDEX('Category Rules'!$D$5:$D$17,MATCH(P2533,'Category Rules'!$A$5:$A$17,0)))</f>
        <v>4020</v>
      </c>
      <c r="S2533" t="str">
        <f>IF(Q2533="CONTEXT","Make-safe",IF(Q2533="REVIEW","",INDEX('Category Rules'!$E$5:$E$17,MATCH(P2533,'Category Rules'!$A$5:$A$17,0))))</f>
        <v>Make-safe</v>
      </c>
      <c r="T2533" t="str">
        <f>IF(Q2533="DEP","BAS Excluded","GST on Income")</f>
        <v>GST on Income</v>
      </c>
      <c r="U2533">
        <f>IF(O2533=T2533,1,0)</f>
        <v>1</v>
      </c>
      <c r="V2533" s="9">
        <f>IF(OR(M2533=0,U2533=1),0,IF(T2533="GST on Income",ROUND(K2533*0.1,2),ROUND(-K2533*0.1,2)))</f>
        <v>0</v>
      </c>
    </row>
    <row r="2534">
      <c r="A2534" t="inlineStr">
        <is>
          <t>INV-5694-1</t>
        </is>
      </c>
      <c r="B2534" t="inlineStr">
        <is>
          <t>INV-5694</t>
        </is>
      </c>
      <c r="C2534" s="11" t="n">
        <v>46202</v>
      </c>
      <c r="D2534" t="inlineStr">
        <is>
          <t>2026-06</t>
        </is>
      </c>
      <c r="E2534" t="inlineStr">
        <is>
          <t>C0051</t>
        </is>
      </c>
      <c r="F2534" t="inlineStr">
        <is>
          <t>C0051</t>
        </is>
      </c>
      <c r="G2534" t="inlineStr">
        <is>
          <t>Granite Body Corporate Pty Ltd</t>
        </is>
      </c>
      <c r="H2534" t="inlineStr">
        <is>
          <t>S0432</t>
        </is>
      </c>
      <c r="I2534" t="inlineStr">
        <is>
          <t>Emergency make safe call-out - after hours</t>
        </is>
      </c>
      <c r="J2534" t="n">
        <v>1</v>
      </c>
      <c r="K2534" s="9" t="n">
        <v>560</v>
      </c>
      <c r="L2534" t="inlineStr">
        <is>
          <t>AUTHORISED</t>
        </is>
      </c>
      <c r="M2534">
        <f>IF(L2534="VOIDED",0,1)</f>
        <v>1</v>
      </c>
      <c r="N2534" t="n">
        <v>200</v>
      </c>
      <c r="O2534" t="inlineStr">
        <is>
          <t>GST on Income</t>
        </is>
      </c>
      <c r="P2534" t="inlineStr">
        <is>
          <t>R09</t>
        </is>
      </c>
      <c r="Q2534" t="inlineStr">
        <is>
          <t>MS</t>
        </is>
      </c>
      <c r="R2534">
        <f>IF(OR(Q2534="CONTEXT",Q2534="REVIEW"),"",INDEX('Category Rules'!$D$5:$D$17,MATCH(P2534,'Category Rules'!$A$5:$A$17,0)))</f>
        <v>4020</v>
      </c>
      <c r="S2534" t="str">
        <f>IF(Q2534="CONTEXT","Make-safe",IF(Q2534="REVIEW","",INDEX('Category Rules'!$E$5:$E$17,MATCH(P2534,'Category Rules'!$A$5:$A$17,0))))</f>
        <v>Make-safe</v>
      </c>
      <c r="T2534" t="str">
        <f>IF(Q2534="DEP","BAS Excluded","GST on Income")</f>
        <v>GST on Income</v>
      </c>
      <c r="U2534">
        <f>IF(O2534=T2534,1,0)</f>
        <v>1</v>
      </c>
      <c r="V2534" s="9">
        <f>IF(OR(M2534=0,U2534=1),0,IF(T2534="GST on Income",ROUND(K2534*0.1,2),ROUND(-K2534*0.1,2)))</f>
        <v>0</v>
      </c>
    </row>
    <row r="2535">
      <c r="A2535" t="inlineStr">
        <is>
          <t>INV-5694-2</t>
        </is>
      </c>
      <c r="B2535" t="inlineStr">
        <is>
          <t>INV-5694</t>
        </is>
      </c>
      <c r="C2535" s="11" t="n">
        <v>46202</v>
      </c>
      <c r="D2535" t="inlineStr">
        <is>
          <t>2026-06</t>
        </is>
      </c>
      <c r="E2535" t="inlineStr">
        <is>
          <t>C0051</t>
        </is>
      </c>
      <c r="F2535" t="inlineStr">
        <is>
          <t>C0051</t>
        </is>
      </c>
      <c r="G2535" t="inlineStr">
        <is>
          <t>Granite Body Corporate Pty Ltd</t>
        </is>
      </c>
      <c r="H2535" t="inlineStr">
        <is>
          <t>S0432</t>
        </is>
      </c>
      <c r="I2535" t="inlineStr">
        <is>
          <t>Tarp supply and install - 1 tarp(s)</t>
        </is>
      </c>
      <c r="J2535" t="n">
        <v>1</v>
      </c>
      <c r="K2535" s="9" t="n">
        <v>240</v>
      </c>
      <c r="L2535" t="inlineStr">
        <is>
          <t>AUTHORISED</t>
        </is>
      </c>
      <c r="M2535">
        <f>IF(L2535="VOIDED",0,1)</f>
        <v>1</v>
      </c>
      <c r="N2535" t="n">
        <v>200</v>
      </c>
      <c r="O2535" t="inlineStr">
        <is>
          <t>GST on Income</t>
        </is>
      </c>
      <c r="P2535" t="inlineStr">
        <is>
          <t>R09</t>
        </is>
      </c>
      <c r="Q2535" t="inlineStr">
        <is>
          <t>MS</t>
        </is>
      </c>
      <c r="R2535">
        <f>IF(OR(Q2535="CONTEXT",Q2535="REVIEW"),"",INDEX('Category Rules'!$D$5:$D$17,MATCH(P2535,'Category Rules'!$A$5:$A$17,0)))</f>
        <v>4020</v>
      </c>
      <c r="S2535" t="str">
        <f>IF(Q2535="CONTEXT","Make-safe",IF(Q2535="REVIEW","",INDEX('Category Rules'!$E$5:$E$17,MATCH(P2535,'Category Rules'!$A$5:$A$17,0))))</f>
        <v>Make-safe</v>
      </c>
      <c r="T2535" t="str">
        <f>IF(Q2535="DEP","BAS Excluded","GST on Income")</f>
        <v>GST on Income</v>
      </c>
      <c r="U2535">
        <f>IF(O2535=T2535,1,0)</f>
        <v>1</v>
      </c>
      <c r="V2535" s="9">
        <f>IF(OR(M2535=0,U2535=1),0,IF(T2535="GST on Income",ROUND(K2535*0.1,2),ROUND(-K2535*0.1,2)))</f>
        <v>0</v>
      </c>
    </row>
    <row r="2536">
      <c r="A2536" t="inlineStr">
        <is>
          <t>INV-4268-1</t>
        </is>
      </c>
      <c r="B2536" t="inlineStr">
        <is>
          <t>INV-4268</t>
        </is>
      </c>
      <c r="C2536" s="11" t="n">
        <v>46203</v>
      </c>
      <c r="D2536" t="inlineStr">
        <is>
          <t>2026-06</t>
        </is>
      </c>
      <c r="E2536" t="inlineStr">
        <is>
          <t>C0078</t>
        </is>
      </c>
      <c r="F2536" t="inlineStr">
        <is>
          <t>C0078</t>
        </is>
      </c>
      <c r="G2536" t="inlineStr">
        <is>
          <t>Oakridge Festivals</t>
        </is>
      </c>
      <c r="H2536" t="inlineStr">
        <is>
          <t>S0035</t>
        </is>
      </c>
      <c r="I2536" t="inlineStr">
        <is>
          <t>Temporary fence hire 3 wks (15/06/26-29/06/26) - 98 panels</t>
        </is>
      </c>
      <c r="J2536" t="n">
        <v>294</v>
      </c>
      <c r="K2536" s="9" t="n">
        <v>1323</v>
      </c>
      <c r="L2536" t="inlineStr">
        <is>
          <t>AUTHORISED</t>
        </is>
      </c>
      <c r="M2536">
        <f>IF(L2536="VOIDED",0,1)</f>
        <v>1</v>
      </c>
      <c r="N2536" t="n">
        <v>200</v>
      </c>
      <c r="O2536" t="inlineStr">
        <is>
          <t>GST on Income</t>
        </is>
      </c>
      <c r="P2536" t="inlineStr">
        <is>
          <t>R03</t>
        </is>
      </c>
      <c r="Q2536" t="inlineStr">
        <is>
          <t>HIRE-FP</t>
        </is>
      </c>
      <c r="R2536">
        <f>IF(OR(Q2536="CONTEXT",Q2536="REVIEW"),"",INDEX('Category Rules'!$D$5:$D$17,MATCH(P2536,'Category Rules'!$A$5:$A$17,0)))</f>
        <v>4010</v>
      </c>
      <c r="S2536" t="str">
        <f>IF(Q2536="CONTEXT","Fencing",IF(Q2536="REVIEW","",INDEX('Category Rules'!$E$5:$E$17,MATCH(P2536,'Category Rules'!$A$5:$A$17,0))))</f>
        <v>Fencing</v>
      </c>
      <c r="T2536" t="str">
        <f>IF(Q2536="DEP","BAS Excluded","GST on Income")</f>
        <v>GST on Income</v>
      </c>
      <c r="U2536">
        <f>IF(O2536=T2536,1,0)</f>
        <v>1</v>
      </c>
      <c r="V2536" s="9">
        <f>IF(OR(M2536=0,U2536=1),0,IF(T2536="GST on Income",ROUND(K2536*0.1,2),ROUND(-K2536*0.1,2)))</f>
        <v>0</v>
      </c>
    </row>
    <row r="2537">
      <c r="A2537" t="inlineStr">
        <is>
          <t>INV-4270-1</t>
        </is>
      </c>
      <c r="B2537" t="inlineStr">
        <is>
          <t>INV-4270</t>
        </is>
      </c>
      <c r="C2537" s="11" t="n">
        <v>46203</v>
      </c>
      <c r="D2537" t="inlineStr">
        <is>
          <t>2026-06</t>
        </is>
      </c>
      <c r="E2537" t="inlineStr">
        <is>
          <t>C0078</t>
        </is>
      </c>
      <c r="F2537" t="inlineStr">
        <is>
          <t>C0078</t>
        </is>
      </c>
      <c r="G2537" t="inlineStr">
        <is>
          <t>Oakridge Festivals</t>
        </is>
      </c>
      <c r="H2537" t="inlineStr">
        <is>
          <t>S0035</t>
        </is>
      </c>
      <c r="I2537" t="inlineStr">
        <is>
          <t>Collection and dismantle - temporary fencing</t>
        </is>
      </c>
      <c r="J2537" t="n">
        <v>1</v>
      </c>
      <c r="K2537" s="9" t="n">
        <v>165</v>
      </c>
      <c r="L2537" t="inlineStr">
        <is>
          <t>AUTHORISED</t>
        </is>
      </c>
      <c r="M2537">
        <f>IF(L2537="VOIDED",0,1)</f>
        <v>1</v>
      </c>
      <c r="N2537" t="n">
        <v>200</v>
      </c>
      <c r="O2537" t="inlineStr">
        <is>
          <t>GST on Income</t>
        </is>
      </c>
      <c r="P2537" t="inlineStr">
        <is>
          <t>R07</t>
        </is>
      </c>
      <c r="Q2537" t="inlineStr">
        <is>
          <t>DEL-FP</t>
        </is>
      </c>
      <c r="R2537">
        <f>IF(OR(Q2537="CONTEXT",Q2537="REVIEW"),"",INDEX('Category Rules'!$D$5:$D$17,MATCH(P2537,'Category Rules'!$A$5:$A$17,0)))</f>
        <v>4020</v>
      </c>
      <c r="S2537" t="str">
        <f>IF(Q2537="CONTEXT","Fencing",IF(Q2537="REVIEW","",INDEX('Category Rules'!$E$5:$E$17,MATCH(P2537,'Category Rules'!$A$5:$A$17,0))))</f>
        <v>Fencing</v>
      </c>
      <c r="T2537" t="str">
        <f>IF(Q2537="DEP","BAS Excluded","GST on Income")</f>
        <v>GST on Income</v>
      </c>
      <c r="U2537">
        <f>IF(O2537=T2537,1,0)</f>
        <v>1</v>
      </c>
      <c r="V2537" s="9">
        <f>IF(OR(M2537=0,U2537=1),0,IF(T2537="GST on Income",ROUND(K2537*0.1,2),ROUND(-K2537*0.1,2)))</f>
        <v>0</v>
      </c>
    </row>
    <row r="2538">
      <c r="A2538" t="inlineStr">
        <is>
          <t>INV-4388-1</t>
        </is>
      </c>
      <c r="B2538" t="inlineStr">
        <is>
          <t>INV-4388</t>
        </is>
      </c>
      <c r="C2538" s="11" t="n">
        <v>46203</v>
      </c>
      <c r="D2538" t="inlineStr">
        <is>
          <t>2026-06</t>
        </is>
      </c>
      <c r="E2538" t="inlineStr">
        <is>
          <t>C0121</t>
        </is>
      </c>
      <c r="F2538" t="inlineStr">
        <is>
          <t>C0121</t>
        </is>
      </c>
      <c r="G2538" t="inlineStr">
        <is>
          <t>Bluegum Constructions</t>
        </is>
      </c>
      <c r="H2538" t="inlineStr">
        <is>
          <t>S0060</t>
        </is>
      </c>
      <c r="I2538" t="inlineStr">
        <is>
          <t>Temporary fence hire 4 wks (02/06/26-29/06/26) - 36 panels</t>
        </is>
      </c>
      <c r="J2538" t="n">
        <v>144</v>
      </c>
      <c r="K2538" s="9" t="n">
        <v>648</v>
      </c>
      <c r="L2538" t="inlineStr">
        <is>
          <t>AUTHORISED</t>
        </is>
      </c>
      <c r="M2538">
        <f>IF(L2538="VOIDED",0,1)</f>
        <v>1</v>
      </c>
      <c r="N2538" t="n">
        <v>200</v>
      </c>
      <c r="O2538" t="inlineStr">
        <is>
          <t>GST on Income</t>
        </is>
      </c>
      <c r="P2538" t="inlineStr">
        <is>
          <t>R03</t>
        </is>
      </c>
      <c r="Q2538" t="inlineStr">
        <is>
          <t>HIRE-FP</t>
        </is>
      </c>
      <c r="R2538">
        <f>IF(OR(Q2538="CONTEXT",Q2538="REVIEW"),"",INDEX('Category Rules'!$D$5:$D$17,MATCH(P2538,'Category Rules'!$A$5:$A$17,0)))</f>
        <v>4010</v>
      </c>
      <c r="S2538" t="str">
        <f>IF(Q2538="CONTEXT","Fencing",IF(Q2538="REVIEW","",INDEX('Category Rules'!$E$5:$E$17,MATCH(P2538,'Category Rules'!$A$5:$A$17,0))))</f>
        <v>Fencing</v>
      </c>
      <c r="T2538" t="str">
        <f>IF(Q2538="DEP","BAS Excluded","GST on Income")</f>
        <v>GST on Income</v>
      </c>
      <c r="U2538">
        <f>IF(O2538=T2538,1,0)</f>
        <v>1</v>
      </c>
      <c r="V2538" s="9">
        <f>IF(OR(M2538=0,U2538=1),0,IF(T2538="GST on Income",ROUND(K2538*0.1,2),ROUND(-K2538*0.1,2)))</f>
        <v>0</v>
      </c>
    </row>
    <row r="2539">
      <c r="A2539" t="inlineStr">
        <is>
          <t>INV-4389-1</t>
        </is>
      </c>
      <c r="B2539" t="inlineStr">
        <is>
          <t>INV-4389</t>
        </is>
      </c>
      <c r="C2539" s="11" t="n">
        <v>46203</v>
      </c>
      <c r="D2539" t="inlineStr">
        <is>
          <t>2026-06</t>
        </is>
      </c>
      <c r="E2539" t="inlineStr">
        <is>
          <t>C0121</t>
        </is>
      </c>
      <c r="F2539" t="inlineStr">
        <is>
          <t>C0121</t>
        </is>
      </c>
      <c r="G2539" t="inlineStr">
        <is>
          <t>Bluegum Constructions</t>
        </is>
      </c>
      <c r="H2539" t="inlineStr">
        <is>
          <t>S0060</t>
        </is>
      </c>
      <c r="I2539" t="inlineStr">
        <is>
          <t>Pedestrian barrier hire 4 wks (02/06/26-29/06/26) - 19 barriers</t>
        </is>
      </c>
      <c r="J2539" t="n">
        <v>76</v>
      </c>
      <c r="K2539" s="9" t="n">
        <v>243.2</v>
      </c>
      <c r="L2539" t="inlineStr">
        <is>
          <t>PAID</t>
        </is>
      </c>
      <c r="M2539">
        <f>IF(L2539="VOIDED",0,1)</f>
        <v>1</v>
      </c>
      <c r="N2539" t="n">
        <v>200</v>
      </c>
      <c r="O2539" t="inlineStr">
        <is>
          <t>GST on Income</t>
        </is>
      </c>
      <c r="P2539" t="inlineStr">
        <is>
          <t>R04</t>
        </is>
      </c>
      <c r="Q2539" t="inlineStr">
        <is>
          <t>HIRE-BR</t>
        </is>
      </c>
      <c r="R2539">
        <f>IF(OR(Q2539="CONTEXT",Q2539="REVIEW"),"",INDEX('Category Rules'!$D$5:$D$17,MATCH(P2539,'Category Rules'!$A$5:$A$17,0)))</f>
        <v>4010</v>
      </c>
      <c r="S2539" t="str">
        <f>IF(Q2539="CONTEXT","Fencing",IF(Q2539="REVIEW","",INDEX('Category Rules'!$E$5:$E$17,MATCH(P2539,'Category Rules'!$A$5:$A$17,0))))</f>
        <v>Fencing</v>
      </c>
      <c r="T2539" t="str">
        <f>IF(Q2539="DEP","BAS Excluded","GST on Income")</f>
        <v>GST on Income</v>
      </c>
      <c r="U2539">
        <f>IF(O2539=T2539,1,0)</f>
        <v>1</v>
      </c>
      <c r="V2539" s="9">
        <f>IF(OR(M2539=0,U2539=1),0,IF(T2539="GST on Income",ROUND(K2539*0.1,2),ROUND(-K2539*0.1,2)))</f>
        <v>0</v>
      </c>
    </row>
    <row r="2540">
      <c r="A2540" t="inlineStr">
        <is>
          <t>INV-4929-1</t>
        </is>
      </c>
      <c r="B2540" t="inlineStr">
        <is>
          <t>INV-4929</t>
        </is>
      </c>
      <c r="C2540" s="11" t="n">
        <v>46203</v>
      </c>
      <c r="D2540" t="inlineStr">
        <is>
          <t>2026-06</t>
        </is>
      </c>
      <c r="E2540" t="inlineStr">
        <is>
          <t>C0040</t>
        </is>
      </c>
      <c r="F2540" t="inlineStr">
        <is>
          <t>C0040</t>
        </is>
      </c>
      <c r="G2540" t="inlineStr">
        <is>
          <t>Coastline Projects Pty Ltd</t>
        </is>
      </c>
      <c r="H2540" t="inlineStr">
        <is>
          <t>S0176</t>
        </is>
      </c>
      <c r="I2540" t="inlineStr">
        <is>
          <t>Temporary fence hire 4 wks (02/06/26-29/06/26) - 79 panels</t>
        </is>
      </c>
      <c r="J2540" t="n">
        <v>316</v>
      </c>
      <c r="K2540" s="9" t="n">
        <v>1422</v>
      </c>
      <c r="L2540" t="inlineStr">
        <is>
          <t>AUTHORISED</t>
        </is>
      </c>
      <c r="M2540">
        <f>IF(L2540="VOIDED",0,1)</f>
        <v>1</v>
      </c>
      <c r="N2540" t="n">
        <v>200</v>
      </c>
      <c r="O2540" t="inlineStr">
        <is>
          <t>GST on Income</t>
        </is>
      </c>
      <c r="P2540" t="inlineStr">
        <is>
          <t>R03</t>
        </is>
      </c>
      <c r="Q2540" t="inlineStr">
        <is>
          <t>HIRE-FP</t>
        </is>
      </c>
      <c r="R2540">
        <f>IF(OR(Q2540="CONTEXT",Q2540="REVIEW"),"",INDEX('Category Rules'!$D$5:$D$17,MATCH(P2540,'Category Rules'!$A$5:$A$17,0)))</f>
        <v>4010</v>
      </c>
      <c r="S2540" t="str">
        <f>IF(Q2540="CONTEXT","Fencing",IF(Q2540="REVIEW","",INDEX('Category Rules'!$E$5:$E$17,MATCH(P2540,'Category Rules'!$A$5:$A$17,0))))</f>
        <v>Fencing</v>
      </c>
      <c r="T2540" t="str">
        <f>IF(Q2540="DEP","BAS Excluded","GST on Income")</f>
        <v>GST on Income</v>
      </c>
      <c r="U2540">
        <f>IF(O2540=T2540,1,0)</f>
        <v>1</v>
      </c>
      <c r="V2540" s="9">
        <f>IF(OR(M2540=0,U2540=1),0,IF(T2540="GST on Income",ROUND(K2540*0.1,2),ROUND(-K2540*0.1,2)))</f>
        <v>0</v>
      </c>
    </row>
    <row r="2541">
      <c r="A2541" t="inlineStr">
        <is>
          <t>INV-4961-1</t>
        </is>
      </c>
      <c r="B2541" t="inlineStr">
        <is>
          <t>INV-4961</t>
        </is>
      </c>
      <c r="C2541" s="11" t="n">
        <v>46203</v>
      </c>
      <c r="D2541" t="inlineStr">
        <is>
          <t>2026-06</t>
        </is>
      </c>
      <c r="E2541" t="inlineStr">
        <is>
          <t>C0022</t>
        </is>
      </c>
      <c r="F2541" t="inlineStr">
        <is>
          <t>C0022</t>
        </is>
      </c>
      <c r="G2541" t="inlineStr">
        <is>
          <t>Highpoint Projects</t>
        </is>
      </c>
      <c r="H2541" t="inlineStr">
        <is>
          <t>S0182</t>
        </is>
      </c>
      <c r="I2541" t="inlineStr">
        <is>
          <t>Temporary fence hire 4 wks (02/06/26-29/06/26) - 111 panels</t>
        </is>
      </c>
      <c r="J2541" t="n">
        <v>444</v>
      </c>
      <c r="K2541" s="9" t="n">
        <v>1998</v>
      </c>
      <c r="L2541" t="inlineStr">
        <is>
          <t>PAID</t>
        </is>
      </c>
      <c r="M2541">
        <f>IF(L2541="VOIDED",0,1)</f>
        <v>1</v>
      </c>
      <c r="N2541" t="n">
        <v>200</v>
      </c>
      <c r="O2541" t="inlineStr">
        <is>
          <t>GST on Income</t>
        </is>
      </c>
      <c r="P2541" t="inlineStr">
        <is>
          <t>R03</t>
        </is>
      </c>
      <c r="Q2541" t="inlineStr">
        <is>
          <t>HIRE-FP</t>
        </is>
      </c>
      <c r="R2541">
        <f>IF(OR(Q2541="CONTEXT",Q2541="REVIEW"),"",INDEX('Category Rules'!$D$5:$D$17,MATCH(P2541,'Category Rules'!$A$5:$A$17,0)))</f>
        <v>4010</v>
      </c>
      <c r="S2541" t="str">
        <f>IF(Q2541="CONTEXT","Fencing",IF(Q2541="REVIEW","",INDEX('Category Rules'!$E$5:$E$17,MATCH(P2541,'Category Rules'!$A$5:$A$17,0))))</f>
        <v>Fencing</v>
      </c>
      <c r="T2541" t="str">
        <f>IF(Q2541="DEP","BAS Excluded","GST on Income")</f>
        <v>GST on Income</v>
      </c>
      <c r="U2541">
        <f>IF(O2541=T2541,1,0)</f>
        <v>1</v>
      </c>
      <c r="V2541" s="9">
        <f>IF(OR(M2541=0,U2541=1),0,IF(T2541="GST on Income",ROUND(K2541*0.1,2),ROUND(-K2541*0.1,2)))</f>
        <v>0</v>
      </c>
    </row>
    <row r="2542">
      <c r="A2542" t="inlineStr">
        <is>
          <t>INV-5487-1</t>
        </is>
      </c>
      <c r="B2542" t="inlineStr">
        <is>
          <t>INV-5487</t>
        </is>
      </c>
      <c r="C2542" s="11" t="n">
        <v>46203</v>
      </c>
      <c r="D2542" t="inlineStr">
        <is>
          <t>2026-06</t>
        </is>
      </c>
      <c r="E2542" t="inlineStr">
        <is>
          <t>C0018</t>
        </is>
      </c>
      <c r="F2542" t="inlineStr">
        <is>
          <t>C0018</t>
        </is>
      </c>
      <c r="G2542" t="inlineStr">
        <is>
          <t>Wattle Constructions Pty Ltd</t>
        </is>
      </c>
      <c r="H2542" t="inlineStr">
        <is>
          <t>S0320</t>
        </is>
      </c>
      <c r="I2542" t="inlineStr">
        <is>
          <t>Tarp kit hire 4 wks (02/06/26-29/06/26) - 1 kits</t>
        </is>
      </c>
      <c r="J2542" t="n">
        <v>4</v>
      </c>
      <c r="K2542" s="9" t="n">
        <v>140</v>
      </c>
      <c r="L2542" t="inlineStr">
        <is>
          <t>PAID</t>
        </is>
      </c>
      <c r="M2542">
        <f>IF(L2542="VOIDED",0,1)</f>
        <v>1</v>
      </c>
      <c r="N2542" t="n">
        <v>200</v>
      </c>
      <c r="O2542" t="inlineStr">
        <is>
          <t>GST on Income</t>
        </is>
      </c>
      <c r="P2542" t="inlineStr">
        <is>
          <t>R06</t>
        </is>
      </c>
      <c r="Q2542" t="inlineStr">
        <is>
          <t>HIRE-TK</t>
        </is>
      </c>
      <c r="R2542">
        <f>IF(OR(Q2542="CONTEXT",Q2542="REVIEW"),"",INDEX('Category Rules'!$D$5:$D$17,MATCH(P2542,'Category Rules'!$A$5:$A$17,0)))</f>
        <v>4010</v>
      </c>
      <c r="S2542" t="str">
        <f>IF(Q2542="CONTEXT","Make-safe",IF(Q2542="REVIEW","",INDEX('Category Rules'!$E$5:$E$17,MATCH(P2542,'Category Rules'!$A$5:$A$17,0))))</f>
        <v>Make-safe</v>
      </c>
      <c r="T2542" t="str">
        <f>IF(Q2542="DEP","BAS Excluded","GST on Income")</f>
        <v>GST on Income</v>
      </c>
      <c r="U2542">
        <f>IF(O2542=T2542,1,0)</f>
        <v>1</v>
      </c>
      <c r="V2542" s="9">
        <f>IF(OR(M2542=0,U2542=1),0,IF(T2542="GST on Income",ROUND(K2542*0.1,2),ROUND(-K2542*0.1,2)))</f>
        <v>0</v>
      </c>
    </row>
  </sheetData>
  <autoFilter ref="A4:V25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52" customWidth="1" min="2" max="2"/>
    <col width="10" customWidth="1" min="3" max="3"/>
    <col width="9" customWidth="1" min="4" max="4"/>
    <col width="12" customWidth="1" min="5" max="5"/>
    <col width="50" customWidth="1" min="6" max="6"/>
    <col width="8" customWidth="1" min="7" max="7"/>
    <col width="13" customWidth="1" min="8" max="8"/>
  </cols>
  <sheetData>
    <row r="1">
      <c r="A1" s="6" t="inlineStr">
        <is>
          <t>Categorisation rules (first match wins, R00 checked first)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Rule</t>
        </is>
      </c>
      <c r="B4" s="7" t="inlineStr">
        <is>
          <t>Pattern (on the line description)</t>
        </is>
      </c>
      <c r="C4" s="7" t="inlineStr">
        <is>
          <t>Category</t>
        </is>
      </c>
      <c r="D4" s="7" t="inlineStr">
        <is>
          <t>Account</t>
        </is>
      </c>
      <c r="E4" s="7" t="inlineStr">
        <is>
          <t>Service line</t>
        </is>
      </c>
      <c r="F4" s="7" t="inlineStr">
        <is>
          <t>Why</t>
        </is>
      </c>
      <c r="G4" s="7" t="inlineStr">
        <is>
          <t>Lines</t>
        </is>
      </c>
      <c r="H4" s="7" t="inlineStr">
        <is>
          <t>Value</t>
        </is>
      </c>
    </row>
    <row r="5">
      <c r="A5" t="inlineStr">
        <is>
          <t>R00</t>
        </is>
      </c>
      <c r="B5" t="inlineStr">
        <is>
          <t>package|\bfence\b.*make safe|make safe.*\bfence\b</t>
        </is>
      </c>
      <c r="C5" t="inlineStr">
        <is>
          <t>MIXED</t>
        </is>
      </c>
      <c r="D5" t="inlineStr"/>
      <c r="E5" t="inlineStr"/>
      <c r="F5" t="inlineStr">
        <is>
          <t>Two service lines in one line: needs a person</t>
        </is>
      </c>
      <c r="G5">
        <f>COUNTIFS('Invoice Lines'!$P$5:$P$2542,A5,'Invoice Lines'!$M$5:$M$2542,1)</f>
        <v>9</v>
      </c>
      <c r="H5" s="9">
        <f>SUMIFS('Invoice Lines'!$K$5:$K$2542,'Invoice Lines'!$P$5:$P$2542,A5,'Invoice Lines'!$M$5:$M$2542,1)</f>
        <v>18799.88</v>
      </c>
    </row>
    <row r="6">
      <c r="A6" t="inlineStr">
        <is>
          <t>R01</t>
        </is>
      </c>
      <c r="B6" t="inlineStr">
        <is>
          <t>security deposit</t>
        </is>
      </c>
      <c r="C6" t="inlineStr">
        <is>
          <t>DEP</t>
        </is>
      </c>
      <c r="D6" t="n">
        <v>835</v>
      </c>
      <c r="E6" t="inlineStr">
        <is>
          <t>Fencing</t>
        </is>
      </c>
      <c r="F6" t="inlineStr">
        <is>
          <t>Refundable deposits are a liability, not income</t>
        </is>
      </c>
      <c r="G6">
        <f>COUNTIFS('Invoice Lines'!$P$5:$P$2542,A6,'Invoice Lines'!$M$5:$M$2542,1)</f>
        <v>40</v>
      </c>
      <c r="H6" s="9">
        <f>SUMIFS('Invoice Lines'!$K$5:$K$2542,'Invoice Lines'!$P$5:$P$2542,A6,'Invoice Lines'!$M$5:$M$2542,1)</f>
        <v>19000</v>
      </c>
    </row>
    <row r="7">
      <c r="A7" t="inlineStr">
        <is>
          <t>R02</t>
        </is>
      </c>
      <c r="B7" t="inlineStr">
        <is>
          <t>lost/damaged|lost or damaged|damaged panels</t>
        </is>
      </c>
      <c r="C7" t="inlineStr">
        <is>
          <t>LOSS</t>
        </is>
      </c>
      <c r="D7" t="n">
        <v>4040</v>
      </c>
      <c r="E7" t="inlineStr">
        <is>
          <t>Fencing</t>
        </is>
      </c>
      <c r="F7" t="inlineStr">
        <is>
          <t>Charges for equipment not returned</t>
        </is>
      </c>
      <c r="G7">
        <f>COUNTIFS('Invoice Lines'!$P$5:$P$2542,A7,'Invoice Lines'!$M$5:$M$2542,1)</f>
        <v>20</v>
      </c>
      <c r="H7" s="9">
        <f>SUMIFS('Invoice Lines'!$K$5:$K$2542,'Invoice Lines'!$P$5:$P$2542,A7,'Invoice Lines'!$M$5:$M$2542,1)</f>
        <v>10875</v>
      </c>
    </row>
    <row r="8">
      <c r="A8" t="inlineStr">
        <is>
          <t>R03</t>
        </is>
      </c>
      <c r="B8" t="inlineStr">
        <is>
          <t>fence hire</t>
        </is>
      </c>
      <c r="C8" t="inlineStr">
        <is>
          <t>HIRE-FP</t>
        </is>
      </c>
      <c r="D8" t="n">
        <v>4010</v>
      </c>
      <c r="E8" t="inlineStr">
        <is>
          <t>Fencing</t>
        </is>
      </c>
      <c r="F8" t="inlineStr">
        <is>
          <t>Weekly panel hire</t>
        </is>
      </c>
      <c r="G8">
        <f>COUNTIFS('Invoice Lines'!$P$5:$P$2542,A8,'Invoice Lines'!$M$5:$M$2542,1)</f>
        <v>566</v>
      </c>
      <c r="H8" s="9">
        <f>SUMIFS('Invoice Lines'!$K$5:$K$2542,'Invoice Lines'!$P$5:$P$2542,A8,'Invoice Lines'!$M$5:$M$2542,1)</f>
        <v>797095.89</v>
      </c>
    </row>
    <row r="9">
      <c r="A9" t="inlineStr">
        <is>
          <t>R04</t>
        </is>
      </c>
      <c r="B9" t="inlineStr">
        <is>
          <t>barrier hire</t>
        </is>
      </c>
      <c r="C9" t="inlineStr">
        <is>
          <t>HIRE-BR</t>
        </is>
      </c>
      <c r="D9" t="n">
        <v>4010</v>
      </c>
      <c r="E9" t="inlineStr">
        <is>
          <t>Fencing</t>
        </is>
      </c>
      <c r="F9" t="inlineStr">
        <is>
          <t>Weekly barrier hire</t>
        </is>
      </c>
      <c r="G9">
        <f>COUNTIFS('Invoice Lines'!$P$5:$P$2542,A9,'Invoice Lines'!$M$5:$M$2542,1)</f>
        <v>156</v>
      </c>
      <c r="H9" s="9">
        <f>SUMIFS('Invoice Lines'!$K$5:$K$2542,'Invoice Lines'!$P$5:$P$2542,A9,'Invoice Lines'!$M$5:$M$2542,1)</f>
        <v>26838.4</v>
      </c>
    </row>
    <row r="10">
      <c r="A10" t="inlineStr">
        <is>
          <t>R05</t>
        </is>
      </c>
      <c r="B10" t="inlineStr">
        <is>
          <t>scaffold tower hire</t>
        </is>
      </c>
      <c r="C10" t="inlineStr">
        <is>
          <t>HIRE-ST</t>
        </is>
      </c>
      <c r="D10" t="n">
        <v>4010</v>
      </c>
      <c r="E10" t="inlineStr">
        <is>
          <t>Scaffolding</t>
        </is>
      </c>
      <c r="F10" t="inlineStr">
        <is>
          <t>Weekly tower hire</t>
        </is>
      </c>
      <c r="G10">
        <f>COUNTIFS('Invoice Lines'!$P$5:$P$2542,A10,'Invoice Lines'!$M$5:$M$2542,1)</f>
        <v>136</v>
      </c>
      <c r="H10" s="9">
        <f>SUMIFS('Invoice Lines'!$K$5:$K$2542,'Invoice Lines'!$P$5:$P$2542,A10,'Invoice Lines'!$M$5:$M$2542,1)</f>
        <v>94335</v>
      </c>
    </row>
    <row r="11">
      <c r="A11" t="inlineStr">
        <is>
          <t>R06</t>
        </is>
      </c>
      <c r="B11" t="inlineStr">
        <is>
          <t>tarp kit hire</t>
        </is>
      </c>
      <c r="C11" t="inlineStr">
        <is>
          <t>HIRE-TK</t>
        </is>
      </c>
      <c r="D11" t="n">
        <v>4010</v>
      </c>
      <c r="E11" t="inlineStr">
        <is>
          <t>Make-safe</t>
        </is>
      </c>
      <c r="F11" t="inlineStr">
        <is>
          <t>Weekly tarp kit hire</t>
        </is>
      </c>
      <c r="G11">
        <f>COUNTIFS('Invoice Lines'!$P$5:$P$2542,A11,'Invoice Lines'!$M$5:$M$2542,1)</f>
        <v>128</v>
      </c>
      <c r="H11" s="9">
        <f>SUMIFS('Invoice Lines'!$K$5:$K$2542,'Invoice Lines'!$P$5:$P$2542,A11,'Invoice Lines'!$M$5:$M$2542,1)</f>
        <v>25970</v>
      </c>
    </row>
    <row r="12">
      <c r="A12" t="inlineStr">
        <is>
          <t>R07</t>
        </is>
      </c>
      <c r="B12" t="inlineStr">
        <is>
          <t>delivery and installation|installation labour|collection and dismantle</t>
        </is>
      </c>
      <c r="C12" t="inlineStr">
        <is>
          <t>DEL-FP</t>
        </is>
      </c>
      <c r="D12" t="n">
        <v>4020</v>
      </c>
      <c r="E12" t="inlineStr">
        <is>
          <t>Fencing</t>
        </is>
      </c>
      <c r="F12" t="inlineStr">
        <is>
          <t>Delivery, install and collection</t>
        </is>
      </c>
      <c r="G12">
        <f>COUNTIFS('Invoice Lines'!$P$5:$P$2542,A12,'Invoice Lines'!$M$5:$M$2542,1)</f>
        <v>561</v>
      </c>
      <c r="H12" s="9">
        <f>SUMIFS('Invoice Lines'!$K$5:$K$2542,'Invoice Lines'!$P$5:$P$2542,A12,'Invoice Lines'!$M$5:$M$2542,1)</f>
        <v>96890.2</v>
      </c>
    </row>
    <row r="13">
      <c r="A13" t="inlineStr">
        <is>
          <t>R08</t>
        </is>
      </c>
      <c r="B13" t="inlineStr">
        <is>
          <t>scaffold (erect|dismantle)</t>
        </is>
      </c>
      <c r="C13" t="inlineStr">
        <is>
          <t>LAB-ST</t>
        </is>
      </c>
      <c r="D13" t="n">
        <v>4020</v>
      </c>
      <c r="E13" t="inlineStr">
        <is>
          <t>Scaffolding</t>
        </is>
      </c>
      <c r="F13" t="inlineStr">
        <is>
          <t>Erect and dismantle labour</t>
        </is>
      </c>
      <c r="G13">
        <f>COUNTIFS('Invoice Lines'!$P$5:$P$2542,A13,'Invoice Lines'!$M$5:$M$2542,1)</f>
        <v>117</v>
      </c>
      <c r="H13" s="9">
        <f>SUMIFS('Invoice Lines'!$K$5:$K$2542,'Invoice Lines'!$P$5:$P$2542,A13,'Invoice Lines'!$M$5:$M$2542,1)</f>
        <v>110880</v>
      </c>
    </row>
    <row r="14">
      <c r="A14" t="inlineStr">
        <is>
          <t>R09</t>
        </is>
      </c>
      <c r="B14" t="inlineStr">
        <is>
          <t>make safe|tarp supply</t>
        </is>
      </c>
      <c r="C14" t="inlineStr">
        <is>
          <t>MS</t>
        </is>
      </c>
      <c r="D14" t="n">
        <v>4020</v>
      </c>
      <c r="E14" t="inlineStr">
        <is>
          <t>Make-safe</t>
        </is>
      </c>
      <c r="F14" t="inlineStr">
        <is>
          <t>Call-outs and tarping</t>
        </is>
      </c>
      <c r="G14">
        <f>COUNTIFS('Invoice Lines'!$P$5:$P$2542,A14,'Invoice Lines'!$M$5:$M$2542,1)</f>
        <v>273</v>
      </c>
      <c r="H14" s="9">
        <f>SUMIFS('Invoice Lines'!$K$5:$K$2542,'Invoice Lines'!$P$5:$P$2542,A14,'Invoice Lines'!$M$5:$M$2542,1)</f>
        <v>124150</v>
      </c>
    </row>
    <row r="15">
      <c r="A15" t="inlineStr">
        <is>
          <t>R10</t>
        </is>
      </c>
      <c r="B15" t="inlineStr">
        <is>
          <t>roof repair labour</t>
        </is>
      </c>
      <c r="C15" t="inlineStr">
        <is>
          <t>LAB-RF</t>
        </is>
      </c>
      <c r="D15" t="n">
        <v>4020</v>
      </c>
      <c r="E15" t="inlineStr">
        <is>
          <t>Roofing</t>
        </is>
      </c>
      <c r="F15" t="inlineStr">
        <is>
          <t>Roof repair labour</t>
        </is>
      </c>
      <c r="G15">
        <f>COUNTIFS('Invoice Lines'!$P$5:$P$2542,A15,'Invoice Lines'!$M$5:$M$2542,1)</f>
        <v>145</v>
      </c>
      <c r="H15" s="9">
        <f>SUMIFS('Invoice Lines'!$K$5:$K$2542,'Invoice Lines'!$P$5:$P$2542,A15,'Invoice Lines'!$M$5:$M$2542,1)</f>
        <v>150332</v>
      </c>
    </row>
    <row r="16">
      <c r="A16" t="inlineStr">
        <is>
          <t>R11</t>
        </is>
      </c>
      <c r="B16" t="inlineStr">
        <is>
          <t>^materials -|waste removal|tip fees</t>
        </is>
      </c>
      <c r="C16" t="inlineStr">
        <is>
          <t>MAT-RF</t>
        </is>
      </c>
      <c r="D16" t="n">
        <v>4030</v>
      </c>
      <c r="E16" t="inlineStr">
        <is>
          <t>Roofing</t>
        </is>
      </c>
      <c r="F16" t="inlineStr">
        <is>
          <t>Materials, waste and tip fees</t>
        </is>
      </c>
      <c r="G16">
        <f>COUNTIFS('Invoice Lines'!$P$5:$P$2542,A16,'Invoice Lines'!$M$5:$M$2542,1)</f>
        <v>336</v>
      </c>
      <c r="H16" s="9">
        <f>SUMIFS('Invoice Lines'!$K$5:$K$2542,'Invoice Lines'!$P$5:$P$2542,A16,'Invoice Lines'!$M$5:$M$2542,1)</f>
        <v>203086.55</v>
      </c>
    </row>
    <row r="17">
      <c r="A17" t="inlineStr">
        <is>
          <t>R12</t>
        </is>
      </c>
      <c r="B17" t="inlineStr">
        <is>
          <t>(no rule) and the invoice Reference is a known site</t>
        </is>
      </c>
      <c r="C17" t="inlineStr">
        <is>
          <t>CONTEXT</t>
        </is>
      </c>
      <c r="D17" t="inlineStr"/>
      <c r="E17" t="inlineStr"/>
      <c r="F17" t="inlineStr">
        <is>
          <t>Service line known, account confirmed by a person</t>
        </is>
      </c>
      <c r="G17">
        <f>COUNTIFS('Invoice Lines'!$P$5:$P$2542,A17,'Invoice Lines'!$M$5:$M$2542,1)</f>
        <v>16</v>
      </c>
      <c r="H17" s="9">
        <f>SUMIFS('Invoice Lines'!$K$5:$K$2542,'Invoice Lines'!$P$5:$P$2542,A17,'Invoice Lines'!$M$5:$M$2542,1)</f>
        <v>37352.69</v>
      </c>
    </row>
    <row r="18">
      <c r="A18" s="4" t="inlineStr">
        <is>
          <t>No rule, no site</t>
        </is>
      </c>
      <c r="G18">
        <f>COUNTIFS('Invoice Lines'!$P$5:$P$2542,"--",'Invoice Lines'!$M$5:$M$2542,1)</f>
        <v>21</v>
      </c>
      <c r="H18" s="9">
        <f>SUMIFS('Invoice Lines'!$K$5:$K$2542,'Invoice Lines'!$P$5:$P$2542,"--",'Invoice Lines'!$M$5:$M$2542,1)</f>
        <v>42788.54</v>
      </c>
    </row>
    <row r="19">
      <c r="A19" s="4" t="inlineStr">
        <is>
          <t>Total</t>
        </is>
      </c>
      <c r="G19">
        <f>SUM(G5:G18)</f>
        <v>2524</v>
      </c>
      <c r="H19" s="9">
        <f>SUM(H5:H18)</f>
        <v>1758394.15</v>
      </c>
    </row>
  </sheetData>
  <autoFilter ref="A4:H1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26" customWidth="1" min="2" max="2"/>
    <col width="12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3" customWidth="1" min="16" max="16"/>
  </cols>
  <sheetData>
    <row r="1">
      <c r="A1" s="6" t="inlineStr">
        <is>
          <t>FY26 income by new account and service line (SUMIFS over Invoice Lines)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Account</t>
        </is>
      </c>
      <c r="B4" s="7" t="inlineStr">
        <is>
          <t>Name</t>
        </is>
      </c>
      <c r="C4" s="7" t="inlineStr">
        <is>
          <t>Service line</t>
        </is>
      </c>
      <c r="D4" s="7" t="inlineStr">
        <is>
          <t>2025-07</t>
        </is>
      </c>
      <c r="E4" s="7" t="inlineStr">
        <is>
          <t>2025-08</t>
        </is>
      </c>
      <c r="F4" s="7" t="inlineStr">
        <is>
          <t>2025-09</t>
        </is>
      </c>
      <c r="G4" s="7" t="inlineStr">
        <is>
          <t>2025-10</t>
        </is>
      </c>
      <c r="H4" s="7" t="inlineStr">
        <is>
          <t>2025-11</t>
        </is>
      </c>
      <c r="I4" s="7" t="inlineStr">
        <is>
          <t>2025-12</t>
        </is>
      </c>
      <c r="J4" s="7" t="inlineStr">
        <is>
          <t>2026-01</t>
        </is>
      </c>
      <c r="K4" s="7" t="inlineStr">
        <is>
          <t>2026-02</t>
        </is>
      </c>
      <c r="L4" s="7" t="inlineStr">
        <is>
          <t>2026-03</t>
        </is>
      </c>
      <c r="M4" s="7" t="inlineStr">
        <is>
          <t>2026-04</t>
        </is>
      </c>
      <c r="N4" s="7" t="inlineStr">
        <is>
          <t>2026-05</t>
        </is>
      </c>
      <c r="O4" s="7" t="inlineStr">
        <is>
          <t>2026-06</t>
        </is>
      </c>
      <c r="P4" s="7" t="inlineStr">
        <is>
          <t>Total</t>
        </is>
      </c>
    </row>
    <row r="5">
      <c r="A5" t="n">
        <v>835</v>
      </c>
      <c r="B5" t="inlineStr">
        <is>
          <t>Customer deposits held</t>
        </is>
      </c>
      <c r="C5" t="inlineStr">
        <is>
          <t>Fencing</t>
        </is>
      </c>
      <c r="D5" s="9">
        <f>SUMIFS('Invoice Lines'!$K$5:$K$2542,'Invoice Lines'!$R$5:$R$2542,$A5,'Invoice Lines'!$S$5:$S$2542,$C5,'Invoice Lines'!$D$5:$D$2542,"2025-07",'Invoice Lines'!$M$5:$M$2542,1)</f>
        <v>850</v>
      </c>
      <c r="E5" s="9">
        <f>SUMIFS('Invoice Lines'!$K$5:$K$2542,'Invoice Lines'!$R$5:$R$2542,$A5,'Invoice Lines'!$S$5:$S$2542,$C5,'Invoice Lines'!$D$5:$D$2542,"2025-08",'Invoice Lines'!$M$5:$M$2542,1)</f>
        <v>990</v>
      </c>
      <c r="F5" s="9">
        <f>SUMIFS('Invoice Lines'!$K$5:$K$2542,'Invoice Lines'!$R$5:$R$2542,$A5,'Invoice Lines'!$S$5:$S$2542,$C5,'Invoice Lines'!$D$5:$D$2542,"2025-09",'Invoice Lines'!$M$5:$M$2542,1)</f>
        <v>3170</v>
      </c>
      <c r="G5" s="9">
        <f>SUMIFS('Invoice Lines'!$K$5:$K$2542,'Invoice Lines'!$R$5:$R$2542,$A5,'Invoice Lines'!$S$5:$S$2542,$C5,'Invoice Lines'!$D$5:$D$2542,"2025-10",'Invoice Lines'!$M$5:$M$2542,1)</f>
        <v>2020</v>
      </c>
      <c r="H5" s="9">
        <f>SUMIFS('Invoice Lines'!$K$5:$K$2542,'Invoice Lines'!$R$5:$R$2542,$A5,'Invoice Lines'!$S$5:$S$2542,$C5,'Invoice Lines'!$D$5:$D$2542,"2025-11",'Invoice Lines'!$M$5:$M$2542,1)</f>
        <v>950</v>
      </c>
      <c r="I5" s="9">
        <f>SUMIFS('Invoice Lines'!$K$5:$K$2542,'Invoice Lines'!$R$5:$R$2542,$A5,'Invoice Lines'!$S$5:$S$2542,$C5,'Invoice Lines'!$D$5:$D$2542,"2025-12",'Invoice Lines'!$M$5:$M$2542,1)</f>
        <v>810</v>
      </c>
      <c r="J5" s="9">
        <f>SUMIFS('Invoice Lines'!$K$5:$K$2542,'Invoice Lines'!$R$5:$R$2542,$A5,'Invoice Lines'!$S$5:$S$2542,$C5,'Invoice Lines'!$D$5:$D$2542,"2026-01",'Invoice Lines'!$M$5:$M$2542,1)</f>
        <v>200</v>
      </c>
      <c r="K5" s="9">
        <f>SUMIFS('Invoice Lines'!$K$5:$K$2542,'Invoice Lines'!$R$5:$R$2542,$A5,'Invoice Lines'!$S$5:$S$2542,$C5,'Invoice Lines'!$D$5:$D$2542,"2026-02",'Invoice Lines'!$M$5:$M$2542,1)</f>
        <v>2000</v>
      </c>
      <c r="L5" s="9">
        <f>SUMIFS('Invoice Lines'!$K$5:$K$2542,'Invoice Lines'!$R$5:$R$2542,$A5,'Invoice Lines'!$S$5:$S$2542,$C5,'Invoice Lines'!$D$5:$D$2542,"2026-03",'Invoice Lines'!$M$5:$M$2542,1)</f>
        <v>2160</v>
      </c>
      <c r="M5" s="9">
        <f>SUMIFS('Invoice Lines'!$K$5:$K$2542,'Invoice Lines'!$R$5:$R$2542,$A5,'Invoice Lines'!$S$5:$S$2542,$C5,'Invoice Lines'!$D$5:$D$2542,"2026-04",'Invoice Lines'!$M$5:$M$2542,1)</f>
        <v>0</v>
      </c>
      <c r="N5" s="9">
        <f>SUMIFS('Invoice Lines'!$K$5:$K$2542,'Invoice Lines'!$R$5:$R$2542,$A5,'Invoice Lines'!$S$5:$S$2542,$C5,'Invoice Lines'!$D$5:$D$2542,"2026-05",'Invoice Lines'!$M$5:$M$2542,1)</f>
        <v>1890</v>
      </c>
      <c r="O5" s="9">
        <f>SUMIFS('Invoice Lines'!$K$5:$K$2542,'Invoice Lines'!$R$5:$R$2542,$A5,'Invoice Lines'!$S$5:$S$2542,$C5,'Invoice Lines'!$D$5:$D$2542,"2026-06",'Invoice Lines'!$M$5:$M$2542,1)</f>
        <v>3960</v>
      </c>
      <c r="P5" s="9">
        <f>SUM(D5:O5)</f>
        <v>19000</v>
      </c>
    </row>
    <row r="6">
      <c r="A6" t="n">
        <v>4010</v>
      </c>
      <c r="B6" t="inlineStr">
        <is>
          <t>Hire income</t>
        </is>
      </c>
      <c r="C6" t="inlineStr">
        <is>
          <t>Fencing</t>
        </is>
      </c>
      <c r="D6" s="9">
        <f>SUMIFS('Invoice Lines'!$K$5:$K$2542,'Invoice Lines'!$R$5:$R$2542,$A6,'Invoice Lines'!$S$5:$S$2542,$C6,'Invoice Lines'!$D$5:$D$2542,"2025-07",'Invoice Lines'!$M$5:$M$2542,1)</f>
        <v>37487.2</v>
      </c>
      <c r="E6" s="9">
        <f>SUMIFS('Invoice Lines'!$K$5:$K$2542,'Invoice Lines'!$R$5:$R$2542,$A6,'Invoice Lines'!$S$5:$S$2542,$C6,'Invoice Lines'!$D$5:$D$2542,"2025-08",'Invoice Lines'!$M$5:$M$2542,1)</f>
        <v>43895.6</v>
      </c>
      <c r="F6" s="9">
        <f>SUMIFS('Invoice Lines'!$K$5:$K$2542,'Invoice Lines'!$R$5:$R$2542,$A6,'Invoice Lines'!$S$5:$S$2542,$C6,'Invoice Lines'!$D$5:$D$2542,"2025-09",'Invoice Lines'!$M$5:$M$2542,1)</f>
        <v>48929.7</v>
      </c>
      <c r="G6" s="9">
        <f>SUMIFS('Invoice Lines'!$K$5:$K$2542,'Invoice Lines'!$R$5:$R$2542,$A6,'Invoice Lines'!$S$5:$S$2542,$C6,'Invoice Lines'!$D$5:$D$2542,"2025-10",'Invoice Lines'!$M$5:$M$2542,1)</f>
        <v>69118.4</v>
      </c>
      <c r="H6" s="9">
        <f>SUMIFS('Invoice Lines'!$K$5:$K$2542,'Invoice Lines'!$R$5:$R$2542,$A6,'Invoice Lines'!$S$5:$S$2542,$C6,'Invoice Lines'!$D$5:$D$2542,"2025-11",'Invoice Lines'!$M$5:$M$2542,1)</f>
        <v>73772.26</v>
      </c>
      <c r="I6" s="9">
        <f>SUMIFS('Invoice Lines'!$K$5:$K$2542,'Invoice Lines'!$R$5:$R$2542,$A6,'Invoice Lines'!$S$5:$S$2542,$C6,'Invoice Lines'!$D$5:$D$2542,"2025-12",'Invoice Lines'!$M$5:$M$2542,1)</f>
        <v>73368.1</v>
      </c>
      <c r="J6" s="9">
        <f>SUMIFS('Invoice Lines'!$K$5:$K$2542,'Invoice Lines'!$R$5:$R$2542,$A6,'Invoice Lines'!$S$5:$S$2542,$C6,'Invoice Lines'!$D$5:$D$2542,"2026-01",'Invoice Lines'!$M$5:$M$2542,1)</f>
        <v>81798.4</v>
      </c>
      <c r="K6" s="9">
        <f>SUMIFS('Invoice Lines'!$K$5:$K$2542,'Invoice Lines'!$R$5:$R$2542,$A6,'Invoice Lines'!$S$5:$S$2542,$C6,'Invoice Lines'!$D$5:$D$2542,"2026-02",'Invoice Lines'!$M$5:$M$2542,1)</f>
        <v>76323.43</v>
      </c>
      <c r="L6" s="9">
        <f>SUMIFS('Invoice Lines'!$K$5:$K$2542,'Invoice Lines'!$R$5:$R$2542,$A6,'Invoice Lines'!$S$5:$S$2542,$C6,'Invoice Lines'!$D$5:$D$2542,"2026-03",'Invoice Lines'!$M$5:$M$2542,1)</f>
        <v>81869</v>
      </c>
      <c r="M6" s="9">
        <f>SUMIFS('Invoice Lines'!$K$5:$K$2542,'Invoice Lines'!$R$5:$R$2542,$A6,'Invoice Lines'!$S$5:$S$2542,$C6,'Invoice Lines'!$D$5:$D$2542,"2026-04",'Invoice Lines'!$M$5:$M$2542,1)</f>
        <v>80963.8</v>
      </c>
      <c r="N6" s="9">
        <f>SUMIFS('Invoice Lines'!$K$5:$K$2542,'Invoice Lines'!$R$5:$R$2542,$A6,'Invoice Lines'!$S$5:$S$2542,$C6,'Invoice Lines'!$D$5:$D$2542,"2026-05",'Invoice Lines'!$M$5:$M$2542,1)</f>
        <v>81873</v>
      </c>
      <c r="O6" s="9">
        <f>SUMIFS('Invoice Lines'!$K$5:$K$2542,'Invoice Lines'!$R$5:$R$2542,$A6,'Invoice Lines'!$S$5:$S$2542,$C6,'Invoice Lines'!$D$5:$D$2542,"2026-06",'Invoice Lines'!$M$5:$M$2542,1)</f>
        <v>74535.4</v>
      </c>
      <c r="P6" s="9">
        <f>SUM(D6:O6)</f>
        <v>823934.29</v>
      </c>
    </row>
    <row r="7">
      <c r="A7" t="n">
        <v>4010</v>
      </c>
      <c r="B7" t="inlineStr">
        <is>
          <t>Hire income</t>
        </is>
      </c>
      <c r="C7" t="inlineStr">
        <is>
          <t>Make-safe</t>
        </is>
      </c>
      <c r="D7" s="9">
        <f>SUMIFS('Invoice Lines'!$K$5:$K$2542,'Invoice Lines'!$R$5:$R$2542,$A7,'Invoice Lines'!$S$5:$S$2542,$C7,'Invoice Lines'!$D$5:$D$2542,"2025-07",'Invoice Lines'!$M$5:$M$2542,1)</f>
        <v>0</v>
      </c>
      <c r="E7" s="9">
        <f>SUMIFS('Invoice Lines'!$K$5:$K$2542,'Invoice Lines'!$R$5:$R$2542,$A7,'Invoice Lines'!$S$5:$S$2542,$C7,'Invoice Lines'!$D$5:$D$2542,"2025-08",'Invoice Lines'!$M$5:$M$2542,1)</f>
        <v>2765</v>
      </c>
      <c r="F7" s="9">
        <f>SUMIFS('Invoice Lines'!$K$5:$K$2542,'Invoice Lines'!$R$5:$R$2542,$A7,'Invoice Lines'!$S$5:$S$2542,$C7,'Invoice Lines'!$D$5:$D$2542,"2025-09",'Invoice Lines'!$M$5:$M$2542,1)</f>
        <v>3920</v>
      </c>
      <c r="G7" s="9">
        <f>SUMIFS('Invoice Lines'!$K$5:$K$2542,'Invoice Lines'!$R$5:$R$2542,$A7,'Invoice Lines'!$S$5:$S$2542,$C7,'Invoice Lines'!$D$5:$D$2542,"2025-10",'Invoice Lines'!$M$5:$M$2542,1)</f>
        <v>2870</v>
      </c>
      <c r="H7" s="9">
        <f>SUMIFS('Invoice Lines'!$K$5:$K$2542,'Invoice Lines'!$R$5:$R$2542,$A7,'Invoice Lines'!$S$5:$S$2542,$C7,'Invoice Lines'!$D$5:$D$2542,"2025-11",'Invoice Lines'!$M$5:$M$2542,1)</f>
        <v>1540</v>
      </c>
      <c r="I7" s="9">
        <f>SUMIFS('Invoice Lines'!$K$5:$K$2542,'Invoice Lines'!$R$5:$R$2542,$A7,'Invoice Lines'!$S$5:$S$2542,$C7,'Invoice Lines'!$D$5:$D$2542,"2025-12",'Invoice Lines'!$M$5:$M$2542,1)</f>
        <v>1750</v>
      </c>
      <c r="J7" s="9">
        <f>SUMIFS('Invoice Lines'!$K$5:$K$2542,'Invoice Lines'!$R$5:$R$2542,$A7,'Invoice Lines'!$S$5:$S$2542,$C7,'Invoice Lines'!$D$5:$D$2542,"2026-01",'Invoice Lines'!$M$5:$M$2542,1)</f>
        <v>2520</v>
      </c>
      <c r="K7" s="9">
        <f>SUMIFS('Invoice Lines'!$K$5:$K$2542,'Invoice Lines'!$R$5:$R$2542,$A7,'Invoice Lines'!$S$5:$S$2542,$C7,'Invoice Lines'!$D$5:$D$2542,"2026-02",'Invoice Lines'!$M$5:$M$2542,1)</f>
        <v>2590</v>
      </c>
      <c r="L7" s="9">
        <f>SUMIFS('Invoice Lines'!$K$5:$K$2542,'Invoice Lines'!$R$5:$R$2542,$A7,'Invoice Lines'!$S$5:$S$2542,$C7,'Invoice Lines'!$D$5:$D$2542,"2026-03",'Invoice Lines'!$M$5:$M$2542,1)</f>
        <v>1260</v>
      </c>
      <c r="M7" s="9">
        <f>SUMIFS('Invoice Lines'!$K$5:$K$2542,'Invoice Lines'!$R$5:$R$2542,$A7,'Invoice Lines'!$S$5:$S$2542,$C7,'Invoice Lines'!$D$5:$D$2542,"2026-04",'Invoice Lines'!$M$5:$M$2542,1)</f>
        <v>1680</v>
      </c>
      <c r="N7" s="9">
        <f>SUMIFS('Invoice Lines'!$K$5:$K$2542,'Invoice Lines'!$R$5:$R$2542,$A7,'Invoice Lines'!$S$5:$S$2542,$C7,'Invoice Lines'!$D$5:$D$2542,"2026-05",'Invoice Lines'!$M$5:$M$2542,1)</f>
        <v>2905</v>
      </c>
      <c r="O7" s="9">
        <f>SUMIFS('Invoice Lines'!$K$5:$K$2542,'Invoice Lines'!$R$5:$R$2542,$A7,'Invoice Lines'!$S$5:$S$2542,$C7,'Invoice Lines'!$D$5:$D$2542,"2026-06",'Invoice Lines'!$M$5:$M$2542,1)</f>
        <v>2170</v>
      </c>
      <c r="P7" s="9">
        <f>SUM(D7:O7)</f>
        <v>25970</v>
      </c>
    </row>
    <row r="8">
      <c r="A8" t="n">
        <v>4010</v>
      </c>
      <c r="B8" t="inlineStr">
        <is>
          <t>Hire income</t>
        </is>
      </c>
      <c r="C8" t="inlineStr">
        <is>
          <t>Scaffolding</t>
        </is>
      </c>
      <c r="D8" s="9">
        <f>SUMIFS('Invoice Lines'!$K$5:$K$2542,'Invoice Lines'!$R$5:$R$2542,$A8,'Invoice Lines'!$S$5:$S$2542,$C8,'Invoice Lines'!$D$5:$D$2542,"2025-07",'Invoice Lines'!$M$5:$M$2542,1)</f>
        <v>2565</v>
      </c>
      <c r="E8" s="9">
        <f>SUMIFS('Invoice Lines'!$K$5:$K$2542,'Invoice Lines'!$R$5:$R$2542,$A8,'Invoice Lines'!$S$5:$S$2542,$C8,'Invoice Lines'!$D$5:$D$2542,"2025-08",'Invoice Lines'!$M$5:$M$2542,1)</f>
        <v>6745</v>
      </c>
      <c r="F8" s="9">
        <f>SUMIFS('Invoice Lines'!$K$5:$K$2542,'Invoice Lines'!$R$5:$R$2542,$A8,'Invoice Lines'!$S$5:$S$2542,$C8,'Invoice Lines'!$D$5:$D$2542,"2025-09",'Invoice Lines'!$M$5:$M$2542,1)</f>
        <v>13015</v>
      </c>
      <c r="G8" s="9">
        <f>SUMIFS('Invoice Lines'!$K$5:$K$2542,'Invoice Lines'!$R$5:$R$2542,$A8,'Invoice Lines'!$S$5:$S$2542,$C8,'Invoice Lines'!$D$5:$D$2542,"2025-10",'Invoice Lines'!$M$5:$M$2542,1)</f>
        <v>8170</v>
      </c>
      <c r="H8" s="9">
        <f>SUMIFS('Invoice Lines'!$K$5:$K$2542,'Invoice Lines'!$R$5:$R$2542,$A8,'Invoice Lines'!$S$5:$S$2542,$C8,'Invoice Lines'!$D$5:$D$2542,"2025-11",'Invoice Lines'!$M$5:$M$2542,1)</f>
        <v>8645</v>
      </c>
      <c r="I8" s="9">
        <f>SUMIFS('Invoice Lines'!$K$5:$K$2542,'Invoice Lines'!$R$5:$R$2542,$A8,'Invoice Lines'!$S$5:$S$2542,$C8,'Invoice Lines'!$D$5:$D$2542,"2025-12",'Invoice Lines'!$M$5:$M$2542,1)</f>
        <v>4655</v>
      </c>
      <c r="J8" s="9">
        <f>SUMIFS('Invoice Lines'!$K$5:$K$2542,'Invoice Lines'!$R$5:$R$2542,$A8,'Invoice Lines'!$S$5:$S$2542,$C8,'Invoice Lines'!$D$5:$D$2542,"2026-01",'Invoice Lines'!$M$5:$M$2542,1)</f>
        <v>10450</v>
      </c>
      <c r="K8" s="9">
        <f>SUMIFS('Invoice Lines'!$K$5:$K$2542,'Invoice Lines'!$R$5:$R$2542,$A8,'Invoice Lines'!$S$5:$S$2542,$C8,'Invoice Lines'!$D$5:$D$2542,"2026-02",'Invoice Lines'!$M$5:$M$2542,1)</f>
        <v>6460</v>
      </c>
      <c r="L8" s="9">
        <f>SUMIFS('Invoice Lines'!$K$5:$K$2542,'Invoice Lines'!$R$5:$R$2542,$A8,'Invoice Lines'!$S$5:$S$2542,$C8,'Invoice Lines'!$D$5:$D$2542,"2026-03",'Invoice Lines'!$M$5:$M$2542,1)</f>
        <v>11590</v>
      </c>
      <c r="M8" s="9">
        <f>SUMIFS('Invoice Lines'!$K$5:$K$2542,'Invoice Lines'!$R$5:$R$2542,$A8,'Invoice Lines'!$S$5:$S$2542,$C8,'Invoice Lines'!$D$5:$D$2542,"2026-04",'Invoice Lines'!$M$5:$M$2542,1)</f>
        <v>8265</v>
      </c>
      <c r="N8" s="9">
        <f>SUMIFS('Invoice Lines'!$K$5:$K$2542,'Invoice Lines'!$R$5:$R$2542,$A8,'Invoice Lines'!$S$5:$S$2542,$C8,'Invoice Lines'!$D$5:$D$2542,"2026-05",'Invoice Lines'!$M$5:$M$2542,1)</f>
        <v>8075</v>
      </c>
      <c r="O8" s="9">
        <f>SUMIFS('Invoice Lines'!$K$5:$K$2542,'Invoice Lines'!$R$5:$R$2542,$A8,'Invoice Lines'!$S$5:$S$2542,$C8,'Invoice Lines'!$D$5:$D$2542,"2026-06",'Invoice Lines'!$M$5:$M$2542,1)</f>
        <v>5700</v>
      </c>
      <c r="P8" s="9">
        <f>SUM(D8:O8)</f>
        <v>94335</v>
      </c>
    </row>
    <row r="9">
      <c r="A9" t="n">
        <v>4020</v>
      </c>
      <c r="B9" t="inlineStr">
        <is>
          <t>Labour and call-outs</t>
        </is>
      </c>
      <c r="C9" t="inlineStr">
        <is>
          <t>Fencing</t>
        </is>
      </c>
      <c r="D9" s="9">
        <f>SUMIFS('Invoice Lines'!$K$5:$K$2542,'Invoice Lines'!$R$5:$R$2542,$A9,'Invoice Lines'!$S$5:$S$2542,$C9,'Invoice Lines'!$D$5:$D$2542,"2025-07",'Invoice Lines'!$M$5:$M$2542,1)</f>
        <v>10758</v>
      </c>
      <c r="E9" s="9">
        <f>SUMIFS('Invoice Lines'!$K$5:$K$2542,'Invoice Lines'!$R$5:$R$2542,$A9,'Invoice Lines'!$S$5:$S$2542,$C9,'Invoice Lines'!$D$5:$D$2542,"2025-08",'Invoice Lines'!$M$5:$M$2542,1)</f>
        <v>6683.6</v>
      </c>
      <c r="F9" s="9">
        <f>SUMIFS('Invoice Lines'!$K$5:$K$2542,'Invoice Lines'!$R$5:$R$2542,$A9,'Invoice Lines'!$S$5:$S$2542,$C9,'Invoice Lines'!$D$5:$D$2542,"2025-09",'Invoice Lines'!$M$5:$M$2542,1)</f>
        <v>9059.6</v>
      </c>
      <c r="G9" s="9">
        <f>SUMIFS('Invoice Lines'!$K$5:$K$2542,'Invoice Lines'!$R$5:$R$2542,$A9,'Invoice Lines'!$S$5:$S$2542,$C9,'Invoice Lines'!$D$5:$D$2542,"2025-10",'Invoice Lines'!$M$5:$M$2542,1)</f>
        <v>7216</v>
      </c>
      <c r="H9" s="9">
        <f>SUMIFS('Invoice Lines'!$K$5:$K$2542,'Invoice Lines'!$R$5:$R$2542,$A9,'Invoice Lines'!$S$5:$S$2542,$C9,'Invoice Lines'!$D$5:$D$2542,"2025-11",'Invoice Lines'!$M$5:$M$2542,1)</f>
        <v>9314.8</v>
      </c>
      <c r="I9" s="9">
        <f>SUMIFS('Invoice Lines'!$K$5:$K$2542,'Invoice Lines'!$R$5:$R$2542,$A9,'Invoice Lines'!$S$5:$S$2542,$C9,'Invoice Lines'!$D$5:$D$2542,"2025-12",'Invoice Lines'!$M$5:$M$2542,1)</f>
        <v>7706.6</v>
      </c>
      <c r="J9" s="9">
        <f>SUMIFS('Invoice Lines'!$K$5:$K$2542,'Invoice Lines'!$R$5:$R$2542,$A9,'Invoice Lines'!$S$5:$S$2542,$C9,'Invoice Lines'!$D$5:$D$2542,"2026-01",'Invoice Lines'!$M$5:$M$2542,1)</f>
        <v>7306.2</v>
      </c>
      <c r="K9" s="9">
        <f>SUMIFS('Invoice Lines'!$K$5:$K$2542,'Invoice Lines'!$R$5:$R$2542,$A9,'Invoice Lines'!$S$5:$S$2542,$C9,'Invoice Lines'!$D$5:$D$2542,"2026-02",'Invoice Lines'!$M$5:$M$2542,1)</f>
        <v>7728.6</v>
      </c>
      <c r="L9" s="9">
        <f>SUMIFS('Invoice Lines'!$K$5:$K$2542,'Invoice Lines'!$R$5:$R$2542,$A9,'Invoice Lines'!$S$5:$S$2542,$C9,'Invoice Lines'!$D$5:$D$2542,"2026-03",'Invoice Lines'!$M$5:$M$2542,1)</f>
        <v>7889.2</v>
      </c>
      <c r="M9" s="9">
        <f>SUMIFS('Invoice Lines'!$K$5:$K$2542,'Invoice Lines'!$R$5:$R$2542,$A9,'Invoice Lines'!$S$5:$S$2542,$C9,'Invoice Lines'!$D$5:$D$2542,"2026-04",'Invoice Lines'!$M$5:$M$2542,1)</f>
        <v>5561.6</v>
      </c>
      <c r="N9" s="9">
        <f>SUMIFS('Invoice Lines'!$K$5:$K$2542,'Invoice Lines'!$R$5:$R$2542,$A9,'Invoice Lines'!$S$5:$S$2542,$C9,'Invoice Lines'!$D$5:$D$2542,"2026-05",'Invoice Lines'!$M$5:$M$2542,1)</f>
        <v>10489.6</v>
      </c>
      <c r="O9" s="9">
        <f>SUMIFS('Invoice Lines'!$K$5:$K$2542,'Invoice Lines'!$R$5:$R$2542,$A9,'Invoice Lines'!$S$5:$S$2542,$C9,'Invoice Lines'!$D$5:$D$2542,"2026-06",'Invoice Lines'!$M$5:$M$2542,1)</f>
        <v>7176.4</v>
      </c>
      <c r="P9" s="9">
        <f>SUM(D9:O9)</f>
        <v>96890.2</v>
      </c>
    </row>
    <row r="10">
      <c r="A10" t="n">
        <v>4020</v>
      </c>
      <c r="B10" t="inlineStr">
        <is>
          <t>Labour and call-outs</t>
        </is>
      </c>
      <c r="C10" t="inlineStr">
        <is>
          <t>Make-safe</t>
        </is>
      </c>
      <c r="D10" s="9">
        <f>SUMIFS('Invoice Lines'!$K$5:$K$2542,'Invoice Lines'!$R$5:$R$2542,$A10,'Invoice Lines'!$S$5:$S$2542,$C10,'Invoice Lines'!$D$5:$D$2542,"2025-07",'Invoice Lines'!$M$5:$M$2542,1)</f>
        <v>7475</v>
      </c>
      <c r="E10" s="9">
        <f>SUMIFS('Invoice Lines'!$K$5:$K$2542,'Invoice Lines'!$R$5:$R$2542,$A10,'Invoice Lines'!$S$5:$S$2542,$C10,'Invoice Lines'!$D$5:$D$2542,"2025-08",'Invoice Lines'!$M$5:$M$2542,1)</f>
        <v>14960</v>
      </c>
      <c r="F10" s="9">
        <f>SUMIFS('Invoice Lines'!$K$5:$K$2542,'Invoice Lines'!$R$5:$R$2542,$A10,'Invoice Lines'!$S$5:$S$2542,$C10,'Invoice Lines'!$D$5:$D$2542,"2025-09",'Invoice Lines'!$M$5:$M$2542,1)</f>
        <v>10760</v>
      </c>
      <c r="G10" s="9">
        <f>SUMIFS('Invoice Lines'!$K$5:$K$2542,'Invoice Lines'!$R$5:$R$2542,$A10,'Invoice Lines'!$S$5:$S$2542,$C10,'Invoice Lines'!$D$5:$D$2542,"2025-10",'Invoice Lines'!$M$5:$M$2542,1)</f>
        <v>11115</v>
      </c>
      <c r="H10" s="9">
        <f>SUMIFS('Invoice Lines'!$K$5:$K$2542,'Invoice Lines'!$R$5:$R$2542,$A10,'Invoice Lines'!$S$5:$S$2542,$C10,'Invoice Lines'!$D$5:$D$2542,"2025-11",'Invoice Lines'!$M$5:$M$2542,1)</f>
        <v>6595</v>
      </c>
      <c r="I10" s="9">
        <f>SUMIFS('Invoice Lines'!$K$5:$K$2542,'Invoice Lines'!$R$5:$R$2542,$A10,'Invoice Lines'!$S$5:$S$2542,$C10,'Invoice Lines'!$D$5:$D$2542,"2025-12",'Invoice Lines'!$M$5:$M$2542,1)</f>
        <v>10875</v>
      </c>
      <c r="J10" s="9">
        <f>SUMIFS('Invoice Lines'!$K$5:$K$2542,'Invoice Lines'!$R$5:$R$2542,$A10,'Invoice Lines'!$S$5:$S$2542,$C10,'Invoice Lines'!$D$5:$D$2542,"2026-01",'Invoice Lines'!$M$5:$M$2542,1)</f>
        <v>12090</v>
      </c>
      <c r="K10" s="9">
        <f>SUMIFS('Invoice Lines'!$K$5:$K$2542,'Invoice Lines'!$R$5:$R$2542,$A10,'Invoice Lines'!$S$5:$S$2542,$C10,'Invoice Lines'!$D$5:$D$2542,"2026-02",'Invoice Lines'!$M$5:$M$2542,1)</f>
        <v>5990</v>
      </c>
      <c r="L10" s="9">
        <f>SUMIFS('Invoice Lines'!$K$5:$K$2542,'Invoice Lines'!$R$5:$R$2542,$A10,'Invoice Lines'!$S$5:$S$2542,$C10,'Invoice Lines'!$D$5:$D$2542,"2026-03",'Invoice Lines'!$M$5:$M$2542,1)</f>
        <v>7145</v>
      </c>
      <c r="M10" s="9">
        <f>SUMIFS('Invoice Lines'!$K$5:$K$2542,'Invoice Lines'!$R$5:$R$2542,$A10,'Invoice Lines'!$S$5:$S$2542,$C10,'Invoice Lines'!$D$5:$D$2542,"2026-04",'Invoice Lines'!$M$5:$M$2542,1)</f>
        <v>12975</v>
      </c>
      <c r="N10" s="9">
        <f>SUMIFS('Invoice Lines'!$K$5:$K$2542,'Invoice Lines'!$R$5:$R$2542,$A10,'Invoice Lines'!$S$5:$S$2542,$C10,'Invoice Lines'!$D$5:$D$2542,"2026-05",'Invoice Lines'!$M$5:$M$2542,1)</f>
        <v>7820</v>
      </c>
      <c r="O10" s="9">
        <f>SUMIFS('Invoice Lines'!$K$5:$K$2542,'Invoice Lines'!$R$5:$R$2542,$A10,'Invoice Lines'!$S$5:$S$2542,$C10,'Invoice Lines'!$D$5:$D$2542,"2026-06",'Invoice Lines'!$M$5:$M$2542,1)</f>
        <v>16350</v>
      </c>
      <c r="P10" s="9">
        <f>SUM(D10:O10)</f>
        <v>124150</v>
      </c>
    </row>
    <row r="11">
      <c r="A11" t="n">
        <v>4020</v>
      </c>
      <c r="B11" t="inlineStr">
        <is>
          <t>Labour and call-outs</t>
        </is>
      </c>
      <c r="C11" t="inlineStr">
        <is>
          <t>Roofing</t>
        </is>
      </c>
      <c r="D11" s="9">
        <f>SUMIFS('Invoice Lines'!$K$5:$K$2542,'Invoice Lines'!$R$5:$R$2542,$A11,'Invoice Lines'!$S$5:$S$2542,$C11,'Invoice Lines'!$D$5:$D$2542,"2025-07",'Invoice Lines'!$M$5:$M$2542,1)</f>
        <v>2940</v>
      </c>
      <c r="E11" s="9">
        <f>SUMIFS('Invoice Lines'!$K$5:$K$2542,'Invoice Lines'!$R$5:$R$2542,$A11,'Invoice Lines'!$S$5:$S$2542,$C11,'Invoice Lines'!$D$5:$D$2542,"2025-08",'Invoice Lines'!$M$5:$M$2542,1)</f>
        <v>20580</v>
      </c>
      <c r="F11" s="9">
        <f>SUMIFS('Invoice Lines'!$K$5:$K$2542,'Invoice Lines'!$R$5:$R$2542,$A11,'Invoice Lines'!$S$5:$S$2542,$C11,'Invoice Lines'!$D$5:$D$2542,"2025-09",'Invoice Lines'!$M$5:$M$2542,1)</f>
        <v>13818</v>
      </c>
      <c r="G11" s="9">
        <f>SUMIFS('Invoice Lines'!$K$5:$K$2542,'Invoice Lines'!$R$5:$R$2542,$A11,'Invoice Lines'!$S$5:$S$2542,$C11,'Invoice Lines'!$D$5:$D$2542,"2025-10",'Invoice Lines'!$M$5:$M$2542,1)</f>
        <v>14504</v>
      </c>
      <c r="H11" s="9">
        <f>SUMIFS('Invoice Lines'!$K$5:$K$2542,'Invoice Lines'!$R$5:$R$2542,$A11,'Invoice Lines'!$S$5:$S$2542,$C11,'Invoice Lines'!$D$5:$D$2542,"2025-11",'Invoice Lines'!$M$5:$M$2542,1)</f>
        <v>17738</v>
      </c>
      <c r="I11" s="9">
        <f>SUMIFS('Invoice Lines'!$K$5:$K$2542,'Invoice Lines'!$R$5:$R$2542,$A11,'Invoice Lines'!$S$5:$S$2542,$C11,'Invoice Lines'!$D$5:$D$2542,"2025-12",'Invoice Lines'!$M$5:$M$2542,1)</f>
        <v>12936</v>
      </c>
      <c r="J11" s="9">
        <f>SUMIFS('Invoice Lines'!$K$5:$K$2542,'Invoice Lines'!$R$5:$R$2542,$A11,'Invoice Lines'!$S$5:$S$2542,$C11,'Invoice Lines'!$D$5:$D$2542,"2026-01",'Invoice Lines'!$M$5:$M$2542,1)</f>
        <v>14210</v>
      </c>
      <c r="K11" s="9">
        <f>SUMIFS('Invoice Lines'!$K$5:$K$2542,'Invoice Lines'!$R$5:$R$2542,$A11,'Invoice Lines'!$S$5:$S$2542,$C11,'Invoice Lines'!$D$5:$D$2542,"2026-02",'Invoice Lines'!$M$5:$M$2542,1)</f>
        <v>8330</v>
      </c>
      <c r="L11" s="9">
        <f>SUMIFS('Invoice Lines'!$K$5:$K$2542,'Invoice Lines'!$R$5:$R$2542,$A11,'Invoice Lines'!$S$5:$S$2542,$C11,'Invoice Lines'!$D$5:$D$2542,"2026-03",'Invoice Lines'!$M$5:$M$2542,1)</f>
        <v>13818</v>
      </c>
      <c r="M11" s="9">
        <f>SUMIFS('Invoice Lines'!$K$5:$K$2542,'Invoice Lines'!$R$5:$R$2542,$A11,'Invoice Lines'!$S$5:$S$2542,$C11,'Invoice Lines'!$D$5:$D$2542,"2026-04",'Invoice Lines'!$M$5:$M$2542,1)</f>
        <v>6468</v>
      </c>
      <c r="N11" s="9">
        <f>SUMIFS('Invoice Lines'!$K$5:$K$2542,'Invoice Lines'!$R$5:$R$2542,$A11,'Invoice Lines'!$S$5:$S$2542,$C11,'Invoice Lines'!$D$5:$D$2542,"2026-05",'Invoice Lines'!$M$5:$M$2542,1)</f>
        <v>18522</v>
      </c>
      <c r="O11" s="9">
        <f>SUMIFS('Invoice Lines'!$K$5:$K$2542,'Invoice Lines'!$R$5:$R$2542,$A11,'Invoice Lines'!$S$5:$S$2542,$C11,'Invoice Lines'!$D$5:$D$2542,"2026-06",'Invoice Lines'!$M$5:$M$2542,1)</f>
        <v>6468</v>
      </c>
      <c r="P11" s="9">
        <f>SUM(D11:O11)</f>
        <v>150332</v>
      </c>
    </row>
    <row r="12">
      <c r="A12" t="n">
        <v>4020</v>
      </c>
      <c r="B12" t="inlineStr">
        <is>
          <t>Labour and call-outs</t>
        </is>
      </c>
      <c r="C12" t="inlineStr">
        <is>
          <t>Scaffolding</t>
        </is>
      </c>
      <c r="D12" s="9">
        <f>SUMIFS('Invoice Lines'!$K$5:$K$2542,'Invoice Lines'!$R$5:$R$2542,$A12,'Invoice Lines'!$S$5:$S$2542,$C12,'Invoice Lines'!$D$5:$D$2542,"2025-07",'Invoice Lines'!$M$5:$M$2542,1)</f>
        <v>8220</v>
      </c>
      <c r="E12" s="9">
        <f>SUMIFS('Invoice Lines'!$K$5:$K$2542,'Invoice Lines'!$R$5:$R$2542,$A12,'Invoice Lines'!$S$5:$S$2542,$C12,'Invoice Lines'!$D$5:$D$2542,"2025-08",'Invoice Lines'!$M$5:$M$2542,1)</f>
        <v>10860</v>
      </c>
      <c r="F12" s="9">
        <f>SUMIFS('Invoice Lines'!$K$5:$K$2542,'Invoice Lines'!$R$5:$R$2542,$A12,'Invoice Lines'!$S$5:$S$2542,$C12,'Invoice Lines'!$D$5:$D$2542,"2025-09",'Invoice Lines'!$M$5:$M$2542,1)</f>
        <v>7000</v>
      </c>
      <c r="G12" s="9">
        <f>SUMIFS('Invoice Lines'!$K$5:$K$2542,'Invoice Lines'!$R$5:$R$2542,$A12,'Invoice Lines'!$S$5:$S$2542,$C12,'Invoice Lines'!$D$5:$D$2542,"2025-10",'Invoice Lines'!$M$5:$M$2542,1)</f>
        <v>13740</v>
      </c>
      <c r="H12" s="9">
        <f>SUMIFS('Invoice Lines'!$K$5:$K$2542,'Invoice Lines'!$R$5:$R$2542,$A12,'Invoice Lines'!$S$5:$S$2542,$C12,'Invoice Lines'!$D$5:$D$2542,"2025-11",'Invoice Lines'!$M$5:$M$2542,1)</f>
        <v>11320</v>
      </c>
      <c r="I12" s="9">
        <f>SUMIFS('Invoice Lines'!$K$5:$K$2542,'Invoice Lines'!$R$5:$R$2542,$A12,'Invoice Lines'!$S$5:$S$2542,$C12,'Invoice Lines'!$D$5:$D$2542,"2025-12",'Invoice Lines'!$M$5:$M$2542,1)</f>
        <v>11600</v>
      </c>
      <c r="J12" s="9">
        <f>SUMIFS('Invoice Lines'!$K$5:$K$2542,'Invoice Lines'!$R$5:$R$2542,$A12,'Invoice Lines'!$S$5:$S$2542,$C12,'Invoice Lines'!$D$5:$D$2542,"2026-01",'Invoice Lines'!$M$5:$M$2542,1)</f>
        <v>9840</v>
      </c>
      <c r="K12" s="9">
        <f>SUMIFS('Invoice Lines'!$K$5:$K$2542,'Invoice Lines'!$R$5:$R$2542,$A12,'Invoice Lines'!$S$5:$S$2542,$C12,'Invoice Lines'!$D$5:$D$2542,"2026-02",'Invoice Lines'!$M$5:$M$2542,1)</f>
        <v>4640</v>
      </c>
      <c r="L12" s="9">
        <f>SUMIFS('Invoice Lines'!$K$5:$K$2542,'Invoice Lines'!$R$5:$R$2542,$A12,'Invoice Lines'!$S$5:$S$2542,$C12,'Invoice Lines'!$D$5:$D$2542,"2026-03",'Invoice Lines'!$M$5:$M$2542,1)</f>
        <v>9540</v>
      </c>
      <c r="M12" s="9">
        <f>SUMIFS('Invoice Lines'!$K$5:$K$2542,'Invoice Lines'!$R$5:$R$2542,$A12,'Invoice Lines'!$S$5:$S$2542,$C12,'Invoice Lines'!$D$5:$D$2542,"2026-04",'Invoice Lines'!$M$5:$M$2542,1)</f>
        <v>11520</v>
      </c>
      <c r="N12" s="9">
        <f>SUMIFS('Invoice Lines'!$K$5:$K$2542,'Invoice Lines'!$R$5:$R$2542,$A12,'Invoice Lines'!$S$5:$S$2542,$C12,'Invoice Lines'!$D$5:$D$2542,"2026-05",'Invoice Lines'!$M$5:$M$2542,1)</f>
        <v>9200</v>
      </c>
      <c r="O12" s="9">
        <f>SUMIFS('Invoice Lines'!$K$5:$K$2542,'Invoice Lines'!$R$5:$R$2542,$A12,'Invoice Lines'!$S$5:$S$2542,$C12,'Invoice Lines'!$D$5:$D$2542,"2026-06",'Invoice Lines'!$M$5:$M$2542,1)</f>
        <v>3400</v>
      </c>
      <c r="P12" s="9">
        <f>SUM(D12:O12)</f>
        <v>110880</v>
      </c>
    </row>
    <row r="13">
      <c r="A13" t="n">
        <v>4030</v>
      </c>
      <c r="B13" t="inlineStr">
        <is>
          <t>Materials and waste</t>
        </is>
      </c>
      <c r="C13" t="inlineStr">
        <is>
          <t>Roofing</t>
        </is>
      </c>
      <c r="D13" s="9">
        <f>SUMIFS('Invoice Lines'!$K$5:$K$2542,'Invoice Lines'!$R$5:$R$2542,$A13,'Invoice Lines'!$S$5:$S$2542,$C13,'Invoice Lines'!$D$5:$D$2542,"2025-07",'Invoice Lines'!$M$5:$M$2542,1)</f>
        <v>3551.19</v>
      </c>
      <c r="E13" s="9">
        <f>SUMIFS('Invoice Lines'!$K$5:$K$2542,'Invoice Lines'!$R$5:$R$2542,$A13,'Invoice Lines'!$S$5:$S$2542,$C13,'Invoice Lines'!$D$5:$D$2542,"2025-08",'Invoice Lines'!$M$5:$M$2542,1)</f>
        <v>21602.45</v>
      </c>
      <c r="F13" s="9">
        <f>SUMIFS('Invoice Lines'!$K$5:$K$2542,'Invoice Lines'!$R$5:$R$2542,$A13,'Invoice Lines'!$S$5:$S$2542,$C13,'Invoice Lines'!$D$5:$D$2542,"2025-09",'Invoice Lines'!$M$5:$M$2542,1)</f>
        <v>20366.59</v>
      </c>
      <c r="G13" s="9">
        <f>SUMIFS('Invoice Lines'!$K$5:$K$2542,'Invoice Lines'!$R$5:$R$2542,$A13,'Invoice Lines'!$S$5:$S$2542,$C13,'Invoice Lines'!$D$5:$D$2542,"2025-10",'Invoice Lines'!$M$5:$M$2542,1)</f>
        <v>20787.52</v>
      </c>
      <c r="H13" s="9">
        <f>SUMIFS('Invoice Lines'!$K$5:$K$2542,'Invoice Lines'!$R$5:$R$2542,$A13,'Invoice Lines'!$S$5:$S$2542,$C13,'Invoice Lines'!$D$5:$D$2542,"2025-11",'Invoice Lines'!$M$5:$M$2542,1)</f>
        <v>21552.92</v>
      </c>
      <c r="I13" s="9">
        <f>SUMIFS('Invoice Lines'!$K$5:$K$2542,'Invoice Lines'!$R$5:$R$2542,$A13,'Invoice Lines'!$S$5:$S$2542,$C13,'Invoice Lines'!$D$5:$D$2542,"2025-12",'Invoice Lines'!$M$5:$M$2542,1)</f>
        <v>17505.74</v>
      </c>
      <c r="J13" s="9">
        <f>SUMIFS('Invoice Lines'!$K$5:$K$2542,'Invoice Lines'!$R$5:$R$2542,$A13,'Invoice Lines'!$S$5:$S$2542,$C13,'Invoice Lines'!$D$5:$D$2542,"2026-01",'Invoice Lines'!$M$5:$M$2542,1)</f>
        <v>17854.44</v>
      </c>
      <c r="K13" s="9">
        <f>SUMIFS('Invoice Lines'!$K$5:$K$2542,'Invoice Lines'!$R$5:$R$2542,$A13,'Invoice Lines'!$S$5:$S$2542,$C13,'Invoice Lines'!$D$5:$D$2542,"2026-02",'Invoice Lines'!$M$5:$M$2542,1)</f>
        <v>11388.4</v>
      </c>
      <c r="L13" s="9">
        <f>SUMIFS('Invoice Lines'!$K$5:$K$2542,'Invoice Lines'!$R$5:$R$2542,$A13,'Invoice Lines'!$S$5:$S$2542,$C13,'Invoice Lines'!$D$5:$D$2542,"2026-03",'Invoice Lines'!$M$5:$M$2542,1)</f>
        <v>24554.58</v>
      </c>
      <c r="M13" s="9">
        <f>SUMIFS('Invoice Lines'!$K$5:$K$2542,'Invoice Lines'!$R$5:$R$2542,$A13,'Invoice Lines'!$S$5:$S$2542,$C13,'Invoice Lines'!$D$5:$D$2542,"2026-04",'Invoice Lines'!$M$5:$M$2542,1)</f>
        <v>4570</v>
      </c>
      <c r="N13" s="9">
        <f>SUMIFS('Invoice Lines'!$K$5:$K$2542,'Invoice Lines'!$R$5:$R$2542,$A13,'Invoice Lines'!$S$5:$S$2542,$C13,'Invoice Lines'!$D$5:$D$2542,"2026-05",'Invoice Lines'!$M$5:$M$2542,1)</f>
        <v>27763.8</v>
      </c>
      <c r="O13" s="9">
        <f>SUMIFS('Invoice Lines'!$K$5:$K$2542,'Invoice Lines'!$R$5:$R$2542,$A13,'Invoice Lines'!$S$5:$S$2542,$C13,'Invoice Lines'!$D$5:$D$2542,"2026-06",'Invoice Lines'!$M$5:$M$2542,1)</f>
        <v>11588.92</v>
      </c>
      <c r="P13" s="9">
        <f>SUM(D13:O13)</f>
        <v>203086.55</v>
      </c>
    </row>
    <row r="14">
      <c r="A14" t="n">
        <v>4040</v>
      </c>
      <c r="B14" t="inlineStr">
        <is>
          <t>Lost and damaged equipment</t>
        </is>
      </c>
      <c r="C14" t="inlineStr">
        <is>
          <t>Fencing</t>
        </is>
      </c>
      <c r="D14" s="9">
        <f>SUMIFS('Invoice Lines'!$K$5:$K$2542,'Invoice Lines'!$R$5:$R$2542,$A14,'Invoice Lines'!$S$5:$S$2542,$C14,'Invoice Lines'!$D$5:$D$2542,"2025-07",'Invoice Lines'!$M$5:$M$2542,1)</f>
        <v>1595</v>
      </c>
      <c r="E14" s="9">
        <f>SUMIFS('Invoice Lines'!$K$5:$K$2542,'Invoice Lines'!$R$5:$R$2542,$A14,'Invoice Lines'!$S$5:$S$2542,$C14,'Invoice Lines'!$D$5:$D$2542,"2025-08",'Invoice Lines'!$M$5:$M$2542,1)</f>
        <v>870</v>
      </c>
      <c r="F14" s="9">
        <f>SUMIFS('Invoice Lines'!$K$5:$K$2542,'Invoice Lines'!$R$5:$R$2542,$A14,'Invoice Lines'!$S$5:$S$2542,$C14,'Invoice Lines'!$D$5:$D$2542,"2025-09",'Invoice Lines'!$M$5:$M$2542,1)</f>
        <v>580</v>
      </c>
      <c r="G14" s="9">
        <f>SUMIFS('Invoice Lines'!$K$5:$K$2542,'Invoice Lines'!$R$5:$R$2542,$A14,'Invoice Lines'!$S$5:$S$2542,$C14,'Invoice Lines'!$D$5:$D$2542,"2025-10",'Invoice Lines'!$M$5:$M$2542,1)</f>
        <v>725</v>
      </c>
      <c r="H14" s="9">
        <f>SUMIFS('Invoice Lines'!$K$5:$K$2542,'Invoice Lines'!$R$5:$R$2542,$A14,'Invoice Lines'!$S$5:$S$2542,$C14,'Invoice Lines'!$D$5:$D$2542,"2025-11",'Invoice Lines'!$M$5:$M$2542,1)</f>
        <v>0</v>
      </c>
      <c r="I14" s="9">
        <f>SUMIFS('Invoice Lines'!$K$5:$K$2542,'Invoice Lines'!$R$5:$R$2542,$A14,'Invoice Lines'!$S$5:$S$2542,$C14,'Invoice Lines'!$D$5:$D$2542,"2025-12",'Invoice Lines'!$M$5:$M$2542,1)</f>
        <v>2900</v>
      </c>
      <c r="J14" s="9">
        <f>SUMIFS('Invoice Lines'!$K$5:$K$2542,'Invoice Lines'!$R$5:$R$2542,$A14,'Invoice Lines'!$S$5:$S$2542,$C14,'Invoice Lines'!$D$5:$D$2542,"2026-01",'Invoice Lines'!$M$5:$M$2542,1)</f>
        <v>0</v>
      </c>
      <c r="K14" s="9">
        <f>SUMIFS('Invoice Lines'!$K$5:$K$2542,'Invoice Lines'!$R$5:$R$2542,$A14,'Invoice Lines'!$S$5:$S$2542,$C14,'Invoice Lines'!$D$5:$D$2542,"2026-02",'Invoice Lines'!$M$5:$M$2542,1)</f>
        <v>725</v>
      </c>
      <c r="L14" s="9">
        <f>SUMIFS('Invoice Lines'!$K$5:$K$2542,'Invoice Lines'!$R$5:$R$2542,$A14,'Invoice Lines'!$S$5:$S$2542,$C14,'Invoice Lines'!$D$5:$D$2542,"2026-03",'Invoice Lines'!$M$5:$M$2542,1)</f>
        <v>870</v>
      </c>
      <c r="M14" s="9">
        <f>SUMIFS('Invoice Lines'!$K$5:$K$2542,'Invoice Lines'!$R$5:$R$2542,$A14,'Invoice Lines'!$S$5:$S$2542,$C14,'Invoice Lines'!$D$5:$D$2542,"2026-04",'Invoice Lines'!$M$5:$M$2542,1)</f>
        <v>580</v>
      </c>
      <c r="N14" s="9">
        <f>SUMIFS('Invoice Lines'!$K$5:$K$2542,'Invoice Lines'!$R$5:$R$2542,$A14,'Invoice Lines'!$S$5:$S$2542,$C14,'Invoice Lines'!$D$5:$D$2542,"2026-05",'Invoice Lines'!$M$5:$M$2542,1)</f>
        <v>1015</v>
      </c>
      <c r="O14" s="9">
        <f>SUMIFS('Invoice Lines'!$K$5:$K$2542,'Invoice Lines'!$R$5:$R$2542,$A14,'Invoice Lines'!$S$5:$S$2542,$C14,'Invoice Lines'!$D$5:$D$2542,"2026-06",'Invoice Lines'!$M$5:$M$2542,1)</f>
        <v>1015</v>
      </c>
      <c r="P14" s="9">
        <f>SUM(D14:O14)</f>
        <v>10875</v>
      </c>
    </row>
    <row r="15">
      <c r="A15" t="inlineStr">
        <is>
          <t>200</t>
        </is>
      </c>
      <c r="B15" t="inlineStr">
        <is>
          <t>Stays in 200 until a person decides</t>
        </is>
      </c>
      <c r="C15" t="inlineStr">
        <is>
          <t>Review queue</t>
        </is>
      </c>
      <c r="D15" s="9">
        <f>SUMIFS('Invoice Lines'!$K$5:$K$2542,'Invoice Lines'!$Q$5:$Q$2542,"CONTEXT",'Invoice Lines'!$D$5:$D$2542,"2025-07",'Invoice Lines'!$M$5:$M$2542,1)+SUMIFS('Invoice Lines'!$K$5:$K$2542,'Invoice Lines'!$Q$5:$Q$2542,"REVIEW",'Invoice Lines'!$D$5:$D$2542,"2025-07",'Invoice Lines'!$M$5:$M$2542,1)</f>
        <v>9624.72</v>
      </c>
      <c r="E15" s="9">
        <f>SUMIFS('Invoice Lines'!$K$5:$K$2542,'Invoice Lines'!$Q$5:$Q$2542,"CONTEXT",'Invoice Lines'!$D$5:$D$2542,"2025-08",'Invoice Lines'!$M$5:$M$2542,1)+SUMIFS('Invoice Lines'!$K$5:$K$2542,'Invoice Lines'!$Q$5:$Q$2542,"REVIEW",'Invoice Lines'!$D$5:$D$2542,"2025-08",'Invoice Lines'!$M$5:$M$2542,1)</f>
        <v>18768.3</v>
      </c>
      <c r="F15" s="9">
        <f>SUMIFS('Invoice Lines'!$K$5:$K$2542,'Invoice Lines'!$Q$5:$Q$2542,"CONTEXT",'Invoice Lines'!$D$5:$D$2542,"2025-09",'Invoice Lines'!$M$5:$M$2542,1)+SUMIFS('Invoice Lines'!$K$5:$K$2542,'Invoice Lines'!$Q$5:$Q$2542,"REVIEW",'Invoice Lines'!$D$5:$D$2542,"2025-09",'Invoice Lines'!$M$5:$M$2542,1)</f>
        <v>5290.38</v>
      </c>
      <c r="G15" s="9">
        <f>SUMIFS('Invoice Lines'!$K$5:$K$2542,'Invoice Lines'!$Q$5:$Q$2542,"CONTEXT",'Invoice Lines'!$D$5:$D$2542,"2025-10",'Invoice Lines'!$M$5:$M$2542,1)+SUMIFS('Invoice Lines'!$K$5:$K$2542,'Invoice Lines'!$Q$5:$Q$2542,"REVIEW",'Invoice Lines'!$D$5:$D$2542,"2025-10",'Invoice Lines'!$M$5:$M$2542,1)</f>
        <v>5622.83</v>
      </c>
      <c r="H15" s="9">
        <f>SUMIFS('Invoice Lines'!$K$5:$K$2542,'Invoice Lines'!$Q$5:$Q$2542,"CONTEXT",'Invoice Lines'!$D$5:$D$2542,"2025-11",'Invoice Lines'!$M$5:$M$2542,1)+SUMIFS('Invoice Lines'!$K$5:$K$2542,'Invoice Lines'!$Q$5:$Q$2542,"REVIEW",'Invoice Lines'!$D$5:$D$2542,"2025-11",'Invoice Lines'!$M$5:$M$2542,1)</f>
        <v>6155.79</v>
      </c>
      <c r="I15" s="9">
        <f>SUMIFS('Invoice Lines'!$K$5:$K$2542,'Invoice Lines'!$Q$5:$Q$2542,"CONTEXT",'Invoice Lines'!$D$5:$D$2542,"2025-12",'Invoice Lines'!$M$5:$M$2542,1)+SUMIFS('Invoice Lines'!$K$5:$K$2542,'Invoice Lines'!$Q$5:$Q$2542,"REVIEW",'Invoice Lines'!$D$5:$D$2542,"2025-12",'Invoice Lines'!$M$5:$M$2542,1)</f>
        <v>6796.53</v>
      </c>
      <c r="J15" s="9">
        <f>SUMIFS('Invoice Lines'!$K$5:$K$2542,'Invoice Lines'!$Q$5:$Q$2542,"CONTEXT",'Invoice Lines'!$D$5:$D$2542,"2026-01",'Invoice Lines'!$M$5:$M$2542,1)+SUMIFS('Invoice Lines'!$K$5:$K$2542,'Invoice Lines'!$Q$5:$Q$2542,"REVIEW",'Invoice Lines'!$D$5:$D$2542,"2026-01",'Invoice Lines'!$M$5:$M$2542,1)</f>
        <v>9559.02</v>
      </c>
      <c r="K15" s="9">
        <f>SUMIFS('Invoice Lines'!$K$5:$K$2542,'Invoice Lines'!$Q$5:$Q$2542,"CONTEXT",'Invoice Lines'!$D$5:$D$2542,"2026-02",'Invoice Lines'!$M$5:$M$2542,1)+SUMIFS('Invoice Lines'!$K$5:$K$2542,'Invoice Lines'!$Q$5:$Q$2542,"REVIEW",'Invoice Lines'!$D$5:$D$2542,"2026-02",'Invoice Lines'!$M$5:$M$2542,1)</f>
        <v>6688.99</v>
      </c>
      <c r="L15" s="9">
        <f>SUMIFS('Invoice Lines'!$K$5:$K$2542,'Invoice Lines'!$Q$5:$Q$2542,"CONTEXT",'Invoice Lines'!$D$5:$D$2542,"2026-03",'Invoice Lines'!$M$5:$M$2542,1)+SUMIFS('Invoice Lines'!$K$5:$K$2542,'Invoice Lines'!$Q$5:$Q$2542,"REVIEW",'Invoice Lines'!$D$5:$D$2542,"2026-03",'Invoice Lines'!$M$5:$M$2542,1)</f>
        <v>11004.03</v>
      </c>
      <c r="M15" s="9">
        <f>SUMIFS('Invoice Lines'!$K$5:$K$2542,'Invoice Lines'!$Q$5:$Q$2542,"CONTEXT",'Invoice Lines'!$D$5:$D$2542,"2026-04",'Invoice Lines'!$M$5:$M$2542,1)+SUMIFS('Invoice Lines'!$K$5:$K$2542,'Invoice Lines'!$Q$5:$Q$2542,"REVIEW",'Invoice Lines'!$D$5:$D$2542,"2026-04",'Invoice Lines'!$M$5:$M$2542,1)</f>
        <v>3464.66</v>
      </c>
      <c r="N15" s="9">
        <f>SUMIFS('Invoice Lines'!$K$5:$K$2542,'Invoice Lines'!$Q$5:$Q$2542,"CONTEXT",'Invoice Lines'!$D$5:$D$2542,"2026-05",'Invoice Lines'!$M$5:$M$2542,1)+SUMIFS('Invoice Lines'!$K$5:$K$2542,'Invoice Lines'!$Q$5:$Q$2542,"REVIEW",'Invoice Lines'!$D$5:$D$2542,"2026-05",'Invoice Lines'!$M$5:$M$2542,1)</f>
        <v>4693.81</v>
      </c>
      <c r="O15" s="9">
        <f>SUMIFS('Invoice Lines'!$K$5:$K$2542,'Invoice Lines'!$Q$5:$Q$2542,"CONTEXT",'Invoice Lines'!$D$5:$D$2542,"2026-06",'Invoice Lines'!$M$5:$M$2542,1)+SUMIFS('Invoice Lines'!$K$5:$K$2542,'Invoice Lines'!$Q$5:$Q$2542,"REVIEW",'Invoice Lines'!$D$5:$D$2542,"2026-06",'Invoice Lines'!$M$5:$M$2542,1)</f>
        <v>11272.05</v>
      </c>
      <c r="P15" s="9">
        <f>SUM(D15:O15)</f>
        <v>98941.11</v>
      </c>
    </row>
    <row r="16">
      <c r="A16" s="4" t="inlineStr">
        <is>
          <t>Total</t>
        </is>
      </c>
      <c r="D16" s="9">
        <f>SUM(D5:D15)</f>
        <v>85066.11</v>
      </c>
      <c r="E16" s="9">
        <f>SUM(E5:E15)</f>
        <v>148719.95</v>
      </c>
      <c r="F16" s="9">
        <f>SUM(F5:F15)</f>
        <v>135909.27</v>
      </c>
      <c r="G16" s="9">
        <f>SUM(G5:G15)</f>
        <v>155888.75</v>
      </c>
      <c r="H16" s="9">
        <f>SUM(H5:H15)</f>
        <v>157583.77</v>
      </c>
      <c r="I16" s="9">
        <f>SUM(I5:I15)</f>
        <v>150902.97</v>
      </c>
      <c r="J16" s="9">
        <f>SUM(J5:J15)</f>
        <v>165828.06</v>
      </c>
      <c r="K16" s="9">
        <f>SUM(K5:K15)</f>
        <v>132864.42</v>
      </c>
      <c r="L16" s="9">
        <f>SUM(L5:L15)</f>
        <v>171699.81</v>
      </c>
      <c r="M16" s="9">
        <f>SUM(M5:M15)</f>
        <v>136048.06</v>
      </c>
      <c r="N16" s="9">
        <f>SUM(N5:N15)</f>
        <v>174247.21</v>
      </c>
      <c r="O16" s="9">
        <f>SUM(O5:O15)</f>
        <v>143635.77</v>
      </c>
      <c r="P16" s="9">
        <f>SUM(D16:O16)</f>
        <v>1758394.15</v>
      </c>
    </row>
    <row r="18">
      <c r="A18" s="4" t="inlineStr">
        <is>
          <t>Before: as coded in Xero</t>
        </is>
      </c>
    </row>
    <row r="19">
      <c r="A19" t="n">
        <v>200</v>
      </c>
      <c r="B19" t="inlineStr">
        <is>
          <t>Sales</t>
        </is>
      </c>
      <c r="D19" s="9">
        <f>SUMIFS('Invoice Lines'!$K$5:$K$2542,'Invoice Lines'!$N$5:$N$2542,$A19,'Invoice Lines'!$D$5:$D$2542,"2025-07",'Invoice Lines'!$M$5:$M$2542,1)</f>
        <v>77998.94</v>
      </c>
      <c r="E19" s="9">
        <f>SUMIFS('Invoice Lines'!$K$5:$K$2542,'Invoice Lines'!$N$5:$N$2542,$A19,'Invoice Lines'!$D$5:$D$2542,"2025-08",'Invoice Lines'!$M$5:$M$2542,1)</f>
        <v>136692.59</v>
      </c>
      <c r="F19" s="9">
        <f>SUMIFS('Invoice Lines'!$K$5:$K$2542,'Invoice Lines'!$N$5:$N$2542,$A19,'Invoice Lines'!$D$5:$D$2542,"2025-09",'Invoice Lines'!$M$5:$M$2542,1)</f>
        <v>126440.67</v>
      </c>
      <c r="G19" s="9">
        <f>SUMIFS('Invoice Lines'!$K$5:$K$2542,'Invoice Lines'!$N$5:$N$2542,$A19,'Invoice Lines'!$D$5:$D$2542,"2025-10",'Invoice Lines'!$M$5:$M$2542,1)</f>
        <v>148936.62</v>
      </c>
      <c r="H19" s="9">
        <f>SUMIFS('Invoice Lines'!$K$5:$K$2542,'Invoice Lines'!$N$5:$N$2542,$A19,'Invoice Lines'!$D$5:$D$2542,"2025-11",'Invoice Lines'!$M$5:$M$2542,1)</f>
        <v>150818.16</v>
      </c>
      <c r="I19" s="9">
        <f>SUMIFS('Invoice Lines'!$K$5:$K$2542,'Invoice Lines'!$N$5:$N$2542,$A19,'Invoice Lines'!$D$5:$D$2542,"2025-12",'Invoice Lines'!$M$5:$M$2542,1)</f>
        <v>146294.96</v>
      </c>
      <c r="J19" s="9">
        <f>SUMIFS('Invoice Lines'!$K$5:$K$2542,'Invoice Lines'!$N$5:$N$2542,$A19,'Invoice Lines'!$D$5:$D$2542,"2026-01",'Invoice Lines'!$M$5:$M$2542,1)</f>
        <v>154057.44</v>
      </c>
      <c r="K19" s="9">
        <f>SUMIFS('Invoice Lines'!$K$5:$K$2542,'Invoice Lines'!$N$5:$N$2542,$A19,'Invoice Lines'!$D$5:$D$2542,"2026-02",'Invoice Lines'!$M$5:$M$2542,1)</f>
        <v>125644.02</v>
      </c>
      <c r="L19" s="9">
        <f>SUMIFS('Invoice Lines'!$K$5:$K$2542,'Invoice Lines'!$N$5:$N$2542,$A19,'Invoice Lines'!$D$5:$D$2542,"2026-03",'Invoice Lines'!$M$5:$M$2542,1)</f>
        <v>157155</v>
      </c>
      <c r="M19" s="9">
        <f>SUMIFS('Invoice Lines'!$K$5:$K$2542,'Invoice Lines'!$N$5:$N$2542,$A19,'Invoice Lines'!$D$5:$D$2542,"2026-04",'Invoice Lines'!$M$5:$M$2542,1)</f>
        <v>128512.06</v>
      </c>
      <c r="N19" s="9">
        <f>SUMIFS('Invoice Lines'!$K$5:$K$2542,'Invoice Lines'!$N$5:$N$2542,$A19,'Invoice Lines'!$D$5:$D$2542,"2026-05",'Invoice Lines'!$M$5:$M$2542,1)</f>
        <v>165407.83</v>
      </c>
      <c r="O19" s="9">
        <f>SUMIFS('Invoice Lines'!$K$5:$K$2542,'Invoice Lines'!$N$5:$N$2542,$A19,'Invoice Lines'!$D$5:$D$2542,"2026-06",'Invoice Lines'!$M$5:$M$2542,1)</f>
        <v>137314.6</v>
      </c>
      <c r="P19" s="9">
        <f>SUM(D19:O19)</f>
        <v>1655272.89</v>
      </c>
    </row>
    <row r="20">
      <c r="A20" t="n">
        <v>260</v>
      </c>
      <c r="B20" t="inlineStr">
        <is>
          <t>Other Revenue</t>
        </is>
      </c>
      <c r="D20" s="9">
        <f>SUMIFS('Invoice Lines'!$K$5:$K$2542,'Invoice Lines'!$N$5:$N$2542,$A20,'Invoice Lines'!$D$5:$D$2542,"2025-07",'Invoice Lines'!$M$5:$M$2542,1)</f>
        <v>7067.17</v>
      </c>
      <c r="E20" s="9">
        <f>SUMIFS('Invoice Lines'!$K$5:$K$2542,'Invoice Lines'!$N$5:$N$2542,$A20,'Invoice Lines'!$D$5:$D$2542,"2025-08",'Invoice Lines'!$M$5:$M$2542,1)</f>
        <v>12027.36</v>
      </c>
      <c r="F20" s="9">
        <f>SUMIFS('Invoice Lines'!$K$5:$K$2542,'Invoice Lines'!$N$5:$N$2542,$A20,'Invoice Lines'!$D$5:$D$2542,"2025-09",'Invoice Lines'!$M$5:$M$2542,1)</f>
        <v>9468.6</v>
      </c>
      <c r="G20" s="9">
        <f>SUMIFS('Invoice Lines'!$K$5:$K$2542,'Invoice Lines'!$N$5:$N$2542,$A20,'Invoice Lines'!$D$5:$D$2542,"2025-10",'Invoice Lines'!$M$5:$M$2542,1)</f>
        <v>6952.13</v>
      </c>
      <c r="H20" s="9">
        <f>SUMIFS('Invoice Lines'!$K$5:$K$2542,'Invoice Lines'!$N$5:$N$2542,$A20,'Invoice Lines'!$D$5:$D$2542,"2025-11",'Invoice Lines'!$M$5:$M$2542,1)</f>
        <v>6765.61</v>
      </c>
      <c r="I20" s="9">
        <f>SUMIFS('Invoice Lines'!$K$5:$K$2542,'Invoice Lines'!$N$5:$N$2542,$A20,'Invoice Lines'!$D$5:$D$2542,"2025-12",'Invoice Lines'!$M$5:$M$2542,1)</f>
        <v>4608.01</v>
      </c>
      <c r="J20" s="9">
        <f>SUMIFS('Invoice Lines'!$K$5:$K$2542,'Invoice Lines'!$N$5:$N$2542,$A20,'Invoice Lines'!$D$5:$D$2542,"2026-01",'Invoice Lines'!$M$5:$M$2542,1)</f>
        <v>11770.62</v>
      </c>
      <c r="K20" s="9">
        <f>SUMIFS('Invoice Lines'!$K$5:$K$2542,'Invoice Lines'!$N$5:$N$2542,$A20,'Invoice Lines'!$D$5:$D$2542,"2026-02",'Invoice Lines'!$M$5:$M$2542,1)</f>
        <v>7220.4</v>
      </c>
      <c r="L20" s="9">
        <f>SUMIFS('Invoice Lines'!$K$5:$K$2542,'Invoice Lines'!$N$5:$N$2542,$A20,'Invoice Lines'!$D$5:$D$2542,"2026-03",'Invoice Lines'!$M$5:$M$2542,1)</f>
        <v>14544.81</v>
      </c>
      <c r="M20" s="9">
        <f>SUMIFS('Invoice Lines'!$K$5:$K$2542,'Invoice Lines'!$N$5:$N$2542,$A20,'Invoice Lines'!$D$5:$D$2542,"2026-04",'Invoice Lines'!$M$5:$M$2542,1)</f>
        <v>7536</v>
      </c>
      <c r="N20" s="9">
        <f>SUMIFS('Invoice Lines'!$K$5:$K$2542,'Invoice Lines'!$N$5:$N$2542,$A20,'Invoice Lines'!$D$5:$D$2542,"2026-05",'Invoice Lines'!$M$5:$M$2542,1)</f>
        <v>8839.38</v>
      </c>
      <c r="O20" s="9">
        <f>SUMIFS('Invoice Lines'!$K$5:$K$2542,'Invoice Lines'!$N$5:$N$2542,$A20,'Invoice Lines'!$D$5:$D$2542,"2026-06",'Invoice Lines'!$M$5:$M$2542,1)</f>
        <v>6321.17</v>
      </c>
      <c r="P20" s="9">
        <f>SUM(D20:O20)</f>
        <v>103121.26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36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16" customWidth="1" min="4" max="4"/>
    <col width="12" customWidth="1" min="5" max="5"/>
    <col width="12" customWidth="1" min="6" max="6"/>
    <col width="56" customWidth="1" min="7" max="7"/>
    <col width="12" customWidth="1" min="8" max="8"/>
  </cols>
  <sheetData>
    <row r="1">
      <c r="A1" s="6" t="inlineStr">
        <is>
          <t>Recode journals: one per month, dated month end (import as Xero manual journals)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Journal</t>
        </is>
      </c>
      <c r="B4" s="7" t="inlineStr">
        <is>
          <t>Date</t>
        </is>
      </c>
      <c r="C4" s="7" t="inlineStr">
        <is>
          <t>Account</t>
        </is>
      </c>
      <c r="D4" s="7" t="inlineStr">
        <is>
          <t>Tracking: Service line</t>
        </is>
      </c>
      <c r="E4" s="7" t="inlineStr">
        <is>
          <t>Debit</t>
        </is>
      </c>
      <c r="F4" s="7" t="inlineStr">
        <is>
          <t>Credit</t>
        </is>
      </c>
      <c r="G4" s="7" t="inlineStr">
        <is>
          <t>Narration</t>
        </is>
      </c>
      <c r="H4" s="7" t="inlineStr">
        <is>
          <t>Journal out of balance</t>
        </is>
      </c>
    </row>
    <row r="5">
      <c r="A5" t="inlineStr">
        <is>
          <t>MJ-202507</t>
        </is>
      </c>
      <c r="B5" s="11" t="n">
        <v>45869</v>
      </c>
      <c r="C5" t="n">
        <v>200</v>
      </c>
      <c r="D5" t="inlineStr"/>
      <c r="E5" s="9" t="n">
        <v>33869.2</v>
      </c>
      <c r="F5" s="9" t="n">
        <v>0</v>
      </c>
      <c r="G5" t="inlineStr">
        <is>
          <t>Reclass 2025-07 income from 200 to 4010 (Fencing)</t>
        </is>
      </c>
      <c r="H5" s="9">
        <f>ROUND(SUMIFS('Recode Journals'!$E$5:$E$366,'Recode Journals'!$A$5:$A$366,A5)-SUMIFS('Recode Journals'!$F$5:$F$366,'Recode Journals'!$A$5:$A$366,A5),2)</f>
        <v>0</v>
      </c>
    </row>
    <row r="6">
      <c r="A6" t="inlineStr">
        <is>
          <t>MJ-202507</t>
        </is>
      </c>
      <c r="B6" s="11" t="n">
        <v>45869</v>
      </c>
      <c r="C6" t="n">
        <v>4010</v>
      </c>
      <c r="D6" t="inlineStr">
        <is>
          <t>Fencing</t>
        </is>
      </c>
      <c r="E6" s="9" t="n">
        <v>0</v>
      </c>
      <c r="F6" s="9" t="n">
        <v>33869.2</v>
      </c>
      <c r="G6" t="inlineStr">
        <is>
          <t>Reclass 2025-07 income from 200 to 4010 (Fencing)</t>
        </is>
      </c>
      <c r="H6" s="9">
        <f>ROUND(SUMIFS('Recode Journals'!$E$5:$E$366,'Recode Journals'!$A$5:$A$366,A6)-SUMIFS('Recode Journals'!$F$5:$F$366,'Recode Journals'!$A$5:$A$366,A6),2)</f>
        <v>0</v>
      </c>
    </row>
    <row r="7">
      <c r="A7" t="inlineStr">
        <is>
          <t>MJ-202507</t>
        </is>
      </c>
      <c r="B7" s="11" t="n">
        <v>45869</v>
      </c>
      <c r="C7" t="n">
        <v>200</v>
      </c>
      <c r="D7" t="inlineStr"/>
      <c r="E7" s="9" t="n">
        <v>2565</v>
      </c>
      <c r="F7" s="9" t="n">
        <v>0</v>
      </c>
      <c r="G7" t="inlineStr">
        <is>
          <t>Reclass 2025-07 income from 200 to 4010 (Scaffolding)</t>
        </is>
      </c>
      <c r="H7" s="9">
        <f>ROUND(SUMIFS('Recode Journals'!$E$5:$E$366,'Recode Journals'!$A$5:$A$366,A7)-SUMIFS('Recode Journals'!$F$5:$F$366,'Recode Journals'!$A$5:$A$366,A7),2)</f>
        <v>0</v>
      </c>
    </row>
    <row r="8">
      <c r="A8" t="inlineStr">
        <is>
          <t>MJ-202507</t>
        </is>
      </c>
      <c r="B8" s="11" t="n">
        <v>45869</v>
      </c>
      <c r="C8" t="n">
        <v>4010</v>
      </c>
      <c r="D8" t="inlineStr">
        <is>
          <t>Scaffolding</t>
        </is>
      </c>
      <c r="E8" s="9" t="n">
        <v>0</v>
      </c>
      <c r="F8" s="9" t="n">
        <v>2565</v>
      </c>
      <c r="G8" t="inlineStr">
        <is>
          <t>Reclass 2025-07 income from 200 to 4010 (Scaffolding)</t>
        </is>
      </c>
      <c r="H8" s="9">
        <f>ROUND(SUMIFS('Recode Journals'!$E$5:$E$366,'Recode Journals'!$A$5:$A$366,A8)-SUMIFS('Recode Journals'!$F$5:$F$366,'Recode Journals'!$A$5:$A$366,A8),2)</f>
        <v>0</v>
      </c>
    </row>
    <row r="9">
      <c r="A9" t="inlineStr">
        <is>
          <t>MJ-202507</t>
        </is>
      </c>
      <c r="B9" s="11" t="n">
        <v>45869</v>
      </c>
      <c r="C9" t="n">
        <v>200</v>
      </c>
      <c r="D9" t="inlineStr"/>
      <c r="E9" s="9" t="n">
        <v>10428</v>
      </c>
      <c r="F9" s="9" t="n">
        <v>0</v>
      </c>
      <c r="G9" t="inlineStr">
        <is>
          <t>Reclass 2025-07 income from 200 to 4020 (Fencing)</t>
        </is>
      </c>
      <c r="H9" s="9">
        <f>ROUND(SUMIFS('Recode Journals'!$E$5:$E$366,'Recode Journals'!$A$5:$A$366,A9)-SUMIFS('Recode Journals'!$F$5:$F$366,'Recode Journals'!$A$5:$A$366,A9),2)</f>
        <v>0</v>
      </c>
    </row>
    <row r="10">
      <c r="A10" t="inlineStr">
        <is>
          <t>MJ-202507</t>
        </is>
      </c>
      <c r="B10" s="11" t="n">
        <v>45869</v>
      </c>
      <c r="C10" t="n">
        <v>4020</v>
      </c>
      <c r="D10" t="inlineStr">
        <is>
          <t>Fencing</t>
        </is>
      </c>
      <c r="E10" s="9" t="n">
        <v>0</v>
      </c>
      <c r="F10" s="9" t="n">
        <v>10428</v>
      </c>
      <c r="G10" t="inlineStr">
        <is>
          <t>Reclass 2025-07 income from 200 to 4020 (Fencing)</t>
        </is>
      </c>
      <c r="H10" s="9">
        <f>ROUND(SUMIFS('Recode Journals'!$E$5:$E$366,'Recode Journals'!$A$5:$A$366,A10)-SUMIFS('Recode Journals'!$F$5:$F$366,'Recode Journals'!$A$5:$A$366,A10),2)</f>
        <v>0</v>
      </c>
    </row>
    <row r="11">
      <c r="A11" t="inlineStr">
        <is>
          <t>MJ-202507</t>
        </is>
      </c>
      <c r="B11" s="11" t="n">
        <v>45869</v>
      </c>
      <c r="C11" t="n">
        <v>200</v>
      </c>
      <c r="D11" t="inlineStr"/>
      <c r="E11" s="9" t="n">
        <v>6435</v>
      </c>
      <c r="F11" s="9" t="n">
        <v>0</v>
      </c>
      <c r="G11" t="inlineStr">
        <is>
          <t>Reclass 2025-07 income from 200 to 4020 (Make-safe)</t>
        </is>
      </c>
      <c r="H11" s="9">
        <f>ROUND(SUMIFS('Recode Journals'!$E$5:$E$366,'Recode Journals'!$A$5:$A$366,A11)-SUMIFS('Recode Journals'!$F$5:$F$366,'Recode Journals'!$A$5:$A$366,A11),2)</f>
        <v>0</v>
      </c>
    </row>
    <row r="12">
      <c r="A12" t="inlineStr">
        <is>
          <t>MJ-202507</t>
        </is>
      </c>
      <c r="B12" s="11" t="n">
        <v>45869</v>
      </c>
      <c r="C12" t="n">
        <v>4020</v>
      </c>
      <c r="D12" t="inlineStr">
        <is>
          <t>Make-safe</t>
        </is>
      </c>
      <c r="E12" s="9" t="n">
        <v>0</v>
      </c>
      <c r="F12" s="9" t="n">
        <v>6435</v>
      </c>
      <c r="G12" t="inlineStr">
        <is>
          <t>Reclass 2025-07 income from 200 to 4020 (Make-safe)</t>
        </is>
      </c>
      <c r="H12" s="9">
        <f>ROUND(SUMIFS('Recode Journals'!$E$5:$E$366,'Recode Journals'!$A$5:$A$366,A12)-SUMIFS('Recode Journals'!$F$5:$F$366,'Recode Journals'!$A$5:$A$366,A12),2)</f>
        <v>0</v>
      </c>
    </row>
    <row r="13">
      <c r="A13" t="inlineStr">
        <is>
          <t>MJ-202507</t>
        </is>
      </c>
      <c r="B13" s="11" t="n">
        <v>45869</v>
      </c>
      <c r="C13" t="n">
        <v>200</v>
      </c>
      <c r="D13" t="inlineStr"/>
      <c r="E13" s="9" t="n">
        <v>2940</v>
      </c>
      <c r="F13" s="9" t="n">
        <v>0</v>
      </c>
      <c r="G13" t="inlineStr">
        <is>
          <t>Reclass 2025-07 income from 200 to 4020 (Roofing)</t>
        </is>
      </c>
      <c r="H13" s="9">
        <f>ROUND(SUMIFS('Recode Journals'!$E$5:$E$366,'Recode Journals'!$A$5:$A$366,A13)-SUMIFS('Recode Journals'!$F$5:$F$366,'Recode Journals'!$A$5:$A$366,A13),2)</f>
        <v>0</v>
      </c>
    </row>
    <row r="14">
      <c r="A14" t="inlineStr">
        <is>
          <t>MJ-202507</t>
        </is>
      </c>
      <c r="B14" s="11" t="n">
        <v>45869</v>
      </c>
      <c r="C14" t="n">
        <v>4020</v>
      </c>
      <c r="D14" t="inlineStr">
        <is>
          <t>Roofing</t>
        </is>
      </c>
      <c r="E14" s="9" t="n">
        <v>0</v>
      </c>
      <c r="F14" s="9" t="n">
        <v>2940</v>
      </c>
      <c r="G14" t="inlineStr">
        <is>
          <t>Reclass 2025-07 income from 200 to 4020 (Roofing)</t>
        </is>
      </c>
      <c r="H14" s="9">
        <f>ROUND(SUMIFS('Recode Journals'!$E$5:$E$366,'Recode Journals'!$A$5:$A$366,A14)-SUMIFS('Recode Journals'!$F$5:$F$366,'Recode Journals'!$A$5:$A$366,A14),2)</f>
        <v>0</v>
      </c>
    </row>
    <row r="15">
      <c r="A15" t="inlineStr">
        <is>
          <t>MJ-202507</t>
        </is>
      </c>
      <c r="B15" s="11" t="n">
        <v>45869</v>
      </c>
      <c r="C15" t="n">
        <v>200</v>
      </c>
      <c r="D15" t="inlineStr"/>
      <c r="E15" s="9" t="n">
        <v>8220</v>
      </c>
      <c r="F15" s="9" t="n">
        <v>0</v>
      </c>
      <c r="G15" t="inlineStr">
        <is>
          <t>Reclass 2025-07 income from 200 to 4020 (Scaffolding)</t>
        </is>
      </c>
      <c r="H15" s="9">
        <f>ROUND(SUMIFS('Recode Journals'!$E$5:$E$366,'Recode Journals'!$A$5:$A$366,A15)-SUMIFS('Recode Journals'!$F$5:$F$366,'Recode Journals'!$A$5:$A$366,A15),2)</f>
        <v>0</v>
      </c>
    </row>
    <row r="16">
      <c r="A16" t="inlineStr">
        <is>
          <t>MJ-202507</t>
        </is>
      </c>
      <c r="B16" s="11" t="n">
        <v>45869</v>
      </c>
      <c r="C16" t="n">
        <v>4020</v>
      </c>
      <c r="D16" t="inlineStr">
        <is>
          <t>Scaffolding</t>
        </is>
      </c>
      <c r="E16" s="9" t="n">
        <v>0</v>
      </c>
      <c r="F16" s="9" t="n">
        <v>8220</v>
      </c>
      <c r="G16" t="inlineStr">
        <is>
          <t>Reclass 2025-07 income from 200 to 4020 (Scaffolding)</t>
        </is>
      </c>
      <c r="H16" s="9">
        <f>ROUND(SUMIFS('Recode Journals'!$E$5:$E$366,'Recode Journals'!$A$5:$A$366,A16)-SUMIFS('Recode Journals'!$F$5:$F$366,'Recode Journals'!$A$5:$A$366,A16),2)</f>
        <v>0</v>
      </c>
    </row>
    <row r="17">
      <c r="A17" t="inlineStr">
        <is>
          <t>MJ-202507</t>
        </is>
      </c>
      <c r="B17" s="11" t="n">
        <v>45869</v>
      </c>
      <c r="C17" t="n">
        <v>200</v>
      </c>
      <c r="D17" t="inlineStr"/>
      <c r="E17" s="9" t="n">
        <v>3551.19</v>
      </c>
      <c r="F17" s="9" t="n">
        <v>0</v>
      </c>
      <c r="G17" t="inlineStr">
        <is>
          <t>Reclass 2025-07 income from 200 to 4030 (Roofing)</t>
        </is>
      </c>
      <c r="H17" s="9">
        <f>ROUND(SUMIFS('Recode Journals'!$E$5:$E$366,'Recode Journals'!$A$5:$A$366,A17)-SUMIFS('Recode Journals'!$F$5:$F$366,'Recode Journals'!$A$5:$A$366,A17),2)</f>
        <v>0</v>
      </c>
    </row>
    <row r="18">
      <c r="A18" t="inlineStr">
        <is>
          <t>MJ-202507</t>
        </is>
      </c>
      <c r="B18" s="11" t="n">
        <v>45869</v>
      </c>
      <c r="C18" t="n">
        <v>4030</v>
      </c>
      <c r="D18" t="inlineStr">
        <is>
          <t>Roofing</t>
        </is>
      </c>
      <c r="E18" s="9" t="n">
        <v>0</v>
      </c>
      <c r="F18" s="9" t="n">
        <v>3551.19</v>
      </c>
      <c r="G18" t="inlineStr">
        <is>
          <t>Reclass 2025-07 income from 200 to 4030 (Roofing)</t>
        </is>
      </c>
      <c r="H18" s="9">
        <f>ROUND(SUMIFS('Recode Journals'!$E$5:$E$366,'Recode Journals'!$A$5:$A$366,A18)-SUMIFS('Recode Journals'!$F$5:$F$366,'Recode Journals'!$A$5:$A$366,A18),2)</f>
        <v>0</v>
      </c>
    </row>
    <row r="19">
      <c r="A19" t="inlineStr">
        <is>
          <t>MJ-202507</t>
        </is>
      </c>
      <c r="B19" s="11" t="n">
        <v>45869</v>
      </c>
      <c r="C19" t="n">
        <v>200</v>
      </c>
      <c r="D19" t="inlineStr"/>
      <c r="E19" s="9" t="n">
        <v>1595</v>
      </c>
      <c r="F19" s="9" t="n">
        <v>0</v>
      </c>
      <c r="G19" t="inlineStr">
        <is>
          <t>Reclass 2025-07 income from 200 to 4040 (Fencing)</t>
        </is>
      </c>
      <c r="H19" s="9">
        <f>ROUND(SUMIFS('Recode Journals'!$E$5:$E$366,'Recode Journals'!$A$5:$A$366,A19)-SUMIFS('Recode Journals'!$F$5:$F$366,'Recode Journals'!$A$5:$A$366,A19),2)</f>
        <v>0</v>
      </c>
    </row>
    <row r="20">
      <c r="A20" t="inlineStr">
        <is>
          <t>MJ-202507</t>
        </is>
      </c>
      <c r="B20" s="11" t="n">
        <v>45869</v>
      </c>
      <c r="C20" t="n">
        <v>4040</v>
      </c>
      <c r="D20" t="inlineStr">
        <is>
          <t>Fencing</t>
        </is>
      </c>
      <c r="E20" s="9" t="n">
        <v>0</v>
      </c>
      <c r="F20" s="9" t="n">
        <v>1595</v>
      </c>
      <c r="G20" t="inlineStr">
        <is>
          <t>Reclass 2025-07 income from 200 to 4040 (Fencing)</t>
        </is>
      </c>
      <c r="H20" s="9">
        <f>ROUND(SUMIFS('Recode Journals'!$E$5:$E$366,'Recode Journals'!$A$5:$A$366,A20)-SUMIFS('Recode Journals'!$F$5:$F$366,'Recode Journals'!$A$5:$A$366,A20),2)</f>
        <v>0</v>
      </c>
    </row>
    <row r="21">
      <c r="A21" t="inlineStr">
        <is>
          <t>MJ-202507</t>
        </is>
      </c>
      <c r="B21" s="11" t="n">
        <v>45869</v>
      </c>
      <c r="C21" t="n">
        <v>200</v>
      </c>
      <c r="D21" t="inlineStr"/>
      <c r="E21" s="9" t="n">
        <v>850</v>
      </c>
      <c r="F21" s="9" t="n">
        <v>0</v>
      </c>
      <c r="G21" t="inlineStr">
        <is>
          <t>Reclass 2025-07 income from 200 to 835 (Fencing)</t>
        </is>
      </c>
      <c r="H21" s="9">
        <f>ROUND(SUMIFS('Recode Journals'!$E$5:$E$366,'Recode Journals'!$A$5:$A$366,A21)-SUMIFS('Recode Journals'!$F$5:$F$366,'Recode Journals'!$A$5:$A$366,A21),2)</f>
        <v>0</v>
      </c>
    </row>
    <row r="22">
      <c r="A22" t="inlineStr">
        <is>
          <t>MJ-202507</t>
        </is>
      </c>
      <c r="B22" s="11" t="n">
        <v>45869</v>
      </c>
      <c r="C22" t="n">
        <v>835</v>
      </c>
      <c r="D22" t="inlineStr"/>
      <c r="E22" s="9" t="n">
        <v>0</v>
      </c>
      <c r="F22" s="9" t="n">
        <v>850</v>
      </c>
      <c r="G22" t="inlineStr">
        <is>
          <t>Reclass 2025-07 income from 200 to 835 (Fencing)</t>
        </is>
      </c>
      <c r="H22" s="9">
        <f>ROUND(SUMIFS('Recode Journals'!$E$5:$E$366,'Recode Journals'!$A$5:$A$366,A22)-SUMIFS('Recode Journals'!$F$5:$F$366,'Recode Journals'!$A$5:$A$366,A22),2)</f>
        <v>0</v>
      </c>
    </row>
    <row r="23">
      <c r="A23" t="inlineStr">
        <is>
          <t>MJ-202507</t>
        </is>
      </c>
      <c r="B23" s="11" t="n">
        <v>45869</v>
      </c>
      <c r="C23" t="n">
        <v>260</v>
      </c>
      <c r="D23" t="inlineStr"/>
      <c r="E23" s="9" t="n">
        <v>3618</v>
      </c>
      <c r="F23" s="9" t="n">
        <v>0</v>
      </c>
      <c r="G23" t="inlineStr">
        <is>
          <t>Reclass 2025-07 income from 260 to 4010 (Fencing)</t>
        </is>
      </c>
      <c r="H23" s="9">
        <f>ROUND(SUMIFS('Recode Journals'!$E$5:$E$366,'Recode Journals'!$A$5:$A$366,A23)-SUMIFS('Recode Journals'!$F$5:$F$366,'Recode Journals'!$A$5:$A$366,A23),2)</f>
        <v>0</v>
      </c>
    </row>
    <row r="24">
      <c r="A24" t="inlineStr">
        <is>
          <t>MJ-202507</t>
        </is>
      </c>
      <c r="B24" s="11" t="n">
        <v>45869</v>
      </c>
      <c r="C24" t="n">
        <v>4010</v>
      </c>
      <c r="D24" t="inlineStr">
        <is>
          <t>Fencing</t>
        </is>
      </c>
      <c r="E24" s="9" t="n">
        <v>0</v>
      </c>
      <c r="F24" s="9" t="n">
        <v>3618</v>
      </c>
      <c r="G24" t="inlineStr">
        <is>
          <t>Reclass 2025-07 income from 260 to 4010 (Fencing)</t>
        </is>
      </c>
      <c r="H24" s="9">
        <f>ROUND(SUMIFS('Recode Journals'!$E$5:$E$366,'Recode Journals'!$A$5:$A$366,A24)-SUMIFS('Recode Journals'!$F$5:$F$366,'Recode Journals'!$A$5:$A$366,A24),2)</f>
        <v>0</v>
      </c>
    </row>
    <row r="25">
      <c r="A25" t="inlineStr">
        <is>
          <t>MJ-202507</t>
        </is>
      </c>
      <c r="B25" s="11" t="n">
        <v>45869</v>
      </c>
      <c r="C25" t="n">
        <v>260</v>
      </c>
      <c r="D25" t="inlineStr"/>
      <c r="E25" s="9" t="n">
        <v>330</v>
      </c>
      <c r="F25" s="9" t="n">
        <v>0</v>
      </c>
      <c r="G25" t="inlineStr">
        <is>
          <t>Reclass 2025-07 income from 260 to 4020 (Fencing)</t>
        </is>
      </c>
      <c r="H25" s="9">
        <f>ROUND(SUMIFS('Recode Journals'!$E$5:$E$366,'Recode Journals'!$A$5:$A$366,A25)-SUMIFS('Recode Journals'!$F$5:$F$366,'Recode Journals'!$A$5:$A$366,A25),2)</f>
        <v>0</v>
      </c>
    </row>
    <row r="26">
      <c r="A26" t="inlineStr">
        <is>
          <t>MJ-202507</t>
        </is>
      </c>
      <c r="B26" s="11" t="n">
        <v>45869</v>
      </c>
      <c r="C26" t="n">
        <v>4020</v>
      </c>
      <c r="D26" t="inlineStr">
        <is>
          <t>Fencing</t>
        </is>
      </c>
      <c r="E26" s="9" t="n">
        <v>0</v>
      </c>
      <c r="F26" s="9" t="n">
        <v>330</v>
      </c>
      <c r="G26" t="inlineStr">
        <is>
          <t>Reclass 2025-07 income from 260 to 4020 (Fencing)</t>
        </is>
      </c>
      <c r="H26" s="9">
        <f>ROUND(SUMIFS('Recode Journals'!$E$5:$E$366,'Recode Journals'!$A$5:$A$366,A26)-SUMIFS('Recode Journals'!$F$5:$F$366,'Recode Journals'!$A$5:$A$366,A26),2)</f>
        <v>0</v>
      </c>
    </row>
    <row r="27">
      <c r="A27" t="inlineStr">
        <is>
          <t>MJ-202507</t>
        </is>
      </c>
      <c r="B27" s="11" t="n">
        <v>45869</v>
      </c>
      <c r="C27" t="n">
        <v>260</v>
      </c>
      <c r="D27" t="inlineStr"/>
      <c r="E27" s="9" t="n">
        <v>1040</v>
      </c>
      <c r="F27" s="9" t="n">
        <v>0</v>
      </c>
      <c r="G27" t="inlineStr">
        <is>
          <t>Reclass 2025-07 income from 260 to 4020 (Make-safe)</t>
        </is>
      </c>
      <c r="H27" s="9">
        <f>ROUND(SUMIFS('Recode Journals'!$E$5:$E$366,'Recode Journals'!$A$5:$A$366,A27)-SUMIFS('Recode Journals'!$F$5:$F$366,'Recode Journals'!$A$5:$A$366,A27),2)</f>
        <v>0</v>
      </c>
    </row>
    <row r="28">
      <c r="A28" t="inlineStr">
        <is>
          <t>MJ-202507</t>
        </is>
      </c>
      <c r="B28" s="11" t="n">
        <v>45869</v>
      </c>
      <c r="C28" t="n">
        <v>4020</v>
      </c>
      <c r="D28" t="inlineStr">
        <is>
          <t>Make-safe</t>
        </is>
      </c>
      <c r="E28" s="9" t="n">
        <v>0</v>
      </c>
      <c r="F28" s="9" t="n">
        <v>1040</v>
      </c>
      <c r="G28" t="inlineStr">
        <is>
          <t>Reclass 2025-07 income from 260 to 4020 (Make-safe)</t>
        </is>
      </c>
      <c r="H28" s="9">
        <f>ROUND(SUMIFS('Recode Journals'!$E$5:$E$366,'Recode Journals'!$A$5:$A$366,A28)-SUMIFS('Recode Journals'!$F$5:$F$366,'Recode Journals'!$A$5:$A$366,A28),2)</f>
        <v>0</v>
      </c>
    </row>
    <row r="29">
      <c r="A29" t="inlineStr">
        <is>
          <t>MJ-202508</t>
        </is>
      </c>
      <c r="B29" s="11" t="n">
        <v>45900</v>
      </c>
      <c r="C29" t="n">
        <v>200</v>
      </c>
      <c r="D29" t="inlineStr"/>
      <c r="E29" s="9" t="n">
        <v>38513.6</v>
      </c>
      <c r="F29" s="9" t="n">
        <v>0</v>
      </c>
      <c r="G29" t="inlineStr">
        <is>
          <t>Reclass 2025-08 income from 200 to 4010 (Fencing)</t>
        </is>
      </c>
      <c r="H29" s="9">
        <f>ROUND(SUMIFS('Recode Journals'!$E$5:$E$366,'Recode Journals'!$A$5:$A$366,A29)-SUMIFS('Recode Journals'!$F$5:$F$366,'Recode Journals'!$A$5:$A$366,A29),2)</f>
        <v>0</v>
      </c>
    </row>
    <row r="30">
      <c r="A30" t="inlineStr">
        <is>
          <t>MJ-202508</t>
        </is>
      </c>
      <c r="B30" s="11" t="n">
        <v>45900</v>
      </c>
      <c r="C30" t="n">
        <v>4010</v>
      </c>
      <c r="D30" t="inlineStr">
        <is>
          <t>Fencing</t>
        </is>
      </c>
      <c r="E30" s="9" t="n">
        <v>0</v>
      </c>
      <c r="F30" s="9" t="n">
        <v>38513.6</v>
      </c>
      <c r="G30" t="inlineStr">
        <is>
          <t>Reclass 2025-08 income from 200 to 4010 (Fencing)</t>
        </is>
      </c>
      <c r="H30" s="9">
        <f>ROUND(SUMIFS('Recode Journals'!$E$5:$E$366,'Recode Journals'!$A$5:$A$366,A30)-SUMIFS('Recode Journals'!$F$5:$F$366,'Recode Journals'!$A$5:$A$366,A30),2)</f>
        <v>0</v>
      </c>
    </row>
    <row r="31">
      <c r="A31" t="inlineStr">
        <is>
          <t>MJ-202508</t>
        </is>
      </c>
      <c r="B31" s="11" t="n">
        <v>45900</v>
      </c>
      <c r="C31" t="n">
        <v>200</v>
      </c>
      <c r="D31" t="inlineStr"/>
      <c r="E31" s="9" t="n">
        <v>2765</v>
      </c>
      <c r="F31" s="9" t="n">
        <v>0</v>
      </c>
      <c r="G31" t="inlineStr">
        <is>
          <t>Reclass 2025-08 income from 200 to 4010 (Make-safe)</t>
        </is>
      </c>
      <c r="H31" s="9">
        <f>ROUND(SUMIFS('Recode Journals'!$E$5:$E$366,'Recode Journals'!$A$5:$A$366,A31)-SUMIFS('Recode Journals'!$F$5:$F$366,'Recode Journals'!$A$5:$A$366,A31),2)</f>
        <v>0</v>
      </c>
    </row>
    <row r="32">
      <c r="A32" t="inlineStr">
        <is>
          <t>MJ-202508</t>
        </is>
      </c>
      <c r="B32" s="11" t="n">
        <v>45900</v>
      </c>
      <c r="C32" t="n">
        <v>4010</v>
      </c>
      <c r="D32" t="inlineStr">
        <is>
          <t>Make-safe</t>
        </is>
      </c>
      <c r="E32" s="9" t="n">
        <v>0</v>
      </c>
      <c r="F32" s="9" t="n">
        <v>2765</v>
      </c>
      <c r="G32" t="inlineStr">
        <is>
          <t>Reclass 2025-08 income from 200 to 4010 (Make-safe)</t>
        </is>
      </c>
      <c r="H32" s="9">
        <f>ROUND(SUMIFS('Recode Journals'!$E$5:$E$366,'Recode Journals'!$A$5:$A$366,A32)-SUMIFS('Recode Journals'!$F$5:$F$366,'Recode Journals'!$A$5:$A$366,A32),2)</f>
        <v>0</v>
      </c>
    </row>
    <row r="33">
      <c r="A33" t="inlineStr">
        <is>
          <t>MJ-202508</t>
        </is>
      </c>
      <c r="B33" s="11" t="n">
        <v>45900</v>
      </c>
      <c r="C33" t="n">
        <v>200</v>
      </c>
      <c r="D33" t="inlineStr"/>
      <c r="E33" s="9" t="n">
        <v>5225</v>
      </c>
      <c r="F33" s="9" t="n">
        <v>0</v>
      </c>
      <c r="G33" t="inlineStr">
        <is>
          <t>Reclass 2025-08 income from 200 to 4010 (Scaffolding)</t>
        </is>
      </c>
      <c r="H33" s="9">
        <f>ROUND(SUMIFS('Recode Journals'!$E$5:$E$366,'Recode Journals'!$A$5:$A$366,A33)-SUMIFS('Recode Journals'!$F$5:$F$366,'Recode Journals'!$A$5:$A$366,A33),2)</f>
        <v>0</v>
      </c>
    </row>
    <row r="34">
      <c r="A34" t="inlineStr">
        <is>
          <t>MJ-202508</t>
        </is>
      </c>
      <c r="B34" s="11" t="n">
        <v>45900</v>
      </c>
      <c r="C34" t="n">
        <v>4010</v>
      </c>
      <c r="D34" t="inlineStr">
        <is>
          <t>Scaffolding</t>
        </is>
      </c>
      <c r="E34" s="9" t="n">
        <v>0</v>
      </c>
      <c r="F34" s="9" t="n">
        <v>5225</v>
      </c>
      <c r="G34" t="inlineStr">
        <is>
          <t>Reclass 2025-08 income from 200 to 4010 (Scaffolding)</t>
        </is>
      </c>
      <c r="H34" s="9">
        <f>ROUND(SUMIFS('Recode Journals'!$E$5:$E$366,'Recode Journals'!$A$5:$A$366,A34)-SUMIFS('Recode Journals'!$F$5:$F$366,'Recode Journals'!$A$5:$A$366,A34),2)</f>
        <v>0</v>
      </c>
    </row>
    <row r="35">
      <c r="A35" t="inlineStr">
        <is>
          <t>MJ-202508</t>
        </is>
      </c>
      <c r="B35" s="11" t="n">
        <v>45900</v>
      </c>
      <c r="C35" t="n">
        <v>200</v>
      </c>
      <c r="D35" t="inlineStr"/>
      <c r="E35" s="9" t="n">
        <v>6430.6</v>
      </c>
      <c r="F35" s="9" t="n">
        <v>0</v>
      </c>
      <c r="G35" t="inlineStr">
        <is>
          <t>Reclass 2025-08 income from 200 to 4020 (Fencing)</t>
        </is>
      </c>
      <c r="H35" s="9">
        <f>ROUND(SUMIFS('Recode Journals'!$E$5:$E$366,'Recode Journals'!$A$5:$A$366,A35)-SUMIFS('Recode Journals'!$F$5:$F$366,'Recode Journals'!$A$5:$A$366,A35),2)</f>
        <v>0</v>
      </c>
    </row>
    <row r="36">
      <c r="A36" t="inlineStr">
        <is>
          <t>MJ-202508</t>
        </is>
      </c>
      <c r="B36" s="11" t="n">
        <v>45900</v>
      </c>
      <c r="C36" t="n">
        <v>4020</v>
      </c>
      <c r="D36" t="inlineStr">
        <is>
          <t>Fencing</t>
        </is>
      </c>
      <c r="E36" s="9" t="n">
        <v>0</v>
      </c>
      <c r="F36" s="9" t="n">
        <v>6430.6</v>
      </c>
      <c r="G36" t="inlineStr">
        <is>
          <t>Reclass 2025-08 income from 200 to 4020 (Fencing)</t>
        </is>
      </c>
      <c r="H36" s="9">
        <f>ROUND(SUMIFS('Recode Journals'!$E$5:$E$366,'Recode Journals'!$A$5:$A$366,A36)-SUMIFS('Recode Journals'!$F$5:$F$366,'Recode Journals'!$A$5:$A$366,A36),2)</f>
        <v>0</v>
      </c>
    </row>
    <row r="37">
      <c r="A37" t="inlineStr">
        <is>
          <t>MJ-202508</t>
        </is>
      </c>
      <c r="B37" s="11" t="n">
        <v>45900</v>
      </c>
      <c r="C37" t="n">
        <v>200</v>
      </c>
      <c r="D37" t="inlineStr"/>
      <c r="E37" s="9" t="n">
        <v>14190</v>
      </c>
      <c r="F37" s="9" t="n">
        <v>0</v>
      </c>
      <c r="G37" t="inlineStr">
        <is>
          <t>Reclass 2025-08 income from 200 to 4020 (Make-safe)</t>
        </is>
      </c>
      <c r="H37" s="9">
        <f>ROUND(SUMIFS('Recode Journals'!$E$5:$E$366,'Recode Journals'!$A$5:$A$366,A37)-SUMIFS('Recode Journals'!$F$5:$F$366,'Recode Journals'!$A$5:$A$366,A37),2)</f>
        <v>0</v>
      </c>
    </row>
    <row r="38">
      <c r="A38" t="inlineStr">
        <is>
          <t>MJ-202508</t>
        </is>
      </c>
      <c r="B38" s="11" t="n">
        <v>45900</v>
      </c>
      <c r="C38" t="n">
        <v>4020</v>
      </c>
      <c r="D38" t="inlineStr">
        <is>
          <t>Make-safe</t>
        </is>
      </c>
      <c r="E38" s="9" t="n">
        <v>0</v>
      </c>
      <c r="F38" s="9" t="n">
        <v>14190</v>
      </c>
      <c r="G38" t="inlineStr">
        <is>
          <t>Reclass 2025-08 income from 200 to 4020 (Make-safe)</t>
        </is>
      </c>
      <c r="H38" s="9">
        <f>ROUND(SUMIFS('Recode Journals'!$E$5:$E$366,'Recode Journals'!$A$5:$A$366,A38)-SUMIFS('Recode Journals'!$F$5:$F$366,'Recode Journals'!$A$5:$A$366,A38),2)</f>
        <v>0</v>
      </c>
    </row>
    <row r="39">
      <c r="A39" t="inlineStr">
        <is>
          <t>MJ-202508</t>
        </is>
      </c>
      <c r="B39" s="11" t="n">
        <v>45900</v>
      </c>
      <c r="C39" t="n">
        <v>200</v>
      </c>
      <c r="D39" t="inlineStr"/>
      <c r="E39" s="9" t="n">
        <v>18816</v>
      </c>
      <c r="F39" s="9" t="n">
        <v>0</v>
      </c>
      <c r="G39" t="inlineStr">
        <is>
          <t>Reclass 2025-08 income from 200 to 4020 (Roofing)</t>
        </is>
      </c>
      <c r="H39" s="9">
        <f>ROUND(SUMIFS('Recode Journals'!$E$5:$E$366,'Recode Journals'!$A$5:$A$366,A39)-SUMIFS('Recode Journals'!$F$5:$F$366,'Recode Journals'!$A$5:$A$366,A39),2)</f>
        <v>0</v>
      </c>
    </row>
    <row r="40">
      <c r="A40" t="inlineStr">
        <is>
          <t>MJ-202508</t>
        </is>
      </c>
      <c r="B40" s="11" t="n">
        <v>45900</v>
      </c>
      <c r="C40" t="n">
        <v>4020</v>
      </c>
      <c r="D40" t="inlineStr">
        <is>
          <t>Roofing</t>
        </is>
      </c>
      <c r="E40" s="9" t="n">
        <v>0</v>
      </c>
      <c r="F40" s="9" t="n">
        <v>18816</v>
      </c>
      <c r="G40" t="inlineStr">
        <is>
          <t>Reclass 2025-08 income from 200 to 4020 (Roofing)</t>
        </is>
      </c>
      <c r="H40" s="9">
        <f>ROUND(SUMIFS('Recode Journals'!$E$5:$E$366,'Recode Journals'!$A$5:$A$366,A40)-SUMIFS('Recode Journals'!$F$5:$F$366,'Recode Journals'!$A$5:$A$366,A40),2)</f>
        <v>0</v>
      </c>
    </row>
    <row r="41">
      <c r="A41" t="inlineStr">
        <is>
          <t>MJ-202508</t>
        </is>
      </c>
      <c r="B41" s="11" t="n">
        <v>45900</v>
      </c>
      <c r="C41" t="n">
        <v>200</v>
      </c>
      <c r="D41" t="inlineStr"/>
      <c r="E41" s="9" t="n">
        <v>10860</v>
      </c>
      <c r="F41" s="9" t="n">
        <v>0</v>
      </c>
      <c r="G41" t="inlineStr">
        <is>
          <t>Reclass 2025-08 income from 200 to 4020 (Scaffolding)</t>
        </is>
      </c>
      <c r="H41" s="9">
        <f>ROUND(SUMIFS('Recode Journals'!$E$5:$E$366,'Recode Journals'!$A$5:$A$366,A41)-SUMIFS('Recode Journals'!$F$5:$F$366,'Recode Journals'!$A$5:$A$366,A41),2)</f>
        <v>0</v>
      </c>
    </row>
    <row r="42">
      <c r="A42" t="inlineStr">
        <is>
          <t>MJ-202508</t>
        </is>
      </c>
      <c r="B42" s="11" t="n">
        <v>45900</v>
      </c>
      <c r="C42" t="n">
        <v>4020</v>
      </c>
      <c r="D42" t="inlineStr">
        <is>
          <t>Scaffolding</t>
        </is>
      </c>
      <c r="E42" s="9" t="n">
        <v>0</v>
      </c>
      <c r="F42" s="9" t="n">
        <v>10860</v>
      </c>
      <c r="G42" t="inlineStr">
        <is>
          <t>Reclass 2025-08 income from 200 to 4020 (Scaffolding)</t>
        </is>
      </c>
      <c r="H42" s="9">
        <f>ROUND(SUMIFS('Recode Journals'!$E$5:$E$366,'Recode Journals'!$A$5:$A$366,A42)-SUMIFS('Recode Journals'!$F$5:$F$366,'Recode Journals'!$A$5:$A$366,A42),2)</f>
        <v>0</v>
      </c>
    </row>
    <row r="43">
      <c r="A43" t="inlineStr">
        <is>
          <t>MJ-202508</t>
        </is>
      </c>
      <c r="B43" s="11" t="n">
        <v>45900</v>
      </c>
      <c r="C43" t="n">
        <v>200</v>
      </c>
      <c r="D43" t="inlineStr"/>
      <c r="E43" s="9" t="n">
        <v>20509.94</v>
      </c>
      <c r="F43" s="9" t="n">
        <v>0</v>
      </c>
      <c r="G43" t="inlineStr">
        <is>
          <t>Reclass 2025-08 income from 200 to 4030 (Roofing)</t>
        </is>
      </c>
      <c r="H43" s="9">
        <f>ROUND(SUMIFS('Recode Journals'!$E$5:$E$366,'Recode Journals'!$A$5:$A$366,A43)-SUMIFS('Recode Journals'!$F$5:$F$366,'Recode Journals'!$A$5:$A$366,A43),2)</f>
        <v>0</v>
      </c>
    </row>
    <row r="44">
      <c r="A44" t="inlineStr">
        <is>
          <t>MJ-202508</t>
        </is>
      </c>
      <c r="B44" s="11" t="n">
        <v>45900</v>
      </c>
      <c r="C44" t="n">
        <v>4030</v>
      </c>
      <c r="D44" t="inlineStr">
        <is>
          <t>Roofing</t>
        </is>
      </c>
      <c r="E44" s="9" t="n">
        <v>0</v>
      </c>
      <c r="F44" s="9" t="n">
        <v>20509.94</v>
      </c>
      <c r="G44" t="inlineStr">
        <is>
          <t>Reclass 2025-08 income from 200 to 4030 (Roofing)</t>
        </is>
      </c>
      <c r="H44" s="9">
        <f>ROUND(SUMIFS('Recode Journals'!$E$5:$E$366,'Recode Journals'!$A$5:$A$366,A44)-SUMIFS('Recode Journals'!$F$5:$F$366,'Recode Journals'!$A$5:$A$366,A44),2)</f>
        <v>0</v>
      </c>
    </row>
    <row r="45">
      <c r="A45" t="inlineStr">
        <is>
          <t>MJ-202508</t>
        </is>
      </c>
      <c r="B45" s="11" t="n">
        <v>45900</v>
      </c>
      <c r="C45" t="n">
        <v>200</v>
      </c>
      <c r="D45" t="inlineStr"/>
      <c r="E45" s="9" t="n">
        <v>870</v>
      </c>
      <c r="F45" s="9" t="n">
        <v>0</v>
      </c>
      <c r="G45" t="inlineStr">
        <is>
          <t>Reclass 2025-08 income from 200 to 4040 (Fencing)</t>
        </is>
      </c>
      <c r="H45" s="9">
        <f>ROUND(SUMIFS('Recode Journals'!$E$5:$E$366,'Recode Journals'!$A$5:$A$366,A45)-SUMIFS('Recode Journals'!$F$5:$F$366,'Recode Journals'!$A$5:$A$366,A45),2)</f>
        <v>0</v>
      </c>
    </row>
    <row r="46">
      <c r="A46" t="inlineStr">
        <is>
          <t>MJ-202508</t>
        </is>
      </c>
      <c r="B46" s="11" t="n">
        <v>45900</v>
      </c>
      <c r="C46" t="n">
        <v>4040</v>
      </c>
      <c r="D46" t="inlineStr">
        <is>
          <t>Fencing</t>
        </is>
      </c>
      <c r="E46" s="9" t="n">
        <v>0</v>
      </c>
      <c r="F46" s="9" t="n">
        <v>870</v>
      </c>
      <c r="G46" t="inlineStr">
        <is>
          <t>Reclass 2025-08 income from 200 to 4040 (Fencing)</t>
        </is>
      </c>
      <c r="H46" s="9">
        <f>ROUND(SUMIFS('Recode Journals'!$E$5:$E$366,'Recode Journals'!$A$5:$A$366,A46)-SUMIFS('Recode Journals'!$F$5:$F$366,'Recode Journals'!$A$5:$A$366,A46),2)</f>
        <v>0</v>
      </c>
    </row>
    <row r="47">
      <c r="A47" t="inlineStr">
        <is>
          <t>MJ-202508</t>
        </is>
      </c>
      <c r="B47" s="11" t="n">
        <v>45900</v>
      </c>
      <c r="C47" t="n">
        <v>200</v>
      </c>
      <c r="D47" t="inlineStr"/>
      <c r="E47" s="9" t="n">
        <v>990</v>
      </c>
      <c r="F47" s="9" t="n">
        <v>0</v>
      </c>
      <c r="G47" t="inlineStr">
        <is>
          <t>Reclass 2025-08 income from 200 to 835 (Fencing)</t>
        </is>
      </c>
      <c r="H47" s="9">
        <f>ROUND(SUMIFS('Recode Journals'!$E$5:$E$366,'Recode Journals'!$A$5:$A$366,A47)-SUMIFS('Recode Journals'!$F$5:$F$366,'Recode Journals'!$A$5:$A$366,A47),2)</f>
        <v>0</v>
      </c>
    </row>
    <row r="48">
      <c r="A48" t="inlineStr">
        <is>
          <t>MJ-202508</t>
        </is>
      </c>
      <c r="B48" s="11" t="n">
        <v>45900</v>
      </c>
      <c r="C48" t="n">
        <v>835</v>
      </c>
      <c r="D48" t="inlineStr"/>
      <c r="E48" s="9" t="n">
        <v>0</v>
      </c>
      <c r="F48" s="9" t="n">
        <v>990</v>
      </c>
      <c r="G48" t="inlineStr">
        <is>
          <t>Reclass 2025-08 income from 200 to 835 (Fencing)</t>
        </is>
      </c>
      <c r="H48" s="9">
        <f>ROUND(SUMIFS('Recode Journals'!$E$5:$E$366,'Recode Journals'!$A$5:$A$366,A48)-SUMIFS('Recode Journals'!$F$5:$F$366,'Recode Journals'!$A$5:$A$366,A48),2)</f>
        <v>0</v>
      </c>
    </row>
    <row r="49">
      <c r="A49" t="inlineStr">
        <is>
          <t>MJ-202508</t>
        </is>
      </c>
      <c r="B49" s="11" t="n">
        <v>45900</v>
      </c>
      <c r="C49" t="n">
        <v>260</v>
      </c>
      <c r="D49" t="inlineStr"/>
      <c r="E49" s="9" t="n">
        <v>5382</v>
      </c>
      <c r="F49" s="9" t="n">
        <v>0</v>
      </c>
      <c r="G49" t="inlineStr">
        <is>
          <t>Reclass 2025-08 income from 260 to 4010 (Fencing)</t>
        </is>
      </c>
      <c r="H49" s="9">
        <f>ROUND(SUMIFS('Recode Journals'!$E$5:$E$366,'Recode Journals'!$A$5:$A$366,A49)-SUMIFS('Recode Journals'!$F$5:$F$366,'Recode Journals'!$A$5:$A$366,A49),2)</f>
        <v>0</v>
      </c>
    </row>
    <row r="50">
      <c r="A50" t="inlineStr">
        <is>
          <t>MJ-202508</t>
        </is>
      </c>
      <c r="B50" s="11" t="n">
        <v>45900</v>
      </c>
      <c r="C50" t="n">
        <v>4010</v>
      </c>
      <c r="D50" t="inlineStr">
        <is>
          <t>Fencing</t>
        </is>
      </c>
      <c r="E50" s="9" t="n">
        <v>0</v>
      </c>
      <c r="F50" s="9" t="n">
        <v>5382</v>
      </c>
      <c r="G50" t="inlineStr">
        <is>
          <t>Reclass 2025-08 income from 260 to 4010 (Fencing)</t>
        </is>
      </c>
      <c r="H50" s="9">
        <f>ROUND(SUMIFS('Recode Journals'!$E$5:$E$366,'Recode Journals'!$A$5:$A$366,A50)-SUMIFS('Recode Journals'!$F$5:$F$366,'Recode Journals'!$A$5:$A$366,A50),2)</f>
        <v>0</v>
      </c>
    </row>
    <row r="51">
      <c r="A51" t="inlineStr">
        <is>
          <t>MJ-202508</t>
        </is>
      </c>
      <c r="B51" s="11" t="n">
        <v>45900</v>
      </c>
      <c r="C51" t="n">
        <v>260</v>
      </c>
      <c r="D51" t="inlineStr"/>
      <c r="E51" s="9" t="n">
        <v>1520</v>
      </c>
      <c r="F51" s="9" t="n">
        <v>0</v>
      </c>
      <c r="G51" t="inlineStr">
        <is>
          <t>Reclass 2025-08 income from 260 to 4010 (Scaffolding)</t>
        </is>
      </c>
      <c r="H51" s="9">
        <f>ROUND(SUMIFS('Recode Journals'!$E$5:$E$366,'Recode Journals'!$A$5:$A$366,A51)-SUMIFS('Recode Journals'!$F$5:$F$366,'Recode Journals'!$A$5:$A$366,A51),2)</f>
        <v>0</v>
      </c>
    </row>
    <row r="52">
      <c r="A52" t="inlineStr">
        <is>
          <t>MJ-202508</t>
        </is>
      </c>
      <c r="B52" s="11" t="n">
        <v>45900</v>
      </c>
      <c r="C52" t="n">
        <v>4010</v>
      </c>
      <c r="D52" t="inlineStr">
        <is>
          <t>Scaffolding</t>
        </is>
      </c>
      <c r="E52" s="9" t="n">
        <v>0</v>
      </c>
      <c r="F52" s="9" t="n">
        <v>1520</v>
      </c>
      <c r="G52" t="inlineStr">
        <is>
          <t>Reclass 2025-08 income from 260 to 4010 (Scaffolding)</t>
        </is>
      </c>
      <c r="H52" s="9">
        <f>ROUND(SUMIFS('Recode Journals'!$E$5:$E$366,'Recode Journals'!$A$5:$A$366,A52)-SUMIFS('Recode Journals'!$F$5:$F$366,'Recode Journals'!$A$5:$A$366,A52),2)</f>
        <v>0</v>
      </c>
    </row>
    <row r="53">
      <c r="A53" t="inlineStr">
        <is>
          <t>MJ-202508</t>
        </is>
      </c>
      <c r="B53" s="11" t="n">
        <v>45900</v>
      </c>
      <c r="C53" t="n">
        <v>260</v>
      </c>
      <c r="D53" t="inlineStr"/>
      <c r="E53" s="9" t="n">
        <v>253</v>
      </c>
      <c r="F53" s="9" t="n">
        <v>0</v>
      </c>
      <c r="G53" t="inlineStr">
        <is>
          <t>Reclass 2025-08 income from 260 to 4020 (Fencing)</t>
        </is>
      </c>
      <c r="H53" s="9">
        <f>ROUND(SUMIFS('Recode Journals'!$E$5:$E$366,'Recode Journals'!$A$5:$A$366,A53)-SUMIFS('Recode Journals'!$F$5:$F$366,'Recode Journals'!$A$5:$A$366,A53),2)</f>
        <v>0</v>
      </c>
    </row>
    <row r="54">
      <c r="A54" t="inlineStr">
        <is>
          <t>MJ-202508</t>
        </is>
      </c>
      <c r="B54" s="11" t="n">
        <v>45900</v>
      </c>
      <c r="C54" t="n">
        <v>4020</v>
      </c>
      <c r="D54" t="inlineStr">
        <is>
          <t>Fencing</t>
        </is>
      </c>
      <c r="E54" s="9" t="n">
        <v>0</v>
      </c>
      <c r="F54" s="9" t="n">
        <v>253</v>
      </c>
      <c r="G54" t="inlineStr">
        <is>
          <t>Reclass 2025-08 income from 260 to 4020 (Fencing)</t>
        </is>
      </c>
      <c r="H54" s="9">
        <f>ROUND(SUMIFS('Recode Journals'!$E$5:$E$366,'Recode Journals'!$A$5:$A$366,A54)-SUMIFS('Recode Journals'!$F$5:$F$366,'Recode Journals'!$A$5:$A$366,A54),2)</f>
        <v>0</v>
      </c>
    </row>
    <row r="55">
      <c r="A55" t="inlineStr">
        <is>
          <t>MJ-202508</t>
        </is>
      </c>
      <c r="B55" s="11" t="n">
        <v>45900</v>
      </c>
      <c r="C55" t="n">
        <v>260</v>
      </c>
      <c r="D55" t="inlineStr"/>
      <c r="E55" s="9" t="n">
        <v>770</v>
      </c>
      <c r="F55" s="9" t="n">
        <v>0</v>
      </c>
      <c r="G55" t="inlineStr">
        <is>
          <t>Reclass 2025-08 income from 260 to 4020 (Make-safe)</t>
        </is>
      </c>
      <c r="H55" s="9">
        <f>ROUND(SUMIFS('Recode Journals'!$E$5:$E$366,'Recode Journals'!$A$5:$A$366,A55)-SUMIFS('Recode Journals'!$F$5:$F$366,'Recode Journals'!$A$5:$A$366,A55),2)</f>
        <v>0</v>
      </c>
    </row>
    <row r="56">
      <c r="A56" t="inlineStr">
        <is>
          <t>MJ-202508</t>
        </is>
      </c>
      <c r="B56" s="11" t="n">
        <v>45900</v>
      </c>
      <c r="C56" t="n">
        <v>4020</v>
      </c>
      <c r="D56" t="inlineStr">
        <is>
          <t>Make-safe</t>
        </is>
      </c>
      <c r="E56" s="9" t="n">
        <v>0</v>
      </c>
      <c r="F56" s="9" t="n">
        <v>770</v>
      </c>
      <c r="G56" t="inlineStr">
        <is>
          <t>Reclass 2025-08 income from 260 to 4020 (Make-safe)</t>
        </is>
      </c>
      <c r="H56" s="9">
        <f>ROUND(SUMIFS('Recode Journals'!$E$5:$E$366,'Recode Journals'!$A$5:$A$366,A56)-SUMIFS('Recode Journals'!$F$5:$F$366,'Recode Journals'!$A$5:$A$366,A56),2)</f>
        <v>0</v>
      </c>
    </row>
    <row r="57">
      <c r="A57" t="inlineStr">
        <is>
          <t>MJ-202508</t>
        </is>
      </c>
      <c r="B57" s="11" t="n">
        <v>45900</v>
      </c>
      <c r="C57" t="n">
        <v>260</v>
      </c>
      <c r="D57" t="inlineStr"/>
      <c r="E57" s="9" t="n">
        <v>1764</v>
      </c>
      <c r="F57" s="9" t="n">
        <v>0</v>
      </c>
      <c r="G57" t="inlineStr">
        <is>
          <t>Reclass 2025-08 income from 260 to 4020 (Roofing)</t>
        </is>
      </c>
      <c r="H57" s="9">
        <f>ROUND(SUMIFS('Recode Journals'!$E$5:$E$366,'Recode Journals'!$A$5:$A$366,A57)-SUMIFS('Recode Journals'!$F$5:$F$366,'Recode Journals'!$A$5:$A$366,A57),2)</f>
        <v>0</v>
      </c>
    </row>
    <row r="58">
      <c r="A58" t="inlineStr">
        <is>
          <t>MJ-202508</t>
        </is>
      </c>
      <c r="B58" s="11" t="n">
        <v>45900</v>
      </c>
      <c r="C58" t="n">
        <v>4020</v>
      </c>
      <c r="D58" t="inlineStr">
        <is>
          <t>Roofing</t>
        </is>
      </c>
      <c r="E58" s="9" t="n">
        <v>0</v>
      </c>
      <c r="F58" s="9" t="n">
        <v>1764</v>
      </c>
      <c r="G58" t="inlineStr">
        <is>
          <t>Reclass 2025-08 income from 260 to 4020 (Roofing)</t>
        </is>
      </c>
      <c r="H58" s="9">
        <f>ROUND(SUMIFS('Recode Journals'!$E$5:$E$366,'Recode Journals'!$A$5:$A$366,A58)-SUMIFS('Recode Journals'!$F$5:$F$366,'Recode Journals'!$A$5:$A$366,A58),2)</f>
        <v>0</v>
      </c>
    </row>
    <row r="59">
      <c r="A59" t="inlineStr">
        <is>
          <t>MJ-202508</t>
        </is>
      </c>
      <c r="B59" s="11" t="n">
        <v>45900</v>
      </c>
      <c r="C59" t="n">
        <v>260</v>
      </c>
      <c r="D59" t="inlineStr"/>
      <c r="E59" s="9" t="n">
        <v>1092.51</v>
      </c>
      <c r="F59" s="9" t="n">
        <v>0</v>
      </c>
      <c r="G59" t="inlineStr">
        <is>
          <t>Reclass 2025-08 income from 260 to 4030 (Roofing)</t>
        </is>
      </c>
      <c r="H59" s="9">
        <f>ROUND(SUMIFS('Recode Journals'!$E$5:$E$366,'Recode Journals'!$A$5:$A$366,A59)-SUMIFS('Recode Journals'!$F$5:$F$366,'Recode Journals'!$A$5:$A$366,A59),2)</f>
        <v>0</v>
      </c>
    </row>
    <row r="60">
      <c r="A60" t="inlineStr">
        <is>
          <t>MJ-202508</t>
        </is>
      </c>
      <c r="B60" s="11" t="n">
        <v>45900</v>
      </c>
      <c r="C60" t="n">
        <v>4030</v>
      </c>
      <c r="D60" t="inlineStr">
        <is>
          <t>Roofing</t>
        </is>
      </c>
      <c r="E60" s="9" t="n">
        <v>0</v>
      </c>
      <c r="F60" s="9" t="n">
        <v>1092.51</v>
      </c>
      <c r="G60" t="inlineStr">
        <is>
          <t>Reclass 2025-08 income from 260 to 4030 (Roofing)</t>
        </is>
      </c>
      <c r="H60" s="9">
        <f>ROUND(SUMIFS('Recode Journals'!$E$5:$E$366,'Recode Journals'!$A$5:$A$366,A60)-SUMIFS('Recode Journals'!$F$5:$F$366,'Recode Journals'!$A$5:$A$366,A60),2)</f>
        <v>0</v>
      </c>
    </row>
    <row r="61">
      <c r="A61" t="inlineStr">
        <is>
          <t>MJ-202509</t>
        </is>
      </c>
      <c r="B61" s="11" t="n">
        <v>45930</v>
      </c>
      <c r="C61" t="n">
        <v>200</v>
      </c>
      <c r="D61" t="inlineStr"/>
      <c r="E61" s="9" t="n">
        <v>45485.3</v>
      </c>
      <c r="F61" s="9" t="n">
        <v>0</v>
      </c>
      <c r="G61" t="inlineStr">
        <is>
          <t>Reclass 2025-09 income from 200 to 4010 (Fencing)</t>
        </is>
      </c>
      <c r="H61" s="9">
        <f>ROUND(SUMIFS('Recode Journals'!$E$5:$E$366,'Recode Journals'!$A$5:$A$366,A61)-SUMIFS('Recode Journals'!$F$5:$F$366,'Recode Journals'!$A$5:$A$366,A61),2)</f>
        <v>0</v>
      </c>
    </row>
    <row r="62">
      <c r="A62" t="inlineStr">
        <is>
          <t>MJ-202509</t>
        </is>
      </c>
      <c r="B62" s="11" t="n">
        <v>45930</v>
      </c>
      <c r="C62" t="n">
        <v>4010</v>
      </c>
      <c r="D62" t="inlineStr">
        <is>
          <t>Fencing</t>
        </is>
      </c>
      <c r="E62" s="9" t="n">
        <v>0</v>
      </c>
      <c r="F62" s="9" t="n">
        <v>45485.3</v>
      </c>
      <c r="G62" t="inlineStr">
        <is>
          <t>Reclass 2025-09 income from 200 to 4010 (Fencing)</t>
        </is>
      </c>
      <c r="H62" s="9">
        <f>ROUND(SUMIFS('Recode Journals'!$E$5:$E$366,'Recode Journals'!$A$5:$A$366,A62)-SUMIFS('Recode Journals'!$F$5:$F$366,'Recode Journals'!$A$5:$A$366,A62),2)</f>
        <v>0</v>
      </c>
    </row>
    <row r="63">
      <c r="A63" t="inlineStr">
        <is>
          <t>MJ-202509</t>
        </is>
      </c>
      <c r="B63" s="11" t="n">
        <v>45930</v>
      </c>
      <c r="C63" t="n">
        <v>200</v>
      </c>
      <c r="D63" t="inlineStr"/>
      <c r="E63" s="9" t="n">
        <v>3920</v>
      </c>
      <c r="F63" s="9" t="n">
        <v>0</v>
      </c>
      <c r="G63" t="inlineStr">
        <is>
          <t>Reclass 2025-09 income from 200 to 4010 (Make-safe)</t>
        </is>
      </c>
      <c r="H63" s="9">
        <f>ROUND(SUMIFS('Recode Journals'!$E$5:$E$366,'Recode Journals'!$A$5:$A$366,A63)-SUMIFS('Recode Journals'!$F$5:$F$366,'Recode Journals'!$A$5:$A$366,A63),2)</f>
        <v>0</v>
      </c>
    </row>
    <row r="64">
      <c r="A64" t="inlineStr">
        <is>
          <t>MJ-202509</t>
        </is>
      </c>
      <c r="B64" s="11" t="n">
        <v>45930</v>
      </c>
      <c r="C64" t="n">
        <v>4010</v>
      </c>
      <c r="D64" t="inlineStr">
        <is>
          <t>Make-safe</t>
        </is>
      </c>
      <c r="E64" s="9" t="n">
        <v>0</v>
      </c>
      <c r="F64" s="9" t="n">
        <v>3920</v>
      </c>
      <c r="G64" t="inlineStr">
        <is>
          <t>Reclass 2025-09 income from 200 to 4010 (Make-safe)</t>
        </is>
      </c>
      <c r="H64" s="9">
        <f>ROUND(SUMIFS('Recode Journals'!$E$5:$E$366,'Recode Journals'!$A$5:$A$366,A64)-SUMIFS('Recode Journals'!$F$5:$F$366,'Recode Journals'!$A$5:$A$366,A64),2)</f>
        <v>0</v>
      </c>
    </row>
    <row r="65">
      <c r="A65" t="inlineStr">
        <is>
          <t>MJ-202509</t>
        </is>
      </c>
      <c r="B65" s="11" t="n">
        <v>45930</v>
      </c>
      <c r="C65" t="n">
        <v>200</v>
      </c>
      <c r="D65" t="inlineStr"/>
      <c r="E65" s="9" t="n">
        <v>12825</v>
      </c>
      <c r="F65" s="9" t="n">
        <v>0</v>
      </c>
      <c r="G65" t="inlineStr">
        <is>
          <t>Reclass 2025-09 income from 200 to 4010 (Scaffolding)</t>
        </is>
      </c>
      <c r="H65" s="9">
        <f>ROUND(SUMIFS('Recode Journals'!$E$5:$E$366,'Recode Journals'!$A$5:$A$366,A65)-SUMIFS('Recode Journals'!$F$5:$F$366,'Recode Journals'!$A$5:$A$366,A65),2)</f>
        <v>0</v>
      </c>
    </row>
    <row r="66">
      <c r="A66" t="inlineStr">
        <is>
          <t>MJ-202509</t>
        </is>
      </c>
      <c r="B66" s="11" t="n">
        <v>45930</v>
      </c>
      <c r="C66" t="n">
        <v>4010</v>
      </c>
      <c r="D66" t="inlineStr">
        <is>
          <t>Scaffolding</t>
        </is>
      </c>
      <c r="E66" s="9" t="n">
        <v>0</v>
      </c>
      <c r="F66" s="9" t="n">
        <v>12825</v>
      </c>
      <c r="G66" t="inlineStr">
        <is>
          <t>Reclass 2025-09 income from 200 to 4010 (Scaffolding)</t>
        </is>
      </c>
      <c r="H66" s="9">
        <f>ROUND(SUMIFS('Recode Journals'!$E$5:$E$366,'Recode Journals'!$A$5:$A$366,A66)-SUMIFS('Recode Journals'!$F$5:$F$366,'Recode Journals'!$A$5:$A$366,A66),2)</f>
        <v>0</v>
      </c>
    </row>
    <row r="67">
      <c r="A67" t="inlineStr">
        <is>
          <t>MJ-202509</t>
        </is>
      </c>
      <c r="B67" s="11" t="n">
        <v>45930</v>
      </c>
      <c r="C67" t="n">
        <v>200</v>
      </c>
      <c r="D67" t="inlineStr"/>
      <c r="E67" s="9" t="n">
        <v>8188.4</v>
      </c>
      <c r="F67" s="9" t="n">
        <v>0</v>
      </c>
      <c r="G67" t="inlineStr">
        <is>
          <t>Reclass 2025-09 income from 200 to 4020 (Fencing)</t>
        </is>
      </c>
      <c r="H67" s="9">
        <f>ROUND(SUMIFS('Recode Journals'!$E$5:$E$366,'Recode Journals'!$A$5:$A$366,A67)-SUMIFS('Recode Journals'!$F$5:$F$366,'Recode Journals'!$A$5:$A$366,A67),2)</f>
        <v>0</v>
      </c>
    </row>
    <row r="68">
      <c r="A68" t="inlineStr">
        <is>
          <t>MJ-202509</t>
        </is>
      </c>
      <c r="B68" s="11" t="n">
        <v>45930</v>
      </c>
      <c r="C68" t="n">
        <v>4020</v>
      </c>
      <c r="D68" t="inlineStr">
        <is>
          <t>Fencing</t>
        </is>
      </c>
      <c r="E68" s="9" t="n">
        <v>0</v>
      </c>
      <c r="F68" s="9" t="n">
        <v>8188.4</v>
      </c>
      <c r="G68" t="inlineStr">
        <is>
          <t>Reclass 2025-09 income from 200 to 4020 (Fencing)</t>
        </is>
      </c>
      <c r="H68" s="9">
        <f>ROUND(SUMIFS('Recode Journals'!$E$5:$E$366,'Recode Journals'!$A$5:$A$366,A68)-SUMIFS('Recode Journals'!$F$5:$F$366,'Recode Journals'!$A$5:$A$366,A68),2)</f>
        <v>0</v>
      </c>
    </row>
    <row r="69">
      <c r="A69" t="inlineStr">
        <is>
          <t>MJ-202509</t>
        </is>
      </c>
      <c r="B69" s="11" t="n">
        <v>45930</v>
      </c>
      <c r="C69" t="n">
        <v>200</v>
      </c>
      <c r="D69" t="inlineStr"/>
      <c r="E69" s="9" t="n">
        <v>9415</v>
      </c>
      <c r="F69" s="9" t="n">
        <v>0</v>
      </c>
      <c r="G69" t="inlineStr">
        <is>
          <t>Reclass 2025-09 income from 200 to 4020 (Make-safe)</t>
        </is>
      </c>
      <c r="H69" s="9">
        <f>ROUND(SUMIFS('Recode Journals'!$E$5:$E$366,'Recode Journals'!$A$5:$A$366,A69)-SUMIFS('Recode Journals'!$F$5:$F$366,'Recode Journals'!$A$5:$A$366,A69),2)</f>
        <v>0</v>
      </c>
    </row>
    <row r="70">
      <c r="A70" t="inlineStr">
        <is>
          <t>MJ-202509</t>
        </is>
      </c>
      <c r="B70" s="11" t="n">
        <v>45930</v>
      </c>
      <c r="C70" t="n">
        <v>4020</v>
      </c>
      <c r="D70" t="inlineStr">
        <is>
          <t>Make-safe</t>
        </is>
      </c>
      <c r="E70" s="9" t="n">
        <v>0</v>
      </c>
      <c r="F70" s="9" t="n">
        <v>9415</v>
      </c>
      <c r="G70" t="inlineStr">
        <is>
          <t>Reclass 2025-09 income from 200 to 4020 (Make-safe)</t>
        </is>
      </c>
      <c r="H70" s="9">
        <f>ROUND(SUMIFS('Recode Journals'!$E$5:$E$366,'Recode Journals'!$A$5:$A$366,A70)-SUMIFS('Recode Journals'!$F$5:$F$366,'Recode Journals'!$A$5:$A$366,A70),2)</f>
        <v>0</v>
      </c>
    </row>
    <row r="71">
      <c r="A71" t="inlineStr">
        <is>
          <t>MJ-202509</t>
        </is>
      </c>
      <c r="B71" s="11" t="n">
        <v>45930</v>
      </c>
      <c r="C71" t="n">
        <v>200</v>
      </c>
      <c r="D71" t="inlineStr"/>
      <c r="E71" s="9" t="n">
        <v>12250</v>
      </c>
      <c r="F71" s="9" t="n">
        <v>0</v>
      </c>
      <c r="G71" t="inlineStr">
        <is>
          <t>Reclass 2025-09 income from 200 to 4020 (Roofing)</t>
        </is>
      </c>
      <c r="H71" s="9">
        <f>ROUND(SUMIFS('Recode Journals'!$E$5:$E$366,'Recode Journals'!$A$5:$A$366,A71)-SUMIFS('Recode Journals'!$F$5:$F$366,'Recode Journals'!$A$5:$A$366,A71),2)</f>
        <v>0</v>
      </c>
    </row>
    <row r="72">
      <c r="A72" t="inlineStr">
        <is>
          <t>MJ-202509</t>
        </is>
      </c>
      <c r="B72" s="11" t="n">
        <v>45930</v>
      </c>
      <c r="C72" t="n">
        <v>4020</v>
      </c>
      <c r="D72" t="inlineStr">
        <is>
          <t>Roofing</t>
        </is>
      </c>
      <c r="E72" s="9" t="n">
        <v>0</v>
      </c>
      <c r="F72" s="9" t="n">
        <v>12250</v>
      </c>
      <c r="G72" t="inlineStr">
        <is>
          <t>Reclass 2025-09 income from 200 to 4020 (Roofing)</t>
        </is>
      </c>
      <c r="H72" s="9">
        <f>ROUND(SUMIFS('Recode Journals'!$E$5:$E$366,'Recode Journals'!$A$5:$A$366,A72)-SUMIFS('Recode Journals'!$F$5:$F$366,'Recode Journals'!$A$5:$A$366,A72),2)</f>
        <v>0</v>
      </c>
    </row>
    <row r="73">
      <c r="A73" t="inlineStr">
        <is>
          <t>MJ-202509</t>
        </is>
      </c>
      <c r="B73" s="11" t="n">
        <v>45930</v>
      </c>
      <c r="C73" t="n">
        <v>200</v>
      </c>
      <c r="D73" t="inlineStr"/>
      <c r="E73" s="9" t="n">
        <v>5720</v>
      </c>
      <c r="F73" s="9" t="n">
        <v>0</v>
      </c>
      <c r="G73" t="inlineStr">
        <is>
          <t>Reclass 2025-09 income from 200 to 4020 (Scaffolding)</t>
        </is>
      </c>
      <c r="H73" s="9">
        <f>ROUND(SUMIFS('Recode Journals'!$E$5:$E$366,'Recode Journals'!$A$5:$A$366,A73)-SUMIFS('Recode Journals'!$F$5:$F$366,'Recode Journals'!$A$5:$A$366,A73),2)</f>
        <v>0</v>
      </c>
    </row>
    <row r="74">
      <c r="A74" t="inlineStr">
        <is>
          <t>MJ-202509</t>
        </is>
      </c>
      <c r="B74" s="11" t="n">
        <v>45930</v>
      </c>
      <c r="C74" t="n">
        <v>4020</v>
      </c>
      <c r="D74" t="inlineStr">
        <is>
          <t>Scaffolding</t>
        </is>
      </c>
      <c r="E74" s="9" t="n">
        <v>0</v>
      </c>
      <c r="F74" s="9" t="n">
        <v>5720</v>
      </c>
      <c r="G74" t="inlineStr">
        <is>
          <t>Reclass 2025-09 income from 200 to 4020 (Scaffolding)</t>
        </is>
      </c>
      <c r="H74" s="9">
        <f>ROUND(SUMIFS('Recode Journals'!$E$5:$E$366,'Recode Journals'!$A$5:$A$366,A74)-SUMIFS('Recode Journals'!$F$5:$F$366,'Recode Journals'!$A$5:$A$366,A74),2)</f>
        <v>0</v>
      </c>
    </row>
    <row r="75">
      <c r="A75" t="inlineStr">
        <is>
          <t>MJ-202509</t>
        </is>
      </c>
      <c r="B75" s="11" t="n">
        <v>45930</v>
      </c>
      <c r="C75" t="n">
        <v>200</v>
      </c>
      <c r="D75" t="inlineStr"/>
      <c r="E75" s="9" t="n">
        <v>20366.59</v>
      </c>
      <c r="F75" s="9" t="n">
        <v>0</v>
      </c>
      <c r="G75" t="inlineStr">
        <is>
          <t>Reclass 2025-09 income from 200 to 4030 (Roofing)</t>
        </is>
      </c>
      <c r="H75" s="9">
        <f>ROUND(SUMIFS('Recode Journals'!$E$5:$E$366,'Recode Journals'!$A$5:$A$366,A75)-SUMIFS('Recode Journals'!$F$5:$F$366,'Recode Journals'!$A$5:$A$366,A75),2)</f>
        <v>0</v>
      </c>
    </row>
    <row r="76">
      <c r="A76" t="inlineStr">
        <is>
          <t>MJ-202509</t>
        </is>
      </c>
      <c r="B76" s="11" t="n">
        <v>45930</v>
      </c>
      <c r="C76" t="n">
        <v>4030</v>
      </c>
      <c r="D76" t="inlineStr">
        <is>
          <t>Roofing</t>
        </is>
      </c>
      <c r="E76" s="9" t="n">
        <v>0</v>
      </c>
      <c r="F76" s="9" t="n">
        <v>20366.59</v>
      </c>
      <c r="G76" t="inlineStr">
        <is>
          <t>Reclass 2025-09 income from 200 to 4030 (Roofing)</t>
        </is>
      </c>
      <c r="H76" s="9">
        <f>ROUND(SUMIFS('Recode Journals'!$E$5:$E$366,'Recode Journals'!$A$5:$A$366,A76)-SUMIFS('Recode Journals'!$F$5:$F$366,'Recode Journals'!$A$5:$A$366,A76),2)</f>
        <v>0</v>
      </c>
    </row>
    <row r="77">
      <c r="A77" t="inlineStr">
        <is>
          <t>MJ-202509</t>
        </is>
      </c>
      <c r="B77" s="11" t="n">
        <v>45930</v>
      </c>
      <c r="C77" t="n">
        <v>200</v>
      </c>
      <c r="D77" t="inlineStr"/>
      <c r="E77" s="9" t="n">
        <v>580</v>
      </c>
      <c r="F77" s="9" t="n">
        <v>0</v>
      </c>
      <c r="G77" t="inlineStr">
        <is>
          <t>Reclass 2025-09 income from 200 to 4040 (Fencing)</t>
        </is>
      </c>
      <c r="H77" s="9">
        <f>ROUND(SUMIFS('Recode Journals'!$E$5:$E$366,'Recode Journals'!$A$5:$A$366,A77)-SUMIFS('Recode Journals'!$F$5:$F$366,'Recode Journals'!$A$5:$A$366,A77),2)</f>
        <v>0</v>
      </c>
    </row>
    <row r="78">
      <c r="A78" t="inlineStr">
        <is>
          <t>MJ-202509</t>
        </is>
      </c>
      <c r="B78" s="11" t="n">
        <v>45930</v>
      </c>
      <c r="C78" t="n">
        <v>4040</v>
      </c>
      <c r="D78" t="inlineStr">
        <is>
          <t>Fencing</t>
        </is>
      </c>
      <c r="E78" s="9" t="n">
        <v>0</v>
      </c>
      <c r="F78" s="9" t="n">
        <v>580</v>
      </c>
      <c r="G78" t="inlineStr">
        <is>
          <t>Reclass 2025-09 income from 200 to 4040 (Fencing)</t>
        </is>
      </c>
      <c r="H78" s="9">
        <f>ROUND(SUMIFS('Recode Journals'!$E$5:$E$366,'Recode Journals'!$A$5:$A$366,A78)-SUMIFS('Recode Journals'!$F$5:$F$366,'Recode Journals'!$A$5:$A$366,A78),2)</f>
        <v>0</v>
      </c>
    </row>
    <row r="79">
      <c r="A79" t="inlineStr">
        <is>
          <t>MJ-202509</t>
        </is>
      </c>
      <c r="B79" s="11" t="n">
        <v>45930</v>
      </c>
      <c r="C79" t="n">
        <v>200</v>
      </c>
      <c r="D79" t="inlineStr"/>
      <c r="E79" s="9" t="n">
        <v>2400</v>
      </c>
      <c r="F79" s="9" t="n">
        <v>0</v>
      </c>
      <c r="G79" t="inlineStr">
        <is>
          <t>Reclass 2025-09 income from 200 to 835 (Fencing)</t>
        </is>
      </c>
      <c r="H79" s="9">
        <f>ROUND(SUMIFS('Recode Journals'!$E$5:$E$366,'Recode Journals'!$A$5:$A$366,A79)-SUMIFS('Recode Journals'!$F$5:$F$366,'Recode Journals'!$A$5:$A$366,A79),2)</f>
        <v>0</v>
      </c>
    </row>
    <row r="80">
      <c r="A80" t="inlineStr">
        <is>
          <t>MJ-202509</t>
        </is>
      </c>
      <c r="B80" s="11" t="n">
        <v>45930</v>
      </c>
      <c r="C80" t="n">
        <v>835</v>
      </c>
      <c r="D80" t="inlineStr"/>
      <c r="E80" s="9" t="n">
        <v>0</v>
      </c>
      <c r="F80" s="9" t="n">
        <v>2400</v>
      </c>
      <c r="G80" t="inlineStr">
        <is>
          <t>Reclass 2025-09 income from 200 to 835 (Fencing)</t>
        </is>
      </c>
      <c r="H80" s="9">
        <f>ROUND(SUMIFS('Recode Journals'!$E$5:$E$366,'Recode Journals'!$A$5:$A$366,A80)-SUMIFS('Recode Journals'!$F$5:$F$366,'Recode Journals'!$A$5:$A$366,A80),2)</f>
        <v>0</v>
      </c>
    </row>
    <row r="81">
      <c r="A81" t="inlineStr">
        <is>
          <t>MJ-202509</t>
        </is>
      </c>
      <c r="B81" s="11" t="n">
        <v>45930</v>
      </c>
      <c r="C81" t="n">
        <v>260</v>
      </c>
      <c r="D81" t="inlineStr"/>
      <c r="E81" s="9" t="n">
        <v>3444.4</v>
      </c>
      <c r="F81" s="9" t="n">
        <v>0</v>
      </c>
      <c r="G81" t="inlineStr">
        <is>
          <t>Reclass 2025-09 income from 260 to 4010 (Fencing)</t>
        </is>
      </c>
      <c r="H81" s="9">
        <f>ROUND(SUMIFS('Recode Journals'!$E$5:$E$366,'Recode Journals'!$A$5:$A$366,A81)-SUMIFS('Recode Journals'!$F$5:$F$366,'Recode Journals'!$A$5:$A$366,A81),2)</f>
        <v>0</v>
      </c>
    </row>
    <row r="82">
      <c r="A82" t="inlineStr">
        <is>
          <t>MJ-202509</t>
        </is>
      </c>
      <c r="B82" s="11" t="n">
        <v>45930</v>
      </c>
      <c r="C82" t="n">
        <v>4010</v>
      </c>
      <c r="D82" t="inlineStr">
        <is>
          <t>Fencing</t>
        </is>
      </c>
      <c r="E82" s="9" t="n">
        <v>0</v>
      </c>
      <c r="F82" s="9" t="n">
        <v>3444.4</v>
      </c>
      <c r="G82" t="inlineStr">
        <is>
          <t>Reclass 2025-09 income from 260 to 4010 (Fencing)</t>
        </is>
      </c>
      <c r="H82" s="9">
        <f>ROUND(SUMIFS('Recode Journals'!$E$5:$E$366,'Recode Journals'!$A$5:$A$366,A82)-SUMIFS('Recode Journals'!$F$5:$F$366,'Recode Journals'!$A$5:$A$366,A82),2)</f>
        <v>0</v>
      </c>
    </row>
    <row r="83">
      <c r="A83" t="inlineStr">
        <is>
          <t>MJ-202509</t>
        </is>
      </c>
      <c r="B83" s="11" t="n">
        <v>45930</v>
      </c>
      <c r="C83" t="n">
        <v>260</v>
      </c>
      <c r="D83" t="inlineStr"/>
      <c r="E83" s="9" t="n">
        <v>190</v>
      </c>
      <c r="F83" s="9" t="n">
        <v>0</v>
      </c>
      <c r="G83" t="inlineStr">
        <is>
          <t>Reclass 2025-09 income from 260 to 4010 (Scaffolding)</t>
        </is>
      </c>
      <c r="H83" s="9">
        <f>ROUND(SUMIFS('Recode Journals'!$E$5:$E$366,'Recode Journals'!$A$5:$A$366,A83)-SUMIFS('Recode Journals'!$F$5:$F$366,'Recode Journals'!$A$5:$A$366,A83),2)</f>
        <v>0</v>
      </c>
    </row>
    <row r="84">
      <c r="A84" t="inlineStr">
        <is>
          <t>MJ-202509</t>
        </is>
      </c>
      <c r="B84" s="11" t="n">
        <v>45930</v>
      </c>
      <c r="C84" t="n">
        <v>4010</v>
      </c>
      <c r="D84" t="inlineStr">
        <is>
          <t>Scaffolding</t>
        </is>
      </c>
      <c r="E84" s="9" t="n">
        <v>0</v>
      </c>
      <c r="F84" s="9" t="n">
        <v>190</v>
      </c>
      <c r="G84" t="inlineStr">
        <is>
          <t>Reclass 2025-09 income from 260 to 4010 (Scaffolding)</t>
        </is>
      </c>
      <c r="H84" s="9">
        <f>ROUND(SUMIFS('Recode Journals'!$E$5:$E$366,'Recode Journals'!$A$5:$A$366,A84)-SUMIFS('Recode Journals'!$F$5:$F$366,'Recode Journals'!$A$5:$A$366,A84),2)</f>
        <v>0</v>
      </c>
    </row>
    <row r="85">
      <c r="A85" t="inlineStr">
        <is>
          <t>MJ-202509</t>
        </is>
      </c>
      <c r="B85" s="11" t="n">
        <v>45930</v>
      </c>
      <c r="C85" t="n">
        <v>260</v>
      </c>
      <c r="D85" t="inlineStr"/>
      <c r="E85" s="9" t="n">
        <v>871.2</v>
      </c>
      <c r="F85" s="9" t="n">
        <v>0</v>
      </c>
      <c r="G85" t="inlineStr">
        <is>
          <t>Reclass 2025-09 income from 260 to 4020 (Fencing)</t>
        </is>
      </c>
      <c r="H85" s="9">
        <f>ROUND(SUMIFS('Recode Journals'!$E$5:$E$366,'Recode Journals'!$A$5:$A$366,A85)-SUMIFS('Recode Journals'!$F$5:$F$366,'Recode Journals'!$A$5:$A$366,A85),2)</f>
        <v>0</v>
      </c>
    </row>
    <row r="86">
      <c r="A86" t="inlineStr">
        <is>
          <t>MJ-202509</t>
        </is>
      </c>
      <c r="B86" s="11" t="n">
        <v>45930</v>
      </c>
      <c r="C86" t="n">
        <v>4020</v>
      </c>
      <c r="D86" t="inlineStr">
        <is>
          <t>Fencing</t>
        </is>
      </c>
      <c r="E86" s="9" t="n">
        <v>0</v>
      </c>
      <c r="F86" s="9" t="n">
        <v>871.2</v>
      </c>
      <c r="G86" t="inlineStr">
        <is>
          <t>Reclass 2025-09 income from 260 to 4020 (Fencing)</t>
        </is>
      </c>
      <c r="H86" s="9">
        <f>ROUND(SUMIFS('Recode Journals'!$E$5:$E$366,'Recode Journals'!$A$5:$A$366,A86)-SUMIFS('Recode Journals'!$F$5:$F$366,'Recode Journals'!$A$5:$A$366,A86),2)</f>
        <v>0</v>
      </c>
    </row>
    <row r="87">
      <c r="A87" t="inlineStr">
        <is>
          <t>MJ-202509</t>
        </is>
      </c>
      <c r="B87" s="11" t="n">
        <v>45930</v>
      </c>
      <c r="C87" t="n">
        <v>260</v>
      </c>
      <c r="D87" t="inlineStr"/>
      <c r="E87" s="9" t="n">
        <v>1345</v>
      </c>
      <c r="F87" s="9" t="n">
        <v>0</v>
      </c>
      <c r="G87" t="inlineStr">
        <is>
          <t>Reclass 2025-09 income from 260 to 4020 (Make-safe)</t>
        </is>
      </c>
      <c r="H87" s="9">
        <f>ROUND(SUMIFS('Recode Journals'!$E$5:$E$366,'Recode Journals'!$A$5:$A$366,A87)-SUMIFS('Recode Journals'!$F$5:$F$366,'Recode Journals'!$A$5:$A$366,A87),2)</f>
        <v>0</v>
      </c>
    </row>
    <row r="88">
      <c r="A88" t="inlineStr">
        <is>
          <t>MJ-202509</t>
        </is>
      </c>
      <c r="B88" s="11" t="n">
        <v>45930</v>
      </c>
      <c r="C88" t="n">
        <v>4020</v>
      </c>
      <c r="D88" t="inlineStr">
        <is>
          <t>Make-safe</t>
        </is>
      </c>
      <c r="E88" s="9" t="n">
        <v>0</v>
      </c>
      <c r="F88" s="9" t="n">
        <v>1345</v>
      </c>
      <c r="G88" t="inlineStr">
        <is>
          <t>Reclass 2025-09 income from 260 to 4020 (Make-safe)</t>
        </is>
      </c>
      <c r="H88" s="9">
        <f>ROUND(SUMIFS('Recode Journals'!$E$5:$E$366,'Recode Journals'!$A$5:$A$366,A88)-SUMIFS('Recode Journals'!$F$5:$F$366,'Recode Journals'!$A$5:$A$366,A88),2)</f>
        <v>0</v>
      </c>
    </row>
    <row r="89">
      <c r="A89" t="inlineStr">
        <is>
          <t>MJ-202509</t>
        </is>
      </c>
      <c r="B89" s="11" t="n">
        <v>45930</v>
      </c>
      <c r="C89" t="n">
        <v>260</v>
      </c>
      <c r="D89" t="inlineStr"/>
      <c r="E89" s="9" t="n">
        <v>1568</v>
      </c>
      <c r="F89" s="9" t="n">
        <v>0</v>
      </c>
      <c r="G89" t="inlineStr">
        <is>
          <t>Reclass 2025-09 income from 260 to 4020 (Roofing)</t>
        </is>
      </c>
      <c r="H89" s="9">
        <f>ROUND(SUMIFS('Recode Journals'!$E$5:$E$366,'Recode Journals'!$A$5:$A$366,A89)-SUMIFS('Recode Journals'!$F$5:$F$366,'Recode Journals'!$A$5:$A$366,A89),2)</f>
        <v>0</v>
      </c>
    </row>
    <row r="90">
      <c r="A90" t="inlineStr">
        <is>
          <t>MJ-202509</t>
        </is>
      </c>
      <c r="B90" s="11" t="n">
        <v>45930</v>
      </c>
      <c r="C90" t="n">
        <v>4020</v>
      </c>
      <c r="D90" t="inlineStr">
        <is>
          <t>Roofing</t>
        </is>
      </c>
      <c r="E90" s="9" t="n">
        <v>0</v>
      </c>
      <c r="F90" s="9" t="n">
        <v>1568</v>
      </c>
      <c r="G90" t="inlineStr">
        <is>
          <t>Reclass 2025-09 income from 260 to 4020 (Roofing)</t>
        </is>
      </c>
      <c r="H90" s="9">
        <f>ROUND(SUMIFS('Recode Journals'!$E$5:$E$366,'Recode Journals'!$A$5:$A$366,A90)-SUMIFS('Recode Journals'!$F$5:$F$366,'Recode Journals'!$A$5:$A$366,A90),2)</f>
        <v>0</v>
      </c>
    </row>
    <row r="91">
      <c r="A91" t="inlineStr">
        <is>
          <t>MJ-202509</t>
        </is>
      </c>
      <c r="B91" s="11" t="n">
        <v>45930</v>
      </c>
      <c r="C91" t="n">
        <v>260</v>
      </c>
      <c r="D91" t="inlineStr"/>
      <c r="E91" s="9" t="n">
        <v>1280</v>
      </c>
      <c r="F91" s="9" t="n">
        <v>0</v>
      </c>
      <c r="G91" t="inlineStr">
        <is>
          <t>Reclass 2025-09 income from 260 to 4020 (Scaffolding)</t>
        </is>
      </c>
      <c r="H91" s="9">
        <f>ROUND(SUMIFS('Recode Journals'!$E$5:$E$366,'Recode Journals'!$A$5:$A$366,A91)-SUMIFS('Recode Journals'!$F$5:$F$366,'Recode Journals'!$A$5:$A$366,A91),2)</f>
        <v>0</v>
      </c>
    </row>
    <row r="92">
      <c r="A92" t="inlineStr">
        <is>
          <t>MJ-202509</t>
        </is>
      </c>
      <c r="B92" s="11" t="n">
        <v>45930</v>
      </c>
      <c r="C92" t="n">
        <v>4020</v>
      </c>
      <c r="D92" t="inlineStr">
        <is>
          <t>Scaffolding</t>
        </is>
      </c>
      <c r="E92" s="9" t="n">
        <v>0</v>
      </c>
      <c r="F92" s="9" t="n">
        <v>1280</v>
      </c>
      <c r="G92" t="inlineStr">
        <is>
          <t>Reclass 2025-09 income from 260 to 4020 (Scaffolding)</t>
        </is>
      </c>
      <c r="H92" s="9">
        <f>ROUND(SUMIFS('Recode Journals'!$E$5:$E$366,'Recode Journals'!$A$5:$A$366,A92)-SUMIFS('Recode Journals'!$F$5:$F$366,'Recode Journals'!$A$5:$A$366,A92),2)</f>
        <v>0</v>
      </c>
    </row>
    <row r="93">
      <c r="A93" t="inlineStr">
        <is>
          <t>MJ-202509</t>
        </is>
      </c>
      <c r="B93" s="11" t="n">
        <v>45930</v>
      </c>
      <c r="C93" t="n">
        <v>260</v>
      </c>
      <c r="D93" t="inlineStr"/>
      <c r="E93" s="9" t="n">
        <v>770</v>
      </c>
      <c r="F93" s="9" t="n">
        <v>0</v>
      </c>
      <c r="G93" t="inlineStr">
        <is>
          <t>Reclass 2025-09 income from 260 to 835 (Fencing)</t>
        </is>
      </c>
      <c r="H93" s="9">
        <f>ROUND(SUMIFS('Recode Journals'!$E$5:$E$366,'Recode Journals'!$A$5:$A$366,A93)-SUMIFS('Recode Journals'!$F$5:$F$366,'Recode Journals'!$A$5:$A$366,A93),2)</f>
        <v>0</v>
      </c>
    </row>
    <row r="94">
      <c r="A94" t="inlineStr">
        <is>
          <t>MJ-202509</t>
        </is>
      </c>
      <c r="B94" s="11" t="n">
        <v>45930</v>
      </c>
      <c r="C94" t="n">
        <v>835</v>
      </c>
      <c r="D94" t="inlineStr"/>
      <c r="E94" s="9" t="n">
        <v>0</v>
      </c>
      <c r="F94" s="9" t="n">
        <v>770</v>
      </c>
      <c r="G94" t="inlineStr">
        <is>
          <t>Reclass 2025-09 income from 260 to 835 (Fencing)</t>
        </is>
      </c>
      <c r="H94" s="9">
        <f>ROUND(SUMIFS('Recode Journals'!$E$5:$E$366,'Recode Journals'!$A$5:$A$366,A94)-SUMIFS('Recode Journals'!$F$5:$F$366,'Recode Journals'!$A$5:$A$366,A94),2)</f>
        <v>0</v>
      </c>
    </row>
    <row r="95">
      <c r="A95" t="inlineStr">
        <is>
          <t>MJ-202510</t>
        </is>
      </c>
      <c r="B95" s="11" t="n">
        <v>45961</v>
      </c>
      <c r="C95" t="n">
        <v>200</v>
      </c>
      <c r="D95" t="inlineStr"/>
      <c r="E95" s="9" t="n">
        <v>67732.39999999999</v>
      </c>
      <c r="F95" s="9" t="n">
        <v>0</v>
      </c>
      <c r="G95" t="inlineStr">
        <is>
          <t>Reclass 2025-10 income from 200 to 4010 (Fencing)</t>
        </is>
      </c>
      <c r="H95" s="9">
        <f>ROUND(SUMIFS('Recode Journals'!$E$5:$E$366,'Recode Journals'!$A$5:$A$366,A95)-SUMIFS('Recode Journals'!$F$5:$F$366,'Recode Journals'!$A$5:$A$366,A95),2)</f>
        <v>0</v>
      </c>
    </row>
    <row r="96">
      <c r="A96" t="inlineStr">
        <is>
          <t>MJ-202510</t>
        </is>
      </c>
      <c r="B96" s="11" t="n">
        <v>45961</v>
      </c>
      <c r="C96" t="n">
        <v>4010</v>
      </c>
      <c r="D96" t="inlineStr">
        <is>
          <t>Fencing</t>
        </is>
      </c>
      <c r="E96" s="9" t="n">
        <v>0</v>
      </c>
      <c r="F96" s="9" t="n">
        <v>67732.39999999999</v>
      </c>
      <c r="G96" t="inlineStr">
        <is>
          <t>Reclass 2025-10 income from 200 to 4010 (Fencing)</t>
        </is>
      </c>
      <c r="H96" s="9">
        <f>ROUND(SUMIFS('Recode Journals'!$E$5:$E$366,'Recode Journals'!$A$5:$A$366,A96)-SUMIFS('Recode Journals'!$F$5:$F$366,'Recode Journals'!$A$5:$A$366,A96),2)</f>
        <v>0</v>
      </c>
    </row>
    <row r="97">
      <c r="A97" t="inlineStr">
        <is>
          <t>MJ-202510</t>
        </is>
      </c>
      <c r="B97" s="11" t="n">
        <v>45961</v>
      </c>
      <c r="C97" t="n">
        <v>200</v>
      </c>
      <c r="D97" t="inlineStr"/>
      <c r="E97" s="9" t="n">
        <v>2870</v>
      </c>
      <c r="F97" s="9" t="n">
        <v>0</v>
      </c>
      <c r="G97" t="inlineStr">
        <is>
          <t>Reclass 2025-10 income from 200 to 4010 (Make-safe)</t>
        </is>
      </c>
      <c r="H97" s="9">
        <f>ROUND(SUMIFS('Recode Journals'!$E$5:$E$366,'Recode Journals'!$A$5:$A$366,A97)-SUMIFS('Recode Journals'!$F$5:$F$366,'Recode Journals'!$A$5:$A$366,A97),2)</f>
        <v>0</v>
      </c>
    </row>
    <row r="98">
      <c r="A98" t="inlineStr">
        <is>
          <t>MJ-202510</t>
        </is>
      </c>
      <c r="B98" s="11" t="n">
        <v>45961</v>
      </c>
      <c r="C98" t="n">
        <v>4010</v>
      </c>
      <c r="D98" t="inlineStr">
        <is>
          <t>Make-safe</t>
        </is>
      </c>
      <c r="E98" s="9" t="n">
        <v>0</v>
      </c>
      <c r="F98" s="9" t="n">
        <v>2870</v>
      </c>
      <c r="G98" t="inlineStr">
        <is>
          <t>Reclass 2025-10 income from 200 to 4010 (Make-safe)</t>
        </is>
      </c>
      <c r="H98" s="9">
        <f>ROUND(SUMIFS('Recode Journals'!$E$5:$E$366,'Recode Journals'!$A$5:$A$366,A98)-SUMIFS('Recode Journals'!$F$5:$F$366,'Recode Journals'!$A$5:$A$366,A98),2)</f>
        <v>0</v>
      </c>
    </row>
    <row r="99">
      <c r="A99" t="inlineStr">
        <is>
          <t>MJ-202510</t>
        </is>
      </c>
      <c r="B99" s="11" t="n">
        <v>45961</v>
      </c>
      <c r="C99" t="n">
        <v>200</v>
      </c>
      <c r="D99" t="inlineStr"/>
      <c r="E99" s="9" t="n">
        <v>8170</v>
      </c>
      <c r="F99" s="9" t="n">
        <v>0</v>
      </c>
      <c r="G99" t="inlineStr">
        <is>
          <t>Reclass 2025-10 income from 200 to 4010 (Scaffolding)</t>
        </is>
      </c>
      <c r="H99" s="9">
        <f>ROUND(SUMIFS('Recode Journals'!$E$5:$E$366,'Recode Journals'!$A$5:$A$366,A99)-SUMIFS('Recode Journals'!$F$5:$F$366,'Recode Journals'!$A$5:$A$366,A99),2)</f>
        <v>0</v>
      </c>
    </row>
    <row r="100">
      <c r="A100" t="inlineStr">
        <is>
          <t>MJ-202510</t>
        </is>
      </c>
      <c r="B100" s="11" t="n">
        <v>45961</v>
      </c>
      <c r="C100" t="n">
        <v>4010</v>
      </c>
      <c r="D100" t="inlineStr">
        <is>
          <t>Scaffolding</t>
        </is>
      </c>
      <c r="E100" s="9" t="n">
        <v>0</v>
      </c>
      <c r="F100" s="9" t="n">
        <v>8170</v>
      </c>
      <c r="G100" t="inlineStr">
        <is>
          <t>Reclass 2025-10 income from 200 to 4010 (Scaffolding)</t>
        </is>
      </c>
      <c r="H100" s="9">
        <f>ROUND(SUMIFS('Recode Journals'!$E$5:$E$366,'Recode Journals'!$A$5:$A$366,A100)-SUMIFS('Recode Journals'!$F$5:$F$366,'Recode Journals'!$A$5:$A$366,A100),2)</f>
        <v>0</v>
      </c>
    </row>
    <row r="101">
      <c r="A101" t="inlineStr">
        <is>
          <t>MJ-202510</t>
        </is>
      </c>
      <c r="B101" s="11" t="n">
        <v>45961</v>
      </c>
      <c r="C101" t="n">
        <v>200</v>
      </c>
      <c r="D101" t="inlineStr"/>
      <c r="E101" s="9" t="n">
        <v>7077.4</v>
      </c>
      <c r="F101" s="9" t="n">
        <v>0</v>
      </c>
      <c r="G101" t="inlineStr">
        <is>
          <t>Reclass 2025-10 income from 200 to 4020 (Fencing)</t>
        </is>
      </c>
      <c r="H101" s="9">
        <f>ROUND(SUMIFS('Recode Journals'!$E$5:$E$366,'Recode Journals'!$A$5:$A$366,A101)-SUMIFS('Recode Journals'!$F$5:$F$366,'Recode Journals'!$A$5:$A$366,A101),2)</f>
        <v>0</v>
      </c>
    </row>
    <row r="102">
      <c r="A102" t="inlineStr">
        <is>
          <t>MJ-202510</t>
        </is>
      </c>
      <c r="B102" s="11" t="n">
        <v>45961</v>
      </c>
      <c r="C102" t="n">
        <v>4020</v>
      </c>
      <c r="D102" t="inlineStr">
        <is>
          <t>Fencing</t>
        </is>
      </c>
      <c r="E102" s="9" t="n">
        <v>0</v>
      </c>
      <c r="F102" s="9" t="n">
        <v>7077.4</v>
      </c>
      <c r="G102" t="inlineStr">
        <is>
          <t>Reclass 2025-10 income from 200 to 4020 (Fencing)</t>
        </is>
      </c>
      <c r="H102" s="9">
        <f>ROUND(SUMIFS('Recode Journals'!$E$5:$E$366,'Recode Journals'!$A$5:$A$366,A102)-SUMIFS('Recode Journals'!$F$5:$F$366,'Recode Journals'!$A$5:$A$366,A102),2)</f>
        <v>0</v>
      </c>
    </row>
    <row r="103">
      <c r="A103" t="inlineStr">
        <is>
          <t>MJ-202510</t>
        </is>
      </c>
      <c r="B103" s="11" t="n">
        <v>45961</v>
      </c>
      <c r="C103" t="n">
        <v>200</v>
      </c>
      <c r="D103" t="inlineStr"/>
      <c r="E103" s="9" t="n">
        <v>10315</v>
      </c>
      <c r="F103" s="9" t="n">
        <v>0</v>
      </c>
      <c r="G103" t="inlineStr">
        <is>
          <t>Reclass 2025-10 income from 200 to 4020 (Make-safe)</t>
        </is>
      </c>
      <c r="H103" s="9">
        <f>ROUND(SUMIFS('Recode Journals'!$E$5:$E$366,'Recode Journals'!$A$5:$A$366,A103)-SUMIFS('Recode Journals'!$F$5:$F$366,'Recode Journals'!$A$5:$A$366,A103),2)</f>
        <v>0</v>
      </c>
    </row>
    <row r="104">
      <c r="A104" t="inlineStr">
        <is>
          <t>MJ-202510</t>
        </is>
      </c>
      <c r="B104" s="11" t="n">
        <v>45961</v>
      </c>
      <c r="C104" t="n">
        <v>4020</v>
      </c>
      <c r="D104" t="inlineStr">
        <is>
          <t>Make-safe</t>
        </is>
      </c>
      <c r="E104" s="9" t="n">
        <v>0</v>
      </c>
      <c r="F104" s="9" t="n">
        <v>10315</v>
      </c>
      <c r="G104" t="inlineStr">
        <is>
          <t>Reclass 2025-10 income from 200 to 4020 (Make-safe)</t>
        </is>
      </c>
      <c r="H104" s="9">
        <f>ROUND(SUMIFS('Recode Journals'!$E$5:$E$366,'Recode Journals'!$A$5:$A$366,A104)-SUMIFS('Recode Journals'!$F$5:$F$366,'Recode Journals'!$A$5:$A$366,A104),2)</f>
        <v>0</v>
      </c>
    </row>
    <row r="105">
      <c r="A105" t="inlineStr">
        <is>
          <t>MJ-202510</t>
        </is>
      </c>
      <c r="B105" s="11" t="n">
        <v>45961</v>
      </c>
      <c r="C105" t="n">
        <v>200</v>
      </c>
      <c r="D105" t="inlineStr"/>
      <c r="E105" s="9" t="n">
        <v>11760</v>
      </c>
      <c r="F105" s="9" t="n">
        <v>0</v>
      </c>
      <c r="G105" t="inlineStr">
        <is>
          <t>Reclass 2025-10 income from 200 to 4020 (Roofing)</t>
        </is>
      </c>
      <c r="H105" s="9">
        <f>ROUND(SUMIFS('Recode Journals'!$E$5:$E$366,'Recode Journals'!$A$5:$A$366,A105)-SUMIFS('Recode Journals'!$F$5:$F$366,'Recode Journals'!$A$5:$A$366,A105),2)</f>
        <v>0</v>
      </c>
    </row>
    <row r="106">
      <c r="A106" t="inlineStr">
        <is>
          <t>MJ-202510</t>
        </is>
      </c>
      <c r="B106" s="11" t="n">
        <v>45961</v>
      </c>
      <c r="C106" t="n">
        <v>4020</v>
      </c>
      <c r="D106" t="inlineStr">
        <is>
          <t>Roofing</t>
        </is>
      </c>
      <c r="E106" s="9" t="n">
        <v>0</v>
      </c>
      <c r="F106" s="9" t="n">
        <v>11760</v>
      </c>
      <c r="G106" t="inlineStr">
        <is>
          <t>Reclass 2025-10 income from 200 to 4020 (Roofing)</t>
        </is>
      </c>
      <c r="H106" s="9">
        <f>ROUND(SUMIFS('Recode Journals'!$E$5:$E$366,'Recode Journals'!$A$5:$A$366,A106)-SUMIFS('Recode Journals'!$F$5:$F$366,'Recode Journals'!$A$5:$A$366,A106),2)</f>
        <v>0</v>
      </c>
    </row>
    <row r="107">
      <c r="A107" t="inlineStr">
        <is>
          <t>MJ-202510</t>
        </is>
      </c>
      <c r="B107" s="11" t="n">
        <v>45961</v>
      </c>
      <c r="C107" t="n">
        <v>200</v>
      </c>
      <c r="D107" t="inlineStr"/>
      <c r="E107" s="9" t="n">
        <v>13100</v>
      </c>
      <c r="F107" s="9" t="n">
        <v>0</v>
      </c>
      <c r="G107" t="inlineStr">
        <is>
          <t>Reclass 2025-10 income from 200 to 4020 (Scaffolding)</t>
        </is>
      </c>
      <c r="H107" s="9">
        <f>ROUND(SUMIFS('Recode Journals'!$E$5:$E$366,'Recode Journals'!$A$5:$A$366,A107)-SUMIFS('Recode Journals'!$F$5:$F$366,'Recode Journals'!$A$5:$A$366,A107),2)</f>
        <v>0</v>
      </c>
    </row>
    <row r="108">
      <c r="A108" t="inlineStr">
        <is>
          <t>MJ-202510</t>
        </is>
      </c>
      <c r="B108" s="11" t="n">
        <v>45961</v>
      </c>
      <c r="C108" t="n">
        <v>4020</v>
      </c>
      <c r="D108" t="inlineStr">
        <is>
          <t>Scaffolding</t>
        </is>
      </c>
      <c r="E108" s="9" t="n">
        <v>0</v>
      </c>
      <c r="F108" s="9" t="n">
        <v>13100</v>
      </c>
      <c r="G108" t="inlineStr">
        <is>
          <t>Reclass 2025-10 income from 200 to 4020 (Scaffolding)</t>
        </is>
      </c>
      <c r="H108" s="9">
        <f>ROUND(SUMIFS('Recode Journals'!$E$5:$E$366,'Recode Journals'!$A$5:$A$366,A108)-SUMIFS('Recode Journals'!$F$5:$F$366,'Recode Journals'!$A$5:$A$366,A108),2)</f>
        <v>0</v>
      </c>
    </row>
    <row r="109">
      <c r="A109" t="inlineStr">
        <is>
          <t>MJ-202510</t>
        </is>
      </c>
      <c r="B109" s="11" t="n">
        <v>45961</v>
      </c>
      <c r="C109" t="n">
        <v>200</v>
      </c>
      <c r="D109" t="inlineStr"/>
      <c r="E109" s="9" t="n">
        <v>19543.99</v>
      </c>
      <c r="F109" s="9" t="n">
        <v>0</v>
      </c>
      <c r="G109" t="inlineStr">
        <is>
          <t>Reclass 2025-10 income from 200 to 4030 (Roofing)</t>
        </is>
      </c>
      <c r="H109" s="9">
        <f>ROUND(SUMIFS('Recode Journals'!$E$5:$E$366,'Recode Journals'!$A$5:$A$366,A109)-SUMIFS('Recode Journals'!$F$5:$F$366,'Recode Journals'!$A$5:$A$366,A109),2)</f>
        <v>0</v>
      </c>
    </row>
    <row r="110">
      <c r="A110" t="inlineStr">
        <is>
          <t>MJ-202510</t>
        </is>
      </c>
      <c r="B110" s="11" t="n">
        <v>45961</v>
      </c>
      <c r="C110" t="n">
        <v>4030</v>
      </c>
      <c r="D110" t="inlineStr">
        <is>
          <t>Roofing</t>
        </is>
      </c>
      <c r="E110" s="9" t="n">
        <v>0</v>
      </c>
      <c r="F110" s="9" t="n">
        <v>19543.99</v>
      </c>
      <c r="G110" t="inlineStr">
        <is>
          <t>Reclass 2025-10 income from 200 to 4030 (Roofing)</t>
        </is>
      </c>
      <c r="H110" s="9">
        <f>ROUND(SUMIFS('Recode Journals'!$E$5:$E$366,'Recode Journals'!$A$5:$A$366,A110)-SUMIFS('Recode Journals'!$F$5:$F$366,'Recode Journals'!$A$5:$A$366,A110),2)</f>
        <v>0</v>
      </c>
    </row>
    <row r="111">
      <c r="A111" t="inlineStr">
        <is>
          <t>MJ-202510</t>
        </is>
      </c>
      <c r="B111" s="11" t="n">
        <v>45961</v>
      </c>
      <c r="C111" t="n">
        <v>200</v>
      </c>
      <c r="D111" t="inlineStr"/>
      <c r="E111" s="9" t="n">
        <v>725</v>
      </c>
      <c r="F111" s="9" t="n">
        <v>0</v>
      </c>
      <c r="G111" t="inlineStr">
        <is>
          <t>Reclass 2025-10 income from 200 to 4040 (Fencing)</t>
        </is>
      </c>
      <c r="H111" s="9">
        <f>ROUND(SUMIFS('Recode Journals'!$E$5:$E$366,'Recode Journals'!$A$5:$A$366,A111)-SUMIFS('Recode Journals'!$F$5:$F$366,'Recode Journals'!$A$5:$A$366,A111),2)</f>
        <v>0</v>
      </c>
    </row>
    <row r="112">
      <c r="A112" t="inlineStr">
        <is>
          <t>MJ-202510</t>
        </is>
      </c>
      <c r="B112" s="11" t="n">
        <v>45961</v>
      </c>
      <c r="C112" t="n">
        <v>4040</v>
      </c>
      <c r="D112" t="inlineStr">
        <is>
          <t>Fencing</t>
        </is>
      </c>
      <c r="E112" s="9" t="n">
        <v>0</v>
      </c>
      <c r="F112" s="9" t="n">
        <v>725</v>
      </c>
      <c r="G112" t="inlineStr">
        <is>
          <t>Reclass 2025-10 income from 200 to 4040 (Fencing)</t>
        </is>
      </c>
      <c r="H112" s="9">
        <f>ROUND(SUMIFS('Recode Journals'!$E$5:$E$366,'Recode Journals'!$A$5:$A$366,A112)-SUMIFS('Recode Journals'!$F$5:$F$366,'Recode Journals'!$A$5:$A$366,A112),2)</f>
        <v>0</v>
      </c>
    </row>
    <row r="113">
      <c r="A113" t="inlineStr">
        <is>
          <t>MJ-202510</t>
        </is>
      </c>
      <c r="B113" s="11" t="n">
        <v>45961</v>
      </c>
      <c r="C113" t="n">
        <v>200</v>
      </c>
      <c r="D113" t="inlineStr"/>
      <c r="E113" s="9" t="n">
        <v>2020</v>
      </c>
      <c r="F113" s="9" t="n">
        <v>0</v>
      </c>
      <c r="G113" t="inlineStr">
        <is>
          <t>Reclass 2025-10 income from 200 to 835 (Fencing)</t>
        </is>
      </c>
      <c r="H113" s="9">
        <f>ROUND(SUMIFS('Recode Journals'!$E$5:$E$366,'Recode Journals'!$A$5:$A$366,A113)-SUMIFS('Recode Journals'!$F$5:$F$366,'Recode Journals'!$A$5:$A$366,A113),2)</f>
        <v>0</v>
      </c>
    </row>
    <row r="114">
      <c r="A114" t="inlineStr">
        <is>
          <t>MJ-202510</t>
        </is>
      </c>
      <c r="B114" s="11" t="n">
        <v>45961</v>
      </c>
      <c r="C114" t="n">
        <v>835</v>
      </c>
      <c r="D114" t="inlineStr"/>
      <c r="E114" s="9" t="n">
        <v>0</v>
      </c>
      <c r="F114" s="9" t="n">
        <v>2020</v>
      </c>
      <c r="G114" t="inlineStr">
        <is>
          <t>Reclass 2025-10 income from 200 to 835 (Fencing)</t>
        </is>
      </c>
      <c r="H114" s="9">
        <f>ROUND(SUMIFS('Recode Journals'!$E$5:$E$366,'Recode Journals'!$A$5:$A$366,A114)-SUMIFS('Recode Journals'!$F$5:$F$366,'Recode Journals'!$A$5:$A$366,A114),2)</f>
        <v>0</v>
      </c>
    </row>
    <row r="115">
      <c r="A115" t="inlineStr">
        <is>
          <t>MJ-202510</t>
        </is>
      </c>
      <c r="B115" s="11" t="n">
        <v>45961</v>
      </c>
      <c r="C115" t="n">
        <v>260</v>
      </c>
      <c r="D115" t="inlineStr"/>
      <c r="E115" s="9" t="n">
        <v>1386</v>
      </c>
      <c r="F115" s="9" t="n">
        <v>0</v>
      </c>
      <c r="G115" t="inlineStr">
        <is>
          <t>Reclass 2025-10 income from 260 to 4010 (Fencing)</t>
        </is>
      </c>
      <c r="H115" s="9">
        <f>ROUND(SUMIFS('Recode Journals'!$E$5:$E$366,'Recode Journals'!$A$5:$A$366,A115)-SUMIFS('Recode Journals'!$F$5:$F$366,'Recode Journals'!$A$5:$A$366,A115),2)</f>
        <v>0</v>
      </c>
    </row>
    <row r="116">
      <c r="A116" t="inlineStr">
        <is>
          <t>MJ-202510</t>
        </is>
      </c>
      <c r="B116" s="11" t="n">
        <v>45961</v>
      </c>
      <c r="C116" t="n">
        <v>4010</v>
      </c>
      <c r="D116" t="inlineStr">
        <is>
          <t>Fencing</t>
        </is>
      </c>
      <c r="E116" s="9" t="n">
        <v>0</v>
      </c>
      <c r="F116" s="9" t="n">
        <v>1386</v>
      </c>
      <c r="G116" t="inlineStr">
        <is>
          <t>Reclass 2025-10 income from 260 to 4010 (Fencing)</t>
        </is>
      </c>
      <c r="H116" s="9">
        <f>ROUND(SUMIFS('Recode Journals'!$E$5:$E$366,'Recode Journals'!$A$5:$A$366,A116)-SUMIFS('Recode Journals'!$F$5:$F$366,'Recode Journals'!$A$5:$A$366,A116),2)</f>
        <v>0</v>
      </c>
    </row>
    <row r="117">
      <c r="A117" t="inlineStr">
        <is>
          <t>MJ-202510</t>
        </is>
      </c>
      <c r="B117" s="11" t="n">
        <v>45961</v>
      </c>
      <c r="C117" t="n">
        <v>260</v>
      </c>
      <c r="D117" t="inlineStr"/>
      <c r="E117" s="9" t="n">
        <v>138.6</v>
      </c>
      <c r="F117" s="9" t="n">
        <v>0</v>
      </c>
      <c r="G117" t="inlineStr">
        <is>
          <t>Reclass 2025-10 income from 260 to 4020 (Fencing)</t>
        </is>
      </c>
      <c r="H117" s="9">
        <f>ROUND(SUMIFS('Recode Journals'!$E$5:$E$366,'Recode Journals'!$A$5:$A$366,A117)-SUMIFS('Recode Journals'!$F$5:$F$366,'Recode Journals'!$A$5:$A$366,A117),2)</f>
        <v>0</v>
      </c>
    </row>
    <row r="118">
      <c r="A118" t="inlineStr">
        <is>
          <t>MJ-202510</t>
        </is>
      </c>
      <c r="B118" s="11" t="n">
        <v>45961</v>
      </c>
      <c r="C118" t="n">
        <v>4020</v>
      </c>
      <c r="D118" t="inlineStr">
        <is>
          <t>Fencing</t>
        </is>
      </c>
      <c r="E118" s="9" t="n">
        <v>0</v>
      </c>
      <c r="F118" s="9" t="n">
        <v>138.6</v>
      </c>
      <c r="G118" t="inlineStr">
        <is>
          <t>Reclass 2025-10 income from 260 to 4020 (Fencing)</t>
        </is>
      </c>
      <c r="H118" s="9">
        <f>ROUND(SUMIFS('Recode Journals'!$E$5:$E$366,'Recode Journals'!$A$5:$A$366,A118)-SUMIFS('Recode Journals'!$F$5:$F$366,'Recode Journals'!$A$5:$A$366,A118),2)</f>
        <v>0</v>
      </c>
    </row>
    <row r="119">
      <c r="A119" t="inlineStr">
        <is>
          <t>MJ-202510</t>
        </is>
      </c>
      <c r="B119" s="11" t="n">
        <v>45961</v>
      </c>
      <c r="C119" t="n">
        <v>260</v>
      </c>
      <c r="D119" t="inlineStr"/>
      <c r="E119" s="9" t="n">
        <v>800</v>
      </c>
      <c r="F119" s="9" t="n">
        <v>0</v>
      </c>
      <c r="G119" t="inlineStr">
        <is>
          <t>Reclass 2025-10 income from 260 to 4020 (Make-safe)</t>
        </is>
      </c>
      <c r="H119" s="9">
        <f>ROUND(SUMIFS('Recode Journals'!$E$5:$E$366,'Recode Journals'!$A$5:$A$366,A119)-SUMIFS('Recode Journals'!$F$5:$F$366,'Recode Journals'!$A$5:$A$366,A119),2)</f>
        <v>0</v>
      </c>
    </row>
    <row r="120">
      <c r="A120" t="inlineStr">
        <is>
          <t>MJ-202510</t>
        </is>
      </c>
      <c r="B120" s="11" t="n">
        <v>45961</v>
      </c>
      <c r="C120" t="n">
        <v>4020</v>
      </c>
      <c r="D120" t="inlineStr">
        <is>
          <t>Make-safe</t>
        </is>
      </c>
      <c r="E120" s="9" t="n">
        <v>0</v>
      </c>
      <c r="F120" s="9" t="n">
        <v>800</v>
      </c>
      <c r="G120" t="inlineStr">
        <is>
          <t>Reclass 2025-10 income from 260 to 4020 (Make-safe)</t>
        </is>
      </c>
      <c r="H120" s="9">
        <f>ROUND(SUMIFS('Recode Journals'!$E$5:$E$366,'Recode Journals'!$A$5:$A$366,A120)-SUMIFS('Recode Journals'!$F$5:$F$366,'Recode Journals'!$A$5:$A$366,A120),2)</f>
        <v>0</v>
      </c>
    </row>
    <row r="121">
      <c r="A121" t="inlineStr">
        <is>
          <t>MJ-202510</t>
        </is>
      </c>
      <c r="B121" s="11" t="n">
        <v>45961</v>
      </c>
      <c r="C121" t="n">
        <v>260</v>
      </c>
      <c r="D121" t="inlineStr"/>
      <c r="E121" s="9" t="n">
        <v>2744</v>
      </c>
      <c r="F121" s="9" t="n">
        <v>0</v>
      </c>
      <c r="G121" t="inlineStr">
        <is>
          <t>Reclass 2025-10 income from 260 to 4020 (Roofing)</t>
        </is>
      </c>
      <c r="H121" s="9">
        <f>ROUND(SUMIFS('Recode Journals'!$E$5:$E$366,'Recode Journals'!$A$5:$A$366,A121)-SUMIFS('Recode Journals'!$F$5:$F$366,'Recode Journals'!$A$5:$A$366,A121),2)</f>
        <v>0</v>
      </c>
    </row>
    <row r="122">
      <c r="A122" t="inlineStr">
        <is>
          <t>MJ-202510</t>
        </is>
      </c>
      <c r="B122" s="11" t="n">
        <v>45961</v>
      </c>
      <c r="C122" t="n">
        <v>4020</v>
      </c>
      <c r="D122" t="inlineStr">
        <is>
          <t>Roofing</t>
        </is>
      </c>
      <c r="E122" s="9" t="n">
        <v>0</v>
      </c>
      <c r="F122" s="9" t="n">
        <v>2744</v>
      </c>
      <c r="G122" t="inlineStr">
        <is>
          <t>Reclass 2025-10 income from 260 to 4020 (Roofing)</t>
        </is>
      </c>
      <c r="H122" s="9">
        <f>ROUND(SUMIFS('Recode Journals'!$E$5:$E$366,'Recode Journals'!$A$5:$A$366,A122)-SUMIFS('Recode Journals'!$F$5:$F$366,'Recode Journals'!$A$5:$A$366,A122),2)</f>
        <v>0</v>
      </c>
    </row>
    <row r="123">
      <c r="A123" t="inlineStr">
        <is>
          <t>MJ-202510</t>
        </is>
      </c>
      <c r="B123" s="11" t="n">
        <v>45961</v>
      </c>
      <c r="C123" t="n">
        <v>260</v>
      </c>
      <c r="D123" t="inlineStr"/>
      <c r="E123" s="9" t="n">
        <v>640</v>
      </c>
      <c r="F123" s="9" t="n">
        <v>0</v>
      </c>
      <c r="G123" t="inlineStr">
        <is>
          <t>Reclass 2025-10 income from 260 to 4020 (Scaffolding)</t>
        </is>
      </c>
      <c r="H123" s="9">
        <f>ROUND(SUMIFS('Recode Journals'!$E$5:$E$366,'Recode Journals'!$A$5:$A$366,A123)-SUMIFS('Recode Journals'!$F$5:$F$366,'Recode Journals'!$A$5:$A$366,A123),2)</f>
        <v>0</v>
      </c>
    </row>
    <row r="124">
      <c r="A124" t="inlineStr">
        <is>
          <t>MJ-202510</t>
        </is>
      </c>
      <c r="B124" s="11" t="n">
        <v>45961</v>
      </c>
      <c r="C124" t="n">
        <v>4020</v>
      </c>
      <c r="D124" t="inlineStr">
        <is>
          <t>Scaffolding</t>
        </is>
      </c>
      <c r="E124" s="9" t="n">
        <v>0</v>
      </c>
      <c r="F124" s="9" t="n">
        <v>640</v>
      </c>
      <c r="G124" t="inlineStr">
        <is>
          <t>Reclass 2025-10 income from 260 to 4020 (Scaffolding)</t>
        </is>
      </c>
      <c r="H124" s="9">
        <f>ROUND(SUMIFS('Recode Journals'!$E$5:$E$366,'Recode Journals'!$A$5:$A$366,A124)-SUMIFS('Recode Journals'!$F$5:$F$366,'Recode Journals'!$A$5:$A$366,A124),2)</f>
        <v>0</v>
      </c>
    </row>
    <row r="125">
      <c r="A125" t="inlineStr">
        <is>
          <t>MJ-202510</t>
        </is>
      </c>
      <c r="B125" s="11" t="n">
        <v>45961</v>
      </c>
      <c r="C125" t="n">
        <v>260</v>
      </c>
      <c r="D125" t="inlineStr"/>
      <c r="E125" s="9" t="n">
        <v>1243.53</v>
      </c>
      <c r="F125" s="9" t="n">
        <v>0</v>
      </c>
      <c r="G125" t="inlineStr">
        <is>
          <t>Reclass 2025-10 income from 260 to 4030 (Roofing)</t>
        </is>
      </c>
      <c r="H125" s="9">
        <f>ROUND(SUMIFS('Recode Journals'!$E$5:$E$366,'Recode Journals'!$A$5:$A$366,A125)-SUMIFS('Recode Journals'!$F$5:$F$366,'Recode Journals'!$A$5:$A$366,A125),2)</f>
        <v>0</v>
      </c>
    </row>
    <row r="126">
      <c r="A126" t="inlineStr">
        <is>
          <t>MJ-202510</t>
        </is>
      </c>
      <c r="B126" s="11" t="n">
        <v>45961</v>
      </c>
      <c r="C126" t="n">
        <v>4030</v>
      </c>
      <c r="D126" t="inlineStr">
        <is>
          <t>Roofing</t>
        </is>
      </c>
      <c r="E126" s="9" t="n">
        <v>0</v>
      </c>
      <c r="F126" s="9" t="n">
        <v>1243.53</v>
      </c>
      <c r="G126" t="inlineStr">
        <is>
          <t>Reclass 2025-10 income from 260 to 4030 (Roofing)</t>
        </is>
      </c>
      <c r="H126" s="9">
        <f>ROUND(SUMIFS('Recode Journals'!$E$5:$E$366,'Recode Journals'!$A$5:$A$366,A126)-SUMIFS('Recode Journals'!$F$5:$F$366,'Recode Journals'!$A$5:$A$366,A126),2)</f>
        <v>0</v>
      </c>
    </row>
    <row r="127">
      <c r="A127" t="inlineStr">
        <is>
          <t>MJ-202511</t>
        </is>
      </c>
      <c r="B127" s="11" t="n">
        <v>45991</v>
      </c>
      <c r="C127" t="n">
        <v>200</v>
      </c>
      <c r="D127" t="inlineStr"/>
      <c r="E127" s="9" t="n">
        <v>70757.25999999999</v>
      </c>
      <c r="F127" s="9" t="n">
        <v>0</v>
      </c>
      <c r="G127" t="inlineStr">
        <is>
          <t>Reclass 2025-11 income from 200 to 4010 (Fencing)</t>
        </is>
      </c>
      <c r="H127" s="9">
        <f>ROUND(SUMIFS('Recode Journals'!$E$5:$E$366,'Recode Journals'!$A$5:$A$366,A127)-SUMIFS('Recode Journals'!$F$5:$F$366,'Recode Journals'!$A$5:$A$366,A127),2)</f>
        <v>0</v>
      </c>
    </row>
    <row r="128">
      <c r="A128" t="inlineStr">
        <is>
          <t>MJ-202511</t>
        </is>
      </c>
      <c r="B128" s="11" t="n">
        <v>45991</v>
      </c>
      <c r="C128" t="n">
        <v>4010</v>
      </c>
      <c r="D128" t="inlineStr">
        <is>
          <t>Fencing</t>
        </is>
      </c>
      <c r="E128" s="9" t="n">
        <v>0</v>
      </c>
      <c r="F128" s="9" t="n">
        <v>70757.25999999999</v>
      </c>
      <c r="G128" t="inlineStr">
        <is>
          <t>Reclass 2025-11 income from 200 to 4010 (Fencing)</t>
        </is>
      </c>
      <c r="H128" s="9">
        <f>ROUND(SUMIFS('Recode Journals'!$E$5:$E$366,'Recode Journals'!$A$5:$A$366,A128)-SUMIFS('Recode Journals'!$F$5:$F$366,'Recode Journals'!$A$5:$A$366,A128),2)</f>
        <v>0</v>
      </c>
    </row>
    <row r="129">
      <c r="A129" t="inlineStr">
        <is>
          <t>MJ-202511</t>
        </is>
      </c>
      <c r="B129" s="11" t="n">
        <v>45991</v>
      </c>
      <c r="C129" t="n">
        <v>200</v>
      </c>
      <c r="D129" t="inlineStr"/>
      <c r="E129" s="9" t="n">
        <v>1540</v>
      </c>
      <c r="F129" s="9" t="n">
        <v>0</v>
      </c>
      <c r="G129" t="inlineStr">
        <is>
          <t>Reclass 2025-11 income from 200 to 4010 (Make-safe)</t>
        </is>
      </c>
      <c r="H129" s="9">
        <f>ROUND(SUMIFS('Recode Journals'!$E$5:$E$366,'Recode Journals'!$A$5:$A$366,A129)-SUMIFS('Recode Journals'!$F$5:$F$366,'Recode Journals'!$A$5:$A$366,A129),2)</f>
        <v>0</v>
      </c>
    </row>
    <row r="130">
      <c r="A130" t="inlineStr">
        <is>
          <t>MJ-202511</t>
        </is>
      </c>
      <c r="B130" s="11" t="n">
        <v>45991</v>
      </c>
      <c r="C130" t="n">
        <v>4010</v>
      </c>
      <c r="D130" t="inlineStr">
        <is>
          <t>Make-safe</t>
        </is>
      </c>
      <c r="E130" s="9" t="n">
        <v>0</v>
      </c>
      <c r="F130" s="9" t="n">
        <v>1540</v>
      </c>
      <c r="G130" t="inlineStr">
        <is>
          <t>Reclass 2025-11 income from 200 to 4010 (Make-safe)</t>
        </is>
      </c>
      <c r="H130" s="9">
        <f>ROUND(SUMIFS('Recode Journals'!$E$5:$E$366,'Recode Journals'!$A$5:$A$366,A130)-SUMIFS('Recode Journals'!$F$5:$F$366,'Recode Journals'!$A$5:$A$366,A130),2)</f>
        <v>0</v>
      </c>
    </row>
    <row r="131">
      <c r="A131" t="inlineStr">
        <is>
          <t>MJ-202511</t>
        </is>
      </c>
      <c r="B131" s="11" t="n">
        <v>45991</v>
      </c>
      <c r="C131" t="n">
        <v>200</v>
      </c>
      <c r="D131" t="inlineStr"/>
      <c r="E131" s="9" t="n">
        <v>8645</v>
      </c>
      <c r="F131" s="9" t="n">
        <v>0</v>
      </c>
      <c r="G131" t="inlineStr">
        <is>
          <t>Reclass 2025-11 income from 200 to 4010 (Scaffolding)</t>
        </is>
      </c>
      <c r="H131" s="9">
        <f>ROUND(SUMIFS('Recode Journals'!$E$5:$E$366,'Recode Journals'!$A$5:$A$366,A131)-SUMIFS('Recode Journals'!$F$5:$F$366,'Recode Journals'!$A$5:$A$366,A131),2)</f>
        <v>0</v>
      </c>
    </row>
    <row r="132">
      <c r="A132" t="inlineStr">
        <is>
          <t>MJ-202511</t>
        </is>
      </c>
      <c r="B132" s="11" t="n">
        <v>45991</v>
      </c>
      <c r="C132" t="n">
        <v>4010</v>
      </c>
      <c r="D132" t="inlineStr">
        <is>
          <t>Scaffolding</t>
        </is>
      </c>
      <c r="E132" s="9" t="n">
        <v>0</v>
      </c>
      <c r="F132" s="9" t="n">
        <v>8645</v>
      </c>
      <c r="G132" t="inlineStr">
        <is>
          <t>Reclass 2025-11 income from 200 to 4010 (Scaffolding)</t>
        </is>
      </c>
      <c r="H132" s="9">
        <f>ROUND(SUMIFS('Recode Journals'!$E$5:$E$366,'Recode Journals'!$A$5:$A$366,A132)-SUMIFS('Recode Journals'!$F$5:$F$366,'Recode Journals'!$A$5:$A$366,A132),2)</f>
        <v>0</v>
      </c>
    </row>
    <row r="133">
      <c r="A133" t="inlineStr">
        <is>
          <t>MJ-202511</t>
        </is>
      </c>
      <c r="B133" s="11" t="n">
        <v>45991</v>
      </c>
      <c r="C133" t="n">
        <v>200</v>
      </c>
      <c r="D133" t="inlineStr"/>
      <c r="E133" s="9" t="n">
        <v>8569</v>
      </c>
      <c r="F133" s="9" t="n">
        <v>0</v>
      </c>
      <c r="G133" t="inlineStr">
        <is>
          <t>Reclass 2025-11 income from 200 to 4020 (Fencing)</t>
        </is>
      </c>
      <c r="H133" s="9">
        <f>ROUND(SUMIFS('Recode Journals'!$E$5:$E$366,'Recode Journals'!$A$5:$A$366,A133)-SUMIFS('Recode Journals'!$F$5:$F$366,'Recode Journals'!$A$5:$A$366,A133),2)</f>
        <v>0</v>
      </c>
    </row>
    <row r="134">
      <c r="A134" t="inlineStr">
        <is>
          <t>MJ-202511</t>
        </is>
      </c>
      <c r="B134" s="11" t="n">
        <v>45991</v>
      </c>
      <c r="C134" t="n">
        <v>4020</v>
      </c>
      <c r="D134" t="inlineStr">
        <is>
          <t>Fencing</t>
        </is>
      </c>
      <c r="E134" s="9" t="n">
        <v>0</v>
      </c>
      <c r="F134" s="9" t="n">
        <v>8569</v>
      </c>
      <c r="G134" t="inlineStr">
        <is>
          <t>Reclass 2025-11 income from 200 to 4020 (Fencing)</t>
        </is>
      </c>
      <c r="H134" s="9">
        <f>ROUND(SUMIFS('Recode Journals'!$E$5:$E$366,'Recode Journals'!$A$5:$A$366,A134)-SUMIFS('Recode Journals'!$F$5:$F$366,'Recode Journals'!$A$5:$A$366,A134),2)</f>
        <v>0</v>
      </c>
    </row>
    <row r="135">
      <c r="A135" t="inlineStr">
        <is>
          <t>MJ-202511</t>
        </is>
      </c>
      <c r="B135" s="11" t="n">
        <v>45991</v>
      </c>
      <c r="C135" t="n">
        <v>200</v>
      </c>
      <c r="D135" t="inlineStr"/>
      <c r="E135" s="9" t="n">
        <v>6035</v>
      </c>
      <c r="F135" s="9" t="n">
        <v>0</v>
      </c>
      <c r="G135" t="inlineStr">
        <is>
          <t>Reclass 2025-11 income from 200 to 4020 (Make-safe)</t>
        </is>
      </c>
      <c r="H135" s="9">
        <f>ROUND(SUMIFS('Recode Journals'!$E$5:$E$366,'Recode Journals'!$A$5:$A$366,A135)-SUMIFS('Recode Journals'!$F$5:$F$366,'Recode Journals'!$A$5:$A$366,A135),2)</f>
        <v>0</v>
      </c>
    </row>
    <row r="136">
      <c r="A136" t="inlineStr">
        <is>
          <t>MJ-202511</t>
        </is>
      </c>
      <c r="B136" s="11" t="n">
        <v>45991</v>
      </c>
      <c r="C136" t="n">
        <v>4020</v>
      </c>
      <c r="D136" t="inlineStr">
        <is>
          <t>Make-safe</t>
        </is>
      </c>
      <c r="E136" s="9" t="n">
        <v>0</v>
      </c>
      <c r="F136" s="9" t="n">
        <v>6035</v>
      </c>
      <c r="G136" t="inlineStr">
        <is>
          <t>Reclass 2025-11 income from 200 to 4020 (Make-safe)</t>
        </is>
      </c>
      <c r="H136" s="9">
        <f>ROUND(SUMIFS('Recode Journals'!$E$5:$E$366,'Recode Journals'!$A$5:$A$366,A136)-SUMIFS('Recode Journals'!$F$5:$F$366,'Recode Journals'!$A$5:$A$366,A136),2)</f>
        <v>0</v>
      </c>
    </row>
    <row r="137">
      <c r="A137" t="inlineStr">
        <is>
          <t>MJ-202511</t>
        </is>
      </c>
      <c r="B137" s="11" t="n">
        <v>45991</v>
      </c>
      <c r="C137" t="n">
        <v>200</v>
      </c>
      <c r="D137" t="inlineStr"/>
      <c r="E137" s="9" t="n">
        <v>17346</v>
      </c>
      <c r="F137" s="9" t="n">
        <v>0</v>
      </c>
      <c r="G137" t="inlineStr">
        <is>
          <t>Reclass 2025-11 income from 200 to 4020 (Roofing)</t>
        </is>
      </c>
      <c r="H137" s="9">
        <f>ROUND(SUMIFS('Recode Journals'!$E$5:$E$366,'Recode Journals'!$A$5:$A$366,A137)-SUMIFS('Recode Journals'!$F$5:$F$366,'Recode Journals'!$A$5:$A$366,A137),2)</f>
        <v>0</v>
      </c>
    </row>
    <row r="138">
      <c r="A138" t="inlineStr">
        <is>
          <t>MJ-202511</t>
        </is>
      </c>
      <c r="B138" s="11" t="n">
        <v>45991</v>
      </c>
      <c r="C138" t="n">
        <v>4020</v>
      </c>
      <c r="D138" t="inlineStr">
        <is>
          <t>Roofing</t>
        </is>
      </c>
      <c r="E138" s="9" t="n">
        <v>0</v>
      </c>
      <c r="F138" s="9" t="n">
        <v>17346</v>
      </c>
      <c r="G138" t="inlineStr">
        <is>
          <t>Reclass 2025-11 income from 200 to 4020 (Roofing)</t>
        </is>
      </c>
      <c r="H138" s="9">
        <f>ROUND(SUMIFS('Recode Journals'!$E$5:$E$366,'Recode Journals'!$A$5:$A$366,A138)-SUMIFS('Recode Journals'!$F$5:$F$366,'Recode Journals'!$A$5:$A$366,A138),2)</f>
        <v>0</v>
      </c>
    </row>
    <row r="139">
      <c r="A139" t="inlineStr">
        <is>
          <t>MJ-202511</t>
        </is>
      </c>
      <c r="B139" s="11" t="n">
        <v>45991</v>
      </c>
      <c r="C139" t="n">
        <v>200</v>
      </c>
      <c r="D139" t="inlineStr"/>
      <c r="E139" s="9" t="n">
        <v>10680</v>
      </c>
      <c r="F139" s="9" t="n">
        <v>0</v>
      </c>
      <c r="G139" t="inlineStr">
        <is>
          <t>Reclass 2025-11 income from 200 to 4020 (Scaffolding)</t>
        </is>
      </c>
      <c r="H139" s="9">
        <f>ROUND(SUMIFS('Recode Journals'!$E$5:$E$366,'Recode Journals'!$A$5:$A$366,A139)-SUMIFS('Recode Journals'!$F$5:$F$366,'Recode Journals'!$A$5:$A$366,A139),2)</f>
        <v>0</v>
      </c>
    </row>
    <row r="140">
      <c r="A140" t="inlineStr">
        <is>
          <t>MJ-202511</t>
        </is>
      </c>
      <c r="B140" s="11" t="n">
        <v>45991</v>
      </c>
      <c r="C140" t="n">
        <v>4020</v>
      </c>
      <c r="D140" t="inlineStr">
        <is>
          <t>Scaffolding</t>
        </is>
      </c>
      <c r="E140" s="9" t="n">
        <v>0</v>
      </c>
      <c r="F140" s="9" t="n">
        <v>10680</v>
      </c>
      <c r="G140" t="inlineStr">
        <is>
          <t>Reclass 2025-11 income from 200 to 4020 (Scaffolding)</t>
        </is>
      </c>
      <c r="H140" s="9">
        <f>ROUND(SUMIFS('Recode Journals'!$E$5:$E$366,'Recode Journals'!$A$5:$A$366,A140)-SUMIFS('Recode Journals'!$F$5:$F$366,'Recode Journals'!$A$5:$A$366,A140),2)</f>
        <v>0</v>
      </c>
    </row>
    <row r="141">
      <c r="A141" t="inlineStr">
        <is>
          <t>MJ-202511</t>
        </is>
      </c>
      <c r="B141" s="11" t="n">
        <v>45991</v>
      </c>
      <c r="C141" t="n">
        <v>200</v>
      </c>
      <c r="D141" t="inlineStr"/>
      <c r="E141" s="9" t="n">
        <v>20140.11</v>
      </c>
      <c r="F141" s="9" t="n">
        <v>0</v>
      </c>
      <c r="G141" t="inlineStr">
        <is>
          <t>Reclass 2025-11 income from 200 to 4030 (Roofing)</t>
        </is>
      </c>
      <c r="H141" s="9">
        <f>ROUND(SUMIFS('Recode Journals'!$E$5:$E$366,'Recode Journals'!$A$5:$A$366,A141)-SUMIFS('Recode Journals'!$F$5:$F$366,'Recode Journals'!$A$5:$A$366,A141),2)</f>
        <v>0</v>
      </c>
    </row>
    <row r="142">
      <c r="A142" t="inlineStr">
        <is>
          <t>MJ-202511</t>
        </is>
      </c>
      <c r="B142" s="11" t="n">
        <v>45991</v>
      </c>
      <c r="C142" t="n">
        <v>4030</v>
      </c>
      <c r="D142" t="inlineStr">
        <is>
          <t>Roofing</t>
        </is>
      </c>
      <c r="E142" s="9" t="n">
        <v>0</v>
      </c>
      <c r="F142" s="9" t="n">
        <v>20140.11</v>
      </c>
      <c r="G142" t="inlineStr">
        <is>
          <t>Reclass 2025-11 income from 200 to 4030 (Roofing)</t>
        </is>
      </c>
      <c r="H142" s="9">
        <f>ROUND(SUMIFS('Recode Journals'!$E$5:$E$366,'Recode Journals'!$A$5:$A$366,A142)-SUMIFS('Recode Journals'!$F$5:$F$366,'Recode Journals'!$A$5:$A$366,A142),2)</f>
        <v>0</v>
      </c>
    </row>
    <row r="143">
      <c r="A143" t="inlineStr">
        <is>
          <t>MJ-202511</t>
        </is>
      </c>
      <c r="B143" s="11" t="n">
        <v>45991</v>
      </c>
      <c r="C143" t="n">
        <v>200</v>
      </c>
      <c r="D143" t="inlineStr"/>
      <c r="E143" s="9" t="n">
        <v>950</v>
      </c>
      <c r="F143" s="9" t="n">
        <v>0</v>
      </c>
      <c r="G143" t="inlineStr">
        <is>
          <t>Reclass 2025-11 income from 200 to 835 (Fencing)</t>
        </is>
      </c>
      <c r="H143" s="9">
        <f>ROUND(SUMIFS('Recode Journals'!$E$5:$E$366,'Recode Journals'!$A$5:$A$366,A143)-SUMIFS('Recode Journals'!$F$5:$F$366,'Recode Journals'!$A$5:$A$366,A143),2)</f>
        <v>0</v>
      </c>
    </row>
    <row r="144">
      <c r="A144" t="inlineStr">
        <is>
          <t>MJ-202511</t>
        </is>
      </c>
      <c r="B144" s="11" t="n">
        <v>45991</v>
      </c>
      <c r="C144" t="n">
        <v>835</v>
      </c>
      <c r="D144" t="inlineStr"/>
      <c r="E144" s="9" t="n">
        <v>0</v>
      </c>
      <c r="F144" s="9" t="n">
        <v>950</v>
      </c>
      <c r="G144" t="inlineStr">
        <is>
          <t>Reclass 2025-11 income from 200 to 835 (Fencing)</t>
        </is>
      </c>
      <c r="H144" s="9">
        <f>ROUND(SUMIFS('Recode Journals'!$E$5:$E$366,'Recode Journals'!$A$5:$A$366,A144)-SUMIFS('Recode Journals'!$F$5:$F$366,'Recode Journals'!$A$5:$A$366,A144),2)</f>
        <v>0</v>
      </c>
    </row>
    <row r="145">
      <c r="A145" t="inlineStr">
        <is>
          <t>MJ-202511</t>
        </is>
      </c>
      <c r="B145" s="11" t="n">
        <v>45991</v>
      </c>
      <c r="C145" t="n">
        <v>260</v>
      </c>
      <c r="D145" t="inlineStr"/>
      <c r="E145" s="9" t="n">
        <v>3015</v>
      </c>
      <c r="F145" s="9" t="n">
        <v>0</v>
      </c>
      <c r="G145" t="inlineStr">
        <is>
          <t>Reclass 2025-11 income from 260 to 4010 (Fencing)</t>
        </is>
      </c>
      <c r="H145" s="9">
        <f>ROUND(SUMIFS('Recode Journals'!$E$5:$E$366,'Recode Journals'!$A$5:$A$366,A145)-SUMIFS('Recode Journals'!$F$5:$F$366,'Recode Journals'!$A$5:$A$366,A145),2)</f>
        <v>0</v>
      </c>
    </row>
    <row r="146">
      <c r="A146" t="inlineStr">
        <is>
          <t>MJ-202511</t>
        </is>
      </c>
      <c r="B146" s="11" t="n">
        <v>45991</v>
      </c>
      <c r="C146" t="n">
        <v>4010</v>
      </c>
      <c r="D146" t="inlineStr">
        <is>
          <t>Fencing</t>
        </is>
      </c>
      <c r="E146" s="9" t="n">
        <v>0</v>
      </c>
      <c r="F146" s="9" t="n">
        <v>3015</v>
      </c>
      <c r="G146" t="inlineStr">
        <is>
          <t>Reclass 2025-11 income from 260 to 4010 (Fencing)</t>
        </is>
      </c>
      <c r="H146" s="9">
        <f>ROUND(SUMIFS('Recode Journals'!$E$5:$E$366,'Recode Journals'!$A$5:$A$366,A146)-SUMIFS('Recode Journals'!$F$5:$F$366,'Recode Journals'!$A$5:$A$366,A146),2)</f>
        <v>0</v>
      </c>
    </row>
    <row r="147">
      <c r="A147" t="inlineStr">
        <is>
          <t>MJ-202511</t>
        </is>
      </c>
      <c r="B147" s="11" t="n">
        <v>45991</v>
      </c>
      <c r="C147" t="n">
        <v>260</v>
      </c>
      <c r="D147" t="inlineStr"/>
      <c r="E147" s="9" t="n">
        <v>745.8</v>
      </c>
      <c r="F147" s="9" t="n">
        <v>0</v>
      </c>
      <c r="G147" t="inlineStr">
        <is>
          <t>Reclass 2025-11 income from 260 to 4020 (Fencing)</t>
        </is>
      </c>
      <c r="H147" s="9">
        <f>ROUND(SUMIFS('Recode Journals'!$E$5:$E$366,'Recode Journals'!$A$5:$A$366,A147)-SUMIFS('Recode Journals'!$F$5:$F$366,'Recode Journals'!$A$5:$A$366,A147),2)</f>
        <v>0</v>
      </c>
    </row>
    <row r="148">
      <c r="A148" t="inlineStr">
        <is>
          <t>MJ-202511</t>
        </is>
      </c>
      <c r="B148" s="11" t="n">
        <v>45991</v>
      </c>
      <c r="C148" t="n">
        <v>4020</v>
      </c>
      <c r="D148" t="inlineStr">
        <is>
          <t>Fencing</t>
        </is>
      </c>
      <c r="E148" s="9" t="n">
        <v>0</v>
      </c>
      <c r="F148" s="9" t="n">
        <v>745.8</v>
      </c>
      <c r="G148" t="inlineStr">
        <is>
          <t>Reclass 2025-11 income from 260 to 4020 (Fencing)</t>
        </is>
      </c>
      <c r="H148" s="9">
        <f>ROUND(SUMIFS('Recode Journals'!$E$5:$E$366,'Recode Journals'!$A$5:$A$366,A148)-SUMIFS('Recode Journals'!$F$5:$F$366,'Recode Journals'!$A$5:$A$366,A148),2)</f>
        <v>0</v>
      </c>
    </row>
    <row r="149">
      <c r="A149" t="inlineStr">
        <is>
          <t>MJ-202511</t>
        </is>
      </c>
      <c r="B149" s="11" t="n">
        <v>45991</v>
      </c>
      <c r="C149" t="n">
        <v>260</v>
      </c>
      <c r="D149" t="inlineStr"/>
      <c r="E149" s="9" t="n">
        <v>560</v>
      </c>
      <c r="F149" s="9" t="n">
        <v>0</v>
      </c>
      <c r="G149" t="inlineStr">
        <is>
          <t>Reclass 2025-11 income from 260 to 4020 (Make-safe)</t>
        </is>
      </c>
      <c r="H149" s="9">
        <f>ROUND(SUMIFS('Recode Journals'!$E$5:$E$366,'Recode Journals'!$A$5:$A$366,A149)-SUMIFS('Recode Journals'!$F$5:$F$366,'Recode Journals'!$A$5:$A$366,A149),2)</f>
        <v>0</v>
      </c>
    </row>
    <row r="150">
      <c r="A150" t="inlineStr">
        <is>
          <t>MJ-202511</t>
        </is>
      </c>
      <c r="B150" s="11" t="n">
        <v>45991</v>
      </c>
      <c r="C150" t="n">
        <v>4020</v>
      </c>
      <c r="D150" t="inlineStr">
        <is>
          <t>Make-safe</t>
        </is>
      </c>
      <c r="E150" s="9" t="n">
        <v>0</v>
      </c>
      <c r="F150" s="9" t="n">
        <v>560</v>
      </c>
      <c r="G150" t="inlineStr">
        <is>
          <t>Reclass 2025-11 income from 260 to 4020 (Make-safe)</t>
        </is>
      </c>
      <c r="H150" s="9">
        <f>ROUND(SUMIFS('Recode Journals'!$E$5:$E$366,'Recode Journals'!$A$5:$A$366,A150)-SUMIFS('Recode Journals'!$F$5:$F$366,'Recode Journals'!$A$5:$A$366,A150),2)</f>
        <v>0</v>
      </c>
    </row>
    <row r="151">
      <c r="A151" t="inlineStr">
        <is>
          <t>MJ-202511</t>
        </is>
      </c>
      <c r="B151" s="11" t="n">
        <v>45991</v>
      </c>
      <c r="C151" t="n">
        <v>260</v>
      </c>
      <c r="D151" t="inlineStr"/>
      <c r="E151" s="9" t="n">
        <v>392</v>
      </c>
      <c r="F151" s="9" t="n">
        <v>0</v>
      </c>
      <c r="G151" t="inlineStr">
        <is>
          <t>Reclass 2025-11 income from 260 to 4020 (Roofing)</t>
        </is>
      </c>
      <c r="H151" s="9">
        <f>ROUND(SUMIFS('Recode Journals'!$E$5:$E$366,'Recode Journals'!$A$5:$A$366,A151)-SUMIFS('Recode Journals'!$F$5:$F$366,'Recode Journals'!$A$5:$A$366,A151),2)</f>
        <v>0</v>
      </c>
    </row>
    <row r="152">
      <c r="A152" t="inlineStr">
        <is>
          <t>MJ-202511</t>
        </is>
      </c>
      <c r="B152" s="11" t="n">
        <v>45991</v>
      </c>
      <c r="C152" t="n">
        <v>4020</v>
      </c>
      <c r="D152" t="inlineStr">
        <is>
          <t>Roofing</t>
        </is>
      </c>
      <c r="E152" s="9" t="n">
        <v>0</v>
      </c>
      <c r="F152" s="9" t="n">
        <v>392</v>
      </c>
      <c r="G152" t="inlineStr">
        <is>
          <t>Reclass 2025-11 income from 260 to 4020 (Roofing)</t>
        </is>
      </c>
      <c r="H152" s="9">
        <f>ROUND(SUMIFS('Recode Journals'!$E$5:$E$366,'Recode Journals'!$A$5:$A$366,A152)-SUMIFS('Recode Journals'!$F$5:$F$366,'Recode Journals'!$A$5:$A$366,A152),2)</f>
        <v>0</v>
      </c>
    </row>
    <row r="153">
      <c r="A153" t="inlineStr">
        <is>
          <t>MJ-202511</t>
        </is>
      </c>
      <c r="B153" s="11" t="n">
        <v>45991</v>
      </c>
      <c r="C153" t="n">
        <v>260</v>
      </c>
      <c r="D153" t="inlineStr"/>
      <c r="E153" s="9" t="n">
        <v>640</v>
      </c>
      <c r="F153" s="9" t="n">
        <v>0</v>
      </c>
      <c r="G153" t="inlineStr">
        <is>
          <t>Reclass 2025-11 income from 260 to 4020 (Scaffolding)</t>
        </is>
      </c>
      <c r="H153" s="9">
        <f>ROUND(SUMIFS('Recode Journals'!$E$5:$E$366,'Recode Journals'!$A$5:$A$366,A153)-SUMIFS('Recode Journals'!$F$5:$F$366,'Recode Journals'!$A$5:$A$366,A153),2)</f>
        <v>0</v>
      </c>
    </row>
    <row r="154">
      <c r="A154" t="inlineStr">
        <is>
          <t>MJ-202511</t>
        </is>
      </c>
      <c r="B154" s="11" t="n">
        <v>45991</v>
      </c>
      <c r="C154" t="n">
        <v>4020</v>
      </c>
      <c r="D154" t="inlineStr">
        <is>
          <t>Scaffolding</t>
        </is>
      </c>
      <c r="E154" s="9" t="n">
        <v>0</v>
      </c>
      <c r="F154" s="9" t="n">
        <v>640</v>
      </c>
      <c r="G154" t="inlineStr">
        <is>
          <t>Reclass 2025-11 income from 260 to 4020 (Scaffolding)</t>
        </is>
      </c>
      <c r="H154" s="9">
        <f>ROUND(SUMIFS('Recode Journals'!$E$5:$E$366,'Recode Journals'!$A$5:$A$366,A154)-SUMIFS('Recode Journals'!$F$5:$F$366,'Recode Journals'!$A$5:$A$366,A154),2)</f>
        <v>0</v>
      </c>
    </row>
    <row r="155">
      <c r="A155" t="inlineStr">
        <is>
          <t>MJ-202511</t>
        </is>
      </c>
      <c r="B155" s="11" t="n">
        <v>45991</v>
      </c>
      <c r="C155" t="n">
        <v>260</v>
      </c>
      <c r="D155" t="inlineStr"/>
      <c r="E155" s="9" t="n">
        <v>1412.81</v>
      </c>
      <c r="F155" s="9" t="n">
        <v>0</v>
      </c>
      <c r="G155" t="inlineStr">
        <is>
          <t>Reclass 2025-11 income from 260 to 4030 (Roofing)</t>
        </is>
      </c>
      <c r="H155" s="9">
        <f>ROUND(SUMIFS('Recode Journals'!$E$5:$E$366,'Recode Journals'!$A$5:$A$366,A155)-SUMIFS('Recode Journals'!$F$5:$F$366,'Recode Journals'!$A$5:$A$366,A155),2)</f>
        <v>0</v>
      </c>
    </row>
    <row r="156">
      <c r="A156" t="inlineStr">
        <is>
          <t>MJ-202511</t>
        </is>
      </c>
      <c r="B156" s="11" t="n">
        <v>45991</v>
      </c>
      <c r="C156" t="n">
        <v>4030</v>
      </c>
      <c r="D156" t="inlineStr">
        <is>
          <t>Roofing</t>
        </is>
      </c>
      <c r="E156" s="9" t="n">
        <v>0</v>
      </c>
      <c r="F156" s="9" t="n">
        <v>1412.81</v>
      </c>
      <c r="G156" t="inlineStr">
        <is>
          <t>Reclass 2025-11 income from 260 to 4030 (Roofing)</t>
        </is>
      </c>
      <c r="H156" s="9">
        <f>ROUND(SUMIFS('Recode Journals'!$E$5:$E$366,'Recode Journals'!$A$5:$A$366,A156)-SUMIFS('Recode Journals'!$F$5:$F$366,'Recode Journals'!$A$5:$A$366,A156),2)</f>
        <v>0</v>
      </c>
    </row>
    <row r="157">
      <c r="A157" t="inlineStr">
        <is>
          <t>MJ-202512</t>
        </is>
      </c>
      <c r="B157" s="11" t="n">
        <v>46022</v>
      </c>
      <c r="C157" t="n">
        <v>200</v>
      </c>
      <c r="D157" t="inlineStr"/>
      <c r="E157" s="9" t="n">
        <v>72484.5</v>
      </c>
      <c r="F157" s="9" t="n">
        <v>0</v>
      </c>
      <c r="G157" t="inlineStr">
        <is>
          <t>Reclass 2025-12 income from 200 to 4010 (Fencing)</t>
        </is>
      </c>
      <c r="H157" s="9">
        <f>ROUND(SUMIFS('Recode Journals'!$E$5:$E$366,'Recode Journals'!$A$5:$A$366,A157)-SUMIFS('Recode Journals'!$F$5:$F$366,'Recode Journals'!$A$5:$A$366,A157),2)</f>
        <v>0</v>
      </c>
    </row>
    <row r="158">
      <c r="A158" t="inlineStr">
        <is>
          <t>MJ-202512</t>
        </is>
      </c>
      <c r="B158" s="11" t="n">
        <v>46022</v>
      </c>
      <c r="C158" t="n">
        <v>4010</v>
      </c>
      <c r="D158" t="inlineStr">
        <is>
          <t>Fencing</t>
        </is>
      </c>
      <c r="E158" s="9" t="n">
        <v>0</v>
      </c>
      <c r="F158" s="9" t="n">
        <v>72484.5</v>
      </c>
      <c r="G158" t="inlineStr">
        <is>
          <t>Reclass 2025-12 income from 200 to 4010 (Fencing)</t>
        </is>
      </c>
      <c r="H158" s="9">
        <f>ROUND(SUMIFS('Recode Journals'!$E$5:$E$366,'Recode Journals'!$A$5:$A$366,A158)-SUMIFS('Recode Journals'!$F$5:$F$366,'Recode Journals'!$A$5:$A$366,A158),2)</f>
        <v>0</v>
      </c>
    </row>
    <row r="159">
      <c r="A159" t="inlineStr">
        <is>
          <t>MJ-202512</t>
        </is>
      </c>
      <c r="B159" s="11" t="n">
        <v>46022</v>
      </c>
      <c r="C159" t="n">
        <v>200</v>
      </c>
      <c r="D159" t="inlineStr"/>
      <c r="E159" s="9" t="n">
        <v>1750</v>
      </c>
      <c r="F159" s="9" t="n">
        <v>0</v>
      </c>
      <c r="G159" t="inlineStr">
        <is>
          <t>Reclass 2025-12 income from 200 to 4010 (Make-safe)</t>
        </is>
      </c>
      <c r="H159" s="9">
        <f>ROUND(SUMIFS('Recode Journals'!$E$5:$E$366,'Recode Journals'!$A$5:$A$366,A159)-SUMIFS('Recode Journals'!$F$5:$F$366,'Recode Journals'!$A$5:$A$366,A159),2)</f>
        <v>0</v>
      </c>
    </row>
    <row r="160">
      <c r="A160" t="inlineStr">
        <is>
          <t>MJ-202512</t>
        </is>
      </c>
      <c r="B160" s="11" t="n">
        <v>46022</v>
      </c>
      <c r="C160" t="n">
        <v>4010</v>
      </c>
      <c r="D160" t="inlineStr">
        <is>
          <t>Make-safe</t>
        </is>
      </c>
      <c r="E160" s="9" t="n">
        <v>0</v>
      </c>
      <c r="F160" s="9" t="n">
        <v>1750</v>
      </c>
      <c r="G160" t="inlineStr">
        <is>
          <t>Reclass 2025-12 income from 200 to 4010 (Make-safe)</t>
        </is>
      </c>
      <c r="H160" s="9">
        <f>ROUND(SUMIFS('Recode Journals'!$E$5:$E$366,'Recode Journals'!$A$5:$A$366,A160)-SUMIFS('Recode Journals'!$F$5:$F$366,'Recode Journals'!$A$5:$A$366,A160),2)</f>
        <v>0</v>
      </c>
    </row>
    <row r="161">
      <c r="A161" t="inlineStr">
        <is>
          <t>MJ-202512</t>
        </is>
      </c>
      <c r="B161" s="11" t="n">
        <v>46022</v>
      </c>
      <c r="C161" t="n">
        <v>200</v>
      </c>
      <c r="D161" t="inlineStr"/>
      <c r="E161" s="9" t="n">
        <v>4275</v>
      </c>
      <c r="F161" s="9" t="n">
        <v>0</v>
      </c>
      <c r="G161" t="inlineStr">
        <is>
          <t>Reclass 2025-12 income from 200 to 4010 (Scaffolding)</t>
        </is>
      </c>
      <c r="H161" s="9">
        <f>ROUND(SUMIFS('Recode Journals'!$E$5:$E$366,'Recode Journals'!$A$5:$A$366,A161)-SUMIFS('Recode Journals'!$F$5:$F$366,'Recode Journals'!$A$5:$A$366,A161),2)</f>
        <v>0</v>
      </c>
    </row>
    <row r="162">
      <c r="A162" t="inlineStr">
        <is>
          <t>MJ-202512</t>
        </is>
      </c>
      <c r="B162" s="11" t="n">
        <v>46022</v>
      </c>
      <c r="C162" t="n">
        <v>4010</v>
      </c>
      <c r="D162" t="inlineStr">
        <is>
          <t>Scaffolding</t>
        </is>
      </c>
      <c r="E162" s="9" t="n">
        <v>0</v>
      </c>
      <c r="F162" s="9" t="n">
        <v>4275</v>
      </c>
      <c r="G162" t="inlineStr">
        <is>
          <t>Reclass 2025-12 income from 200 to 4010 (Scaffolding)</t>
        </is>
      </c>
      <c r="H162" s="9">
        <f>ROUND(SUMIFS('Recode Journals'!$E$5:$E$366,'Recode Journals'!$A$5:$A$366,A162)-SUMIFS('Recode Journals'!$F$5:$F$366,'Recode Journals'!$A$5:$A$366,A162),2)</f>
        <v>0</v>
      </c>
    </row>
    <row r="163">
      <c r="A163" t="inlineStr">
        <is>
          <t>MJ-202512</t>
        </is>
      </c>
      <c r="B163" s="11" t="n">
        <v>46022</v>
      </c>
      <c r="C163" t="n">
        <v>200</v>
      </c>
      <c r="D163" t="inlineStr"/>
      <c r="E163" s="9" t="n">
        <v>6551.6</v>
      </c>
      <c r="F163" s="9" t="n">
        <v>0</v>
      </c>
      <c r="G163" t="inlineStr">
        <is>
          <t>Reclass 2025-12 income from 200 to 4020 (Fencing)</t>
        </is>
      </c>
      <c r="H163" s="9">
        <f>ROUND(SUMIFS('Recode Journals'!$E$5:$E$366,'Recode Journals'!$A$5:$A$366,A163)-SUMIFS('Recode Journals'!$F$5:$F$366,'Recode Journals'!$A$5:$A$366,A163),2)</f>
        <v>0</v>
      </c>
    </row>
    <row r="164">
      <c r="A164" t="inlineStr">
        <is>
          <t>MJ-202512</t>
        </is>
      </c>
      <c r="B164" s="11" t="n">
        <v>46022</v>
      </c>
      <c r="C164" t="n">
        <v>4020</v>
      </c>
      <c r="D164" t="inlineStr">
        <is>
          <t>Fencing</t>
        </is>
      </c>
      <c r="E164" s="9" t="n">
        <v>0</v>
      </c>
      <c r="F164" s="9" t="n">
        <v>6551.6</v>
      </c>
      <c r="G164" t="inlineStr">
        <is>
          <t>Reclass 2025-12 income from 200 to 4020 (Fencing)</t>
        </is>
      </c>
      <c r="H164" s="9">
        <f>ROUND(SUMIFS('Recode Journals'!$E$5:$E$366,'Recode Journals'!$A$5:$A$366,A164)-SUMIFS('Recode Journals'!$F$5:$F$366,'Recode Journals'!$A$5:$A$366,A164),2)</f>
        <v>0</v>
      </c>
    </row>
    <row r="165">
      <c r="A165" t="inlineStr">
        <is>
          <t>MJ-202512</t>
        </is>
      </c>
      <c r="B165" s="11" t="n">
        <v>46022</v>
      </c>
      <c r="C165" t="n">
        <v>200</v>
      </c>
      <c r="D165" t="inlineStr"/>
      <c r="E165" s="9" t="n">
        <v>10250</v>
      </c>
      <c r="F165" s="9" t="n">
        <v>0</v>
      </c>
      <c r="G165" t="inlineStr">
        <is>
          <t>Reclass 2025-12 income from 200 to 4020 (Make-safe)</t>
        </is>
      </c>
      <c r="H165" s="9">
        <f>ROUND(SUMIFS('Recode Journals'!$E$5:$E$366,'Recode Journals'!$A$5:$A$366,A165)-SUMIFS('Recode Journals'!$F$5:$F$366,'Recode Journals'!$A$5:$A$366,A165),2)</f>
        <v>0</v>
      </c>
    </row>
    <row r="166">
      <c r="A166" t="inlineStr">
        <is>
          <t>MJ-202512</t>
        </is>
      </c>
      <c r="B166" s="11" t="n">
        <v>46022</v>
      </c>
      <c r="C166" t="n">
        <v>4020</v>
      </c>
      <c r="D166" t="inlineStr">
        <is>
          <t>Make-safe</t>
        </is>
      </c>
      <c r="E166" s="9" t="n">
        <v>0</v>
      </c>
      <c r="F166" s="9" t="n">
        <v>10250</v>
      </c>
      <c r="G166" t="inlineStr">
        <is>
          <t>Reclass 2025-12 income from 200 to 4020 (Make-safe)</t>
        </is>
      </c>
      <c r="H166" s="9">
        <f>ROUND(SUMIFS('Recode Journals'!$E$5:$E$366,'Recode Journals'!$A$5:$A$366,A166)-SUMIFS('Recode Journals'!$F$5:$F$366,'Recode Journals'!$A$5:$A$366,A166),2)</f>
        <v>0</v>
      </c>
    </row>
    <row r="167">
      <c r="A167" t="inlineStr">
        <is>
          <t>MJ-202512</t>
        </is>
      </c>
      <c r="B167" s="11" t="n">
        <v>46022</v>
      </c>
      <c r="C167" t="n">
        <v>200</v>
      </c>
      <c r="D167" t="inlineStr"/>
      <c r="E167" s="9" t="n">
        <v>12936</v>
      </c>
      <c r="F167" s="9" t="n">
        <v>0</v>
      </c>
      <c r="G167" t="inlineStr">
        <is>
          <t>Reclass 2025-12 income from 200 to 4020 (Roofing)</t>
        </is>
      </c>
      <c r="H167" s="9">
        <f>ROUND(SUMIFS('Recode Journals'!$E$5:$E$366,'Recode Journals'!$A$5:$A$366,A167)-SUMIFS('Recode Journals'!$F$5:$F$366,'Recode Journals'!$A$5:$A$366,A167),2)</f>
        <v>0</v>
      </c>
    </row>
    <row r="168">
      <c r="A168" t="inlineStr">
        <is>
          <t>MJ-202512</t>
        </is>
      </c>
      <c r="B168" s="11" t="n">
        <v>46022</v>
      </c>
      <c r="C168" t="n">
        <v>4020</v>
      </c>
      <c r="D168" t="inlineStr">
        <is>
          <t>Roofing</t>
        </is>
      </c>
      <c r="E168" s="9" t="n">
        <v>0</v>
      </c>
      <c r="F168" s="9" t="n">
        <v>12936</v>
      </c>
      <c r="G168" t="inlineStr">
        <is>
          <t>Reclass 2025-12 income from 200 to 4020 (Roofing)</t>
        </is>
      </c>
      <c r="H168" s="9">
        <f>ROUND(SUMIFS('Recode Journals'!$E$5:$E$366,'Recode Journals'!$A$5:$A$366,A168)-SUMIFS('Recode Journals'!$F$5:$F$366,'Recode Journals'!$A$5:$A$366,A168),2)</f>
        <v>0</v>
      </c>
    </row>
    <row r="169">
      <c r="A169" t="inlineStr">
        <is>
          <t>MJ-202512</t>
        </is>
      </c>
      <c r="B169" s="11" t="n">
        <v>46022</v>
      </c>
      <c r="C169" t="n">
        <v>200</v>
      </c>
      <c r="D169" t="inlineStr"/>
      <c r="E169" s="9" t="n">
        <v>11600</v>
      </c>
      <c r="F169" s="9" t="n">
        <v>0</v>
      </c>
      <c r="G169" t="inlineStr">
        <is>
          <t>Reclass 2025-12 income from 200 to 4020 (Scaffolding)</t>
        </is>
      </c>
      <c r="H169" s="9">
        <f>ROUND(SUMIFS('Recode Journals'!$E$5:$E$366,'Recode Journals'!$A$5:$A$366,A169)-SUMIFS('Recode Journals'!$F$5:$F$366,'Recode Journals'!$A$5:$A$366,A169),2)</f>
        <v>0</v>
      </c>
    </row>
    <row r="170">
      <c r="A170" t="inlineStr">
        <is>
          <t>MJ-202512</t>
        </is>
      </c>
      <c r="B170" s="11" t="n">
        <v>46022</v>
      </c>
      <c r="C170" t="n">
        <v>4020</v>
      </c>
      <c r="D170" t="inlineStr">
        <is>
          <t>Scaffolding</t>
        </is>
      </c>
      <c r="E170" s="9" t="n">
        <v>0</v>
      </c>
      <c r="F170" s="9" t="n">
        <v>11600</v>
      </c>
      <c r="G170" t="inlineStr">
        <is>
          <t>Reclass 2025-12 income from 200 to 4020 (Scaffolding)</t>
        </is>
      </c>
      <c r="H170" s="9">
        <f>ROUND(SUMIFS('Recode Journals'!$E$5:$E$366,'Recode Journals'!$A$5:$A$366,A170)-SUMIFS('Recode Journals'!$F$5:$F$366,'Recode Journals'!$A$5:$A$366,A170),2)</f>
        <v>0</v>
      </c>
    </row>
    <row r="171">
      <c r="A171" t="inlineStr">
        <is>
          <t>MJ-202512</t>
        </is>
      </c>
      <c r="B171" s="11" t="n">
        <v>46022</v>
      </c>
      <c r="C171" t="n">
        <v>200</v>
      </c>
      <c r="D171" t="inlineStr"/>
      <c r="E171" s="9" t="n">
        <v>15941.33</v>
      </c>
      <c r="F171" s="9" t="n">
        <v>0</v>
      </c>
      <c r="G171" t="inlineStr">
        <is>
          <t>Reclass 2025-12 income from 200 to 4030 (Roofing)</t>
        </is>
      </c>
      <c r="H171" s="9">
        <f>ROUND(SUMIFS('Recode Journals'!$E$5:$E$366,'Recode Journals'!$A$5:$A$366,A171)-SUMIFS('Recode Journals'!$F$5:$F$366,'Recode Journals'!$A$5:$A$366,A171),2)</f>
        <v>0</v>
      </c>
    </row>
    <row r="172">
      <c r="A172" t="inlineStr">
        <is>
          <t>MJ-202512</t>
        </is>
      </c>
      <c r="B172" s="11" t="n">
        <v>46022</v>
      </c>
      <c r="C172" t="n">
        <v>4030</v>
      </c>
      <c r="D172" t="inlineStr">
        <is>
          <t>Roofing</t>
        </is>
      </c>
      <c r="E172" s="9" t="n">
        <v>0</v>
      </c>
      <c r="F172" s="9" t="n">
        <v>15941.33</v>
      </c>
      <c r="G172" t="inlineStr">
        <is>
          <t>Reclass 2025-12 income from 200 to 4030 (Roofing)</t>
        </is>
      </c>
      <c r="H172" s="9">
        <f>ROUND(SUMIFS('Recode Journals'!$E$5:$E$366,'Recode Journals'!$A$5:$A$366,A172)-SUMIFS('Recode Journals'!$F$5:$F$366,'Recode Journals'!$A$5:$A$366,A172),2)</f>
        <v>0</v>
      </c>
    </row>
    <row r="173">
      <c r="A173" t="inlineStr">
        <is>
          <t>MJ-202512</t>
        </is>
      </c>
      <c r="B173" s="11" t="n">
        <v>46022</v>
      </c>
      <c r="C173" t="n">
        <v>200</v>
      </c>
      <c r="D173" t="inlineStr"/>
      <c r="E173" s="9" t="n">
        <v>2900</v>
      </c>
      <c r="F173" s="9" t="n">
        <v>0</v>
      </c>
      <c r="G173" t="inlineStr">
        <is>
          <t>Reclass 2025-12 income from 200 to 4040 (Fencing)</t>
        </is>
      </c>
      <c r="H173" s="9">
        <f>ROUND(SUMIFS('Recode Journals'!$E$5:$E$366,'Recode Journals'!$A$5:$A$366,A173)-SUMIFS('Recode Journals'!$F$5:$F$366,'Recode Journals'!$A$5:$A$366,A173),2)</f>
        <v>0</v>
      </c>
    </row>
    <row r="174">
      <c r="A174" t="inlineStr">
        <is>
          <t>MJ-202512</t>
        </is>
      </c>
      <c r="B174" s="11" t="n">
        <v>46022</v>
      </c>
      <c r="C174" t="n">
        <v>4040</v>
      </c>
      <c r="D174" t="inlineStr">
        <is>
          <t>Fencing</t>
        </is>
      </c>
      <c r="E174" s="9" t="n">
        <v>0</v>
      </c>
      <c r="F174" s="9" t="n">
        <v>2900</v>
      </c>
      <c r="G174" t="inlineStr">
        <is>
          <t>Reclass 2025-12 income from 200 to 4040 (Fencing)</t>
        </is>
      </c>
      <c r="H174" s="9">
        <f>ROUND(SUMIFS('Recode Journals'!$E$5:$E$366,'Recode Journals'!$A$5:$A$366,A174)-SUMIFS('Recode Journals'!$F$5:$F$366,'Recode Journals'!$A$5:$A$366,A174),2)</f>
        <v>0</v>
      </c>
    </row>
    <row r="175">
      <c r="A175" t="inlineStr">
        <is>
          <t>MJ-202512</t>
        </is>
      </c>
      <c r="B175" s="11" t="n">
        <v>46022</v>
      </c>
      <c r="C175" t="n">
        <v>200</v>
      </c>
      <c r="D175" t="inlineStr"/>
      <c r="E175" s="9" t="n">
        <v>810</v>
      </c>
      <c r="F175" s="9" t="n">
        <v>0</v>
      </c>
      <c r="G175" t="inlineStr">
        <is>
          <t>Reclass 2025-12 income from 200 to 835 (Fencing)</t>
        </is>
      </c>
      <c r="H175" s="9">
        <f>ROUND(SUMIFS('Recode Journals'!$E$5:$E$366,'Recode Journals'!$A$5:$A$366,A175)-SUMIFS('Recode Journals'!$F$5:$F$366,'Recode Journals'!$A$5:$A$366,A175),2)</f>
        <v>0</v>
      </c>
    </row>
    <row r="176">
      <c r="A176" t="inlineStr">
        <is>
          <t>MJ-202512</t>
        </is>
      </c>
      <c r="B176" s="11" t="n">
        <v>46022</v>
      </c>
      <c r="C176" t="n">
        <v>835</v>
      </c>
      <c r="D176" t="inlineStr"/>
      <c r="E176" s="9" t="n">
        <v>0</v>
      </c>
      <c r="F176" s="9" t="n">
        <v>810</v>
      </c>
      <c r="G176" t="inlineStr">
        <is>
          <t>Reclass 2025-12 income from 200 to 835 (Fencing)</t>
        </is>
      </c>
      <c r="H176" s="9">
        <f>ROUND(SUMIFS('Recode Journals'!$E$5:$E$366,'Recode Journals'!$A$5:$A$366,A176)-SUMIFS('Recode Journals'!$F$5:$F$366,'Recode Journals'!$A$5:$A$366,A176),2)</f>
        <v>0</v>
      </c>
    </row>
    <row r="177">
      <c r="A177" t="inlineStr">
        <is>
          <t>MJ-202512</t>
        </is>
      </c>
      <c r="B177" s="11" t="n">
        <v>46022</v>
      </c>
      <c r="C177" t="n">
        <v>260</v>
      </c>
      <c r="D177" t="inlineStr"/>
      <c r="E177" s="9" t="n">
        <v>883.6</v>
      </c>
      <c r="F177" s="9" t="n">
        <v>0</v>
      </c>
      <c r="G177" t="inlineStr">
        <is>
          <t>Reclass 2025-12 income from 260 to 4010 (Fencing)</t>
        </is>
      </c>
      <c r="H177" s="9">
        <f>ROUND(SUMIFS('Recode Journals'!$E$5:$E$366,'Recode Journals'!$A$5:$A$366,A177)-SUMIFS('Recode Journals'!$F$5:$F$366,'Recode Journals'!$A$5:$A$366,A177),2)</f>
        <v>0</v>
      </c>
    </row>
    <row r="178">
      <c r="A178" t="inlineStr">
        <is>
          <t>MJ-202512</t>
        </is>
      </c>
      <c r="B178" s="11" t="n">
        <v>46022</v>
      </c>
      <c r="C178" t="n">
        <v>4010</v>
      </c>
      <c r="D178" t="inlineStr">
        <is>
          <t>Fencing</t>
        </is>
      </c>
      <c r="E178" s="9" t="n">
        <v>0</v>
      </c>
      <c r="F178" s="9" t="n">
        <v>883.6</v>
      </c>
      <c r="G178" t="inlineStr">
        <is>
          <t>Reclass 2025-12 income from 260 to 4010 (Fencing)</t>
        </is>
      </c>
      <c r="H178" s="9">
        <f>ROUND(SUMIFS('Recode Journals'!$E$5:$E$366,'Recode Journals'!$A$5:$A$366,A178)-SUMIFS('Recode Journals'!$F$5:$F$366,'Recode Journals'!$A$5:$A$366,A178),2)</f>
        <v>0</v>
      </c>
    </row>
    <row r="179">
      <c r="A179" t="inlineStr">
        <is>
          <t>MJ-202512</t>
        </is>
      </c>
      <c r="B179" s="11" t="n">
        <v>46022</v>
      </c>
      <c r="C179" t="n">
        <v>260</v>
      </c>
      <c r="D179" t="inlineStr"/>
      <c r="E179" s="9" t="n">
        <v>380</v>
      </c>
      <c r="F179" s="9" t="n">
        <v>0</v>
      </c>
      <c r="G179" t="inlineStr">
        <is>
          <t>Reclass 2025-12 income from 260 to 4010 (Scaffolding)</t>
        </is>
      </c>
      <c r="H179" s="9">
        <f>ROUND(SUMIFS('Recode Journals'!$E$5:$E$366,'Recode Journals'!$A$5:$A$366,A179)-SUMIFS('Recode Journals'!$F$5:$F$366,'Recode Journals'!$A$5:$A$366,A179),2)</f>
        <v>0</v>
      </c>
    </row>
    <row r="180">
      <c r="A180" t="inlineStr">
        <is>
          <t>MJ-202512</t>
        </is>
      </c>
      <c r="B180" s="11" t="n">
        <v>46022</v>
      </c>
      <c r="C180" t="n">
        <v>4010</v>
      </c>
      <c r="D180" t="inlineStr">
        <is>
          <t>Scaffolding</t>
        </is>
      </c>
      <c r="E180" s="9" t="n">
        <v>0</v>
      </c>
      <c r="F180" s="9" t="n">
        <v>380</v>
      </c>
      <c r="G180" t="inlineStr">
        <is>
          <t>Reclass 2025-12 income from 260 to 4010 (Scaffolding)</t>
        </is>
      </c>
      <c r="H180" s="9">
        <f>ROUND(SUMIFS('Recode Journals'!$E$5:$E$366,'Recode Journals'!$A$5:$A$366,A180)-SUMIFS('Recode Journals'!$F$5:$F$366,'Recode Journals'!$A$5:$A$366,A180),2)</f>
        <v>0</v>
      </c>
    </row>
    <row r="181">
      <c r="A181" t="inlineStr">
        <is>
          <t>MJ-202512</t>
        </is>
      </c>
      <c r="B181" s="11" t="n">
        <v>46022</v>
      </c>
      <c r="C181" t="n">
        <v>260</v>
      </c>
      <c r="D181" t="inlineStr"/>
      <c r="E181" s="9" t="n">
        <v>1155</v>
      </c>
      <c r="F181" s="9" t="n">
        <v>0</v>
      </c>
      <c r="G181" t="inlineStr">
        <is>
          <t>Reclass 2025-12 income from 260 to 4020 (Fencing)</t>
        </is>
      </c>
      <c r="H181" s="9">
        <f>ROUND(SUMIFS('Recode Journals'!$E$5:$E$366,'Recode Journals'!$A$5:$A$366,A181)-SUMIFS('Recode Journals'!$F$5:$F$366,'Recode Journals'!$A$5:$A$366,A181),2)</f>
        <v>0</v>
      </c>
    </row>
    <row r="182">
      <c r="A182" t="inlineStr">
        <is>
          <t>MJ-202512</t>
        </is>
      </c>
      <c r="B182" s="11" t="n">
        <v>46022</v>
      </c>
      <c r="C182" t="n">
        <v>4020</v>
      </c>
      <c r="D182" t="inlineStr">
        <is>
          <t>Fencing</t>
        </is>
      </c>
      <c r="E182" s="9" t="n">
        <v>0</v>
      </c>
      <c r="F182" s="9" t="n">
        <v>1155</v>
      </c>
      <c r="G182" t="inlineStr">
        <is>
          <t>Reclass 2025-12 income from 260 to 4020 (Fencing)</t>
        </is>
      </c>
      <c r="H182" s="9">
        <f>ROUND(SUMIFS('Recode Journals'!$E$5:$E$366,'Recode Journals'!$A$5:$A$366,A182)-SUMIFS('Recode Journals'!$F$5:$F$366,'Recode Journals'!$A$5:$A$366,A182),2)</f>
        <v>0</v>
      </c>
    </row>
    <row r="183">
      <c r="A183" t="inlineStr">
        <is>
          <t>MJ-202512</t>
        </is>
      </c>
      <c r="B183" s="11" t="n">
        <v>46022</v>
      </c>
      <c r="C183" t="n">
        <v>260</v>
      </c>
      <c r="D183" t="inlineStr"/>
      <c r="E183" s="9" t="n">
        <v>625</v>
      </c>
      <c r="F183" s="9" t="n">
        <v>0</v>
      </c>
      <c r="G183" t="inlineStr">
        <is>
          <t>Reclass 2025-12 income from 260 to 4020 (Make-safe)</t>
        </is>
      </c>
      <c r="H183" s="9">
        <f>ROUND(SUMIFS('Recode Journals'!$E$5:$E$366,'Recode Journals'!$A$5:$A$366,A183)-SUMIFS('Recode Journals'!$F$5:$F$366,'Recode Journals'!$A$5:$A$366,A183),2)</f>
        <v>0</v>
      </c>
    </row>
    <row r="184">
      <c r="A184" t="inlineStr">
        <is>
          <t>MJ-202512</t>
        </is>
      </c>
      <c r="B184" s="11" t="n">
        <v>46022</v>
      </c>
      <c r="C184" t="n">
        <v>4020</v>
      </c>
      <c r="D184" t="inlineStr">
        <is>
          <t>Make-safe</t>
        </is>
      </c>
      <c r="E184" s="9" t="n">
        <v>0</v>
      </c>
      <c r="F184" s="9" t="n">
        <v>625</v>
      </c>
      <c r="G184" t="inlineStr">
        <is>
          <t>Reclass 2025-12 income from 260 to 4020 (Make-safe)</t>
        </is>
      </c>
      <c r="H184" s="9">
        <f>ROUND(SUMIFS('Recode Journals'!$E$5:$E$366,'Recode Journals'!$A$5:$A$366,A184)-SUMIFS('Recode Journals'!$F$5:$F$366,'Recode Journals'!$A$5:$A$366,A184),2)</f>
        <v>0</v>
      </c>
    </row>
    <row r="185">
      <c r="A185" t="inlineStr">
        <is>
          <t>MJ-202512</t>
        </is>
      </c>
      <c r="B185" s="11" t="n">
        <v>46022</v>
      </c>
      <c r="C185" t="n">
        <v>260</v>
      </c>
      <c r="D185" t="inlineStr"/>
      <c r="E185" s="9" t="n">
        <v>1564.41</v>
      </c>
      <c r="F185" s="9" t="n">
        <v>0</v>
      </c>
      <c r="G185" t="inlineStr">
        <is>
          <t>Reclass 2025-12 income from 260 to 4030 (Roofing)</t>
        </is>
      </c>
      <c r="H185" s="9">
        <f>ROUND(SUMIFS('Recode Journals'!$E$5:$E$366,'Recode Journals'!$A$5:$A$366,A185)-SUMIFS('Recode Journals'!$F$5:$F$366,'Recode Journals'!$A$5:$A$366,A185),2)</f>
        <v>0</v>
      </c>
    </row>
    <row r="186">
      <c r="A186" t="inlineStr">
        <is>
          <t>MJ-202512</t>
        </is>
      </c>
      <c r="B186" s="11" t="n">
        <v>46022</v>
      </c>
      <c r="C186" t="n">
        <v>4030</v>
      </c>
      <c r="D186" t="inlineStr">
        <is>
          <t>Roofing</t>
        </is>
      </c>
      <c r="E186" s="9" t="n">
        <v>0</v>
      </c>
      <c r="F186" s="9" t="n">
        <v>1564.41</v>
      </c>
      <c r="G186" t="inlineStr">
        <is>
          <t>Reclass 2025-12 income from 260 to 4030 (Roofing)</t>
        </is>
      </c>
      <c r="H186" s="9">
        <f>ROUND(SUMIFS('Recode Journals'!$E$5:$E$366,'Recode Journals'!$A$5:$A$366,A186)-SUMIFS('Recode Journals'!$F$5:$F$366,'Recode Journals'!$A$5:$A$366,A186),2)</f>
        <v>0</v>
      </c>
    </row>
    <row r="187">
      <c r="A187" t="inlineStr">
        <is>
          <t>MJ-202601</t>
        </is>
      </c>
      <c r="B187" s="11" t="n">
        <v>46053</v>
      </c>
      <c r="C187" t="n">
        <v>200</v>
      </c>
      <c r="D187" t="inlineStr"/>
      <c r="E187" s="9" t="n">
        <v>77995.89999999999</v>
      </c>
      <c r="F187" s="9" t="n">
        <v>0</v>
      </c>
      <c r="G187" t="inlineStr">
        <is>
          <t>Reclass 2026-01 income from 200 to 4010 (Fencing)</t>
        </is>
      </c>
      <c r="H187" s="9">
        <f>ROUND(SUMIFS('Recode Journals'!$E$5:$E$366,'Recode Journals'!$A$5:$A$366,A187)-SUMIFS('Recode Journals'!$F$5:$F$366,'Recode Journals'!$A$5:$A$366,A187),2)</f>
        <v>0</v>
      </c>
    </row>
    <row r="188">
      <c r="A188" t="inlineStr">
        <is>
          <t>MJ-202601</t>
        </is>
      </c>
      <c r="B188" s="11" t="n">
        <v>46053</v>
      </c>
      <c r="C188" t="n">
        <v>4010</v>
      </c>
      <c r="D188" t="inlineStr">
        <is>
          <t>Fencing</t>
        </is>
      </c>
      <c r="E188" s="9" t="n">
        <v>0</v>
      </c>
      <c r="F188" s="9" t="n">
        <v>77995.89999999999</v>
      </c>
      <c r="G188" t="inlineStr">
        <is>
          <t>Reclass 2026-01 income from 200 to 4010 (Fencing)</t>
        </is>
      </c>
      <c r="H188" s="9">
        <f>ROUND(SUMIFS('Recode Journals'!$E$5:$E$366,'Recode Journals'!$A$5:$A$366,A188)-SUMIFS('Recode Journals'!$F$5:$F$366,'Recode Journals'!$A$5:$A$366,A188),2)</f>
        <v>0</v>
      </c>
    </row>
    <row r="189">
      <c r="A189" t="inlineStr">
        <is>
          <t>MJ-202601</t>
        </is>
      </c>
      <c r="B189" s="11" t="n">
        <v>46053</v>
      </c>
      <c r="C189" t="n">
        <v>200</v>
      </c>
      <c r="D189" t="inlineStr"/>
      <c r="E189" s="9" t="n">
        <v>2520</v>
      </c>
      <c r="F189" s="9" t="n">
        <v>0</v>
      </c>
      <c r="G189" t="inlineStr">
        <is>
          <t>Reclass 2026-01 income from 200 to 4010 (Make-safe)</t>
        </is>
      </c>
      <c r="H189" s="9">
        <f>ROUND(SUMIFS('Recode Journals'!$E$5:$E$366,'Recode Journals'!$A$5:$A$366,A189)-SUMIFS('Recode Journals'!$F$5:$F$366,'Recode Journals'!$A$5:$A$366,A189),2)</f>
        <v>0</v>
      </c>
    </row>
    <row r="190">
      <c r="A190" t="inlineStr">
        <is>
          <t>MJ-202601</t>
        </is>
      </c>
      <c r="B190" s="11" t="n">
        <v>46053</v>
      </c>
      <c r="C190" t="n">
        <v>4010</v>
      </c>
      <c r="D190" t="inlineStr">
        <is>
          <t>Make-safe</t>
        </is>
      </c>
      <c r="E190" s="9" t="n">
        <v>0</v>
      </c>
      <c r="F190" s="9" t="n">
        <v>2520</v>
      </c>
      <c r="G190" t="inlineStr">
        <is>
          <t>Reclass 2026-01 income from 200 to 4010 (Make-safe)</t>
        </is>
      </c>
      <c r="H190" s="9">
        <f>ROUND(SUMIFS('Recode Journals'!$E$5:$E$366,'Recode Journals'!$A$5:$A$366,A190)-SUMIFS('Recode Journals'!$F$5:$F$366,'Recode Journals'!$A$5:$A$366,A190),2)</f>
        <v>0</v>
      </c>
    </row>
    <row r="191">
      <c r="A191" t="inlineStr">
        <is>
          <t>MJ-202601</t>
        </is>
      </c>
      <c r="B191" s="11" t="n">
        <v>46053</v>
      </c>
      <c r="C191" t="n">
        <v>200</v>
      </c>
      <c r="D191" t="inlineStr"/>
      <c r="E191" s="9" t="n">
        <v>10355</v>
      </c>
      <c r="F191" s="9" t="n">
        <v>0</v>
      </c>
      <c r="G191" t="inlineStr">
        <is>
          <t>Reclass 2026-01 income from 200 to 4010 (Scaffolding)</t>
        </is>
      </c>
      <c r="H191" s="9">
        <f>ROUND(SUMIFS('Recode Journals'!$E$5:$E$366,'Recode Journals'!$A$5:$A$366,A191)-SUMIFS('Recode Journals'!$F$5:$F$366,'Recode Journals'!$A$5:$A$366,A191),2)</f>
        <v>0</v>
      </c>
    </row>
    <row r="192">
      <c r="A192" t="inlineStr">
        <is>
          <t>MJ-202601</t>
        </is>
      </c>
      <c r="B192" s="11" t="n">
        <v>46053</v>
      </c>
      <c r="C192" t="n">
        <v>4010</v>
      </c>
      <c r="D192" t="inlineStr">
        <is>
          <t>Scaffolding</t>
        </is>
      </c>
      <c r="E192" s="9" t="n">
        <v>0</v>
      </c>
      <c r="F192" s="9" t="n">
        <v>10355</v>
      </c>
      <c r="G192" t="inlineStr">
        <is>
          <t>Reclass 2026-01 income from 200 to 4010 (Scaffolding)</t>
        </is>
      </c>
      <c r="H192" s="9">
        <f>ROUND(SUMIFS('Recode Journals'!$E$5:$E$366,'Recode Journals'!$A$5:$A$366,A192)-SUMIFS('Recode Journals'!$F$5:$F$366,'Recode Journals'!$A$5:$A$366,A192),2)</f>
        <v>0</v>
      </c>
    </row>
    <row r="193">
      <c r="A193" t="inlineStr">
        <is>
          <t>MJ-202601</t>
        </is>
      </c>
      <c r="B193" s="11" t="n">
        <v>46053</v>
      </c>
      <c r="C193" t="n">
        <v>200</v>
      </c>
      <c r="D193" t="inlineStr"/>
      <c r="E193" s="9" t="n">
        <v>7090.6</v>
      </c>
      <c r="F193" s="9" t="n">
        <v>0</v>
      </c>
      <c r="G193" t="inlineStr">
        <is>
          <t>Reclass 2026-01 income from 200 to 4020 (Fencing)</t>
        </is>
      </c>
      <c r="H193" s="9">
        <f>ROUND(SUMIFS('Recode Journals'!$E$5:$E$366,'Recode Journals'!$A$5:$A$366,A193)-SUMIFS('Recode Journals'!$F$5:$F$366,'Recode Journals'!$A$5:$A$366,A193),2)</f>
        <v>0</v>
      </c>
    </row>
    <row r="194">
      <c r="A194" t="inlineStr">
        <is>
          <t>MJ-202601</t>
        </is>
      </c>
      <c r="B194" s="11" t="n">
        <v>46053</v>
      </c>
      <c r="C194" t="n">
        <v>4020</v>
      </c>
      <c r="D194" t="inlineStr">
        <is>
          <t>Fencing</t>
        </is>
      </c>
      <c r="E194" s="9" t="n">
        <v>0</v>
      </c>
      <c r="F194" s="9" t="n">
        <v>7090.6</v>
      </c>
      <c r="G194" t="inlineStr">
        <is>
          <t>Reclass 2026-01 income from 200 to 4020 (Fencing)</t>
        </is>
      </c>
      <c r="H194" s="9">
        <f>ROUND(SUMIFS('Recode Journals'!$E$5:$E$366,'Recode Journals'!$A$5:$A$366,A194)-SUMIFS('Recode Journals'!$F$5:$F$366,'Recode Journals'!$A$5:$A$366,A194),2)</f>
        <v>0</v>
      </c>
    </row>
    <row r="195">
      <c r="A195" t="inlineStr">
        <is>
          <t>MJ-202601</t>
        </is>
      </c>
      <c r="B195" s="11" t="n">
        <v>46053</v>
      </c>
      <c r="C195" t="n">
        <v>200</v>
      </c>
      <c r="D195" t="inlineStr"/>
      <c r="E195" s="9" t="n">
        <v>11290</v>
      </c>
      <c r="F195" s="9" t="n">
        <v>0</v>
      </c>
      <c r="G195" t="inlineStr">
        <is>
          <t>Reclass 2026-01 income from 200 to 4020 (Make-safe)</t>
        </is>
      </c>
      <c r="H195" s="9">
        <f>ROUND(SUMIFS('Recode Journals'!$E$5:$E$366,'Recode Journals'!$A$5:$A$366,A195)-SUMIFS('Recode Journals'!$F$5:$F$366,'Recode Journals'!$A$5:$A$366,A195),2)</f>
        <v>0</v>
      </c>
    </row>
    <row r="196">
      <c r="A196" t="inlineStr">
        <is>
          <t>MJ-202601</t>
        </is>
      </c>
      <c r="B196" s="11" t="n">
        <v>46053</v>
      </c>
      <c r="C196" t="n">
        <v>4020</v>
      </c>
      <c r="D196" t="inlineStr">
        <is>
          <t>Make-safe</t>
        </is>
      </c>
      <c r="E196" s="9" t="n">
        <v>0</v>
      </c>
      <c r="F196" s="9" t="n">
        <v>11290</v>
      </c>
      <c r="G196" t="inlineStr">
        <is>
          <t>Reclass 2026-01 income from 200 to 4020 (Make-safe)</t>
        </is>
      </c>
      <c r="H196" s="9">
        <f>ROUND(SUMIFS('Recode Journals'!$E$5:$E$366,'Recode Journals'!$A$5:$A$366,A196)-SUMIFS('Recode Journals'!$F$5:$F$366,'Recode Journals'!$A$5:$A$366,A196),2)</f>
        <v>0</v>
      </c>
    </row>
    <row r="197">
      <c r="A197" t="inlineStr">
        <is>
          <t>MJ-202601</t>
        </is>
      </c>
      <c r="B197" s="11" t="n">
        <v>46053</v>
      </c>
      <c r="C197" t="n">
        <v>200</v>
      </c>
      <c r="D197" t="inlineStr"/>
      <c r="E197" s="9" t="n">
        <v>12642</v>
      </c>
      <c r="F197" s="9" t="n">
        <v>0</v>
      </c>
      <c r="G197" t="inlineStr">
        <is>
          <t>Reclass 2026-01 income from 200 to 4020 (Roofing)</t>
        </is>
      </c>
      <c r="H197" s="9">
        <f>ROUND(SUMIFS('Recode Journals'!$E$5:$E$366,'Recode Journals'!$A$5:$A$366,A197)-SUMIFS('Recode Journals'!$F$5:$F$366,'Recode Journals'!$A$5:$A$366,A197),2)</f>
        <v>0</v>
      </c>
    </row>
    <row r="198">
      <c r="A198" t="inlineStr">
        <is>
          <t>MJ-202601</t>
        </is>
      </c>
      <c r="B198" s="11" t="n">
        <v>46053</v>
      </c>
      <c r="C198" t="n">
        <v>4020</v>
      </c>
      <c r="D198" t="inlineStr">
        <is>
          <t>Roofing</t>
        </is>
      </c>
      <c r="E198" s="9" t="n">
        <v>0</v>
      </c>
      <c r="F198" s="9" t="n">
        <v>12642</v>
      </c>
      <c r="G198" t="inlineStr">
        <is>
          <t>Reclass 2026-01 income from 200 to 4020 (Roofing)</t>
        </is>
      </c>
      <c r="H198" s="9">
        <f>ROUND(SUMIFS('Recode Journals'!$E$5:$E$366,'Recode Journals'!$A$5:$A$366,A198)-SUMIFS('Recode Journals'!$F$5:$F$366,'Recode Journals'!$A$5:$A$366,A198),2)</f>
        <v>0</v>
      </c>
    </row>
    <row r="199">
      <c r="A199" t="inlineStr">
        <is>
          <t>MJ-202601</t>
        </is>
      </c>
      <c r="B199" s="11" t="n">
        <v>46053</v>
      </c>
      <c r="C199" t="n">
        <v>200</v>
      </c>
      <c r="D199" t="inlineStr"/>
      <c r="E199" s="9" t="n">
        <v>9840</v>
      </c>
      <c r="F199" s="9" t="n">
        <v>0</v>
      </c>
      <c r="G199" t="inlineStr">
        <is>
          <t>Reclass 2026-01 income from 200 to 4020 (Scaffolding)</t>
        </is>
      </c>
      <c r="H199" s="9">
        <f>ROUND(SUMIFS('Recode Journals'!$E$5:$E$366,'Recode Journals'!$A$5:$A$366,A199)-SUMIFS('Recode Journals'!$F$5:$F$366,'Recode Journals'!$A$5:$A$366,A199),2)</f>
        <v>0</v>
      </c>
    </row>
    <row r="200">
      <c r="A200" t="inlineStr">
        <is>
          <t>MJ-202601</t>
        </is>
      </c>
      <c r="B200" s="11" t="n">
        <v>46053</v>
      </c>
      <c r="C200" t="n">
        <v>4020</v>
      </c>
      <c r="D200" t="inlineStr">
        <is>
          <t>Scaffolding</t>
        </is>
      </c>
      <c r="E200" s="9" t="n">
        <v>0</v>
      </c>
      <c r="F200" s="9" t="n">
        <v>9840</v>
      </c>
      <c r="G200" t="inlineStr">
        <is>
          <t>Reclass 2026-01 income from 200 to 4020 (Scaffolding)</t>
        </is>
      </c>
      <c r="H200" s="9">
        <f>ROUND(SUMIFS('Recode Journals'!$E$5:$E$366,'Recode Journals'!$A$5:$A$366,A200)-SUMIFS('Recode Journals'!$F$5:$F$366,'Recode Journals'!$A$5:$A$366,A200),2)</f>
        <v>0</v>
      </c>
    </row>
    <row r="201">
      <c r="A201" t="inlineStr">
        <is>
          <t>MJ-202601</t>
        </is>
      </c>
      <c r="B201" s="11" t="n">
        <v>46053</v>
      </c>
      <c r="C201" t="n">
        <v>200</v>
      </c>
      <c r="D201" t="inlineStr"/>
      <c r="E201" s="9" t="n">
        <v>16021.88</v>
      </c>
      <c r="F201" s="9" t="n">
        <v>0</v>
      </c>
      <c r="G201" t="inlineStr">
        <is>
          <t>Reclass 2026-01 income from 200 to 4030 (Roofing)</t>
        </is>
      </c>
      <c r="H201" s="9">
        <f>ROUND(SUMIFS('Recode Journals'!$E$5:$E$366,'Recode Journals'!$A$5:$A$366,A201)-SUMIFS('Recode Journals'!$F$5:$F$366,'Recode Journals'!$A$5:$A$366,A201),2)</f>
        <v>0</v>
      </c>
    </row>
    <row r="202">
      <c r="A202" t="inlineStr">
        <is>
          <t>MJ-202601</t>
        </is>
      </c>
      <c r="B202" s="11" t="n">
        <v>46053</v>
      </c>
      <c r="C202" t="n">
        <v>4030</v>
      </c>
      <c r="D202" t="inlineStr">
        <is>
          <t>Roofing</t>
        </is>
      </c>
      <c r="E202" s="9" t="n">
        <v>0</v>
      </c>
      <c r="F202" s="9" t="n">
        <v>16021.88</v>
      </c>
      <c r="G202" t="inlineStr">
        <is>
          <t>Reclass 2026-01 income from 200 to 4030 (Roofing)</t>
        </is>
      </c>
      <c r="H202" s="9">
        <f>ROUND(SUMIFS('Recode Journals'!$E$5:$E$366,'Recode Journals'!$A$5:$A$366,A202)-SUMIFS('Recode Journals'!$F$5:$F$366,'Recode Journals'!$A$5:$A$366,A202),2)</f>
        <v>0</v>
      </c>
    </row>
    <row r="203">
      <c r="A203" t="inlineStr">
        <is>
          <t>MJ-202601</t>
        </is>
      </c>
      <c r="B203" s="11" t="n">
        <v>46053</v>
      </c>
      <c r="C203" t="n">
        <v>200</v>
      </c>
      <c r="D203" t="inlineStr"/>
      <c r="E203" s="9" t="n">
        <v>200</v>
      </c>
      <c r="F203" s="9" t="n">
        <v>0</v>
      </c>
      <c r="G203" t="inlineStr">
        <is>
          <t>Reclass 2026-01 income from 200 to 835 (Fencing)</t>
        </is>
      </c>
      <c r="H203" s="9">
        <f>ROUND(SUMIFS('Recode Journals'!$E$5:$E$366,'Recode Journals'!$A$5:$A$366,A203)-SUMIFS('Recode Journals'!$F$5:$F$366,'Recode Journals'!$A$5:$A$366,A203),2)</f>
        <v>0</v>
      </c>
    </row>
    <row r="204">
      <c r="A204" t="inlineStr">
        <is>
          <t>MJ-202601</t>
        </is>
      </c>
      <c r="B204" s="11" t="n">
        <v>46053</v>
      </c>
      <c r="C204" t="n">
        <v>835</v>
      </c>
      <c r="D204" t="inlineStr"/>
      <c r="E204" s="9" t="n">
        <v>0</v>
      </c>
      <c r="F204" s="9" t="n">
        <v>200</v>
      </c>
      <c r="G204" t="inlineStr">
        <is>
          <t>Reclass 2026-01 income from 200 to 835 (Fencing)</t>
        </is>
      </c>
      <c r="H204" s="9">
        <f>ROUND(SUMIFS('Recode Journals'!$E$5:$E$366,'Recode Journals'!$A$5:$A$366,A204)-SUMIFS('Recode Journals'!$F$5:$F$366,'Recode Journals'!$A$5:$A$366,A204),2)</f>
        <v>0</v>
      </c>
    </row>
    <row r="205">
      <c r="A205" t="inlineStr">
        <is>
          <t>MJ-202601</t>
        </is>
      </c>
      <c r="B205" s="11" t="n">
        <v>46053</v>
      </c>
      <c r="C205" t="n">
        <v>260</v>
      </c>
      <c r="D205" t="inlineStr"/>
      <c r="E205" s="9" t="n">
        <v>3802.5</v>
      </c>
      <c r="F205" s="9" t="n">
        <v>0</v>
      </c>
      <c r="G205" t="inlineStr">
        <is>
          <t>Reclass 2026-01 income from 260 to 4010 (Fencing)</t>
        </is>
      </c>
      <c r="H205" s="9">
        <f>ROUND(SUMIFS('Recode Journals'!$E$5:$E$366,'Recode Journals'!$A$5:$A$366,A205)-SUMIFS('Recode Journals'!$F$5:$F$366,'Recode Journals'!$A$5:$A$366,A205),2)</f>
        <v>0</v>
      </c>
    </row>
    <row r="206">
      <c r="A206" t="inlineStr">
        <is>
          <t>MJ-202601</t>
        </is>
      </c>
      <c r="B206" s="11" t="n">
        <v>46053</v>
      </c>
      <c r="C206" t="n">
        <v>4010</v>
      </c>
      <c r="D206" t="inlineStr">
        <is>
          <t>Fencing</t>
        </is>
      </c>
      <c r="E206" s="9" t="n">
        <v>0</v>
      </c>
      <c r="F206" s="9" t="n">
        <v>3802.5</v>
      </c>
      <c r="G206" t="inlineStr">
        <is>
          <t>Reclass 2026-01 income from 260 to 4010 (Fencing)</t>
        </is>
      </c>
      <c r="H206" s="9">
        <f>ROUND(SUMIFS('Recode Journals'!$E$5:$E$366,'Recode Journals'!$A$5:$A$366,A206)-SUMIFS('Recode Journals'!$F$5:$F$366,'Recode Journals'!$A$5:$A$366,A206),2)</f>
        <v>0</v>
      </c>
    </row>
    <row r="207">
      <c r="A207" t="inlineStr">
        <is>
          <t>MJ-202601</t>
        </is>
      </c>
      <c r="B207" s="11" t="n">
        <v>46053</v>
      </c>
      <c r="C207" t="n">
        <v>260</v>
      </c>
      <c r="D207" t="inlineStr"/>
      <c r="E207" s="9" t="n">
        <v>95</v>
      </c>
      <c r="F207" s="9" t="n">
        <v>0</v>
      </c>
      <c r="G207" t="inlineStr">
        <is>
          <t>Reclass 2026-01 income from 260 to 4010 (Scaffolding)</t>
        </is>
      </c>
      <c r="H207" s="9">
        <f>ROUND(SUMIFS('Recode Journals'!$E$5:$E$366,'Recode Journals'!$A$5:$A$366,A207)-SUMIFS('Recode Journals'!$F$5:$F$366,'Recode Journals'!$A$5:$A$366,A207),2)</f>
        <v>0</v>
      </c>
    </row>
    <row r="208">
      <c r="A208" t="inlineStr">
        <is>
          <t>MJ-202601</t>
        </is>
      </c>
      <c r="B208" s="11" t="n">
        <v>46053</v>
      </c>
      <c r="C208" t="n">
        <v>4010</v>
      </c>
      <c r="D208" t="inlineStr">
        <is>
          <t>Scaffolding</t>
        </is>
      </c>
      <c r="E208" s="9" t="n">
        <v>0</v>
      </c>
      <c r="F208" s="9" t="n">
        <v>95</v>
      </c>
      <c r="G208" t="inlineStr">
        <is>
          <t>Reclass 2026-01 income from 260 to 4010 (Scaffolding)</t>
        </is>
      </c>
      <c r="H208" s="9">
        <f>ROUND(SUMIFS('Recode Journals'!$E$5:$E$366,'Recode Journals'!$A$5:$A$366,A208)-SUMIFS('Recode Journals'!$F$5:$F$366,'Recode Journals'!$A$5:$A$366,A208),2)</f>
        <v>0</v>
      </c>
    </row>
    <row r="209">
      <c r="A209" t="inlineStr">
        <is>
          <t>MJ-202601</t>
        </is>
      </c>
      <c r="B209" s="11" t="n">
        <v>46053</v>
      </c>
      <c r="C209" t="n">
        <v>260</v>
      </c>
      <c r="D209" t="inlineStr"/>
      <c r="E209" s="9" t="n">
        <v>215.6</v>
      </c>
      <c r="F209" s="9" t="n">
        <v>0</v>
      </c>
      <c r="G209" t="inlineStr">
        <is>
          <t>Reclass 2026-01 income from 260 to 4020 (Fencing)</t>
        </is>
      </c>
      <c r="H209" s="9">
        <f>ROUND(SUMIFS('Recode Journals'!$E$5:$E$366,'Recode Journals'!$A$5:$A$366,A209)-SUMIFS('Recode Journals'!$F$5:$F$366,'Recode Journals'!$A$5:$A$366,A209),2)</f>
        <v>0</v>
      </c>
    </row>
    <row r="210">
      <c r="A210" t="inlineStr">
        <is>
          <t>MJ-202601</t>
        </is>
      </c>
      <c r="B210" s="11" t="n">
        <v>46053</v>
      </c>
      <c r="C210" t="n">
        <v>4020</v>
      </c>
      <c r="D210" t="inlineStr">
        <is>
          <t>Fencing</t>
        </is>
      </c>
      <c r="E210" s="9" t="n">
        <v>0</v>
      </c>
      <c r="F210" s="9" t="n">
        <v>215.6</v>
      </c>
      <c r="G210" t="inlineStr">
        <is>
          <t>Reclass 2026-01 income from 260 to 4020 (Fencing)</t>
        </is>
      </c>
      <c r="H210" s="9">
        <f>ROUND(SUMIFS('Recode Journals'!$E$5:$E$366,'Recode Journals'!$A$5:$A$366,A210)-SUMIFS('Recode Journals'!$F$5:$F$366,'Recode Journals'!$A$5:$A$366,A210),2)</f>
        <v>0</v>
      </c>
    </row>
    <row r="211">
      <c r="A211" t="inlineStr">
        <is>
          <t>MJ-202601</t>
        </is>
      </c>
      <c r="B211" s="11" t="n">
        <v>46053</v>
      </c>
      <c r="C211" t="n">
        <v>260</v>
      </c>
      <c r="D211" t="inlineStr"/>
      <c r="E211" s="9" t="n">
        <v>800</v>
      </c>
      <c r="F211" s="9" t="n">
        <v>0</v>
      </c>
      <c r="G211" t="inlineStr">
        <is>
          <t>Reclass 2026-01 income from 260 to 4020 (Make-safe)</t>
        </is>
      </c>
      <c r="H211" s="9">
        <f>ROUND(SUMIFS('Recode Journals'!$E$5:$E$366,'Recode Journals'!$A$5:$A$366,A211)-SUMIFS('Recode Journals'!$F$5:$F$366,'Recode Journals'!$A$5:$A$366,A211),2)</f>
        <v>0</v>
      </c>
    </row>
    <row r="212">
      <c r="A212" t="inlineStr">
        <is>
          <t>MJ-202601</t>
        </is>
      </c>
      <c r="B212" s="11" t="n">
        <v>46053</v>
      </c>
      <c r="C212" t="n">
        <v>4020</v>
      </c>
      <c r="D212" t="inlineStr">
        <is>
          <t>Make-safe</t>
        </is>
      </c>
      <c r="E212" s="9" t="n">
        <v>0</v>
      </c>
      <c r="F212" s="9" t="n">
        <v>800</v>
      </c>
      <c r="G212" t="inlineStr">
        <is>
          <t>Reclass 2026-01 income from 260 to 4020 (Make-safe)</t>
        </is>
      </c>
      <c r="H212" s="9">
        <f>ROUND(SUMIFS('Recode Journals'!$E$5:$E$366,'Recode Journals'!$A$5:$A$366,A212)-SUMIFS('Recode Journals'!$F$5:$F$366,'Recode Journals'!$A$5:$A$366,A212),2)</f>
        <v>0</v>
      </c>
    </row>
    <row r="213">
      <c r="A213" t="inlineStr">
        <is>
          <t>MJ-202601</t>
        </is>
      </c>
      <c r="B213" s="11" t="n">
        <v>46053</v>
      </c>
      <c r="C213" t="n">
        <v>260</v>
      </c>
      <c r="D213" t="inlineStr"/>
      <c r="E213" s="9" t="n">
        <v>1568</v>
      </c>
      <c r="F213" s="9" t="n">
        <v>0</v>
      </c>
      <c r="G213" t="inlineStr">
        <is>
          <t>Reclass 2026-01 income from 260 to 4020 (Roofing)</t>
        </is>
      </c>
      <c r="H213" s="9">
        <f>ROUND(SUMIFS('Recode Journals'!$E$5:$E$366,'Recode Journals'!$A$5:$A$366,A213)-SUMIFS('Recode Journals'!$F$5:$F$366,'Recode Journals'!$A$5:$A$366,A213),2)</f>
        <v>0</v>
      </c>
    </row>
    <row r="214">
      <c r="A214" t="inlineStr">
        <is>
          <t>MJ-202601</t>
        </is>
      </c>
      <c r="B214" s="11" t="n">
        <v>46053</v>
      </c>
      <c r="C214" t="n">
        <v>4020</v>
      </c>
      <c r="D214" t="inlineStr">
        <is>
          <t>Roofing</t>
        </is>
      </c>
      <c r="E214" s="9" t="n">
        <v>0</v>
      </c>
      <c r="F214" s="9" t="n">
        <v>1568</v>
      </c>
      <c r="G214" t="inlineStr">
        <is>
          <t>Reclass 2026-01 income from 260 to 4020 (Roofing)</t>
        </is>
      </c>
      <c r="H214" s="9">
        <f>ROUND(SUMIFS('Recode Journals'!$E$5:$E$366,'Recode Journals'!$A$5:$A$366,A214)-SUMIFS('Recode Journals'!$F$5:$F$366,'Recode Journals'!$A$5:$A$366,A214),2)</f>
        <v>0</v>
      </c>
    </row>
    <row r="215">
      <c r="A215" t="inlineStr">
        <is>
          <t>MJ-202601</t>
        </is>
      </c>
      <c r="B215" s="11" t="n">
        <v>46053</v>
      </c>
      <c r="C215" t="n">
        <v>260</v>
      </c>
      <c r="D215" t="inlineStr"/>
      <c r="E215" s="9" t="n">
        <v>1832.56</v>
      </c>
      <c r="F215" s="9" t="n">
        <v>0</v>
      </c>
      <c r="G215" t="inlineStr">
        <is>
          <t>Reclass 2026-01 income from 260 to 4030 (Roofing)</t>
        </is>
      </c>
      <c r="H215" s="9">
        <f>ROUND(SUMIFS('Recode Journals'!$E$5:$E$366,'Recode Journals'!$A$5:$A$366,A215)-SUMIFS('Recode Journals'!$F$5:$F$366,'Recode Journals'!$A$5:$A$366,A215),2)</f>
        <v>0</v>
      </c>
    </row>
    <row r="216">
      <c r="A216" t="inlineStr">
        <is>
          <t>MJ-202601</t>
        </is>
      </c>
      <c r="B216" s="11" t="n">
        <v>46053</v>
      </c>
      <c r="C216" t="n">
        <v>4030</v>
      </c>
      <c r="D216" t="inlineStr">
        <is>
          <t>Roofing</t>
        </is>
      </c>
      <c r="E216" s="9" t="n">
        <v>0</v>
      </c>
      <c r="F216" s="9" t="n">
        <v>1832.56</v>
      </c>
      <c r="G216" t="inlineStr">
        <is>
          <t>Reclass 2026-01 income from 260 to 4030 (Roofing)</t>
        </is>
      </c>
      <c r="H216" s="9">
        <f>ROUND(SUMIFS('Recode Journals'!$E$5:$E$366,'Recode Journals'!$A$5:$A$366,A216)-SUMIFS('Recode Journals'!$F$5:$F$366,'Recode Journals'!$A$5:$A$366,A216),2)</f>
        <v>0</v>
      </c>
    </row>
    <row r="217">
      <c r="A217" t="inlineStr">
        <is>
          <t>MJ-202602</t>
        </is>
      </c>
      <c r="B217" s="11" t="n">
        <v>46081</v>
      </c>
      <c r="C217" t="n">
        <v>200</v>
      </c>
      <c r="D217" t="inlineStr"/>
      <c r="E217" s="9" t="n">
        <v>72187.03</v>
      </c>
      <c r="F217" s="9" t="n">
        <v>0</v>
      </c>
      <c r="G217" t="inlineStr">
        <is>
          <t>Reclass 2026-02 income from 200 to 4010 (Fencing)</t>
        </is>
      </c>
      <c r="H217" s="9">
        <f>ROUND(SUMIFS('Recode Journals'!$E$5:$E$366,'Recode Journals'!$A$5:$A$366,A217)-SUMIFS('Recode Journals'!$F$5:$F$366,'Recode Journals'!$A$5:$A$366,A217),2)</f>
        <v>0</v>
      </c>
    </row>
    <row r="218">
      <c r="A218" t="inlineStr">
        <is>
          <t>MJ-202602</t>
        </is>
      </c>
      <c r="B218" s="11" t="n">
        <v>46081</v>
      </c>
      <c r="C218" t="n">
        <v>4010</v>
      </c>
      <c r="D218" t="inlineStr">
        <is>
          <t>Fencing</t>
        </is>
      </c>
      <c r="E218" s="9" t="n">
        <v>0</v>
      </c>
      <c r="F218" s="9" t="n">
        <v>72187.03</v>
      </c>
      <c r="G218" t="inlineStr">
        <is>
          <t>Reclass 2026-02 income from 200 to 4010 (Fencing)</t>
        </is>
      </c>
      <c r="H218" s="9">
        <f>ROUND(SUMIFS('Recode Journals'!$E$5:$E$366,'Recode Journals'!$A$5:$A$366,A218)-SUMIFS('Recode Journals'!$F$5:$F$366,'Recode Journals'!$A$5:$A$366,A218),2)</f>
        <v>0</v>
      </c>
    </row>
    <row r="219">
      <c r="A219" t="inlineStr">
        <is>
          <t>MJ-202602</t>
        </is>
      </c>
      <c r="B219" s="11" t="n">
        <v>46081</v>
      </c>
      <c r="C219" t="n">
        <v>200</v>
      </c>
      <c r="D219" t="inlineStr"/>
      <c r="E219" s="9" t="n">
        <v>2590</v>
      </c>
      <c r="F219" s="9" t="n">
        <v>0</v>
      </c>
      <c r="G219" t="inlineStr">
        <is>
          <t>Reclass 2026-02 income from 200 to 4010 (Make-safe)</t>
        </is>
      </c>
      <c r="H219" s="9">
        <f>ROUND(SUMIFS('Recode Journals'!$E$5:$E$366,'Recode Journals'!$A$5:$A$366,A219)-SUMIFS('Recode Journals'!$F$5:$F$366,'Recode Journals'!$A$5:$A$366,A219),2)</f>
        <v>0</v>
      </c>
    </row>
    <row r="220">
      <c r="A220" t="inlineStr">
        <is>
          <t>MJ-202602</t>
        </is>
      </c>
      <c r="B220" s="11" t="n">
        <v>46081</v>
      </c>
      <c r="C220" t="n">
        <v>4010</v>
      </c>
      <c r="D220" t="inlineStr">
        <is>
          <t>Make-safe</t>
        </is>
      </c>
      <c r="E220" s="9" t="n">
        <v>0</v>
      </c>
      <c r="F220" s="9" t="n">
        <v>2590</v>
      </c>
      <c r="G220" t="inlineStr">
        <is>
          <t>Reclass 2026-02 income from 200 to 4010 (Make-safe)</t>
        </is>
      </c>
      <c r="H220" s="9">
        <f>ROUND(SUMIFS('Recode Journals'!$E$5:$E$366,'Recode Journals'!$A$5:$A$366,A220)-SUMIFS('Recode Journals'!$F$5:$F$366,'Recode Journals'!$A$5:$A$366,A220),2)</f>
        <v>0</v>
      </c>
    </row>
    <row r="221">
      <c r="A221" t="inlineStr">
        <is>
          <t>MJ-202602</t>
        </is>
      </c>
      <c r="B221" s="11" t="n">
        <v>46081</v>
      </c>
      <c r="C221" t="n">
        <v>200</v>
      </c>
      <c r="D221" t="inlineStr"/>
      <c r="E221" s="9" t="n">
        <v>5320</v>
      </c>
      <c r="F221" s="9" t="n">
        <v>0</v>
      </c>
      <c r="G221" t="inlineStr">
        <is>
          <t>Reclass 2026-02 income from 200 to 4010 (Scaffolding)</t>
        </is>
      </c>
      <c r="H221" s="9">
        <f>ROUND(SUMIFS('Recode Journals'!$E$5:$E$366,'Recode Journals'!$A$5:$A$366,A221)-SUMIFS('Recode Journals'!$F$5:$F$366,'Recode Journals'!$A$5:$A$366,A221),2)</f>
        <v>0</v>
      </c>
    </row>
    <row r="222">
      <c r="A222" t="inlineStr">
        <is>
          <t>MJ-202602</t>
        </is>
      </c>
      <c r="B222" s="11" t="n">
        <v>46081</v>
      </c>
      <c r="C222" t="n">
        <v>4010</v>
      </c>
      <c r="D222" t="inlineStr">
        <is>
          <t>Scaffolding</t>
        </is>
      </c>
      <c r="E222" s="9" t="n">
        <v>0</v>
      </c>
      <c r="F222" s="9" t="n">
        <v>5320</v>
      </c>
      <c r="G222" t="inlineStr">
        <is>
          <t>Reclass 2026-02 income from 200 to 4010 (Scaffolding)</t>
        </is>
      </c>
      <c r="H222" s="9">
        <f>ROUND(SUMIFS('Recode Journals'!$E$5:$E$366,'Recode Journals'!$A$5:$A$366,A222)-SUMIFS('Recode Journals'!$F$5:$F$366,'Recode Journals'!$A$5:$A$366,A222),2)</f>
        <v>0</v>
      </c>
    </row>
    <row r="223">
      <c r="A223" t="inlineStr">
        <is>
          <t>MJ-202602</t>
        </is>
      </c>
      <c r="B223" s="11" t="n">
        <v>46081</v>
      </c>
      <c r="C223" t="n">
        <v>200</v>
      </c>
      <c r="D223" t="inlineStr"/>
      <c r="E223" s="9" t="n">
        <v>7332.6</v>
      </c>
      <c r="F223" s="9" t="n">
        <v>0</v>
      </c>
      <c r="G223" t="inlineStr">
        <is>
          <t>Reclass 2026-02 income from 200 to 4020 (Fencing)</t>
        </is>
      </c>
      <c r="H223" s="9">
        <f>ROUND(SUMIFS('Recode Journals'!$E$5:$E$366,'Recode Journals'!$A$5:$A$366,A223)-SUMIFS('Recode Journals'!$F$5:$F$366,'Recode Journals'!$A$5:$A$366,A223),2)</f>
        <v>0</v>
      </c>
    </row>
    <row r="224">
      <c r="A224" t="inlineStr">
        <is>
          <t>MJ-202602</t>
        </is>
      </c>
      <c r="B224" s="11" t="n">
        <v>46081</v>
      </c>
      <c r="C224" t="n">
        <v>4020</v>
      </c>
      <c r="D224" t="inlineStr">
        <is>
          <t>Fencing</t>
        </is>
      </c>
      <c r="E224" s="9" t="n">
        <v>0</v>
      </c>
      <c r="F224" s="9" t="n">
        <v>7332.6</v>
      </c>
      <c r="G224" t="inlineStr">
        <is>
          <t>Reclass 2026-02 income from 200 to 4020 (Fencing)</t>
        </is>
      </c>
      <c r="H224" s="9">
        <f>ROUND(SUMIFS('Recode Journals'!$E$5:$E$366,'Recode Journals'!$A$5:$A$366,A224)-SUMIFS('Recode Journals'!$F$5:$F$366,'Recode Journals'!$A$5:$A$366,A224),2)</f>
        <v>0</v>
      </c>
    </row>
    <row r="225">
      <c r="A225" t="inlineStr">
        <is>
          <t>MJ-202602</t>
        </is>
      </c>
      <c r="B225" s="11" t="n">
        <v>46081</v>
      </c>
      <c r="C225" t="n">
        <v>200</v>
      </c>
      <c r="D225" t="inlineStr"/>
      <c r="E225" s="9" t="n">
        <v>5990</v>
      </c>
      <c r="F225" s="9" t="n">
        <v>0</v>
      </c>
      <c r="G225" t="inlineStr">
        <is>
          <t>Reclass 2026-02 income from 200 to 4020 (Make-safe)</t>
        </is>
      </c>
      <c r="H225" s="9">
        <f>ROUND(SUMIFS('Recode Journals'!$E$5:$E$366,'Recode Journals'!$A$5:$A$366,A225)-SUMIFS('Recode Journals'!$F$5:$F$366,'Recode Journals'!$A$5:$A$366,A225),2)</f>
        <v>0</v>
      </c>
    </row>
    <row r="226">
      <c r="A226" t="inlineStr">
        <is>
          <t>MJ-202602</t>
        </is>
      </c>
      <c r="B226" s="11" t="n">
        <v>46081</v>
      </c>
      <c r="C226" t="n">
        <v>4020</v>
      </c>
      <c r="D226" t="inlineStr">
        <is>
          <t>Make-safe</t>
        </is>
      </c>
      <c r="E226" s="9" t="n">
        <v>0</v>
      </c>
      <c r="F226" s="9" t="n">
        <v>5990</v>
      </c>
      <c r="G226" t="inlineStr">
        <is>
          <t>Reclass 2026-02 income from 200 to 4020 (Make-safe)</t>
        </is>
      </c>
      <c r="H226" s="9">
        <f>ROUND(SUMIFS('Recode Journals'!$E$5:$E$366,'Recode Journals'!$A$5:$A$366,A226)-SUMIFS('Recode Journals'!$F$5:$F$366,'Recode Journals'!$A$5:$A$366,A226),2)</f>
        <v>0</v>
      </c>
    </row>
    <row r="227">
      <c r="A227" t="inlineStr">
        <is>
          <t>MJ-202602</t>
        </is>
      </c>
      <c r="B227" s="11" t="n">
        <v>46081</v>
      </c>
      <c r="C227" t="n">
        <v>200</v>
      </c>
      <c r="D227" t="inlineStr"/>
      <c r="E227" s="9" t="n">
        <v>7742</v>
      </c>
      <c r="F227" s="9" t="n">
        <v>0</v>
      </c>
      <c r="G227" t="inlineStr">
        <is>
          <t>Reclass 2026-02 income from 200 to 4020 (Roofing)</t>
        </is>
      </c>
      <c r="H227" s="9">
        <f>ROUND(SUMIFS('Recode Journals'!$E$5:$E$366,'Recode Journals'!$A$5:$A$366,A227)-SUMIFS('Recode Journals'!$F$5:$F$366,'Recode Journals'!$A$5:$A$366,A227),2)</f>
        <v>0</v>
      </c>
    </row>
    <row r="228">
      <c r="A228" t="inlineStr">
        <is>
          <t>MJ-202602</t>
        </is>
      </c>
      <c r="B228" s="11" t="n">
        <v>46081</v>
      </c>
      <c r="C228" t="n">
        <v>4020</v>
      </c>
      <c r="D228" t="inlineStr">
        <is>
          <t>Roofing</t>
        </is>
      </c>
      <c r="E228" s="9" t="n">
        <v>0</v>
      </c>
      <c r="F228" s="9" t="n">
        <v>7742</v>
      </c>
      <c r="G228" t="inlineStr">
        <is>
          <t>Reclass 2026-02 income from 200 to 4020 (Roofing)</t>
        </is>
      </c>
      <c r="H228" s="9">
        <f>ROUND(SUMIFS('Recode Journals'!$E$5:$E$366,'Recode Journals'!$A$5:$A$366,A228)-SUMIFS('Recode Journals'!$F$5:$F$366,'Recode Journals'!$A$5:$A$366,A228),2)</f>
        <v>0</v>
      </c>
    </row>
    <row r="229">
      <c r="A229" t="inlineStr">
        <is>
          <t>MJ-202602</t>
        </is>
      </c>
      <c r="B229" s="11" t="n">
        <v>46081</v>
      </c>
      <c r="C229" t="n">
        <v>200</v>
      </c>
      <c r="D229" t="inlineStr"/>
      <c r="E229" s="9" t="n">
        <v>3800</v>
      </c>
      <c r="F229" s="9" t="n">
        <v>0</v>
      </c>
      <c r="G229" t="inlineStr">
        <is>
          <t>Reclass 2026-02 income from 200 to 4020 (Scaffolding)</t>
        </is>
      </c>
      <c r="H229" s="9">
        <f>ROUND(SUMIFS('Recode Journals'!$E$5:$E$366,'Recode Journals'!$A$5:$A$366,A229)-SUMIFS('Recode Journals'!$F$5:$F$366,'Recode Journals'!$A$5:$A$366,A229),2)</f>
        <v>0</v>
      </c>
    </row>
    <row r="230">
      <c r="A230" t="inlineStr">
        <is>
          <t>MJ-202602</t>
        </is>
      </c>
      <c r="B230" s="11" t="n">
        <v>46081</v>
      </c>
      <c r="C230" t="n">
        <v>4020</v>
      </c>
      <c r="D230" t="inlineStr">
        <is>
          <t>Scaffolding</t>
        </is>
      </c>
      <c r="E230" s="9" t="n">
        <v>0</v>
      </c>
      <c r="F230" s="9" t="n">
        <v>3800</v>
      </c>
      <c r="G230" t="inlineStr">
        <is>
          <t>Reclass 2026-02 income from 200 to 4020 (Scaffolding)</t>
        </is>
      </c>
      <c r="H230" s="9">
        <f>ROUND(SUMIFS('Recode Journals'!$E$5:$E$366,'Recode Journals'!$A$5:$A$366,A230)-SUMIFS('Recode Journals'!$F$5:$F$366,'Recode Journals'!$A$5:$A$366,A230),2)</f>
        <v>0</v>
      </c>
    </row>
    <row r="231">
      <c r="A231" t="inlineStr">
        <is>
          <t>MJ-202602</t>
        </is>
      </c>
      <c r="B231" s="11" t="n">
        <v>46081</v>
      </c>
      <c r="C231" t="n">
        <v>200</v>
      </c>
      <c r="D231" t="inlineStr"/>
      <c r="E231" s="9" t="n">
        <v>11268.4</v>
      </c>
      <c r="F231" s="9" t="n">
        <v>0</v>
      </c>
      <c r="G231" t="inlineStr">
        <is>
          <t>Reclass 2026-02 income from 200 to 4030 (Roofing)</t>
        </is>
      </c>
      <c r="H231" s="9">
        <f>ROUND(SUMIFS('Recode Journals'!$E$5:$E$366,'Recode Journals'!$A$5:$A$366,A231)-SUMIFS('Recode Journals'!$F$5:$F$366,'Recode Journals'!$A$5:$A$366,A231),2)</f>
        <v>0</v>
      </c>
    </row>
    <row r="232">
      <c r="A232" t="inlineStr">
        <is>
          <t>MJ-202602</t>
        </is>
      </c>
      <c r="B232" s="11" t="n">
        <v>46081</v>
      </c>
      <c r="C232" t="n">
        <v>4030</v>
      </c>
      <c r="D232" t="inlineStr">
        <is>
          <t>Roofing</t>
        </is>
      </c>
      <c r="E232" s="9" t="n">
        <v>0</v>
      </c>
      <c r="F232" s="9" t="n">
        <v>11268.4</v>
      </c>
      <c r="G232" t="inlineStr">
        <is>
          <t>Reclass 2026-02 income from 200 to 4030 (Roofing)</t>
        </is>
      </c>
      <c r="H232" s="9">
        <f>ROUND(SUMIFS('Recode Journals'!$E$5:$E$366,'Recode Journals'!$A$5:$A$366,A232)-SUMIFS('Recode Journals'!$F$5:$F$366,'Recode Journals'!$A$5:$A$366,A232),2)</f>
        <v>0</v>
      </c>
    </row>
    <row r="233">
      <c r="A233" t="inlineStr">
        <is>
          <t>MJ-202602</t>
        </is>
      </c>
      <c r="B233" s="11" t="n">
        <v>46081</v>
      </c>
      <c r="C233" t="n">
        <v>200</v>
      </c>
      <c r="D233" t="inlineStr"/>
      <c r="E233" s="9" t="n">
        <v>725</v>
      </c>
      <c r="F233" s="9" t="n">
        <v>0</v>
      </c>
      <c r="G233" t="inlineStr">
        <is>
          <t>Reclass 2026-02 income from 200 to 4040 (Fencing)</t>
        </is>
      </c>
      <c r="H233" s="9">
        <f>ROUND(SUMIFS('Recode Journals'!$E$5:$E$366,'Recode Journals'!$A$5:$A$366,A233)-SUMIFS('Recode Journals'!$F$5:$F$366,'Recode Journals'!$A$5:$A$366,A233),2)</f>
        <v>0</v>
      </c>
    </row>
    <row r="234">
      <c r="A234" t="inlineStr">
        <is>
          <t>MJ-202602</t>
        </is>
      </c>
      <c r="B234" s="11" t="n">
        <v>46081</v>
      </c>
      <c r="C234" t="n">
        <v>4040</v>
      </c>
      <c r="D234" t="inlineStr">
        <is>
          <t>Fencing</t>
        </is>
      </c>
      <c r="E234" s="9" t="n">
        <v>0</v>
      </c>
      <c r="F234" s="9" t="n">
        <v>725</v>
      </c>
      <c r="G234" t="inlineStr">
        <is>
          <t>Reclass 2026-02 income from 200 to 4040 (Fencing)</t>
        </is>
      </c>
      <c r="H234" s="9">
        <f>ROUND(SUMIFS('Recode Journals'!$E$5:$E$366,'Recode Journals'!$A$5:$A$366,A234)-SUMIFS('Recode Journals'!$F$5:$F$366,'Recode Journals'!$A$5:$A$366,A234),2)</f>
        <v>0</v>
      </c>
    </row>
    <row r="235">
      <c r="A235" t="inlineStr">
        <is>
          <t>MJ-202602</t>
        </is>
      </c>
      <c r="B235" s="11" t="n">
        <v>46081</v>
      </c>
      <c r="C235" t="n">
        <v>200</v>
      </c>
      <c r="D235" t="inlineStr"/>
      <c r="E235" s="9" t="n">
        <v>2000</v>
      </c>
      <c r="F235" s="9" t="n">
        <v>0</v>
      </c>
      <c r="G235" t="inlineStr">
        <is>
          <t>Reclass 2026-02 income from 200 to 835 (Fencing)</t>
        </is>
      </c>
      <c r="H235" s="9">
        <f>ROUND(SUMIFS('Recode Journals'!$E$5:$E$366,'Recode Journals'!$A$5:$A$366,A235)-SUMIFS('Recode Journals'!$F$5:$F$366,'Recode Journals'!$A$5:$A$366,A235),2)</f>
        <v>0</v>
      </c>
    </row>
    <row r="236">
      <c r="A236" t="inlineStr">
        <is>
          <t>MJ-202602</t>
        </is>
      </c>
      <c r="B236" s="11" t="n">
        <v>46081</v>
      </c>
      <c r="C236" t="n">
        <v>835</v>
      </c>
      <c r="D236" t="inlineStr"/>
      <c r="E236" s="9" t="n">
        <v>0</v>
      </c>
      <c r="F236" s="9" t="n">
        <v>2000</v>
      </c>
      <c r="G236" t="inlineStr">
        <is>
          <t>Reclass 2026-02 income from 200 to 835 (Fencing)</t>
        </is>
      </c>
      <c r="H236" s="9">
        <f>ROUND(SUMIFS('Recode Journals'!$E$5:$E$366,'Recode Journals'!$A$5:$A$366,A236)-SUMIFS('Recode Journals'!$F$5:$F$366,'Recode Journals'!$A$5:$A$366,A236),2)</f>
        <v>0</v>
      </c>
    </row>
    <row r="237">
      <c r="A237" t="inlineStr">
        <is>
          <t>MJ-202602</t>
        </is>
      </c>
      <c r="B237" s="11" t="n">
        <v>46081</v>
      </c>
      <c r="C237" t="n">
        <v>260</v>
      </c>
      <c r="D237" t="inlineStr"/>
      <c r="E237" s="9" t="n">
        <v>4136.4</v>
      </c>
      <c r="F237" s="9" t="n">
        <v>0</v>
      </c>
      <c r="G237" t="inlineStr">
        <is>
          <t>Reclass 2026-02 income from 260 to 4010 (Fencing)</t>
        </is>
      </c>
      <c r="H237" s="9">
        <f>ROUND(SUMIFS('Recode Journals'!$E$5:$E$366,'Recode Journals'!$A$5:$A$366,A237)-SUMIFS('Recode Journals'!$F$5:$F$366,'Recode Journals'!$A$5:$A$366,A237),2)</f>
        <v>0</v>
      </c>
    </row>
    <row r="238">
      <c r="A238" t="inlineStr">
        <is>
          <t>MJ-202602</t>
        </is>
      </c>
      <c r="B238" s="11" t="n">
        <v>46081</v>
      </c>
      <c r="C238" t="n">
        <v>4010</v>
      </c>
      <c r="D238" t="inlineStr">
        <is>
          <t>Fencing</t>
        </is>
      </c>
      <c r="E238" s="9" t="n">
        <v>0</v>
      </c>
      <c r="F238" s="9" t="n">
        <v>4136.4</v>
      </c>
      <c r="G238" t="inlineStr">
        <is>
          <t>Reclass 2026-02 income from 260 to 4010 (Fencing)</t>
        </is>
      </c>
      <c r="H238" s="9">
        <f>ROUND(SUMIFS('Recode Journals'!$E$5:$E$366,'Recode Journals'!$A$5:$A$366,A238)-SUMIFS('Recode Journals'!$F$5:$F$366,'Recode Journals'!$A$5:$A$366,A238),2)</f>
        <v>0</v>
      </c>
    </row>
    <row r="239">
      <c r="A239" t="inlineStr">
        <is>
          <t>MJ-202602</t>
        </is>
      </c>
      <c r="B239" s="11" t="n">
        <v>46081</v>
      </c>
      <c r="C239" t="n">
        <v>260</v>
      </c>
      <c r="D239" t="inlineStr"/>
      <c r="E239" s="9" t="n">
        <v>1140</v>
      </c>
      <c r="F239" s="9" t="n">
        <v>0</v>
      </c>
      <c r="G239" t="inlineStr">
        <is>
          <t>Reclass 2026-02 income from 260 to 4010 (Scaffolding)</t>
        </is>
      </c>
      <c r="H239" s="9">
        <f>ROUND(SUMIFS('Recode Journals'!$E$5:$E$366,'Recode Journals'!$A$5:$A$366,A239)-SUMIFS('Recode Journals'!$F$5:$F$366,'Recode Journals'!$A$5:$A$366,A239),2)</f>
        <v>0</v>
      </c>
    </row>
    <row r="240">
      <c r="A240" t="inlineStr">
        <is>
          <t>MJ-202602</t>
        </is>
      </c>
      <c r="B240" s="11" t="n">
        <v>46081</v>
      </c>
      <c r="C240" t="n">
        <v>4010</v>
      </c>
      <c r="D240" t="inlineStr">
        <is>
          <t>Scaffolding</t>
        </is>
      </c>
      <c r="E240" s="9" t="n">
        <v>0</v>
      </c>
      <c r="F240" s="9" t="n">
        <v>1140</v>
      </c>
      <c r="G240" t="inlineStr">
        <is>
          <t>Reclass 2026-02 income from 260 to 4010 (Scaffolding)</t>
        </is>
      </c>
      <c r="H240" s="9">
        <f>ROUND(SUMIFS('Recode Journals'!$E$5:$E$366,'Recode Journals'!$A$5:$A$366,A240)-SUMIFS('Recode Journals'!$F$5:$F$366,'Recode Journals'!$A$5:$A$366,A240),2)</f>
        <v>0</v>
      </c>
    </row>
    <row r="241">
      <c r="A241" t="inlineStr">
        <is>
          <t>MJ-202602</t>
        </is>
      </c>
      <c r="B241" s="11" t="n">
        <v>46081</v>
      </c>
      <c r="C241" t="n">
        <v>260</v>
      </c>
      <c r="D241" t="inlineStr"/>
      <c r="E241" s="9" t="n">
        <v>396</v>
      </c>
      <c r="F241" s="9" t="n">
        <v>0</v>
      </c>
      <c r="G241" t="inlineStr">
        <is>
          <t>Reclass 2026-02 income from 260 to 4020 (Fencing)</t>
        </is>
      </c>
      <c r="H241" s="9">
        <f>ROUND(SUMIFS('Recode Journals'!$E$5:$E$366,'Recode Journals'!$A$5:$A$366,A241)-SUMIFS('Recode Journals'!$F$5:$F$366,'Recode Journals'!$A$5:$A$366,A241),2)</f>
        <v>0</v>
      </c>
    </row>
    <row r="242">
      <c r="A242" t="inlineStr">
        <is>
          <t>MJ-202602</t>
        </is>
      </c>
      <c r="B242" s="11" t="n">
        <v>46081</v>
      </c>
      <c r="C242" t="n">
        <v>4020</v>
      </c>
      <c r="D242" t="inlineStr">
        <is>
          <t>Fencing</t>
        </is>
      </c>
      <c r="E242" s="9" t="n">
        <v>0</v>
      </c>
      <c r="F242" s="9" t="n">
        <v>396</v>
      </c>
      <c r="G242" t="inlineStr">
        <is>
          <t>Reclass 2026-02 income from 260 to 4020 (Fencing)</t>
        </is>
      </c>
      <c r="H242" s="9">
        <f>ROUND(SUMIFS('Recode Journals'!$E$5:$E$366,'Recode Journals'!$A$5:$A$366,A242)-SUMIFS('Recode Journals'!$F$5:$F$366,'Recode Journals'!$A$5:$A$366,A242),2)</f>
        <v>0</v>
      </c>
    </row>
    <row r="243">
      <c r="A243" t="inlineStr">
        <is>
          <t>MJ-202602</t>
        </is>
      </c>
      <c r="B243" s="11" t="n">
        <v>46081</v>
      </c>
      <c r="C243" t="n">
        <v>260</v>
      </c>
      <c r="D243" t="inlineStr"/>
      <c r="E243" s="9" t="n">
        <v>588</v>
      </c>
      <c r="F243" s="9" t="n">
        <v>0</v>
      </c>
      <c r="G243" t="inlineStr">
        <is>
          <t>Reclass 2026-02 income from 260 to 4020 (Roofing)</t>
        </is>
      </c>
      <c r="H243" s="9">
        <f>ROUND(SUMIFS('Recode Journals'!$E$5:$E$366,'Recode Journals'!$A$5:$A$366,A243)-SUMIFS('Recode Journals'!$F$5:$F$366,'Recode Journals'!$A$5:$A$366,A243),2)</f>
        <v>0</v>
      </c>
    </row>
    <row r="244">
      <c r="A244" t="inlineStr">
        <is>
          <t>MJ-202602</t>
        </is>
      </c>
      <c r="B244" s="11" t="n">
        <v>46081</v>
      </c>
      <c r="C244" t="n">
        <v>4020</v>
      </c>
      <c r="D244" t="inlineStr">
        <is>
          <t>Roofing</t>
        </is>
      </c>
      <c r="E244" s="9" t="n">
        <v>0</v>
      </c>
      <c r="F244" s="9" t="n">
        <v>588</v>
      </c>
      <c r="G244" t="inlineStr">
        <is>
          <t>Reclass 2026-02 income from 260 to 4020 (Roofing)</t>
        </is>
      </c>
      <c r="H244" s="9">
        <f>ROUND(SUMIFS('Recode Journals'!$E$5:$E$366,'Recode Journals'!$A$5:$A$366,A244)-SUMIFS('Recode Journals'!$F$5:$F$366,'Recode Journals'!$A$5:$A$366,A244),2)</f>
        <v>0</v>
      </c>
    </row>
    <row r="245">
      <c r="A245" t="inlineStr">
        <is>
          <t>MJ-202602</t>
        </is>
      </c>
      <c r="B245" s="11" t="n">
        <v>46081</v>
      </c>
      <c r="C245" t="n">
        <v>260</v>
      </c>
      <c r="D245" t="inlineStr"/>
      <c r="E245" s="9" t="n">
        <v>840</v>
      </c>
      <c r="F245" s="9" t="n">
        <v>0</v>
      </c>
      <c r="G245" t="inlineStr">
        <is>
          <t>Reclass 2026-02 income from 260 to 4020 (Scaffolding)</t>
        </is>
      </c>
      <c r="H245" s="9">
        <f>ROUND(SUMIFS('Recode Journals'!$E$5:$E$366,'Recode Journals'!$A$5:$A$366,A245)-SUMIFS('Recode Journals'!$F$5:$F$366,'Recode Journals'!$A$5:$A$366,A245),2)</f>
        <v>0</v>
      </c>
    </row>
    <row r="246">
      <c r="A246" t="inlineStr">
        <is>
          <t>MJ-202602</t>
        </is>
      </c>
      <c r="B246" s="11" t="n">
        <v>46081</v>
      </c>
      <c r="C246" t="n">
        <v>4020</v>
      </c>
      <c r="D246" t="inlineStr">
        <is>
          <t>Scaffolding</t>
        </is>
      </c>
      <c r="E246" s="9" t="n">
        <v>0</v>
      </c>
      <c r="F246" s="9" t="n">
        <v>840</v>
      </c>
      <c r="G246" t="inlineStr">
        <is>
          <t>Reclass 2026-02 income from 260 to 4020 (Scaffolding)</t>
        </is>
      </c>
      <c r="H246" s="9">
        <f>ROUND(SUMIFS('Recode Journals'!$E$5:$E$366,'Recode Journals'!$A$5:$A$366,A246)-SUMIFS('Recode Journals'!$F$5:$F$366,'Recode Journals'!$A$5:$A$366,A246),2)</f>
        <v>0</v>
      </c>
    </row>
    <row r="247">
      <c r="A247" t="inlineStr">
        <is>
          <t>MJ-202602</t>
        </is>
      </c>
      <c r="B247" s="11" t="n">
        <v>46081</v>
      </c>
      <c r="C247" t="n">
        <v>260</v>
      </c>
      <c r="D247" t="inlineStr"/>
      <c r="E247" s="9" t="n">
        <v>120</v>
      </c>
      <c r="F247" s="9" t="n">
        <v>0</v>
      </c>
      <c r="G247" t="inlineStr">
        <is>
          <t>Reclass 2026-02 income from 260 to 4030 (Roofing)</t>
        </is>
      </c>
      <c r="H247" s="9">
        <f>ROUND(SUMIFS('Recode Journals'!$E$5:$E$366,'Recode Journals'!$A$5:$A$366,A247)-SUMIFS('Recode Journals'!$F$5:$F$366,'Recode Journals'!$A$5:$A$366,A247),2)</f>
        <v>0</v>
      </c>
    </row>
    <row r="248">
      <c r="A248" t="inlineStr">
        <is>
          <t>MJ-202602</t>
        </is>
      </c>
      <c r="B248" s="11" t="n">
        <v>46081</v>
      </c>
      <c r="C248" t="n">
        <v>4030</v>
      </c>
      <c r="D248" t="inlineStr">
        <is>
          <t>Roofing</t>
        </is>
      </c>
      <c r="E248" s="9" t="n">
        <v>0</v>
      </c>
      <c r="F248" s="9" t="n">
        <v>120</v>
      </c>
      <c r="G248" t="inlineStr">
        <is>
          <t>Reclass 2026-02 income from 260 to 4030 (Roofing)</t>
        </is>
      </c>
      <c r="H248" s="9">
        <f>ROUND(SUMIFS('Recode Journals'!$E$5:$E$366,'Recode Journals'!$A$5:$A$366,A248)-SUMIFS('Recode Journals'!$F$5:$F$366,'Recode Journals'!$A$5:$A$366,A248),2)</f>
        <v>0</v>
      </c>
    </row>
    <row r="249">
      <c r="A249" t="inlineStr">
        <is>
          <t>MJ-202603</t>
        </is>
      </c>
      <c r="B249" s="11" t="n">
        <v>46112</v>
      </c>
      <c r="C249" t="n">
        <v>200</v>
      </c>
      <c r="D249" t="inlineStr"/>
      <c r="E249" s="9" t="n">
        <v>71562</v>
      </c>
      <c r="F249" s="9" t="n">
        <v>0</v>
      </c>
      <c r="G249" t="inlineStr">
        <is>
          <t>Reclass 2026-03 income from 200 to 4010 (Fencing)</t>
        </is>
      </c>
      <c r="H249" s="9">
        <f>ROUND(SUMIFS('Recode Journals'!$E$5:$E$366,'Recode Journals'!$A$5:$A$366,A249)-SUMIFS('Recode Journals'!$F$5:$F$366,'Recode Journals'!$A$5:$A$366,A249),2)</f>
        <v>0</v>
      </c>
    </row>
    <row r="250">
      <c r="A250" t="inlineStr">
        <is>
          <t>MJ-202603</t>
        </is>
      </c>
      <c r="B250" s="11" t="n">
        <v>46112</v>
      </c>
      <c r="C250" t="n">
        <v>4010</v>
      </c>
      <c r="D250" t="inlineStr">
        <is>
          <t>Fencing</t>
        </is>
      </c>
      <c r="E250" s="9" t="n">
        <v>0</v>
      </c>
      <c r="F250" s="9" t="n">
        <v>71562</v>
      </c>
      <c r="G250" t="inlineStr">
        <is>
          <t>Reclass 2026-03 income from 200 to 4010 (Fencing)</t>
        </is>
      </c>
      <c r="H250" s="9">
        <f>ROUND(SUMIFS('Recode Journals'!$E$5:$E$366,'Recode Journals'!$A$5:$A$366,A250)-SUMIFS('Recode Journals'!$F$5:$F$366,'Recode Journals'!$A$5:$A$366,A250),2)</f>
        <v>0</v>
      </c>
    </row>
    <row r="251">
      <c r="A251" t="inlineStr">
        <is>
          <t>MJ-202603</t>
        </is>
      </c>
      <c r="B251" s="11" t="n">
        <v>46112</v>
      </c>
      <c r="C251" t="n">
        <v>200</v>
      </c>
      <c r="D251" t="inlineStr"/>
      <c r="E251" s="9" t="n">
        <v>1260</v>
      </c>
      <c r="F251" s="9" t="n">
        <v>0</v>
      </c>
      <c r="G251" t="inlineStr">
        <is>
          <t>Reclass 2026-03 income from 200 to 4010 (Make-safe)</t>
        </is>
      </c>
      <c r="H251" s="9">
        <f>ROUND(SUMIFS('Recode Journals'!$E$5:$E$366,'Recode Journals'!$A$5:$A$366,A251)-SUMIFS('Recode Journals'!$F$5:$F$366,'Recode Journals'!$A$5:$A$366,A251),2)</f>
        <v>0</v>
      </c>
    </row>
    <row r="252">
      <c r="A252" t="inlineStr">
        <is>
          <t>MJ-202603</t>
        </is>
      </c>
      <c r="B252" s="11" t="n">
        <v>46112</v>
      </c>
      <c r="C252" t="n">
        <v>4010</v>
      </c>
      <c r="D252" t="inlineStr">
        <is>
          <t>Make-safe</t>
        </is>
      </c>
      <c r="E252" s="9" t="n">
        <v>0</v>
      </c>
      <c r="F252" s="9" t="n">
        <v>1260</v>
      </c>
      <c r="G252" t="inlineStr">
        <is>
          <t>Reclass 2026-03 income from 200 to 4010 (Make-safe)</t>
        </is>
      </c>
      <c r="H252" s="9">
        <f>ROUND(SUMIFS('Recode Journals'!$E$5:$E$366,'Recode Journals'!$A$5:$A$366,A252)-SUMIFS('Recode Journals'!$F$5:$F$366,'Recode Journals'!$A$5:$A$366,A252),2)</f>
        <v>0</v>
      </c>
    </row>
    <row r="253">
      <c r="A253" t="inlineStr">
        <is>
          <t>MJ-202603</t>
        </is>
      </c>
      <c r="B253" s="11" t="n">
        <v>46112</v>
      </c>
      <c r="C253" t="n">
        <v>200</v>
      </c>
      <c r="D253" t="inlineStr"/>
      <c r="E253" s="9" t="n">
        <v>10450</v>
      </c>
      <c r="F253" s="9" t="n">
        <v>0</v>
      </c>
      <c r="G253" t="inlineStr">
        <is>
          <t>Reclass 2026-03 income from 200 to 4010 (Scaffolding)</t>
        </is>
      </c>
      <c r="H253" s="9">
        <f>ROUND(SUMIFS('Recode Journals'!$E$5:$E$366,'Recode Journals'!$A$5:$A$366,A253)-SUMIFS('Recode Journals'!$F$5:$F$366,'Recode Journals'!$A$5:$A$366,A253),2)</f>
        <v>0</v>
      </c>
    </row>
    <row r="254">
      <c r="A254" t="inlineStr">
        <is>
          <t>MJ-202603</t>
        </is>
      </c>
      <c r="B254" s="11" t="n">
        <v>46112</v>
      </c>
      <c r="C254" t="n">
        <v>4010</v>
      </c>
      <c r="D254" t="inlineStr">
        <is>
          <t>Scaffolding</t>
        </is>
      </c>
      <c r="E254" s="9" t="n">
        <v>0</v>
      </c>
      <c r="F254" s="9" t="n">
        <v>10450</v>
      </c>
      <c r="G254" t="inlineStr">
        <is>
          <t>Reclass 2026-03 income from 200 to 4010 (Scaffolding)</t>
        </is>
      </c>
      <c r="H254" s="9">
        <f>ROUND(SUMIFS('Recode Journals'!$E$5:$E$366,'Recode Journals'!$A$5:$A$366,A254)-SUMIFS('Recode Journals'!$F$5:$F$366,'Recode Journals'!$A$5:$A$366,A254),2)</f>
        <v>0</v>
      </c>
    </row>
    <row r="255">
      <c r="A255" t="inlineStr">
        <is>
          <t>MJ-202603</t>
        </is>
      </c>
      <c r="B255" s="11" t="n">
        <v>46112</v>
      </c>
      <c r="C255" t="n">
        <v>200</v>
      </c>
      <c r="D255" t="inlineStr"/>
      <c r="E255" s="9" t="n">
        <v>7724.2</v>
      </c>
      <c r="F255" s="9" t="n">
        <v>0</v>
      </c>
      <c r="G255" t="inlineStr">
        <is>
          <t>Reclass 2026-03 income from 200 to 4020 (Fencing)</t>
        </is>
      </c>
      <c r="H255" s="9">
        <f>ROUND(SUMIFS('Recode Journals'!$E$5:$E$366,'Recode Journals'!$A$5:$A$366,A255)-SUMIFS('Recode Journals'!$F$5:$F$366,'Recode Journals'!$A$5:$A$366,A255),2)</f>
        <v>0</v>
      </c>
    </row>
    <row r="256">
      <c r="A256" t="inlineStr">
        <is>
          <t>MJ-202603</t>
        </is>
      </c>
      <c r="B256" s="11" t="n">
        <v>46112</v>
      </c>
      <c r="C256" t="n">
        <v>4020</v>
      </c>
      <c r="D256" t="inlineStr">
        <is>
          <t>Fencing</t>
        </is>
      </c>
      <c r="E256" s="9" t="n">
        <v>0</v>
      </c>
      <c r="F256" s="9" t="n">
        <v>7724.2</v>
      </c>
      <c r="G256" t="inlineStr">
        <is>
          <t>Reclass 2026-03 income from 200 to 4020 (Fencing)</t>
        </is>
      </c>
      <c r="H256" s="9">
        <f>ROUND(SUMIFS('Recode Journals'!$E$5:$E$366,'Recode Journals'!$A$5:$A$366,A256)-SUMIFS('Recode Journals'!$F$5:$F$366,'Recode Journals'!$A$5:$A$366,A256),2)</f>
        <v>0</v>
      </c>
    </row>
    <row r="257">
      <c r="A257" t="inlineStr">
        <is>
          <t>MJ-202603</t>
        </is>
      </c>
      <c r="B257" s="11" t="n">
        <v>46112</v>
      </c>
      <c r="C257" t="n">
        <v>200</v>
      </c>
      <c r="D257" t="inlineStr"/>
      <c r="E257" s="9" t="n">
        <v>6425</v>
      </c>
      <c r="F257" s="9" t="n">
        <v>0</v>
      </c>
      <c r="G257" t="inlineStr">
        <is>
          <t>Reclass 2026-03 income from 200 to 4020 (Make-safe)</t>
        </is>
      </c>
      <c r="H257" s="9">
        <f>ROUND(SUMIFS('Recode Journals'!$E$5:$E$366,'Recode Journals'!$A$5:$A$366,A257)-SUMIFS('Recode Journals'!$F$5:$F$366,'Recode Journals'!$A$5:$A$366,A257),2)</f>
        <v>0</v>
      </c>
    </row>
    <row r="258">
      <c r="A258" t="inlineStr">
        <is>
          <t>MJ-202603</t>
        </is>
      </c>
      <c r="B258" s="11" t="n">
        <v>46112</v>
      </c>
      <c r="C258" t="n">
        <v>4020</v>
      </c>
      <c r="D258" t="inlineStr">
        <is>
          <t>Make-safe</t>
        </is>
      </c>
      <c r="E258" s="9" t="n">
        <v>0</v>
      </c>
      <c r="F258" s="9" t="n">
        <v>6425</v>
      </c>
      <c r="G258" t="inlineStr">
        <is>
          <t>Reclass 2026-03 income from 200 to 4020 (Make-safe)</t>
        </is>
      </c>
      <c r="H258" s="9">
        <f>ROUND(SUMIFS('Recode Journals'!$E$5:$E$366,'Recode Journals'!$A$5:$A$366,A258)-SUMIFS('Recode Journals'!$F$5:$F$366,'Recode Journals'!$A$5:$A$366,A258),2)</f>
        <v>0</v>
      </c>
    </row>
    <row r="259">
      <c r="A259" t="inlineStr">
        <is>
          <t>MJ-202603</t>
        </is>
      </c>
      <c r="B259" s="11" t="n">
        <v>46112</v>
      </c>
      <c r="C259" t="n">
        <v>200</v>
      </c>
      <c r="D259" t="inlineStr"/>
      <c r="E259" s="9" t="n">
        <v>13818</v>
      </c>
      <c r="F259" s="9" t="n">
        <v>0</v>
      </c>
      <c r="G259" t="inlineStr">
        <is>
          <t>Reclass 2026-03 income from 200 to 4020 (Roofing)</t>
        </is>
      </c>
      <c r="H259" s="9">
        <f>ROUND(SUMIFS('Recode Journals'!$E$5:$E$366,'Recode Journals'!$A$5:$A$366,A259)-SUMIFS('Recode Journals'!$F$5:$F$366,'Recode Journals'!$A$5:$A$366,A259),2)</f>
        <v>0</v>
      </c>
    </row>
    <row r="260">
      <c r="A260" t="inlineStr">
        <is>
          <t>MJ-202603</t>
        </is>
      </c>
      <c r="B260" s="11" t="n">
        <v>46112</v>
      </c>
      <c r="C260" t="n">
        <v>4020</v>
      </c>
      <c r="D260" t="inlineStr">
        <is>
          <t>Roofing</t>
        </is>
      </c>
      <c r="E260" s="9" t="n">
        <v>0</v>
      </c>
      <c r="F260" s="9" t="n">
        <v>13818</v>
      </c>
      <c r="G260" t="inlineStr">
        <is>
          <t>Reclass 2026-03 income from 200 to 4020 (Roofing)</t>
        </is>
      </c>
      <c r="H260" s="9">
        <f>ROUND(SUMIFS('Recode Journals'!$E$5:$E$366,'Recode Journals'!$A$5:$A$366,A260)-SUMIFS('Recode Journals'!$F$5:$F$366,'Recode Journals'!$A$5:$A$366,A260),2)</f>
        <v>0</v>
      </c>
    </row>
    <row r="261">
      <c r="A261" t="inlineStr">
        <is>
          <t>MJ-202603</t>
        </is>
      </c>
      <c r="B261" s="11" t="n">
        <v>46112</v>
      </c>
      <c r="C261" t="n">
        <v>200</v>
      </c>
      <c r="D261" t="inlineStr"/>
      <c r="E261" s="9" t="n">
        <v>8580</v>
      </c>
      <c r="F261" s="9" t="n">
        <v>0</v>
      </c>
      <c r="G261" t="inlineStr">
        <is>
          <t>Reclass 2026-03 income from 200 to 4020 (Scaffolding)</t>
        </is>
      </c>
      <c r="H261" s="9">
        <f>ROUND(SUMIFS('Recode Journals'!$E$5:$E$366,'Recode Journals'!$A$5:$A$366,A261)-SUMIFS('Recode Journals'!$F$5:$F$366,'Recode Journals'!$A$5:$A$366,A261),2)</f>
        <v>0</v>
      </c>
    </row>
    <row r="262">
      <c r="A262" t="inlineStr">
        <is>
          <t>MJ-202603</t>
        </is>
      </c>
      <c r="B262" s="11" t="n">
        <v>46112</v>
      </c>
      <c r="C262" t="n">
        <v>4020</v>
      </c>
      <c r="D262" t="inlineStr">
        <is>
          <t>Scaffolding</t>
        </is>
      </c>
      <c r="E262" s="9" t="n">
        <v>0</v>
      </c>
      <c r="F262" s="9" t="n">
        <v>8580</v>
      </c>
      <c r="G262" t="inlineStr">
        <is>
          <t>Reclass 2026-03 income from 200 to 4020 (Scaffolding)</t>
        </is>
      </c>
      <c r="H262" s="9">
        <f>ROUND(SUMIFS('Recode Journals'!$E$5:$E$366,'Recode Journals'!$A$5:$A$366,A262)-SUMIFS('Recode Journals'!$F$5:$F$366,'Recode Journals'!$A$5:$A$366,A262),2)</f>
        <v>0</v>
      </c>
    </row>
    <row r="263">
      <c r="A263" t="inlineStr">
        <is>
          <t>MJ-202603</t>
        </is>
      </c>
      <c r="B263" s="11" t="n">
        <v>46112</v>
      </c>
      <c r="C263" t="n">
        <v>200</v>
      </c>
      <c r="D263" t="inlineStr"/>
      <c r="E263" s="9" t="n">
        <v>23301.77</v>
      </c>
      <c r="F263" s="9" t="n">
        <v>0</v>
      </c>
      <c r="G263" t="inlineStr">
        <is>
          <t>Reclass 2026-03 income from 200 to 4030 (Roofing)</t>
        </is>
      </c>
      <c r="H263" s="9">
        <f>ROUND(SUMIFS('Recode Journals'!$E$5:$E$366,'Recode Journals'!$A$5:$A$366,A263)-SUMIFS('Recode Journals'!$F$5:$F$366,'Recode Journals'!$A$5:$A$366,A263),2)</f>
        <v>0</v>
      </c>
    </row>
    <row r="264">
      <c r="A264" t="inlineStr">
        <is>
          <t>MJ-202603</t>
        </is>
      </c>
      <c r="B264" s="11" t="n">
        <v>46112</v>
      </c>
      <c r="C264" t="n">
        <v>4030</v>
      </c>
      <c r="D264" t="inlineStr">
        <is>
          <t>Roofing</t>
        </is>
      </c>
      <c r="E264" s="9" t="n">
        <v>0</v>
      </c>
      <c r="F264" s="9" t="n">
        <v>23301.77</v>
      </c>
      <c r="G264" t="inlineStr">
        <is>
          <t>Reclass 2026-03 income from 200 to 4030 (Roofing)</t>
        </is>
      </c>
      <c r="H264" s="9">
        <f>ROUND(SUMIFS('Recode Journals'!$E$5:$E$366,'Recode Journals'!$A$5:$A$366,A264)-SUMIFS('Recode Journals'!$F$5:$F$366,'Recode Journals'!$A$5:$A$366,A264),2)</f>
        <v>0</v>
      </c>
    </row>
    <row r="265">
      <c r="A265" t="inlineStr">
        <is>
          <t>MJ-202603</t>
        </is>
      </c>
      <c r="B265" s="11" t="n">
        <v>46112</v>
      </c>
      <c r="C265" t="n">
        <v>200</v>
      </c>
      <c r="D265" t="inlineStr"/>
      <c r="E265" s="9" t="n">
        <v>870</v>
      </c>
      <c r="F265" s="9" t="n">
        <v>0</v>
      </c>
      <c r="G265" t="inlineStr">
        <is>
          <t>Reclass 2026-03 income from 200 to 4040 (Fencing)</t>
        </is>
      </c>
      <c r="H265" s="9">
        <f>ROUND(SUMIFS('Recode Journals'!$E$5:$E$366,'Recode Journals'!$A$5:$A$366,A265)-SUMIFS('Recode Journals'!$F$5:$F$366,'Recode Journals'!$A$5:$A$366,A265),2)</f>
        <v>0</v>
      </c>
    </row>
    <row r="266">
      <c r="A266" t="inlineStr">
        <is>
          <t>MJ-202603</t>
        </is>
      </c>
      <c r="B266" s="11" t="n">
        <v>46112</v>
      </c>
      <c r="C266" t="n">
        <v>4040</v>
      </c>
      <c r="D266" t="inlineStr">
        <is>
          <t>Fencing</t>
        </is>
      </c>
      <c r="E266" s="9" t="n">
        <v>0</v>
      </c>
      <c r="F266" s="9" t="n">
        <v>870</v>
      </c>
      <c r="G266" t="inlineStr">
        <is>
          <t>Reclass 2026-03 income from 200 to 4040 (Fencing)</t>
        </is>
      </c>
      <c r="H266" s="9">
        <f>ROUND(SUMIFS('Recode Journals'!$E$5:$E$366,'Recode Journals'!$A$5:$A$366,A266)-SUMIFS('Recode Journals'!$F$5:$F$366,'Recode Journals'!$A$5:$A$366,A266),2)</f>
        <v>0</v>
      </c>
    </row>
    <row r="267">
      <c r="A267" t="inlineStr">
        <is>
          <t>MJ-202603</t>
        </is>
      </c>
      <c r="B267" s="11" t="n">
        <v>46112</v>
      </c>
      <c r="C267" t="n">
        <v>200</v>
      </c>
      <c r="D267" t="inlineStr"/>
      <c r="E267" s="9" t="n">
        <v>2160</v>
      </c>
      <c r="F267" s="9" t="n">
        <v>0</v>
      </c>
      <c r="G267" t="inlineStr">
        <is>
          <t>Reclass 2026-03 income from 200 to 835 (Fencing)</t>
        </is>
      </c>
      <c r="H267" s="9">
        <f>ROUND(SUMIFS('Recode Journals'!$E$5:$E$366,'Recode Journals'!$A$5:$A$366,A267)-SUMIFS('Recode Journals'!$F$5:$F$366,'Recode Journals'!$A$5:$A$366,A267),2)</f>
        <v>0</v>
      </c>
    </row>
    <row r="268">
      <c r="A268" t="inlineStr">
        <is>
          <t>MJ-202603</t>
        </is>
      </c>
      <c r="B268" s="11" t="n">
        <v>46112</v>
      </c>
      <c r="C268" t="n">
        <v>835</v>
      </c>
      <c r="D268" t="inlineStr"/>
      <c r="E268" s="9" t="n">
        <v>0</v>
      </c>
      <c r="F268" s="9" t="n">
        <v>2160</v>
      </c>
      <c r="G268" t="inlineStr">
        <is>
          <t>Reclass 2026-03 income from 200 to 835 (Fencing)</t>
        </is>
      </c>
      <c r="H268" s="9">
        <f>ROUND(SUMIFS('Recode Journals'!$E$5:$E$366,'Recode Journals'!$A$5:$A$366,A268)-SUMIFS('Recode Journals'!$F$5:$F$366,'Recode Journals'!$A$5:$A$366,A268),2)</f>
        <v>0</v>
      </c>
    </row>
    <row r="269">
      <c r="A269" t="inlineStr">
        <is>
          <t>MJ-202603</t>
        </is>
      </c>
      <c r="B269" s="11" t="n">
        <v>46112</v>
      </c>
      <c r="C269" t="n">
        <v>260</v>
      </c>
      <c r="D269" t="inlineStr"/>
      <c r="E269" s="9" t="n">
        <v>10307</v>
      </c>
      <c r="F269" s="9" t="n">
        <v>0</v>
      </c>
      <c r="G269" t="inlineStr">
        <is>
          <t>Reclass 2026-03 income from 260 to 4010 (Fencing)</t>
        </is>
      </c>
      <c r="H269" s="9">
        <f>ROUND(SUMIFS('Recode Journals'!$E$5:$E$366,'Recode Journals'!$A$5:$A$366,A269)-SUMIFS('Recode Journals'!$F$5:$F$366,'Recode Journals'!$A$5:$A$366,A269),2)</f>
        <v>0</v>
      </c>
    </row>
    <row r="270">
      <c r="A270" t="inlineStr">
        <is>
          <t>MJ-202603</t>
        </is>
      </c>
      <c r="B270" s="11" t="n">
        <v>46112</v>
      </c>
      <c r="C270" t="n">
        <v>4010</v>
      </c>
      <c r="D270" t="inlineStr">
        <is>
          <t>Fencing</t>
        </is>
      </c>
      <c r="E270" s="9" t="n">
        <v>0</v>
      </c>
      <c r="F270" s="9" t="n">
        <v>10307</v>
      </c>
      <c r="G270" t="inlineStr">
        <is>
          <t>Reclass 2026-03 income from 260 to 4010 (Fencing)</t>
        </is>
      </c>
      <c r="H270" s="9">
        <f>ROUND(SUMIFS('Recode Journals'!$E$5:$E$366,'Recode Journals'!$A$5:$A$366,A270)-SUMIFS('Recode Journals'!$F$5:$F$366,'Recode Journals'!$A$5:$A$366,A270),2)</f>
        <v>0</v>
      </c>
    </row>
    <row r="271">
      <c r="A271" t="inlineStr">
        <is>
          <t>MJ-202603</t>
        </is>
      </c>
      <c r="B271" s="11" t="n">
        <v>46112</v>
      </c>
      <c r="C271" t="n">
        <v>260</v>
      </c>
      <c r="D271" t="inlineStr"/>
      <c r="E271" s="9" t="n">
        <v>1140</v>
      </c>
      <c r="F271" s="9" t="n">
        <v>0</v>
      </c>
      <c r="G271" t="inlineStr">
        <is>
          <t>Reclass 2026-03 income from 260 to 4010 (Scaffolding)</t>
        </is>
      </c>
      <c r="H271" s="9">
        <f>ROUND(SUMIFS('Recode Journals'!$E$5:$E$366,'Recode Journals'!$A$5:$A$366,A271)-SUMIFS('Recode Journals'!$F$5:$F$366,'Recode Journals'!$A$5:$A$366,A271),2)</f>
        <v>0</v>
      </c>
    </row>
    <row r="272">
      <c r="A272" t="inlineStr">
        <is>
          <t>MJ-202603</t>
        </is>
      </c>
      <c r="B272" s="11" t="n">
        <v>46112</v>
      </c>
      <c r="C272" t="n">
        <v>4010</v>
      </c>
      <c r="D272" t="inlineStr">
        <is>
          <t>Scaffolding</t>
        </is>
      </c>
      <c r="E272" s="9" t="n">
        <v>0</v>
      </c>
      <c r="F272" s="9" t="n">
        <v>1140</v>
      </c>
      <c r="G272" t="inlineStr">
        <is>
          <t>Reclass 2026-03 income from 260 to 4010 (Scaffolding)</t>
        </is>
      </c>
      <c r="H272" s="9">
        <f>ROUND(SUMIFS('Recode Journals'!$E$5:$E$366,'Recode Journals'!$A$5:$A$366,A272)-SUMIFS('Recode Journals'!$F$5:$F$366,'Recode Journals'!$A$5:$A$366,A272),2)</f>
        <v>0</v>
      </c>
    </row>
    <row r="273">
      <c r="A273" t="inlineStr">
        <is>
          <t>MJ-202603</t>
        </is>
      </c>
      <c r="B273" s="11" t="n">
        <v>46112</v>
      </c>
      <c r="C273" t="n">
        <v>260</v>
      </c>
      <c r="D273" t="inlineStr"/>
      <c r="E273" s="9" t="n">
        <v>165</v>
      </c>
      <c r="F273" s="9" t="n">
        <v>0</v>
      </c>
      <c r="G273" t="inlineStr">
        <is>
          <t>Reclass 2026-03 income from 260 to 4020 (Fencing)</t>
        </is>
      </c>
      <c r="H273" s="9">
        <f>ROUND(SUMIFS('Recode Journals'!$E$5:$E$366,'Recode Journals'!$A$5:$A$366,A273)-SUMIFS('Recode Journals'!$F$5:$F$366,'Recode Journals'!$A$5:$A$366,A273),2)</f>
        <v>0</v>
      </c>
    </row>
    <row r="274">
      <c r="A274" t="inlineStr">
        <is>
          <t>MJ-202603</t>
        </is>
      </c>
      <c r="B274" s="11" t="n">
        <v>46112</v>
      </c>
      <c r="C274" t="n">
        <v>4020</v>
      </c>
      <c r="D274" t="inlineStr">
        <is>
          <t>Fencing</t>
        </is>
      </c>
      <c r="E274" s="9" t="n">
        <v>0</v>
      </c>
      <c r="F274" s="9" t="n">
        <v>165</v>
      </c>
      <c r="G274" t="inlineStr">
        <is>
          <t>Reclass 2026-03 income from 260 to 4020 (Fencing)</t>
        </is>
      </c>
      <c r="H274" s="9">
        <f>ROUND(SUMIFS('Recode Journals'!$E$5:$E$366,'Recode Journals'!$A$5:$A$366,A274)-SUMIFS('Recode Journals'!$F$5:$F$366,'Recode Journals'!$A$5:$A$366,A274),2)</f>
        <v>0</v>
      </c>
    </row>
    <row r="275">
      <c r="A275" t="inlineStr">
        <is>
          <t>MJ-202603</t>
        </is>
      </c>
      <c r="B275" s="11" t="n">
        <v>46112</v>
      </c>
      <c r="C275" t="n">
        <v>260</v>
      </c>
      <c r="D275" t="inlineStr"/>
      <c r="E275" s="9" t="n">
        <v>720</v>
      </c>
      <c r="F275" s="9" t="n">
        <v>0</v>
      </c>
      <c r="G275" t="inlineStr">
        <is>
          <t>Reclass 2026-03 income from 260 to 4020 (Make-safe)</t>
        </is>
      </c>
      <c r="H275" s="9">
        <f>ROUND(SUMIFS('Recode Journals'!$E$5:$E$366,'Recode Journals'!$A$5:$A$366,A275)-SUMIFS('Recode Journals'!$F$5:$F$366,'Recode Journals'!$A$5:$A$366,A275),2)</f>
        <v>0</v>
      </c>
    </row>
    <row r="276">
      <c r="A276" t="inlineStr">
        <is>
          <t>MJ-202603</t>
        </is>
      </c>
      <c r="B276" s="11" t="n">
        <v>46112</v>
      </c>
      <c r="C276" t="n">
        <v>4020</v>
      </c>
      <c r="D276" t="inlineStr">
        <is>
          <t>Make-safe</t>
        </is>
      </c>
      <c r="E276" s="9" t="n">
        <v>0</v>
      </c>
      <c r="F276" s="9" t="n">
        <v>720</v>
      </c>
      <c r="G276" t="inlineStr">
        <is>
          <t>Reclass 2026-03 income from 260 to 4020 (Make-safe)</t>
        </is>
      </c>
      <c r="H276" s="9">
        <f>ROUND(SUMIFS('Recode Journals'!$E$5:$E$366,'Recode Journals'!$A$5:$A$366,A276)-SUMIFS('Recode Journals'!$F$5:$F$366,'Recode Journals'!$A$5:$A$366,A276),2)</f>
        <v>0</v>
      </c>
    </row>
    <row r="277">
      <c r="A277" t="inlineStr">
        <is>
          <t>MJ-202603</t>
        </is>
      </c>
      <c r="B277" s="11" t="n">
        <v>46112</v>
      </c>
      <c r="C277" t="n">
        <v>260</v>
      </c>
      <c r="D277" t="inlineStr"/>
      <c r="E277" s="9" t="n">
        <v>960</v>
      </c>
      <c r="F277" s="9" t="n">
        <v>0</v>
      </c>
      <c r="G277" t="inlineStr">
        <is>
          <t>Reclass 2026-03 income from 260 to 4020 (Scaffolding)</t>
        </is>
      </c>
      <c r="H277" s="9">
        <f>ROUND(SUMIFS('Recode Journals'!$E$5:$E$366,'Recode Journals'!$A$5:$A$366,A277)-SUMIFS('Recode Journals'!$F$5:$F$366,'Recode Journals'!$A$5:$A$366,A277),2)</f>
        <v>0</v>
      </c>
    </row>
    <row r="278">
      <c r="A278" t="inlineStr">
        <is>
          <t>MJ-202603</t>
        </is>
      </c>
      <c r="B278" s="11" t="n">
        <v>46112</v>
      </c>
      <c r="C278" t="n">
        <v>4020</v>
      </c>
      <c r="D278" t="inlineStr">
        <is>
          <t>Scaffolding</t>
        </is>
      </c>
      <c r="E278" s="9" t="n">
        <v>0</v>
      </c>
      <c r="F278" s="9" t="n">
        <v>960</v>
      </c>
      <c r="G278" t="inlineStr">
        <is>
          <t>Reclass 2026-03 income from 260 to 4020 (Scaffolding)</t>
        </is>
      </c>
      <c r="H278" s="9">
        <f>ROUND(SUMIFS('Recode Journals'!$E$5:$E$366,'Recode Journals'!$A$5:$A$366,A278)-SUMIFS('Recode Journals'!$F$5:$F$366,'Recode Journals'!$A$5:$A$366,A278),2)</f>
        <v>0</v>
      </c>
    </row>
    <row r="279">
      <c r="A279" t="inlineStr">
        <is>
          <t>MJ-202603</t>
        </is>
      </c>
      <c r="B279" s="11" t="n">
        <v>46112</v>
      </c>
      <c r="C279" t="n">
        <v>260</v>
      </c>
      <c r="D279" t="inlineStr"/>
      <c r="E279" s="9" t="n">
        <v>1252.81</v>
      </c>
      <c r="F279" s="9" t="n">
        <v>0</v>
      </c>
      <c r="G279" t="inlineStr">
        <is>
          <t>Reclass 2026-03 income from 260 to 4030 (Roofing)</t>
        </is>
      </c>
      <c r="H279" s="9">
        <f>ROUND(SUMIFS('Recode Journals'!$E$5:$E$366,'Recode Journals'!$A$5:$A$366,A279)-SUMIFS('Recode Journals'!$F$5:$F$366,'Recode Journals'!$A$5:$A$366,A279),2)</f>
        <v>0</v>
      </c>
    </row>
    <row r="280">
      <c r="A280" t="inlineStr">
        <is>
          <t>MJ-202603</t>
        </is>
      </c>
      <c r="B280" s="11" t="n">
        <v>46112</v>
      </c>
      <c r="C280" t="n">
        <v>4030</v>
      </c>
      <c r="D280" t="inlineStr">
        <is>
          <t>Roofing</t>
        </is>
      </c>
      <c r="E280" s="9" t="n">
        <v>0</v>
      </c>
      <c r="F280" s="9" t="n">
        <v>1252.81</v>
      </c>
      <c r="G280" t="inlineStr">
        <is>
          <t>Reclass 2026-03 income from 260 to 4030 (Roofing)</t>
        </is>
      </c>
      <c r="H280" s="9">
        <f>ROUND(SUMIFS('Recode Journals'!$E$5:$E$366,'Recode Journals'!$A$5:$A$366,A280)-SUMIFS('Recode Journals'!$F$5:$F$366,'Recode Journals'!$A$5:$A$366,A280),2)</f>
        <v>0</v>
      </c>
    </row>
    <row r="281">
      <c r="A281" t="inlineStr">
        <is>
          <t>MJ-202604</t>
        </is>
      </c>
      <c r="B281" s="11" t="n">
        <v>46142</v>
      </c>
      <c r="C281" t="n">
        <v>200</v>
      </c>
      <c r="D281" t="inlineStr"/>
      <c r="E281" s="9" t="n">
        <v>73592.8</v>
      </c>
      <c r="F281" s="9" t="n">
        <v>0</v>
      </c>
      <c r="G281" t="inlineStr">
        <is>
          <t>Reclass 2026-04 income from 200 to 4010 (Fencing)</t>
        </is>
      </c>
      <c r="H281" s="9">
        <f>ROUND(SUMIFS('Recode Journals'!$E$5:$E$366,'Recode Journals'!$A$5:$A$366,A281)-SUMIFS('Recode Journals'!$F$5:$F$366,'Recode Journals'!$A$5:$A$366,A281),2)</f>
        <v>0</v>
      </c>
    </row>
    <row r="282">
      <c r="A282" t="inlineStr">
        <is>
          <t>MJ-202604</t>
        </is>
      </c>
      <c r="B282" s="11" t="n">
        <v>46142</v>
      </c>
      <c r="C282" t="n">
        <v>4010</v>
      </c>
      <c r="D282" t="inlineStr">
        <is>
          <t>Fencing</t>
        </is>
      </c>
      <c r="E282" s="9" t="n">
        <v>0</v>
      </c>
      <c r="F282" s="9" t="n">
        <v>73592.8</v>
      </c>
      <c r="G282" t="inlineStr">
        <is>
          <t>Reclass 2026-04 income from 200 to 4010 (Fencing)</t>
        </is>
      </c>
      <c r="H282" s="9">
        <f>ROUND(SUMIFS('Recode Journals'!$E$5:$E$366,'Recode Journals'!$A$5:$A$366,A282)-SUMIFS('Recode Journals'!$F$5:$F$366,'Recode Journals'!$A$5:$A$366,A282),2)</f>
        <v>0</v>
      </c>
    </row>
    <row r="283">
      <c r="A283" t="inlineStr">
        <is>
          <t>MJ-202604</t>
        </is>
      </c>
      <c r="B283" s="11" t="n">
        <v>46142</v>
      </c>
      <c r="C283" t="n">
        <v>200</v>
      </c>
      <c r="D283" t="inlineStr"/>
      <c r="E283" s="9" t="n">
        <v>1680</v>
      </c>
      <c r="F283" s="9" t="n">
        <v>0</v>
      </c>
      <c r="G283" t="inlineStr">
        <is>
          <t>Reclass 2026-04 income from 200 to 4010 (Make-safe)</t>
        </is>
      </c>
      <c r="H283" s="9">
        <f>ROUND(SUMIFS('Recode Journals'!$E$5:$E$366,'Recode Journals'!$A$5:$A$366,A283)-SUMIFS('Recode Journals'!$F$5:$F$366,'Recode Journals'!$A$5:$A$366,A283),2)</f>
        <v>0</v>
      </c>
    </row>
    <row r="284">
      <c r="A284" t="inlineStr">
        <is>
          <t>MJ-202604</t>
        </is>
      </c>
      <c r="B284" s="11" t="n">
        <v>46142</v>
      </c>
      <c r="C284" t="n">
        <v>4010</v>
      </c>
      <c r="D284" t="inlineStr">
        <is>
          <t>Make-safe</t>
        </is>
      </c>
      <c r="E284" s="9" t="n">
        <v>0</v>
      </c>
      <c r="F284" s="9" t="n">
        <v>1680</v>
      </c>
      <c r="G284" t="inlineStr">
        <is>
          <t>Reclass 2026-04 income from 200 to 4010 (Make-safe)</t>
        </is>
      </c>
      <c r="H284" s="9">
        <f>ROUND(SUMIFS('Recode Journals'!$E$5:$E$366,'Recode Journals'!$A$5:$A$366,A284)-SUMIFS('Recode Journals'!$F$5:$F$366,'Recode Journals'!$A$5:$A$366,A284),2)</f>
        <v>0</v>
      </c>
    </row>
    <row r="285">
      <c r="A285" t="inlineStr">
        <is>
          <t>MJ-202604</t>
        </is>
      </c>
      <c r="B285" s="11" t="n">
        <v>46142</v>
      </c>
      <c r="C285" t="n">
        <v>200</v>
      </c>
      <c r="D285" t="inlineStr"/>
      <c r="E285" s="9" t="n">
        <v>8265</v>
      </c>
      <c r="F285" s="9" t="n">
        <v>0</v>
      </c>
      <c r="G285" t="inlineStr">
        <is>
          <t>Reclass 2026-04 income from 200 to 4010 (Scaffolding)</t>
        </is>
      </c>
      <c r="H285" s="9">
        <f>ROUND(SUMIFS('Recode Journals'!$E$5:$E$366,'Recode Journals'!$A$5:$A$366,A285)-SUMIFS('Recode Journals'!$F$5:$F$366,'Recode Journals'!$A$5:$A$366,A285),2)</f>
        <v>0</v>
      </c>
    </row>
    <row r="286">
      <c r="A286" t="inlineStr">
        <is>
          <t>MJ-202604</t>
        </is>
      </c>
      <c r="B286" s="11" t="n">
        <v>46142</v>
      </c>
      <c r="C286" t="n">
        <v>4010</v>
      </c>
      <c r="D286" t="inlineStr">
        <is>
          <t>Scaffolding</t>
        </is>
      </c>
      <c r="E286" s="9" t="n">
        <v>0</v>
      </c>
      <c r="F286" s="9" t="n">
        <v>8265</v>
      </c>
      <c r="G286" t="inlineStr">
        <is>
          <t>Reclass 2026-04 income from 200 to 4010 (Scaffolding)</t>
        </is>
      </c>
      <c r="H286" s="9">
        <f>ROUND(SUMIFS('Recode Journals'!$E$5:$E$366,'Recode Journals'!$A$5:$A$366,A286)-SUMIFS('Recode Journals'!$F$5:$F$366,'Recode Journals'!$A$5:$A$366,A286),2)</f>
        <v>0</v>
      </c>
    </row>
    <row r="287">
      <c r="A287" t="inlineStr">
        <is>
          <t>MJ-202604</t>
        </is>
      </c>
      <c r="B287" s="11" t="n">
        <v>46142</v>
      </c>
      <c r="C287" t="n">
        <v>200</v>
      </c>
      <c r="D287" t="inlineStr"/>
      <c r="E287" s="9" t="n">
        <v>5396.6</v>
      </c>
      <c r="F287" s="9" t="n">
        <v>0</v>
      </c>
      <c r="G287" t="inlineStr">
        <is>
          <t>Reclass 2026-04 income from 200 to 4020 (Fencing)</t>
        </is>
      </c>
      <c r="H287" s="9">
        <f>ROUND(SUMIFS('Recode Journals'!$E$5:$E$366,'Recode Journals'!$A$5:$A$366,A287)-SUMIFS('Recode Journals'!$F$5:$F$366,'Recode Journals'!$A$5:$A$366,A287),2)</f>
        <v>0</v>
      </c>
    </row>
    <row r="288">
      <c r="A288" t="inlineStr">
        <is>
          <t>MJ-202604</t>
        </is>
      </c>
      <c r="B288" s="11" t="n">
        <v>46142</v>
      </c>
      <c r="C288" t="n">
        <v>4020</v>
      </c>
      <c r="D288" t="inlineStr">
        <is>
          <t>Fencing</t>
        </is>
      </c>
      <c r="E288" s="9" t="n">
        <v>0</v>
      </c>
      <c r="F288" s="9" t="n">
        <v>5396.6</v>
      </c>
      <c r="G288" t="inlineStr">
        <is>
          <t>Reclass 2026-04 income from 200 to 4020 (Fencing)</t>
        </is>
      </c>
      <c r="H288" s="9">
        <f>ROUND(SUMIFS('Recode Journals'!$E$5:$E$366,'Recode Journals'!$A$5:$A$366,A288)-SUMIFS('Recode Journals'!$F$5:$F$366,'Recode Journals'!$A$5:$A$366,A288),2)</f>
        <v>0</v>
      </c>
    </row>
    <row r="289">
      <c r="A289" t="inlineStr">
        <is>
          <t>MJ-202604</t>
        </is>
      </c>
      <c r="B289" s="11" t="n">
        <v>46142</v>
      </c>
      <c r="C289" t="n">
        <v>200</v>
      </c>
      <c r="D289" t="inlineStr"/>
      <c r="E289" s="9" t="n">
        <v>12975</v>
      </c>
      <c r="F289" s="9" t="n">
        <v>0</v>
      </c>
      <c r="G289" t="inlineStr">
        <is>
          <t>Reclass 2026-04 income from 200 to 4020 (Make-safe)</t>
        </is>
      </c>
      <c r="H289" s="9">
        <f>ROUND(SUMIFS('Recode Journals'!$E$5:$E$366,'Recode Journals'!$A$5:$A$366,A289)-SUMIFS('Recode Journals'!$F$5:$F$366,'Recode Journals'!$A$5:$A$366,A289),2)</f>
        <v>0</v>
      </c>
    </row>
    <row r="290">
      <c r="A290" t="inlineStr">
        <is>
          <t>MJ-202604</t>
        </is>
      </c>
      <c r="B290" s="11" t="n">
        <v>46142</v>
      </c>
      <c r="C290" t="n">
        <v>4020</v>
      </c>
      <c r="D290" t="inlineStr">
        <is>
          <t>Make-safe</t>
        </is>
      </c>
      <c r="E290" s="9" t="n">
        <v>0</v>
      </c>
      <c r="F290" s="9" t="n">
        <v>12975</v>
      </c>
      <c r="G290" t="inlineStr">
        <is>
          <t>Reclass 2026-04 income from 200 to 4020 (Make-safe)</t>
        </is>
      </c>
      <c r="H290" s="9">
        <f>ROUND(SUMIFS('Recode Journals'!$E$5:$E$366,'Recode Journals'!$A$5:$A$366,A290)-SUMIFS('Recode Journals'!$F$5:$F$366,'Recode Journals'!$A$5:$A$366,A290),2)</f>
        <v>0</v>
      </c>
    </row>
    <row r="291">
      <c r="A291" t="inlineStr">
        <is>
          <t>MJ-202604</t>
        </is>
      </c>
      <c r="B291" s="11" t="n">
        <v>46142</v>
      </c>
      <c r="C291" t="n">
        <v>200</v>
      </c>
      <c r="D291" t="inlineStr"/>
      <c r="E291" s="9" t="n">
        <v>6468</v>
      </c>
      <c r="F291" s="9" t="n">
        <v>0</v>
      </c>
      <c r="G291" t="inlineStr">
        <is>
          <t>Reclass 2026-04 income from 200 to 4020 (Roofing)</t>
        </is>
      </c>
      <c r="H291" s="9">
        <f>ROUND(SUMIFS('Recode Journals'!$E$5:$E$366,'Recode Journals'!$A$5:$A$366,A291)-SUMIFS('Recode Journals'!$F$5:$F$366,'Recode Journals'!$A$5:$A$366,A291),2)</f>
        <v>0</v>
      </c>
    </row>
    <row r="292">
      <c r="A292" t="inlineStr">
        <is>
          <t>MJ-202604</t>
        </is>
      </c>
      <c r="B292" s="11" t="n">
        <v>46142</v>
      </c>
      <c r="C292" t="n">
        <v>4020</v>
      </c>
      <c r="D292" t="inlineStr">
        <is>
          <t>Roofing</t>
        </is>
      </c>
      <c r="E292" s="9" t="n">
        <v>0</v>
      </c>
      <c r="F292" s="9" t="n">
        <v>6468</v>
      </c>
      <c r="G292" t="inlineStr">
        <is>
          <t>Reclass 2026-04 income from 200 to 4020 (Roofing)</t>
        </is>
      </c>
      <c r="H292" s="9">
        <f>ROUND(SUMIFS('Recode Journals'!$E$5:$E$366,'Recode Journals'!$A$5:$A$366,A292)-SUMIFS('Recode Journals'!$F$5:$F$366,'Recode Journals'!$A$5:$A$366,A292),2)</f>
        <v>0</v>
      </c>
    </row>
    <row r="293">
      <c r="A293" t="inlineStr">
        <is>
          <t>MJ-202604</t>
        </is>
      </c>
      <c r="B293" s="11" t="n">
        <v>46142</v>
      </c>
      <c r="C293" t="n">
        <v>200</v>
      </c>
      <c r="D293" t="inlineStr"/>
      <c r="E293" s="9" t="n">
        <v>11520</v>
      </c>
      <c r="F293" s="9" t="n">
        <v>0</v>
      </c>
      <c r="G293" t="inlineStr">
        <is>
          <t>Reclass 2026-04 income from 200 to 4020 (Scaffolding)</t>
        </is>
      </c>
      <c r="H293" s="9">
        <f>ROUND(SUMIFS('Recode Journals'!$E$5:$E$366,'Recode Journals'!$A$5:$A$366,A293)-SUMIFS('Recode Journals'!$F$5:$F$366,'Recode Journals'!$A$5:$A$366,A293),2)</f>
        <v>0</v>
      </c>
    </row>
    <row r="294">
      <c r="A294" t="inlineStr">
        <is>
          <t>MJ-202604</t>
        </is>
      </c>
      <c r="B294" s="11" t="n">
        <v>46142</v>
      </c>
      <c r="C294" t="n">
        <v>4020</v>
      </c>
      <c r="D294" t="inlineStr">
        <is>
          <t>Scaffolding</t>
        </is>
      </c>
      <c r="E294" s="9" t="n">
        <v>0</v>
      </c>
      <c r="F294" s="9" t="n">
        <v>11520</v>
      </c>
      <c r="G294" t="inlineStr">
        <is>
          <t>Reclass 2026-04 income from 200 to 4020 (Scaffolding)</t>
        </is>
      </c>
      <c r="H294" s="9">
        <f>ROUND(SUMIFS('Recode Journals'!$E$5:$E$366,'Recode Journals'!$A$5:$A$366,A294)-SUMIFS('Recode Journals'!$F$5:$F$366,'Recode Journals'!$A$5:$A$366,A294),2)</f>
        <v>0</v>
      </c>
    </row>
    <row r="295">
      <c r="A295" t="inlineStr">
        <is>
          <t>MJ-202604</t>
        </is>
      </c>
      <c r="B295" s="11" t="n">
        <v>46142</v>
      </c>
      <c r="C295" t="n">
        <v>200</v>
      </c>
      <c r="D295" t="inlineStr"/>
      <c r="E295" s="9" t="n">
        <v>4570</v>
      </c>
      <c r="F295" s="9" t="n">
        <v>0</v>
      </c>
      <c r="G295" t="inlineStr">
        <is>
          <t>Reclass 2026-04 income from 200 to 4030 (Roofing)</t>
        </is>
      </c>
      <c r="H295" s="9">
        <f>ROUND(SUMIFS('Recode Journals'!$E$5:$E$366,'Recode Journals'!$A$5:$A$366,A295)-SUMIFS('Recode Journals'!$F$5:$F$366,'Recode Journals'!$A$5:$A$366,A295),2)</f>
        <v>0</v>
      </c>
    </row>
    <row r="296">
      <c r="A296" t="inlineStr">
        <is>
          <t>MJ-202604</t>
        </is>
      </c>
      <c r="B296" s="11" t="n">
        <v>46142</v>
      </c>
      <c r="C296" t="n">
        <v>4030</v>
      </c>
      <c r="D296" t="inlineStr">
        <is>
          <t>Roofing</t>
        </is>
      </c>
      <c r="E296" s="9" t="n">
        <v>0</v>
      </c>
      <c r="F296" s="9" t="n">
        <v>4570</v>
      </c>
      <c r="G296" t="inlineStr">
        <is>
          <t>Reclass 2026-04 income from 200 to 4030 (Roofing)</t>
        </is>
      </c>
      <c r="H296" s="9">
        <f>ROUND(SUMIFS('Recode Journals'!$E$5:$E$366,'Recode Journals'!$A$5:$A$366,A296)-SUMIFS('Recode Journals'!$F$5:$F$366,'Recode Journals'!$A$5:$A$366,A296),2)</f>
        <v>0</v>
      </c>
    </row>
    <row r="297">
      <c r="A297" t="inlineStr">
        <is>
          <t>MJ-202604</t>
        </is>
      </c>
      <c r="B297" s="11" t="n">
        <v>46142</v>
      </c>
      <c r="C297" t="n">
        <v>200</v>
      </c>
      <c r="D297" t="inlineStr"/>
      <c r="E297" s="9" t="n">
        <v>580</v>
      </c>
      <c r="F297" s="9" t="n">
        <v>0</v>
      </c>
      <c r="G297" t="inlineStr">
        <is>
          <t>Reclass 2026-04 income from 200 to 4040 (Fencing)</t>
        </is>
      </c>
      <c r="H297" s="9">
        <f>ROUND(SUMIFS('Recode Journals'!$E$5:$E$366,'Recode Journals'!$A$5:$A$366,A297)-SUMIFS('Recode Journals'!$F$5:$F$366,'Recode Journals'!$A$5:$A$366,A297),2)</f>
        <v>0</v>
      </c>
    </row>
    <row r="298">
      <c r="A298" t="inlineStr">
        <is>
          <t>MJ-202604</t>
        </is>
      </c>
      <c r="B298" s="11" t="n">
        <v>46142</v>
      </c>
      <c r="C298" t="n">
        <v>4040</v>
      </c>
      <c r="D298" t="inlineStr">
        <is>
          <t>Fencing</t>
        </is>
      </c>
      <c r="E298" s="9" t="n">
        <v>0</v>
      </c>
      <c r="F298" s="9" t="n">
        <v>580</v>
      </c>
      <c r="G298" t="inlineStr">
        <is>
          <t>Reclass 2026-04 income from 200 to 4040 (Fencing)</t>
        </is>
      </c>
      <c r="H298" s="9">
        <f>ROUND(SUMIFS('Recode Journals'!$E$5:$E$366,'Recode Journals'!$A$5:$A$366,A298)-SUMIFS('Recode Journals'!$F$5:$F$366,'Recode Journals'!$A$5:$A$366,A298),2)</f>
        <v>0</v>
      </c>
    </row>
    <row r="299">
      <c r="A299" t="inlineStr">
        <is>
          <t>MJ-202604</t>
        </is>
      </c>
      <c r="B299" s="11" t="n">
        <v>46142</v>
      </c>
      <c r="C299" t="n">
        <v>260</v>
      </c>
      <c r="D299" t="inlineStr"/>
      <c r="E299" s="9" t="n">
        <v>7371</v>
      </c>
      <c r="F299" s="9" t="n">
        <v>0</v>
      </c>
      <c r="G299" t="inlineStr">
        <is>
          <t>Reclass 2026-04 income from 260 to 4010 (Fencing)</t>
        </is>
      </c>
      <c r="H299" s="9">
        <f>ROUND(SUMIFS('Recode Journals'!$E$5:$E$366,'Recode Journals'!$A$5:$A$366,A299)-SUMIFS('Recode Journals'!$F$5:$F$366,'Recode Journals'!$A$5:$A$366,A299),2)</f>
        <v>0</v>
      </c>
    </row>
    <row r="300">
      <c r="A300" t="inlineStr">
        <is>
          <t>MJ-202604</t>
        </is>
      </c>
      <c r="B300" s="11" t="n">
        <v>46142</v>
      </c>
      <c r="C300" t="n">
        <v>4010</v>
      </c>
      <c r="D300" t="inlineStr">
        <is>
          <t>Fencing</t>
        </is>
      </c>
      <c r="E300" s="9" t="n">
        <v>0</v>
      </c>
      <c r="F300" s="9" t="n">
        <v>7371</v>
      </c>
      <c r="G300" t="inlineStr">
        <is>
          <t>Reclass 2026-04 income from 260 to 4010 (Fencing)</t>
        </is>
      </c>
      <c r="H300" s="9">
        <f>ROUND(SUMIFS('Recode Journals'!$E$5:$E$366,'Recode Journals'!$A$5:$A$366,A300)-SUMIFS('Recode Journals'!$F$5:$F$366,'Recode Journals'!$A$5:$A$366,A300),2)</f>
        <v>0</v>
      </c>
    </row>
    <row r="301">
      <c r="A301" t="inlineStr">
        <is>
          <t>MJ-202604</t>
        </is>
      </c>
      <c r="B301" s="11" t="n">
        <v>46142</v>
      </c>
      <c r="C301" t="n">
        <v>260</v>
      </c>
      <c r="D301" t="inlineStr"/>
      <c r="E301" s="9" t="n">
        <v>165</v>
      </c>
      <c r="F301" s="9" t="n">
        <v>0</v>
      </c>
      <c r="G301" t="inlineStr">
        <is>
          <t>Reclass 2026-04 income from 260 to 4020 (Fencing)</t>
        </is>
      </c>
      <c r="H301" s="9">
        <f>ROUND(SUMIFS('Recode Journals'!$E$5:$E$366,'Recode Journals'!$A$5:$A$366,A301)-SUMIFS('Recode Journals'!$F$5:$F$366,'Recode Journals'!$A$5:$A$366,A301),2)</f>
        <v>0</v>
      </c>
    </row>
    <row r="302">
      <c r="A302" t="inlineStr">
        <is>
          <t>MJ-202604</t>
        </is>
      </c>
      <c r="B302" s="11" t="n">
        <v>46142</v>
      </c>
      <c r="C302" t="n">
        <v>4020</v>
      </c>
      <c r="D302" t="inlineStr">
        <is>
          <t>Fencing</t>
        </is>
      </c>
      <c r="E302" s="9" t="n">
        <v>0</v>
      </c>
      <c r="F302" s="9" t="n">
        <v>165</v>
      </c>
      <c r="G302" t="inlineStr">
        <is>
          <t>Reclass 2026-04 income from 260 to 4020 (Fencing)</t>
        </is>
      </c>
      <c r="H302" s="9">
        <f>ROUND(SUMIFS('Recode Journals'!$E$5:$E$366,'Recode Journals'!$A$5:$A$366,A302)-SUMIFS('Recode Journals'!$F$5:$F$366,'Recode Journals'!$A$5:$A$366,A302),2)</f>
        <v>0</v>
      </c>
    </row>
    <row r="303">
      <c r="A303" t="inlineStr">
        <is>
          <t>MJ-202605</t>
        </is>
      </c>
      <c r="B303" s="11" t="n">
        <v>46173</v>
      </c>
      <c r="C303" t="n">
        <v>200</v>
      </c>
      <c r="D303" t="inlineStr"/>
      <c r="E303" s="9" t="n">
        <v>78892.2</v>
      </c>
      <c r="F303" s="9" t="n">
        <v>0</v>
      </c>
      <c r="G303" t="inlineStr">
        <is>
          <t>Reclass 2026-05 income from 200 to 4010 (Fencing)</t>
        </is>
      </c>
      <c r="H303" s="9">
        <f>ROUND(SUMIFS('Recode Journals'!$E$5:$E$366,'Recode Journals'!$A$5:$A$366,A303)-SUMIFS('Recode Journals'!$F$5:$F$366,'Recode Journals'!$A$5:$A$366,A303),2)</f>
        <v>0</v>
      </c>
    </row>
    <row r="304">
      <c r="A304" t="inlineStr">
        <is>
          <t>MJ-202605</t>
        </is>
      </c>
      <c r="B304" s="11" t="n">
        <v>46173</v>
      </c>
      <c r="C304" t="n">
        <v>4010</v>
      </c>
      <c r="D304" t="inlineStr">
        <is>
          <t>Fencing</t>
        </is>
      </c>
      <c r="E304" s="9" t="n">
        <v>0</v>
      </c>
      <c r="F304" s="9" t="n">
        <v>78892.2</v>
      </c>
      <c r="G304" t="inlineStr">
        <is>
          <t>Reclass 2026-05 income from 200 to 4010 (Fencing)</t>
        </is>
      </c>
      <c r="H304" s="9">
        <f>ROUND(SUMIFS('Recode Journals'!$E$5:$E$366,'Recode Journals'!$A$5:$A$366,A304)-SUMIFS('Recode Journals'!$F$5:$F$366,'Recode Journals'!$A$5:$A$366,A304),2)</f>
        <v>0</v>
      </c>
    </row>
    <row r="305">
      <c r="A305" t="inlineStr">
        <is>
          <t>MJ-202605</t>
        </is>
      </c>
      <c r="B305" s="11" t="n">
        <v>46173</v>
      </c>
      <c r="C305" t="n">
        <v>200</v>
      </c>
      <c r="D305" t="inlineStr"/>
      <c r="E305" s="9" t="n">
        <v>2905</v>
      </c>
      <c r="F305" s="9" t="n">
        <v>0</v>
      </c>
      <c r="G305" t="inlineStr">
        <is>
          <t>Reclass 2026-05 income from 200 to 4010 (Make-safe)</t>
        </is>
      </c>
      <c r="H305" s="9">
        <f>ROUND(SUMIFS('Recode Journals'!$E$5:$E$366,'Recode Journals'!$A$5:$A$366,A305)-SUMIFS('Recode Journals'!$F$5:$F$366,'Recode Journals'!$A$5:$A$366,A305),2)</f>
        <v>0</v>
      </c>
    </row>
    <row r="306">
      <c r="A306" t="inlineStr">
        <is>
          <t>MJ-202605</t>
        </is>
      </c>
      <c r="B306" s="11" t="n">
        <v>46173</v>
      </c>
      <c r="C306" t="n">
        <v>4010</v>
      </c>
      <c r="D306" t="inlineStr">
        <is>
          <t>Make-safe</t>
        </is>
      </c>
      <c r="E306" s="9" t="n">
        <v>0</v>
      </c>
      <c r="F306" s="9" t="n">
        <v>2905</v>
      </c>
      <c r="G306" t="inlineStr">
        <is>
          <t>Reclass 2026-05 income from 200 to 4010 (Make-safe)</t>
        </is>
      </c>
      <c r="H306" s="9">
        <f>ROUND(SUMIFS('Recode Journals'!$E$5:$E$366,'Recode Journals'!$A$5:$A$366,A306)-SUMIFS('Recode Journals'!$F$5:$F$366,'Recode Journals'!$A$5:$A$366,A306),2)</f>
        <v>0</v>
      </c>
    </row>
    <row r="307">
      <c r="A307" t="inlineStr">
        <is>
          <t>MJ-202605</t>
        </is>
      </c>
      <c r="B307" s="11" t="n">
        <v>46173</v>
      </c>
      <c r="C307" t="n">
        <v>200</v>
      </c>
      <c r="D307" t="inlineStr"/>
      <c r="E307" s="9" t="n">
        <v>8075</v>
      </c>
      <c r="F307" s="9" t="n">
        <v>0</v>
      </c>
      <c r="G307" t="inlineStr">
        <is>
          <t>Reclass 2026-05 income from 200 to 4010 (Scaffolding)</t>
        </is>
      </c>
      <c r="H307" s="9">
        <f>ROUND(SUMIFS('Recode Journals'!$E$5:$E$366,'Recode Journals'!$A$5:$A$366,A307)-SUMIFS('Recode Journals'!$F$5:$F$366,'Recode Journals'!$A$5:$A$366,A307),2)</f>
        <v>0</v>
      </c>
    </row>
    <row r="308">
      <c r="A308" t="inlineStr">
        <is>
          <t>MJ-202605</t>
        </is>
      </c>
      <c r="B308" s="11" t="n">
        <v>46173</v>
      </c>
      <c r="C308" t="n">
        <v>4010</v>
      </c>
      <c r="D308" t="inlineStr">
        <is>
          <t>Scaffolding</t>
        </is>
      </c>
      <c r="E308" s="9" t="n">
        <v>0</v>
      </c>
      <c r="F308" s="9" t="n">
        <v>8075</v>
      </c>
      <c r="G308" t="inlineStr">
        <is>
          <t>Reclass 2026-05 income from 200 to 4010 (Scaffolding)</t>
        </is>
      </c>
      <c r="H308" s="9">
        <f>ROUND(SUMIFS('Recode Journals'!$E$5:$E$366,'Recode Journals'!$A$5:$A$366,A308)-SUMIFS('Recode Journals'!$F$5:$F$366,'Recode Journals'!$A$5:$A$366,A308),2)</f>
        <v>0</v>
      </c>
    </row>
    <row r="309">
      <c r="A309" t="inlineStr">
        <is>
          <t>MJ-202605</t>
        </is>
      </c>
      <c r="B309" s="11" t="n">
        <v>46173</v>
      </c>
      <c r="C309" t="n">
        <v>200</v>
      </c>
      <c r="D309" t="inlineStr"/>
      <c r="E309" s="9" t="n">
        <v>9816.4</v>
      </c>
      <c r="F309" s="9" t="n">
        <v>0</v>
      </c>
      <c r="G309" t="inlineStr">
        <is>
          <t>Reclass 2026-05 income from 200 to 4020 (Fencing)</t>
        </is>
      </c>
      <c r="H309" s="9">
        <f>ROUND(SUMIFS('Recode Journals'!$E$5:$E$366,'Recode Journals'!$A$5:$A$366,A309)-SUMIFS('Recode Journals'!$F$5:$F$366,'Recode Journals'!$A$5:$A$366,A309),2)</f>
        <v>0</v>
      </c>
    </row>
    <row r="310">
      <c r="A310" t="inlineStr">
        <is>
          <t>MJ-202605</t>
        </is>
      </c>
      <c r="B310" s="11" t="n">
        <v>46173</v>
      </c>
      <c r="C310" t="n">
        <v>4020</v>
      </c>
      <c r="D310" t="inlineStr">
        <is>
          <t>Fencing</t>
        </is>
      </c>
      <c r="E310" s="9" t="n">
        <v>0</v>
      </c>
      <c r="F310" s="9" t="n">
        <v>9816.4</v>
      </c>
      <c r="G310" t="inlineStr">
        <is>
          <t>Reclass 2026-05 income from 200 to 4020 (Fencing)</t>
        </is>
      </c>
      <c r="H310" s="9">
        <f>ROUND(SUMIFS('Recode Journals'!$E$5:$E$366,'Recode Journals'!$A$5:$A$366,A310)-SUMIFS('Recode Journals'!$F$5:$F$366,'Recode Journals'!$A$5:$A$366,A310),2)</f>
        <v>0</v>
      </c>
    </row>
    <row r="311">
      <c r="A311" t="inlineStr">
        <is>
          <t>MJ-202605</t>
        </is>
      </c>
      <c r="B311" s="11" t="n">
        <v>46173</v>
      </c>
      <c r="C311" t="n">
        <v>200</v>
      </c>
      <c r="D311" t="inlineStr"/>
      <c r="E311" s="9" t="n">
        <v>7050</v>
      </c>
      <c r="F311" s="9" t="n">
        <v>0</v>
      </c>
      <c r="G311" t="inlineStr">
        <is>
          <t>Reclass 2026-05 income from 200 to 4020 (Make-safe)</t>
        </is>
      </c>
      <c r="H311" s="9">
        <f>ROUND(SUMIFS('Recode Journals'!$E$5:$E$366,'Recode Journals'!$A$5:$A$366,A311)-SUMIFS('Recode Journals'!$F$5:$F$366,'Recode Journals'!$A$5:$A$366,A311),2)</f>
        <v>0</v>
      </c>
    </row>
    <row r="312">
      <c r="A312" t="inlineStr">
        <is>
          <t>MJ-202605</t>
        </is>
      </c>
      <c r="B312" s="11" t="n">
        <v>46173</v>
      </c>
      <c r="C312" t="n">
        <v>4020</v>
      </c>
      <c r="D312" t="inlineStr">
        <is>
          <t>Make-safe</t>
        </is>
      </c>
      <c r="E312" s="9" t="n">
        <v>0</v>
      </c>
      <c r="F312" s="9" t="n">
        <v>7050</v>
      </c>
      <c r="G312" t="inlineStr">
        <is>
          <t>Reclass 2026-05 income from 200 to 4020 (Make-safe)</t>
        </is>
      </c>
      <c r="H312" s="9">
        <f>ROUND(SUMIFS('Recode Journals'!$E$5:$E$366,'Recode Journals'!$A$5:$A$366,A312)-SUMIFS('Recode Journals'!$F$5:$F$366,'Recode Journals'!$A$5:$A$366,A312),2)</f>
        <v>0</v>
      </c>
    </row>
    <row r="313">
      <c r="A313" t="inlineStr">
        <is>
          <t>MJ-202605</t>
        </is>
      </c>
      <c r="B313" s="11" t="n">
        <v>46173</v>
      </c>
      <c r="C313" t="n">
        <v>200</v>
      </c>
      <c r="D313" t="inlineStr"/>
      <c r="E313" s="9" t="n">
        <v>16954</v>
      </c>
      <c r="F313" s="9" t="n">
        <v>0</v>
      </c>
      <c r="G313" t="inlineStr">
        <is>
          <t>Reclass 2026-05 income from 200 to 4020 (Roofing)</t>
        </is>
      </c>
      <c r="H313" s="9">
        <f>ROUND(SUMIFS('Recode Journals'!$E$5:$E$366,'Recode Journals'!$A$5:$A$366,A313)-SUMIFS('Recode Journals'!$F$5:$F$366,'Recode Journals'!$A$5:$A$366,A313),2)</f>
        <v>0</v>
      </c>
    </row>
    <row r="314">
      <c r="A314" t="inlineStr">
        <is>
          <t>MJ-202605</t>
        </is>
      </c>
      <c r="B314" s="11" t="n">
        <v>46173</v>
      </c>
      <c r="C314" t="n">
        <v>4020</v>
      </c>
      <c r="D314" t="inlineStr">
        <is>
          <t>Roofing</t>
        </is>
      </c>
      <c r="E314" s="9" t="n">
        <v>0</v>
      </c>
      <c r="F314" s="9" t="n">
        <v>16954</v>
      </c>
      <c r="G314" t="inlineStr">
        <is>
          <t>Reclass 2026-05 income from 200 to 4020 (Roofing)</t>
        </is>
      </c>
      <c r="H314" s="9">
        <f>ROUND(SUMIFS('Recode Journals'!$E$5:$E$366,'Recode Journals'!$A$5:$A$366,A314)-SUMIFS('Recode Journals'!$F$5:$F$366,'Recode Journals'!$A$5:$A$366,A314),2)</f>
        <v>0</v>
      </c>
    </row>
    <row r="315">
      <c r="A315" t="inlineStr">
        <is>
          <t>MJ-202605</t>
        </is>
      </c>
      <c r="B315" s="11" t="n">
        <v>46173</v>
      </c>
      <c r="C315" t="n">
        <v>200</v>
      </c>
      <c r="D315" t="inlineStr"/>
      <c r="E315" s="9" t="n">
        <v>7720</v>
      </c>
      <c r="F315" s="9" t="n">
        <v>0</v>
      </c>
      <c r="G315" t="inlineStr">
        <is>
          <t>Reclass 2026-05 income from 200 to 4020 (Scaffolding)</t>
        </is>
      </c>
      <c r="H315" s="9">
        <f>ROUND(SUMIFS('Recode Journals'!$E$5:$E$366,'Recode Journals'!$A$5:$A$366,A315)-SUMIFS('Recode Journals'!$F$5:$F$366,'Recode Journals'!$A$5:$A$366,A315),2)</f>
        <v>0</v>
      </c>
    </row>
    <row r="316">
      <c r="A316" t="inlineStr">
        <is>
          <t>MJ-202605</t>
        </is>
      </c>
      <c r="B316" s="11" t="n">
        <v>46173</v>
      </c>
      <c r="C316" t="n">
        <v>4020</v>
      </c>
      <c r="D316" t="inlineStr">
        <is>
          <t>Scaffolding</t>
        </is>
      </c>
      <c r="E316" s="9" t="n">
        <v>0</v>
      </c>
      <c r="F316" s="9" t="n">
        <v>7720</v>
      </c>
      <c r="G316" t="inlineStr">
        <is>
          <t>Reclass 2026-05 income from 200 to 4020 (Scaffolding)</t>
        </is>
      </c>
      <c r="H316" s="9">
        <f>ROUND(SUMIFS('Recode Journals'!$E$5:$E$366,'Recode Journals'!$A$5:$A$366,A316)-SUMIFS('Recode Journals'!$F$5:$F$366,'Recode Journals'!$A$5:$A$366,A316),2)</f>
        <v>0</v>
      </c>
    </row>
    <row r="317">
      <c r="A317" t="inlineStr">
        <is>
          <t>MJ-202605</t>
        </is>
      </c>
      <c r="B317" s="11" t="n">
        <v>46173</v>
      </c>
      <c r="C317" t="n">
        <v>200</v>
      </c>
      <c r="D317" t="inlineStr"/>
      <c r="E317" s="9" t="n">
        <v>26396.42</v>
      </c>
      <c r="F317" s="9" t="n">
        <v>0</v>
      </c>
      <c r="G317" t="inlineStr">
        <is>
          <t>Reclass 2026-05 income from 200 to 4030 (Roofing)</t>
        </is>
      </c>
      <c r="H317" s="9">
        <f>ROUND(SUMIFS('Recode Journals'!$E$5:$E$366,'Recode Journals'!$A$5:$A$366,A317)-SUMIFS('Recode Journals'!$F$5:$F$366,'Recode Journals'!$A$5:$A$366,A317),2)</f>
        <v>0</v>
      </c>
    </row>
    <row r="318">
      <c r="A318" t="inlineStr">
        <is>
          <t>MJ-202605</t>
        </is>
      </c>
      <c r="B318" s="11" t="n">
        <v>46173</v>
      </c>
      <c r="C318" t="n">
        <v>4030</v>
      </c>
      <c r="D318" t="inlineStr">
        <is>
          <t>Roofing</t>
        </is>
      </c>
      <c r="E318" s="9" t="n">
        <v>0</v>
      </c>
      <c r="F318" s="9" t="n">
        <v>26396.42</v>
      </c>
      <c r="G318" t="inlineStr">
        <is>
          <t>Reclass 2026-05 income from 200 to 4030 (Roofing)</t>
        </is>
      </c>
      <c r="H318" s="9">
        <f>ROUND(SUMIFS('Recode Journals'!$E$5:$E$366,'Recode Journals'!$A$5:$A$366,A318)-SUMIFS('Recode Journals'!$F$5:$F$366,'Recode Journals'!$A$5:$A$366,A318),2)</f>
        <v>0</v>
      </c>
    </row>
    <row r="319">
      <c r="A319" t="inlineStr">
        <is>
          <t>MJ-202605</t>
        </is>
      </c>
      <c r="B319" s="11" t="n">
        <v>46173</v>
      </c>
      <c r="C319" t="n">
        <v>200</v>
      </c>
      <c r="D319" t="inlineStr"/>
      <c r="E319" s="9" t="n">
        <v>1015</v>
      </c>
      <c r="F319" s="9" t="n">
        <v>0</v>
      </c>
      <c r="G319" t="inlineStr">
        <is>
          <t>Reclass 2026-05 income from 200 to 4040 (Fencing)</t>
        </is>
      </c>
      <c r="H319" s="9">
        <f>ROUND(SUMIFS('Recode Journals'!$E$5:$E$366,'Recode Journals'!$A$5:$A$366,A319)-SUMIFS('Recode Journals'!$F$5:$F$366,'Recode Journals'!$A$5:$A$366,A319),2)</f>
        <v>0</v>
      </c>
    </row>
    <row r="320">
      <c r="A320" t="inlineStr">
        <is>
          <t>MJ-202605</t>
        </is>
      </c>
      <c r="B320" s="11" t="n">
        <v>46173</v>
      </c>
      <c r="C320" t="n">
        <v>4040</v>
      </c>
      <c r="D320" t="inlineStr">
        <is>
          <t>Fencing</t>
        </is>
      </c>
      <c r="E320" s="9" t="n">
        <v>0</v>
      </c>
      <c r="F320" s="9" t="n">
        <v>1015</v>
      </c>
      <c r="G320" t="inlineStr">
        <is>
          <t>Reclass 2026-05 income from 200 to 4040 (Fencing)</t>
        </is>
      </c>
      <c r="H320" s="9">
        <f>ROUND(SUMIFS('Recode Journals'!$E$5:$E$366,'Recode Journals'!$A$5:$A$366,A320)-SUMIFS('Recode Journals'!$F$5:$F$366,'Recode Journals'!$A$5:$A$366,A320),2)</f>
        <v>0</v>
      </c>
    </row>
    <row r="321">
      <c r="A321" t="inlineStr">
        <is>
          <t>MJ-202605</t>
        </is>
      </c>
      <c r="B321" s="11" t="n">
        <v>46173</v>
      </c>
      <c r="C321" t="n">
        <v>200</v>
      </c>
      <c r="D321" t="inlineStr"/>
      <c r="E321" s="9" t="n">
        <v>1890</v>
      </c>
      <c r="F321" s="9" t="n">
        <v>0</v>
      </c>
      <c r="G321" t="inlineStr">
        <is>
          <t>Reclass 2026-05 income from 200 to 835 (Fencing)</t>
        </is>
      </c>
      <c r="H321" s="9">
        <f>ROUND(SUMIFS('Recode Journals'!$E$5:$E$366,'Recode Journals'!$A$5:$A$366,A321)-SUMIFS('Recode Journals'!$F$5:$F$366,'Recode Journals'!$A$5:$A$366,A321),2)</f>
        <v>0</v>
      </c>
    </row>
    <row r="322">
      <c r="A322" t="inlineStr">
        <is>
          <t>MJ-202605</t>
        </is>
      </c>
      <c r="B322" s="11" t="n">
        <v>46173</v>
      </c>
      <c r="C322" t="n">
        <v>835</v>
      </c>
      <c r="D322" t="inlineStr"/>
      <c r="E322" s="9" t="n">
        <v>0</v>
      </c>
      <c r="F322" s="9" t="n">
        <v>1890</v>
      </c>
      <c r="G322" t="inlineStr">
        <is>
          <t>Reclass 2026-05 income from 200 to 835 (Fencing)</t>
        </is>
      </c>
      <c r="H322" s="9">
        <f>ROUND(SUMIFS('Recode Journals'!$E$5:$E$366,'Recode Journals'!$A$5:$A$366,A322)-SUMIFS('Recode Journals'!$F$5:$F$366,'Recode Journals'!$A$5:$A$366,A322),2)</f>
        <v>0</v>
      </c>
    </row>
    <row r="323">
      <c r="A323" t="inlineStr">
        <is>
          <t>MJ-202605</t>
        </is>
      </c>
      <c r="B323" s="11" t="n">
        <v>46173</v>
      </c>
      <c r="C323" t="n">
        <v>260</v>
      </c>
      <c r="D323" t="inlineStr"/>
      <c r="E323" s="9" t="n">
        <v>2980.8</v>
      </c>
      <c r="F323" s="9" t="n">
        <v>0</v>
      </c>
      <c r="G323" t="inlineStr">
        <is>
          <t>Reclass 2026-05 income from 260 to 4010 (Fencing)</t>
        </is>
      </c>
      <c r="H323" s="9">
        <f>ROUND(SUMIFS('Recode Journals'!$E$5:$E$366,'Recode Journals'!$A$5:$A$366,A323)-SUMIFS('Recode Journals'!$F$5:$F$366,'Recode Journals'!$A$5:$A$366,A323),2)</f>
        <v>0</v>
      </c>
    </row>
    <row r="324">
      <c r="A324" t="inlineStr">
        <is>
          <t>MJ-202605</t>
        </is>
      </c>
      <c r="B324" s="11" t="n">
        <v>46173</v>
      </c>
      <c r="C324" t="n">
        <v>4010</v>
      </c>
      <c r="D324" t="inlineStr">
        <is>
          <t>Fencing</t>
        </is>
      </c>
      <c r="E324" s="9" t="n">
        <v>0</v>
      </c>
      <c r="F324" s="9" t="n">
        <v>2980.8</v>
      </c>
      <c r="G324" t="inlineStr">
        <is>
          <t>Reclass 2026-05 income from 260 to 4010 (Fencing)</t>
        </is>
      </c>
      <c r="H324" s="9">
        <f>ROUND(SUMIFS('Recode Journals'!$E$5:$E$366,'Recode Journals'!$A$5:$A$366,A324)-SUMIFS('Recode Journals'!$F$5:$F$366,'Recode Journals'!$A$5:$A$366,A324),2)</f>
        <v>0</v>
      </c>
    </row>
    <row r="325">
      <c r="A325" t="inlineStr">
        <is>
          <t>MJ-202605</t>
        </is>
      </c>
      <c r="B325" s="11" t="n">
        <v>46173</v>
      </c>
      <c r="C325" t="n">
        <v>260</v>
      </c>
      <c r="D325" t="inlineStr"/>
      <c r="E325" s="9" t="n">
        <v>673.2</v>
      </c>
      <c r="F325" s="9" t="n">
        <v>0</v>
      </c>
      <c r="G325" t="inlineStr">
        <is>
          <t>Reclass 2026-05 income from 260 to 4020 (Fencing)</t>
        </is>
      </c>
      <c r="H325" s="9">
        <f>ROUND(SUMIFS('Recode Journals'!$E$5:$E$366,'Recode Journals'!$A$5:$A$366,A325)-SUMIFS('Recode Journals'!$F$5:$F$366,'Recode Journals'!$A$5:$A$366,A325),2)</f>
        <v>0</v>
      </c>
    </row>
    <row r="326">
      <c r="A326" t="inlineStr">
        <is>
          <t>MJ-202605</t>
        </is>
      </c>
      <c r="B326" s="11" t="n">
        <v>46173</v>
      </c>
      <c r="C326" t="n">
        <v>4020</v>
      </c>
      <c r="D326" t="inlineStr">
        <is>
          <t>Fencing</t>
        </is>
      </c>
      <c r="E326" s="9" t="n">
        <v>0</v>
      </c>
      <c r="F326" s="9" t="n">
        <v>673.2</v>
      </c>
      <c r="G326" t="inlineStr">
        <is>
          <t>Reclass 2026-05 income from 260 to 4020 (Fencing)</t>
        </is>
      </c>
      <c r="H326" s="9">
        <f>ROUND(SUMIFS('Recode Journals'!$E$5:$E$366,'Recode Journals'!$A$5:$A$366,A326)-SUMIFS('Recode Journals'!$F$5:$F$366,'Recode Journals'!$A$5:$A$366,A326),2)</f>
        <v>0</v>
      </c>
    </row>
    <row r="327">
      <c r="A327" t="inlineStr">
        <is>
          <t>MJ-202605</t>
        </is>
      </c>
      <c r="B327" s="11" t="n">
        <v>46173</v>
      </c>
      <c r="C327" t="n">
        <v>260</v>
      </c>
      <c r="D327" t="inlineStr"/>
      <c r="E327" s="9" t="n">
        <v>770</v>
      </c>
      <c r="F327" s="9" t="n">
        <v>0</v>
      </c>
      <c r="G327" t="inlineStr">
        <is>
          <t>Reclass 2026-05 income from 260 to 4020 (Make-safe)</t>
        </is>
      </c>
      <c r="H327" s="9">
        <f>ROUND(SUMIFS('Recode Journals'!$E$5:$E$366,'Recode Journals'!$A$5:$A$366,A327)-SUMIFS('Recode Journals'!$F$5:$F$366,'Recode Journals'!$A$5:$A$366,A327),2)</f>
        <v>0</v>
      </c>
    </row>
    <row r="328">
      <c r="A328" t="inlineStr">
        <is>
          <t>MJ-202605</t>
        </is>
      </c>
      <c r="B328" s="11" t="n">
        <v>46173</v>
      </c>
      <c r="C328" t="n">
        <v>4020</v>
      </c>
      <c r="D328" t="inlineStr">
        <is>
          <t>Make-safe</t>
        </is>
      </c>
      <c r="E328" s="9" t="n">
        <v>0</v>
      </c>
      <c r="F328" s="9" t="n">
        <v>770</v>
      </c>
      <c r="G328" t="inlineStr">
        <is>
          <t>Reclass 2026-05 income from 260 to 4020 (Make-safe)</t>
        </is>
      </c>
      <c r="H328" s="9">
        <f>ROUND(SUMIFS('Recode Journals'!$E$5:$E$366,'Recode Journals'!$A$5:$A$366,A328)-SUMIFS('Recode Journals'!$F$5:$F$366,'Recode Journals'!$A$5:$A$366,A328),2)</f>
        <v>0</v>
      </c>
    </row>
    <row r="329">
      <c r="A329" t="inlineStr">
        <is>
          <t>MJ-202605</t>
        </is>
      </c>
      <c r="B329" s="11" t="n">
        <v>46173</v>
      </c>
      <c r="C329" t="n">
        <v>260</v>
      </c>
      <c r="D329" t="inlineStr"/>
      <c r="E329" s="9" t="n">
        <v>1568</v>
      </c>
      <c r="F329" s="9" t="n">
        <v>0</v>
      </c>
      <c r="G329" t="inlineStr">
        <is>
          <t>Reclass 2026-05 income from 260 to 4020 (Roofing)</t>
        </is>
      </c>
      <c r="H329" s="9">
        <f>ROUND(SUMIFS('Recode Journals'!$E$5:$E$366,'Recode Journals'!$A$5:$A$366,A329)-SUMIFS('Recode Journals'!$F$5:$F$366,'Recode Journals'!$A$5:$A$366,A329),2)</f>
        <v>0</v>
      </c>
    </row>
    <row r="330">
      <c r="A330" t="inlineStr">
        <is>
          <t>MJ-202605</t>
        </is>
      </c>
      <c r="B330" s="11" t="n">
        <v>46173</v>
      </c>
      <c r="C330" t="n">
        <v>4020</v>
      </c>
      <c r="D330" t="inlineStr">
        <is>
          <t>Roofing</t>
        </is>
      </c>
      <c r="E330" s="9" t="n">
        <v>0</v>
      </c>
      <c r="F330" s="9" t="n">
        <v>1568</v>
      </c>
      <c r="G330" t="inlineStr">
        <is>
          <t>Reclass 2026-05 income from 260 to 4020 (Roofing)</t>
        </is>
      </c>
      <c r="H330" s="9">
        <f>ROUND(SUMIFS('Recode Journals'!$E$5:$E$366,'Recode Journals'!$A$5:$A$366,A330)-SUMIFS('Recode Journals'!$F$5:$F$366,'Recode Journals'!$A$5:$A$366,A330),2)</f>
        <v>0</v>
      </c>
    </row>
    <row r="331">
      <c r="A331" t="inlineStr">
        <is>
          <t>MJ-202605</t>
        </is>
      </c>
      <c r="B331" s="11" t="n">
        <v>46173</v>
      </c>
      <c r="C331" t="n">
        <v>260</v>
      </c>
      <c r="D331" t="inlineStr"/>
      <c r="E331" s="9" t="n">
        <v>1480</v>
      </c>
      <c r="F331" s="9" t="n">
        <v>0</v>
      </c>
      <c r="G331" t="inlineStr">
        <is>
          <t>Reclass 2026-05 income from 260 to 4020 (Scaffolding)</t>
        </is>
      </c>
      <c r="H331" s="9">
        <f>ROUND(SUMIFS('Recode Journals'!$E$5:$E$366,'Recode Journals'!$A$5:$A$366,A331)-SUMIFS('Recode Journals'!$F$5:$F$366,'Recode Journals'!$A$5:$A$366,A331),2)</f>
        <v>0</v>
      </c>
    </row>
    <row r="332">
      <c r="A332" t="inlineStr">
        <is>
          <t>MJ-202605</t>
        </is>
      </c>
      <c r="B332" s="11" t="n">
        <v>46173</v>
      </c>
      <c r="C332" t="n">
        <v>4020</v>
      </c>
      <c r="D332" t="inlineStr">
        <is>
          <t>Scaffolding</t>
        </is>
      </c>
      <c r="E332" s="9" t="n">
        <v>0</v>
      </c>
      <c r="F332" s="9" t="n">
        <v>1480</v>
      </c>
      <c r="G332" t="inlineStr">
        <is>
          <t>Reclass 2026-05 income from 260 to 4020 (Scaffolding)</t>
        </is>
      </c>
      <c r="H332" s="9">
        <f>ROUND(SUMIFS('Recode Journals'!$E$5:$E$366,'Recode Journals'!$A$5:$A$366,A332)-SUMIFS('Recode Journals'!$F$5:$F$366,'Recode Journals'!$A$5:$A$366,A332),2)</f>
        <v>0</v>
      </c>
    </row>
    <row r="333">
      <c r="A333" t="inlineStr">
        <is>
          <t>MJ-202605</t>
        </is>
      </c>
      <c r="B333" s="11" t="n">
        <v>46173</v>
      </c>
      <c r="C333" t="n">
        <v>260</v>
      </c>
      <c r="D333" t="inlineStr"/>
      <c r="E333" s="9" t="n">
        <v>1367.38</v>
      </c>
      <c r="F333" s="9" t="n">
        <v>0</v>
      </c>
      <c r="G333" t="inlineStr">
        <is>
          <t>Reclass 2026-05 income from 260 to 4030 (Roofing)</t>
        </is>
      </c>
      <c r="H333" s="9">
        <f>ROUND(SUMIFS('Recode Journals'!$E$5:$E$366,'Recode Journals'!$A$5:$A$366,A333)-SUMIFS('Recode Journals'!$F$5:$F$366,'Recode Journals'!$A$5:$A$366,A333),2)</f>
        <v>0</v>
      </c>
    </row>
    <row r="334">
      <c r="A334" t="inlineStr">
        <is>
          <t>MJ-202605</t>
        </is>
      </c>
      <c r="B334" s="11" t="n">
        <v>46173</v>
      </c>
      <c r="C334" t="n">
        <v>4030</v>
      </c>
      <c r="D334" t="inlineStr">
        <is>
          <t>Roofing</t>
        </is>
      </c>
      <c r="E334" s="9" t="n">
        <v>0</v>
      </c>
      <c r="F334" s="9" t="n">
        <v>1367.38</v>
      </c>
      <c r="G334" t="inlineStr">
        <is>
          <t>Reclass 2026-05 income from 260 to 4030 (Roofing)</t>
        </is>
      </c>
      <c r="H334" s="9">
        <f>ROUND(SUMIFS('Recode Journals'!$E$5:$E$366,'Recode Journals'!$A$5:$A$366,A334)-SUMIFS('Recode Journals'!$F$5:$F$366,'Recode Journals'!$A$5:$A$366,A334),2)</f>
        <v>0</v>
      </c>
    </row>
    <row r="335">
      <c r="A335" t="inlineStr">
        <is>
          <t>MJ-202606</t>
        </is>
      </c>
      <c r="B335" s="11" t="n">
        <v>46203</v>
      </c>
      <c r="C335" t="n">
        <v>200</v>
      </c>
      <c r="D335" t="inlineStr"/>
      <c r="E335" s="9" t="n">
        <v>71272.2</v>
      </c>
      <c r="F335" s="9" t="n">
        <v>0</v>
      </c>
      <c r="G335" t="inlineStr">
        <is>
          <t>Reclass 2026-06 income from 200 to 4010 (Fencing)</t>
        </is>
      </c>
      <c r="H335" s="9">
        <f>ROUND(SUMIFS('Recode Journals'!$E$5:$E$366,'Recode Journals'!$A$5:$A$366,A335)-SUMIFS('Recode Journals'!$F$5:$F$366,'Recode Journals'!$A$5:$A$366,A335),2)</f>
        <v>0</v>
      </c>
    </row>
    <row r="336">
      <c r="A336" t="inlineStr">
        <is>
          <t>MJ-202606</t>
        </is>
      </c>
      <c r="B336" s="11" t="n">
        <v>46203</v>
      </c>
      <c r="C336" t="n">
        <v>4010</v>
      </c>
      <c r="D336" t="inlineStr">
        <is>
          <t>Fencing</t>
        </is>
      </c>
      <c r="E336" s="9" t="n">
        <v>0</v>
      </c>
      <c r="F336" s="9" t="n">
        <v>71272.2</v>
      </c>
      <c r="G336" t="inlineStr">
        <is>
          <t>Reclass 2026-06 income from 200 to 4010 (Fencing)</t>
        </is>
      </c>
      <c r="H336" s="9">
        <f>ROUND(SUMIFS('Recode Journals'!$E$5:$E$366,'Recode Journals'!$A$5:$A$366,A336)-SUMIFS('Recode Journals'!$F$5:$F$366,'Recode Journals'!$A$5:$A$366,A336),2)</f>
        <v>0</v>
      </c>
    </row>
    <row r="337">
      <c r="A337" t="inlineStr">
        <is>
          <t>MJ-202606</t>
        </is>
      </c>
      <c r="B337" s="11" t="n">
        <v>46203</v>
      </c>
      <c r="C337" t="n">
        <v>200</v>
      </c>
      <c r="D337" t="inlineStr"/>
      <c r="E337" s="9" t="n">
        <v>2135</v>
      </c>
      <c r="F337" s="9" t="n">
        <v>0</v>
      </c>
      <c r="G337" t="inlineStr">
        <is>
          <t>Reclass 2026-06 income from 200 to 4010 (Make-safe)</t>
        </is>
      </c>
      <c r="H337" s="9">
        <f>ROUND(SUMIFS('Recode Journals'!$E$5:$E$366,'Recode Journals'!$A$5:$A$366,A337)-SUMIFS('Recode Journals'!$F$5:$F$366,'Recode Journals'!$A$5:$A$366,A337),2)</f>
        <v>0</v>
      </c>
    </row>
    <row r="338">
      <c r="A338" t="inlineStr">
        <is>
          <t>MJ-202606</t>
        </is>
      </c>
      <c r="B338" s="11" t="n">
        <v>46203</v>
      </c>
      <c r="C338" t="n">
        <v>4010</v>
      </c>
      <c r="D338" t="inlineStr">
        <is>
          <t>Make-safe</t>
        </is>
      </c>
      <c r="E338" s="9" t="n">
        <v>0</v>
      </c>
      <c r="F338" s="9" t="n">
        <v>2135</v>
      </c>
      <c r="G338" t="inlineStr">
        <is>
          <t>Reclass 2026-06 income from 200 to 4010 (Make-safe)</t>
        </is>
      </c>
      <c r="H338" s="9">
        <f>ROUND(SUMIFS('Recode Journals'!$E$5:$E$366,'Recode Journals'!$A$5:$A$366,A338)-SUMIFS('Recode Journals'!$F$5:$F$366,'Recode Journals'!$A$5:$A$366,A338),2)</f>
        <v>0</v>
      </c>
    </row>
    <row r="339">
      <c r="A339" t="inlineStr">
        <is>
          <t>MJ-202606</t>
        </is>
      </c>
      <c r="B339" s="11" t="n">
        <v>46203</v>
      </c>
      <c r="C339" t="n">
        <v>200</v>
      </c>
      <c r="D339" t="inlineStr"/>
      <c r="E339" s="9" t="n">
        <v>4940</v>
      </c>
      <c r="F339" s="9" t="n">
        <v>0</v>
      </c>
      <c r="G339" t="inlineStr">
        <is>
          <t>Reclass 2026-06 income from 200 to 4010 (Scaffolding)</t>
        </is>
      </c>
      <c r="H339" s="9">
        <f>ROUND(SUMIFS('Recode Journals'!$E$5:$E$366,'Recode Journals'!$A$5:$A$366,A339)-SUMIFS('Recode Journals'!$F$5:$F$366,'Recode Journals'!$A$5:$A$366,A339),2)</f>
        <v>0</v>
      </c>
    </row>
    <row r="340">
      <c r="A340" t="inlineStr">
        <is>
          <t>MJ-202606</t>
        </is>
      </c>
      <c r="B340" s="11" t="n">
        <v>46203</v>
      </c>
      <c r="C340" t="n">
        <v>4010</v>
      </c>
      <c r="D340" t="inlineStr">
        <is>
          <t>Scaffolding</t>
        </is>
      </c>
      <c r="E340" s="9" t="n">
        <v>0</v>
      </c>
      <c r="F340" s="9" t="n">
        <v>4940</v>
      </c>
      <c r="G340" t="inlineStr">
        <is>
          <t>Reclass 2026-06 income from 200 to 4010 (Scaffolding)</t>
        </is>
      </c>
      <c r="H340" s="9">
        <f>ROUND(SUMIFS('Recode Journals'!$E$5:$E$366,'Recode Journals'!$A$5:$A$366,A340)-SUMIFS('Recode Journals'!$F$5:$F$366,'Recode Journals'!$A$5:$A$366,A340),2)</f>
        <v>0</v>
      </c>
    </row>
    <row r="341">
      <c r="A341" t="inlineStr">
        <is>
          <t>MJ-202606</t>
        </is>
      </c>
      <c r="B341" s="11" t="n">
        <v>46203</v>
      </c>
      <c r="C341" t="n">
        <v>200</v>
      </c>
      <c r="D341" t="inlineStr"/>
      <c r="E341" s="9" t="n">
        <v>6769.4</v>
      </c>
      <c r="F341" s="9" t="n">
        <v>0</v>
      </c>
      <c r="G341" t="inlineStr">
        <is>
          <t>Reclass 2026-06 income from 200 to 4020 (Fencing)</t>
        </is>
      </c>
      <c r="H341" s="9">
        <f>ROUND(SUMIFS('Recode Journals'!$E$5:$E$366,'Recode Journals'!$A$5:$A$366,A341)-SUMIFS('Recode Journals'!$F$5:$F$366,'Recode Journals'!$A$5:$A$366,A341),2)</f>
        <v>0</v>
      </c>
    </row>
    <row r="342">
      <c r="A342" t="inlineStr">
        <is>
          <t>MJ-202606</t>
        </is>
      </c>
      <c r="B342" s="11" t="n">
        <v>46203</v>
      </c>
      <c r="C342" t="n">
        <v>4020</v>
      </c>
      <c r="D342" t="inlineStr">
        <is>
          <t>Fencing</t>
        </is>
      </c>
      <c r="E342" s="9" t="n">
        <v>0</v>
      </c>
      <c r="F342" s="9" t="n">
        <v>6769.4</v>
      </c>
      <c r="G342" t="inlineStr">
        <is>
          <t>Reclass 2026-06 income from 200 to 4020 (Fencing)</t>
        </is>
      </c>
      <c r="H342" s="9">
        <f>ROUND(SUMIFS('Recode Journals'!$E$5:$E$366,'Recode Journals'!$A$5:$A$366,A342)-SUMIFS('Recode Journals'!$F$5:$F$366,'Recode Journals'!$A$5:$A$366,A342),2)</f>
        <v>0</v>
      </c>
    </row>
    <row r="343">
      <c r="A343" t="inlineStr">
        <is>
          <t>MJ-202606</t>
        </is>
      </c>
      <c r="B343" s="11" t="n">
        <v>46203</v>
      </c>
      <c r="C343" t="n">
        <v>200</v>
      </c>
      <c r="D343" t="inlineStr"/>
      <c r="E343" s="9" t="n">
        <v>15630</v>
      </c>
      <c r="F343" s="9" t="n">
        <v>0</v>
      </c>
      <c r="G343" t="inlineStr">
        <is>
          <t>Reclass 2026-06 income from 200 to 4020 (Make-safe)</t>
        </is>
      </c>
      <c r="H343" s="9">
        <f>ROUND(SUMIFS('Recode Journals'!$E$5:$E$366,'Recode Journals'!$A$5:$A$366,A343)-SUMIFS('Recode Journals'!$F$5:$F$366,'Recode Journals'!$A$5:$A$366,A343),2)</f>
        <v>0</v>
      </c>
    </row>
    <row r="344">
      <c r="A344" t="inlineStr">
        <is>
          <t>MJ-202606</t>
        </is>
      </c>
      <c r="B344" s="11" t="n">
        <v>46203</v>
      </c>
      <c r="C344" t="n">
        <v>4020</v>
      </c>
      <c r="D344" t="inlineStr">
        <is>
          <t>Make-safe</t>
        </is>
      </c>
      <c r="E344" s="9" t="n">
        <v>0</v>
      </c>
      <c r="F344" s="9" t="n">
        <v>15630</v>
      </c>
      <c r="G344" t="inlineStr">
        <is>
          <t>Reclass 2026-06 income from 200 to 4020 (Make-safe)</t>
        </is>
      </c>
      <c r="H344" s="9">
        <f>ROUND(SUMIFS('Recode Journals'!$E$5:$E$366,'Recode Journals'!$A$5:$A$366,A344)-SUMIFS('Recode Journals'!$F$5:$F$366,'Recode Journals'!$A$5:$A$366,A344),2)</f>
        <v>0</v>
      </c>
    </row>
    <row r="345">
      <c r="A345" t="inlineStr">
        <is>
          <t>MJ-202606</t>
        </is>
      </c>
      <c r="B345" s="11" t="n">
        <v>46203</v>
      </c>
      <c r="C345" t="n">
        <v>200</v>
      </c>
      <c r="D345" t="inlineStr"/>
      <c r="E345" s="9" t="n">
        <v>6468</v>
      </c>
      <c r="F345" s="9" t="n">
        <v>0</v>
      </c>
      <c r="G345" t="inlineStr">
        <is>
          <t>Reclass 2026-06 income from 200 to 4020 (Roofing)</t>
        </is>
      </c>
      <c r="H345" s="9">
        <f>ROUND(SUMIFS('Recode Journals'!$E$5:$E$366,'Recode Journals'!$A$5:$A$366,A345)-SUMIFS('Recode Journals'!$F$5:$F$366,'Recode Journals'!$A$5:$A$366,A345),2)</f>
        <v>0</v>
      </c>
    </row>
    <row r="346">
      <c r="A346" t="inlineStr">
        <is>
          <t>MJ-202606</t>
        </is>
      </c>
      <c r="B346" s="11" t="n">
        <v>46203</v>
      </c>
      <c r="C346" t="n">
        <v>4020</v>
      </c>
      <c r="D346" t="inlineStr">
        <is>
          <t>Roofing</t>
        </is>
      </c>
      <c r="E346" s="9" t="n">
        <v>0</v>
      </c>
      <c r="F346" s="9" t="n">
        <v>6468</v>
      </c>
      <c r="G346" t="inlineStr">
        <is>
          <t>Reclass 2026-06 income from 200 to 4020 (Roofing)</t>
        </is>
      </c>
      <c r="H346" s="9">
        <f>ROUND(SUMIFS('Recode Journals'!$E$5:$E$366,'Recode Journals'!$A$5:$A$366,A346)-SUMIFS('Recode Journals'!$F$5:$F$366,'Recode Journals'!$A$5:$A$366,A346),2)</f>
        <v>0</v>
      </c>
    </row>
    <row r="347">
      <c r="A347" t="inlineStr">
        <is>
          <t>MJ-202606</t>
        </is>
      </c>
      <c r="B347" s="11" t="n">
        <v>46203</v>
      </c>
      <c r="C347" t="n">
        <v>200</v>
      </c>
      <c r="D347" t="inlineStr"/>
      <c r="E347" s="9" t="n">
        <v>3400</v>
      </c>
      <c r="F347" s="9" t="n">
        <v>0</v>
      </c>
      <c r="G347" t="inlineStr">
        <is>
          <t>Reclass 2026-06 income from 200 to 4020 (Scaffolding)</t>
        </is>
      </c>
      <c r="H347" s="9">
        <f>ROUND(SUMIFS('Recode Journals'!$E$5:$E$366,'Recode Journals'!$A$5:$A$366,A347)-SUMIFS('Recode Journals'!$F$5:$F$366,'Recode Journals'!$A$5:$A$366,A347),2)</f>
        <v>0</v>
      </c>
    </row>
    <row r="348">
      <c r="A348" t="inlineStr">
        <is>
          <t>MJ-202606</t>
        </is>
      </c>
      <c r="B348" s="11" t="n">
        <v>46203</v>
      </c>
      <c r="C348" t="n">
        <v>4020</v>
      </c>
      <c r="D348" t="inlineStr">
        <is>
          <t>Scaffolding</t>
        </is>
      </c>
      <c r="E348" s="9" t="n">
        <v>0</v>
      </c>
      <c r="F348" s="9" t="n">
        <v>3400</v>
      </c>
      <c r="G348" t="inlineStr">
        <is>
          <t>Reclass 2026-06 income from 200 to 4020 (Scaffolding)</t>
        </is>
      </c>
      <c r="H348" s="9">
        <f>ROUND(SUMIFS('Recode Journals'!$E$5:$E$366,'Recode Journals'!$A$5:$A$366,A348)-SUMIFS('Recode Journals'!$F$5:$F$366,'Recode Journals'!$A$5:$A$366,A348),2)</f>
        <v>0</v>
      </c>
    </row>
    <row r="349">
      <c r="A349" t="inlineStr">
        <is>
          <t>MJ-202606</t>
        </is>
      </c>
      <c r="B349" s="11" t="n">
        <v>46203</v>
      </c>
      <c r="C349" t="n">
        <v>200</v>
      </c>
      <c r="D349" t="inlineStr"/>
      <c r="E349" s="9" t="n">
        <v>11350.22</v>
      </c>
      <c r="F349" s="9" t="n">
        <v>0</v>
      </c>
      <c r="G349" t="inlineStr">
        <is>
          <t>Reclass 2026-06 income from 200 to 4030 (Roofing)</t>
        </is>
      </c>
      <c r="H349" s="9">
        <f>ROUND(SUMIFS('Recode Journals'!$E$5:$E$366,'Recode Journals'!$A$5:$A$366,A349)-SUMIFS('Recode Journals'!$F$5:$F$366,'Recode Journals'!$A$5:$A$366,A349),2)</f>
        <v>0</v>
      </c>
    </row>
    <row r="350">
      <c r="A350" t="inlineStr">
        <is>
          <t>MJ-202606</t>
        </is>
      </c>
      <c r="B350" s="11" t="n">
        <v>46203</v>
      </c>
      <c r="C350" t="n">
        <v>4030</v>
      </c>
      <c r="D350" t="inlineStr">
        <is>
          <t>Roofing</t>
        </is>
      </c>
      <c r="E350" s="9" t="n">
        <v>0</v>
      </c>
      <c r="F350" s="9" t="n">
        <v>11350.22</v>
      </c>
      <c r="G350" t="inlineStr">
        <is>
          <t>Reclass 2026-06 income from 200 to 4030 (Roofing)</t>
        </is>
      </c>
      <c r="H350" s="9">
        <f>ROUND(SUMIFS('Recode Journals'!$E$5:$E$366,'Recode Journals'!$A$5:$A$366,A350)-SUMIFS('Recode Journals'!$F$5:$F$366,'Recode Journals'!$A$5:$A$366,A350),2)</f>
        <v>0</v>
      </c>
    </row>
    <row r="351">
      <c r="A351" t="inlineStr">
        <is>
          <t>MJ-202606</t>
        </is>
      </c>
      <c r="B351" s="11" t="n">
        <v>46203</v>
      </c>
      <c r="C351" t="n">
        <v>200</v>
      </c>
      <c r="D351" t="inlineStr"/>
      <c r="E351" s="9" t="n">
        <v>1015</v>
      </c>
      <c r="F351" s="9" t="n">
        <v>0</v>
      </c>
      <c r="G351" t="inlineStr">
        <is>
          <t>Reclass 2026-06 income from 200 to 4040 (Fencing)</t>
        </is>
      </c>
      <c r="H351" s="9">
        <f>ROUND(SUMIFS('Recode Journals'!$E$5:$E$366,'Recode Journals'!$A$5:$A$366,A351)-SUMIFS('Recode Journals'!$F$5:$F$366,'Recode Journals'!$A$5:$A$366,A351),2)</f>
        <v>0</v>
      </c>
    </row>
    <row r="352">
      <c r="A352" t="inlineStr">
        <is>
          <t>MJ-202606</t>
        </is>
      </c>
      <c r="B352" s="11" t="n">
        <v>46203</v>
      </c>
      <c r="C352" t="n">
        <v>4040</v>
      </c>
      <c r="D352" t="inlineStr">
        <is>
          <t>Fencing</t>
        </is>
      </c>
      <c r="E352" s="9" t="n">
        <v>0</v>
      </c>
      <c r="F352" s="9" t="n">
        <v>1015</v>
      </c>
      <c r="G352" t="inlineStr">
        <is>
          <t>Reclass 2026-06 income from 200 to 4040 (Fencing)</t>
        </is>
      </c>
      <c r="H352" s="9">
        <f>ROUND(SUMIFS('Recode Journals'!$E$5:$E$366,'Recode Journals'!$A$5:$A$366,A352)-SUMIFS('Recode Journals'!$F$5:$F$366,'Recode Journals'!$A$5:$A$366,A352),2)</f>
        <v>0</v>
      </c>
    </row>
    <row r="353">
      <c r="A353" t="inlineStr">
        <is>
          <t>MJ-202606</t>
        </is>
      </c>
      <c r="B353" s="11" t="n">
        <v>46203</v>
      </c>
      <c r="C353" t="n">
        <v>200</v>
      </c>
      <c r="D353" t="inlineStr"/>
      <c r="E353" s="9" t="n">
        <v>3960</v>
      </c>
      <c r="F353" s="9" t="n">
        <v>0</v>
      </c>
      <c r="G353" t="inlineStr">
        <is>
          <t>Reclass 2026-06 income from 200 to 835 (Fencing)</t>
        </is>
      </c>
      <c r="H353" s="9">
        <f>ROUND(SUMIFS('Recode Journals'!$E$5:$E$366,'Recode Journals'!$A$5:$A$366,A353)-SUMIFS('Recode Journals'!$F$5:$F$366,'Recode Journals'!$A$5:$A$366,A353),2)</f>
        <v>0</v>
      </c>
    </row>
    <row r="354">
      <c r="A354" t="inlineStr">
        <is>
          <t>MJ-202606</t>
        </is>
      </c>
      <c r="B354" s="11" t="n">
        <v>46203</v>
      </c>
      <c r="C354" t="n">
        <v>835</v>
      </c>
      <c r="D354" t="inlineStr"/>
      <c r="E354" s="9" t="n">
        <v>0</v>
      </c>
      <c r="F354" s="9" t="n">
        <v>3960</v>
      </c>
      <c r="G354" t="inlineStr">
        <is>
          <t>Reclass 2026-06 income from 200 to 835 (Fencing)</t>
        </is>
      </c>
      <c r="H354" s="9">
        <f>ROUND(SUMIFS('Recode Journals'!$E$5:$E$366,'Recode Journals'!$A$5:$A$366,A354)-SUMIFS('Recode Journals'!$F$5:$F$366,'Recode Journals'!$A$5:$A$366,A354),2)</f>
        <v>0</v>
      </c>
    </row>
    <row r="355">
      <c r="A355" t="inlineStr">
        <is>
          <t>MJ-202606</t>
        </is>
      </c>
      <c r="B355" s="11" t="n">
        <v>46203</v>
      </c>
      <c r="C355" t="n">
        <v>260</v>
      </c>
      <c r="D355" t="inlineStr"/>
      <c r="E355" s="9" t="n">
        <v>3263.2</v>
      </c>
      <c r="F355" s="9" t="n">
        <v>0</v>
      </c>
      <c r="G355" t="inlineStr">
        <is>
          <t>Reclass 2026-06 income from 260 to 4010 (Fencing)</t>
        </is>
      </c>
      <c r="H355" s="9">
        <f>ROUND(SUMIFS('Recode Journals'!$E$5:$E$366,'Recode Journals'!$A$5:$A$366,A355)-SUMIFS('Recode Journals'!$F$5:$F$366,'Recode Journals'!$A$5:$A$366,A355),2)</f>
        <v>0</v>
      </c>
    </row>
    <row r="356">
      <c r="A356" t="inlineStr">
        <is>
          <t>MJ-202606</t>
        </is>
      </c>
      <c r="B356" s="11" t="n">
        <v>46203</v>
      </c>
      <c r="C356" t="n">
        <v>4010</v>
      </c>
      <c r="D356" t="inlineStr">
        <is>
          <t>Fencing</t>
        </is>
      </c>
      <c r="E356" s="9" t="n">
        <v>0</v>
      </c>
      <c r="F356" s="9" t="n">
        <v>3263.2</v>
      </c>
      <c r="G356" t="inlineStr">
        <is>
          <t>Reclass 2026-06 income from 260 to 4010 (Fencing)</t>
        </is>
      </c>
      <c r="H356" s="9">
        <f>ROUND(SUMIFS('Recode Journals'!$E$5:$E$366,'Recode Journals'!$A$5:$A$366,A356)-SUMIFS('Recode Journals'!$F$5:$F$366,'Recode Journals'!$A$5:$A$366,A356),2)</f>
        <v>0</v>
      </c>
    </row>
    <row r="357">
      <c r="A357" t="inlineStr">
        <is>
          <t>MJ-202606</t>
        </is>
      </c>
      <c r="B357" s="11" t="n">
        <v>46203</v>
      </c>
      <c r="C357" t="n">
        <v>260</v>
      </c>
      <c r="D357" t="inlineStr"/>
      <c r="E357" s="9" t="n">
        <v>35</v>
      </c>
      <c r="F357" s="9" t="n">
        <v>0</v>
      </c>
      <c r="G357" t="inlineStr">
        <is>
          <t>Reclass 2026-06 income from 260 to 4010 (Make-safe)</t>
        </is>
      </c>
      <c r="H357" s="9">
        <f>ROUND(SUMIFS('Recode Journals'!$E$5:$E$366,'Recode Journals'!$A$5:$A$366,A357)-SUMIFS('Recode Journals'!$F$5:$F$366,'Recode Journals'!$A$5:$A$366,A357),2)</f>
        <v>0</v>
      </c>
    </row>
    <row r="358">
      <c r="A358" t="inlineStr">
        <is>
          <t>MJ-202606</t>
        </is>
      </c>
      <c r="B358" s="11" t="n">
        <v>46203</v>
      </c>
      <c r="C358" t="n">
        <v>4010</v>
      </c>
      <c r="D358" t="inlineStr">
        <is>
          <t>Make-safe</t>
        </is>
      </c>
      <c r="E358" s="9" t="n">
        <v>0</v>
      </c>
      <c r="F358" s="9" t="n">
        <v>35</v>
      </c>
      <c r="G358" t="inlineStr">
        <is>
          <t>Reclass 2026-06 income from 260 to 4010 (Make-safe)</t>
        </is>
      </c>
      <c r="H358" s="9">
        <f>ROUND(SUMIFS('Recode Journals'!$E$5:$E$366,'Recode Journals'!$A$5:$A$366,A358)-SUMIFS('Recode Journals'!$F$5:$F$366,'Recode Journals'!$A$5:$A$366,A358),2)</f>
        <v>0</v>
      </c>
    </row>
    <row r="359">
      <c r="A359" t="inlineStr">
        <is>
          <t>MJ-202606</t>
        </is>
      </c>
      <c r="B359" s="11" t="n">
        <v>46203</v>
      </c>
      <c r="C359" t="n">
        <v>260</v>
      </c>
      <c r="D359" t="inlineStr"/>
      <c r="E359" s="9" t="n">
        <v>760</v>
      </c>
      <c r="F359" s="9" t="n">
        <v>0</v>
      </c>
      <c r="G359" t="inlineStr">
        <is>
          <t>Reclass 2026-06 income from 260 to 4010 (Scaffolding)</t>
        </is>
      </c>
      <c r="H359" s="9">
        <f>ROUND(SUMIFS('Recode Journals'!$E$5:$E$366,'Recode Journals'!$A$5:$A$366,A359)-SUMIFS('Recode Journals'!$F$5:$F$366,'Recode Journals'!$A$5:$A$366,A359),2)</f>
        <v>0</v>
      </c>
    </row>
    <row r="360">
      <c r="A360" t="inlineStr">
        <is>
          <t>MJ-202606</t>
        </is>
      </c>
      <c r="B360" s="11" t="n">
        <v>46203</v>
      </c>
      <c r="C360" t="n">
        <v>4010</v>
      </c>
      <c r="D360" t="inlineStr">
        <is>
          <t>Scaffolding</t>
        </is>
      </c>
      <c r="E360" s="9" t="n">
        <v>0</v>
      </c>
      <c r="F360" s="9" t="n">
        <v>760</v>
      </c>
      <c r="G360" t="inlineStr">
        <is>
          <t>Reclass 2026-06 income from 260 to 4010 (Scaffolding)</t>
        </is>
      </c>
      <c r="H360" s="9">
        <f>ROUND(SUMIFS('Recode Journals'!$E$5:$E$366,'Recode Journals'!$A$5:$A$366,A360)-SUMIFS('Recode Journals'!$F$5:$F$366,'Recode Journals'!$A$5:$A$366,A360),2)</f>
        <v>0</v>
      </c>
    </row>
    <row r="361">
      <c r="A361" t="inlineStr">
        <is>
          <t>MJ-202606</t>
        </is>
      </c>
      <c r="B361" s="11" t="n">
        <v>46203</v>
      </c>
      <c r="C361" t="n">
        <v>260</v>
      </c>
      <c r="D361" t="inlineStr"/>
      <c r="E361" s="9" t="n">
        <v>407</v>
      </c>
      <c r="F361" s="9" t="n">
        <v>0</v>
      </c>
      <c r="G361" t="inlineStr">
        <is>
          <t>Reclass 2026-06 income from 260 to 4020 (Fencing)</t>
        </is>
      </c>
      <c r="H361" s="9">
        <f>ROUND(SUMIFS('Recode Journals'!$E$5:$E$366,'Recode Journals'!$A$5:$A$366,A361)-SUMIFS('Recode Journals'!$F$5:$F$366,'Recode Journals'!$A$5:$A$366,A361),2)</f>
        <v>0</v>
      </c>
    </row>
    <row r="362">
      <c r="A362" t="inlineStr">
        <is>
          <t>MJ-202606</t>
        </is>
      </c>
      <c r="B362" s="11" t="n">
        <v>46203</v>
      </c>
      <c r="C362" t="n">
        <v>4020</v>
      </c>
      <c r="D362" t="inlineStr">
        <is>
          <t>Fencing</t>
        </is>
      </c>
      <c r="E362" s="9" t="n">
        <v>0</v>
      </c>
      <c r="F362" s="9" t="n">
        <v>407</v>
      </c>
      <c r="G362" t="inlineStr">
        <is>
          <t>Reclass 2026-06 income from 260 to 4020 (Fencing)</t>
        </is>
      </c>
      <c r="H362" s="9">
        <f>ROUND(SUMIFS('Recode Journals'!$E$5:$E$366,'Recode Journals'!$A$5:$A$366,A362)-SUMIFS('Recode Journals'!$F$5:$F$366,'Recode Journals'!$A$5:$A$366,A362),2)</f>
        <v>0</v>
      </c>
    </row>
    <row r="363">
      <c r="A363" t="inlineStr">
        <is>
          <t>MJ-202606</t>
        </is>
      </c>
      <c r="B363" s="11" t="n">
        <v>46203</v>
      </c>
      <c r="C363" t="n">
        <v>260</v>
      </c>
      <c r="D363" t="inlineStr"/>
      <c r="E363" s="9" t="n">
        <v>720</v>
      </c>
      <c r="F363" s="9" t="n">
        <v>0</v>
      </c>
      <c r="G363" t="inlineStr">
        <is>
          <t>Reclass 2026-06 income from 260 to 4020 (Make-safe)</t>
        </is>
      </c>
      <c r="H363" s="9">
        <f>ROUND(SUMIFS('Recode Journals'!$E$5:$E$366,'Recode Journals'!$A$5:$A$366,A363)-SUMIFS('Recode Journals'!$F$5:$F$366,'Recode Journals'!$A$5:$A$366,A363),2)</f>
        <v>0</v>
      </c>
    </row>
    <row r="364">
      <c r="A364" t="inlineStr">
        <is>
          <t>MJ-202606</t>
        </is>
      </c>
      <c r="B364" s="11" t="n">
        <v>46203</v>
      </c>
      <c r="C364" t="n">
        <v>4020</v>
      </c>
      <c r="D364" t="inlineStr">
        <is>
          <t>Make-safe</t>
        </is>
      </c>
      <c r="E364" s="9" t="n">
        <v>0</v>
      </c>
      <c r="F364" s="9" t="n">
        <v>720</v>
      </c>
      <c r="G364" t="inlineStr">
        <is>
          <t>Reclass 2026-06 income from 260 to 4020 (Make-safe)</t>
        </is>
      </c>
      <c r="H364" s="9">
        <f>ROUND(SUMIFS('Recode Journals'!$E$5:$E$366,'Recode Journals'!$A$5:$A$366,A364)-SUMIFS('Recode Journals'!$F$5:$F$366,'Recode Journals'!$A$5:$A$366,A364),2)</f>
        <v>0</v>
      </c>
    </row>
    <row r="365">
      <c r="A365" t="inlineStr">
        <is>
          <t>MJ-202606</t>
        </is>
      </c>
      <c r="B365" s="11" t="n">
        <v>46203</v>
      </c>
      <c r="C365" t="n">
        <v>260</v>
      </c>
      <c r="D365" t="inlineStr"/>
      <c r="E365" s="9" t="n">
        <v>238.7</v>
      </c>
      <c r="F365" s="9" t="n">
        <v>0</v>
      </c>
      <c r="G365" t="inlineStr">
        <is>
          <t>Reclass 2026-06 income from 260 to 4030 (Roofing)</t>
        </is>
      </c>
      <c r="H365" s="9">
        <f>ROUND(SUMIFS('Recode Journals'!$E$5:$E$366,'Recode Journals'!$A$5:$A$366,A365)-SUMIFS('Recode Journals'!$F$5:$F$366,'Recode Journals'!$A$5:$A$366,A365),2)</f>
        <v>0</v>
      </c>
    </row>
    <row r="366">
      <c r="A366" t="inlineStr">
        <is>
          <t>MJ-202606</t>
        </is>
      </c>
      <c r="B366" s="11" t="n">
        <v>46203</v>
      </c>
      <c r="C366" t="n">
        <v>4030</v>
      </c>
      <c r="D366" t="inlineStr">
        <is>
          <t>Roofing</t>
        </is>
      </c>
      <c r="E366" s="9" t="n">
        <v>0</v>
      </c>
      <c r="F366" s="9" t="n">
        <v>238.7</v>
      </c>
      <c r="G366" t="inlineStr">
        <is>
          <t>Reclass 2026-06 income from 260 to 4030 (Roofing)</t>
        </is>
      </c>
      <c r="H366" s="9">
        <f>ROUND(SUMIFS('Recode Journals'!$E$5:$E$366,'Recode Journals'!$A$5:$A$366,A366)-SUMIFS('Recode Journals'!$F$5:$F$366,'Recode Journals'!$A$5:$A$366,A366),2)</f>
        <v>0</v>
      </c>
    </row>
  </sheetData>
  <autoFilter ref="A4:H366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28" customWidth="1" min="4" max="4"/>
    <col width="8" customWidth="1" min="5" max="5"/>
    <col width="46" customWidth="1" min="6" max="6"/>
    <col width="11" customWidth="1" min="7" max="7"/>
    <col width="14" customWidth="1" min="8" max="8"/>
    <col width="14" customWidth="1" min="9" max="9"/>
    <col width="44" customWidth="1" min="10" max="10"/>
    <col width="11" customWidth="1" min="11" max="11"/>
  </cols>
  <sheetData>
    <row r="1">
      <c r="A1" s="6" t="inlineStr">
        <is>
          <t>Review queue: lines a person has to decide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Line ID</t>
        </is>
      </c>
      <c r="B4" s="7" t="inlineStr">
        <is>
          <t>Invoice</t>
        </is>
      </c>
      <c r="C4" s="7" t="inlineStr">
        <is>
          <t>Date</t>
        </is>
      </c>
      <c r="D4" s="7" t="inlineStr">
        <is>
          <t>Contact</t>
        </is>
      </c>
      <c r="E4" s="7" t="inlineStr">
        <is>
          <t>Site</t>
        </is>
      </c>
      <c r="F4" s="7" t="inlineStr">
        <is>
          <t>Description</t>
        </is>
      </c>
      <c r="G4" s="7" t="inlineStr">
        <is>
          <t>Amount</t>
        </is>
      </c>
      <c r="H4" s="7" t="inlineStr">
        <is>
          <t>Proposed service line</t>
        </is>
      </c>
      <c r="I4" s="7" t="inlineStr">
        <is>
          <t>Decision: account</t>
        </is>
      </c>
      <c r="J4" s="7" t="inlineStr">
        <is>
          <t>Why it is here</t>
        </is>
      </c>
      <c r="K4" s="7" t="inlineStr">
        <is>
          <t>Owner</t>
        </is>
      </c>
    </row>
    <row r="5">
      <c r="A5" t="inlineStr">
        <is>
          <t>INV-5910-1</t>
        </is>
      </c>
      <c r="B5" t="inlineStr">
        <is>
          <t>INV-5910</t>
        </is>
      </c>
      <c r="C5" s="11" t="n">
        <v>45842</v>
      </c>
      <c r="D5" t="inlineStr">
        <is>
          <t>Norfolk Constructions Pty Ltd</t>
        </is>
      </c>
      <c r="E5" t="inlineStr">
        <is>
          <t>S0255</t>
        </is>
      </c>
      <c r="F5" t="inlineStr">
        <is>
          <t>Fence and make safe package - Job 1311</t>
        </is>
      </c>
      <c r="G5" s="9" t="n">
        <v>1093</v>
      </c>
      <c r="H5" t="inlineStr">
        <is>
          <t>Scaffolding</t>
        </is>
      </c>
      <c r="I5" t="inlineStr"/>
      <c r="J5" t="inlineStr">
        <is>
          <t>Context: service line from the site, account needs a person</t>
        </is>
      </c>
      <c r="K5" t="inlineStr">
        <is>
          <t>Bookkeeper</t>
        </is>
      </c>
    </row>
    <row r="6">
      <c r="A6" t="inlineStr">
        <is>
          <t>INV-5902-1</t>
        </is>
      </c>
      <c r="B6" t="inlineStr">
        <is>
          <t>INV-5902</t>
        </is>
      </c>
      <c r="C6" s="11" t="n">
        <v>45845</v>
      </c>
      <c r="D6" t="inlineStr">
        <is>
          <t>Summit Building Group</t>
        </is>
      </c>
      <c r="E6" t="inlineStr">
        <is>
          <t>S0498</t>
        </is>
      </c>
      <c r="F6" t="inlineStr">
        <is>
          <t>Variation 4593 - additional works</t>
        </is>
      </c>
      <c r="G6" s="9" t="n">
        <v>341.94</v>
      </c>
      <c r="H6" t="inlineStr">
        <is>
          <t>Roofing</t>
        </is>
      </c>
      <c r="I6" t="inlineStr"/>
      <c r="J6" t="inlineStr">
        <is>
          <t>Context: service line from the site, account needs a person</t>
        </is>
      </c>
      <c r="K6" t="inlineStr">
        <is>
          <t>Bookkeeper</t>
        </is>
      </c>
    </row>
    <row r="7">
      <c r="A7" t="inlineStr">
        <is>
          <t>INV-5905-1</t>
        </is>
      </c>
      <c r="B7" t="inlineStr">
        <is>
          <t>INV-5905</t>
        </is>
      </c>
      <c r="C7" s="11" t="n">
        <v>45845</v>
      </c>
      <c r="D7" t="inlineStr">
        <is>
          <t>Wattle Insurance Repairs Pty Ltd</t>
        </is>
      </c>
      <c r="E7" t="inlineStr">
        <is>
          <t>S0318</t>
        </is>
      </c>
      <c r="F7" t="inlineStr">
        <is>
          <t>Variation 1457 - additional works</t>
        </is>
      </c>
      <c r="G7" s="9" t="n">
        <v>2945.37</v>
      </c>
      <c r="H7" t="inlineStr">
        <is>
          <t>Roofing</t>
        </is>
      </c>
      <c r="I7" t="inlineStr"/>
      <c r="J7" t="inlineStr">
        <is>
          <t>Context: service line from the site, account needs a person</t>
        </is>
      </c>
      <c r="K7" t="inlineStr">
        <is>
          <t>Bookkeeper</t>
        </is>
      </c>
    </row>
    <row r="8">
      <c r="A8" t="inlineStr">
        <is>
          <t>INV-5899-1</t>
        </is>
      </c>
      <c r="B8" t="inlineStr">
        <is>
          <t>INV-5899</t>
        </is>
      </c>
      <c r="C8" s="11" t="n">
        <v>45852</v>
      </c>
      <c r="D8" t="inlineStr">
        <is>
          <t>Bluegum Construction Pty Ltd</t>
        </is>
      </c>
      <c r="E8" t="inlineStr">
        <is>
          <t>S0323</t>
        </is>
      </c>
      <c r="F8" t="inlineStr">
        <is>
          <t>Variation 2849 - additional works</t>
        </is>
      </c>
      <c r="G8" s="9" t="n">
        <v>3165.24</v>
      </c>
      <c r="H8" t="inlineStr">
        <is>
          <t>Make-safe</t>
        </is>
      </c>
      <c r="I8" t="inlineStr"/>
      <c r="J8" t="inlineStr">
        <is>
          <t>Context: service line from the site, account needs a person</t>
        </is>
      </c>
      <c r="K8" t="inlineStr">
        <is>
          <t>Bookkeeper</t>
        </is>
      </c>
    </row>
    <row r="9">
      <c r="A9" t="inlineStr">
        <is>
          <t>INV-5908-1</t>
        </is>
      </c>
      <c r="B9" t="inlineStr">
        <is>
          <t>INV-5908</t>
        </is>
      </c>
      <c r="C9" s="11" t="n">
        <v>45866</v>
      </c>
      <c r="D9" t="inlineStr">
        <is>
          <t>Parkview Homes Pty Ltd</t>
        </is>
      </c>
      <c r="E9" t="inlineStr">
        <is>
          <t>S0072</t>
        </is>
      </c>
      <c r="F9" t="inlineStr">
        <is>
          <t>Site works</t>
        </is>
      </c>
      <c r="G9" s="9" t="n">
        <v>2079.17</v>
      </c>
      <c r="H9" t="inlineStr">
        <is>
          <t>Fencing</t>
        </is>
      </c>
      <c r="I9" t="inlineStr"/>
      <c r="J9" t="inlineStr">
        <is>
          <t>Context: service line from the site, account needs a person</t>
        </is>
      </c>
      <c r="K9" t="inlineStr">
        <is>
          <t>Bookkeeper</t>
        </is>
      </c>
    </row>
    <row r="10">
      <c r="A10" t="inlineStr">
        <is>
          <t>INV-5931-1</t>
        </is>
      </c>
      <c r="B10" t="inlineStr">
        <is>
          <t>INV-5931</t>
        </is>
      </c>
      <c r="C10" s="11" t="n">
        <v>45872</v>
      </c>
      <c r="D10" t="inlineStr">
        <is>
          <t>Granite Projects Pty Ltd</t>
        </is>
      </c>
      <c r="E10" t="inlineStr"/>
      <c r="F10" t="inlineStr">
        <is>
          <t>Misc charges</t>
        </is>
      </c>
      <c r="G10" s="9" t="n">
        <v>1245.85</v>
      </c>
      <c r="H10" t="inlineStr"/>
      <c r="I10" t="inlineStr"/>
      <c r="J10" t="inlineStr">
        <is>
          <t>No rule and no site reference</t>
        </is>
      </c>
      <c r="K10" t="inlineStr">
        <is>
          <t>Owner</t>
        </is>
      </c>
    </row>
    <row r="11">
      <c r="A11" t="inlineStr">
        <is>
          <t>INV-5913-1</t>
        </is>
      </c>
      <c r="B11" t="inlineStr">
        <is>
          <t>INV-5913</t>
        </is>
      </c>
      <c r="C11" s="11" t="n">
        <v>45873</v>
      </c>
      <c r="D11" t="inlineStr">
        <is>
          <t>Coastline Strata Management Pty Ltd</t>
        </is>
      </c>
      <c r="E11" t="inlineStr">
        <is>
          <t>S0525</t>
        </is>
      </c>
      <c r="F11" t="inlineStr">
        <is>
          <t>Works completed as discussed</t>
        </is>
      </c>
      <c r="G11" s="9" t="n">
        <v>1117.91</v>
      </c>
      <c r="H11" t="inlineStr">
        <is>
          <t>Make-safe</t>
        </is>
      </c>
      <c r="I11" t="inlineStr"/>
      <c r="J11" t="inlineStr">
        <is>
          <t>Context: service line from the site, account needs a person</t>
        </is>
      </c>
      <c r="K11" t="inlineStr">
        <is>
          <t>Bookkeeper</t>
        </is>
      </c>
    </row>
    <row r="12">
      <c r="A12" t="inlineStr">
        <is>
          <t>INV-5911-1</t>
        </is>
      </c>
      <c r="B12" t="inlineStr">
        <is>
          <t>INV-5911</t>
        </is>
      </c>
      <c r="C12" s="11" t="n">
        <v>45884</v>
      </c>
      <c r="D12" t="inlineStr">
        <is>
          <t>Ember Productions Pty Ltd</t>
        </is>
      </c>
      <c r="E12" t="inlineStr"/>
      <c r="F12" t="inlineStr">
        <is>
          <t>Misc charges</t>
        </is>
      </c>
      <c r="G12" s="9" t="n">
        <v>2475.85</v>
      </c>
      <c r="H12" t="inlineStr"/>
      <c r="I12" t="inlineStr"/>
      <c r="J12" t="inlineStr">
        <is>
          <t>No rule and no site reference</t>
        </is>
      </c>
      <c r="K12" t="inlineStr">
        <is>
          <t>Owner</t>
        </is>
      </c>
    </row>
    <row r="13">
      <c r="A13" t="inlineStr">
        <is>
          <t>INV-5923-1</t>
        </is>
      </c>
      <c r="B13" t="inlineStr">
        <is>
          <t>INV-5923</t>
        </is>
      </c>
      <c r="C13" s="11" t="n">
        <v>45886</v>
      </c>
      <c r="D13" t="inlineStr">
        <is>
          <t>Arjun Doyle</t>
        </is>
      </c>
      <c r="E13" t="inlineStr"/>
      <c r="F13" t="inlineStr">
        <is>
          <t>Misc charges</t>
        </is>
      </c>
      <c r="G13" s="9" t="n">
        <v>2314.24</v>
      </c>
      <c r="H13" t="inlineStr"/>
      <c r="I13" t="inlineStr"/>
      <c r="J13" t="inlineStr">
        <is>
          <t>No rule and no site reference</t>
        </is>
      </c>
      <c r="K13" t="inlineStr">
        <is>
          <t>Owner</t>
        </is>
      </c>
    </row>
    <row r="14">
      <c r="A14" t="inlineStr">
        <is>
          <t>INV-5915-1</t>
        </is>
      </c>
      <c r="B14" t="inlineStr">
        <is>
          <t>INV-5915</t>
        </is>
      </c>
      <c r="C14" s="11" t="n">
        <v>45887</v>
      </c>
      <c r="D14" t="inlineStr">
        <is>
          <t>Redline Builders Pty Ltd</t>
        </is>
      </c>
      <c r="E14" t="inlineStr"/>
      <c r="F14" t="inlineStr">
        <is>
          <t>Variation 1422 - additional works</t>
        </is>
      </c>
      <c r="G14" s="9" t="n">
        <v>2073.35</v>
      </c>
      <c r="H14" t="inlineStr"/>
      <c r="I14" t="inlineStr"/>
      <c r="J14" t="inlineStr">
        <is>
          <t>No rule and no site reference</t>
        </is>
      </c>
      <c r="K14" t="inlineStr">
        <is>
          <t>Owner</t>
        </is>
      </c>
    </row>
    <row r="15">
      <c r="A15" t="inlineStr">
        <is>
          <t>INV-5938-1</t>
        </is>
      </c>
      <c r="B15" t="inlineStr">
        <is>
          <t>INV-5938</t>
        </is>
      </c>
      <c r="C15" s="11" t="n">
        <v>45890</v>
      </c>
      <c r="D15" t="inlineStr">
        <is>
          <t>Coastline Developments Pty Ltd</t>
        </is>
      </c>
      <c r="E15" t="inlineStr"/>
      <c r="F15" t="inlineStr">
        <is>
          <t>As per quote Q-2406</t>
        </is>
      </c>
      <c r="G15" s="9" t="n">
        <v>3142.82</v>
      </c>
      <c r="H15" t="inlineStr"/>
      <c r="I15" t="inlineStr"/>
      <c r="J15" t="inlineStr">
        <is>
          <t>No rule and no site reference</t>
        </is>
      </c>
      <c r="K15" t="inlineStr">
        <is>
          <t>Owner</t>
        </is>
      </c>
    </row>
    <row r="16">
      <c r="A16" t="inlineStr">
        <is>
          <t>INV-5939-1</t>
        </is>
      </c>
      <c r="B16" t="inlineStr">
        <is>
          <t>INV-5939</t>
        </is>
      </c>
      <c r="C16" s="11" t="n">
        <v>45897</v>
      </c>
      <c r="D16" t="inlineStr">
        <is>
          <t>Zoe Martin</t>
        </is>
      </c>
      <c r="E16" t="inlineStr"/>
      <c r="F16" t="inlineStr">
        <is>
          <t>Misc charges</t>
        </is>
      </c>
      <c r="G16" s="9" t="n">
        <v>3532.38</v>
      </c>
      <c r="H16" t="inlineStr"/>
      <c r="I16" t="inlineStr"/>
      <c r="J16" t="inlineStr">
        <is>
          <t>No rule and no site reference</t>
        </is>
      </c>
      <c r="K16" t="inlineStr">
        <is>
          <t>Owner</t>
        </is>
      </c>
    </row>
    <row r="17">
      <c r="A17" t="inlineStr">
        <is>
          <t>INV-5937-1</t>
        </is>
      </c>
      <c r="B17" t="inlineStr">
        <is>
          <t>INV-5937</t>
        </is>
      </c>
      <c r="C17" s="11" t="n">
        <v>45899</v>
      </c>
      <c r="D17" t="inlineStr">
        <is>
          <t>Granite Projects Pty Ltd</t>
        </is>
      </c>
      <c r="E17" t="inlineStr">
        <is>
          <t>S0539</t>
        </is>
      </c>
      <c r="F17" t="inlineStr">
        <is>
          <t>Fence and make safe package - Job 4149</t>
        </is>
      </c>
      <c r="G17" s="9" t="n">
        <v>2865.9</v>
      </c>
      <c r="H17" t="inlineStr">
        <is>
          <t>Roofing</t>
        </is>
      </c>
      <c r="I17" t="inlineStr"/>
      <c r="J17" t="inlineStr">
        <is>
          <t>Context: service line from the site, account needs a person</t>
        </is>
      </c>
      <c r="K17" t="inlineStr">
        <is>
          <t>Bookkeeper</t>
        </is>
      </c>
    </row>
    <row r="18">
      <c r="A18" t="inlineStr">
        <is>
          <t>INV-5906-1</t>
        </is>
      </c>
      <c r="B18" t="inlineStr">
        <is>
          <t>INV-5906</t>
        </is>
      </c>
      <c r="C18" s="11" t="n">
        <v>45904</v>
      </c>
      <c r="D18" t="inlineStr">
        <is>
          <t>Corner Events Pty Ltd</t>
        </is>
      </c>
      <c r="E18" t="inlineStr">
        <is>
          <t>S0136</t>
        </is>
      </c>
      <c r="F18" t="inlineStr">
        <is>
          <t>Site works</t>
        </is>
      </c>
      <c r="G18" s="9" t="n">
        <v>3679.7</v>
      </c>
      <c r="H18" t="inlineStr">
        <is>
          <t>Fencing</t>
        </is>
      </c>
      <c r="I18" t="inlineStr"/>
      <c r="J18" t="inlineStr">
        <is>
          <t>Context: service line from the site, account needs a person</t>
        </is>
      </c>
      <c r="K18" t="inlineStr">
        <is>
          <t>Bookkeeper</t>
        </is>
      </c>
    </row>
    <row r="19">
      <c r="A19" t="inlineStr">
        <is>
          <t>INV-5936-1</t>
        </is>
      </c>
      <c r="B19" t="inlineStr">
        <is>
          <t>INV-5936</t>
        </is>
      </c>
      <c r="C19" s="11" t="n">
        <v>45909</v>
      </c>
      <c r="D19" t="inlineStr">
        <is>
          <t>Metro Developments</t>
        </is>
      </c>
      <c r="E19" t="inlineStr">
        <is>
          <t>S0424</t>
        </is>
      </c>
      <c r="F19" t="inlineStr">
        <is>
          <t>Job 4063 - progress claim</t>
        </is>
      </c>
      <c r="G19" s="9" t="n">
        <v>1610.68</v>
      </c>
      <c r="H19" t="inlineStr">
        <is>
          <t>Roofing</t>
        </is>
      </c>
      <c r="I19" t="inlineStr"/>
      <c r="J19" t="inlineStr">
        <is>
          <t>Context: service line from the site, account needs a person</t>
        </is>
      </c>
      <c r="K19" t="inlineStr">
        <is>
          <t>Bookkeeper</t>
        </is>
      </c>
    </row>
    <row r="20">
      <c r="A20" t="inlineStr">
        <is>
          <t>INV-5922-1</t>
        </is>
      </c>
      <c r="B20" t="inlineStr">
        <is>
          <t>INV-5922</t>
        </is>
      </c>
      <c r="C20" s="11" t="n">
        <v>45943</v>
      </c>
      <c r="D20" t="inlineStr">
        <is>
          <t>Bayside Owners Corporation Services Pty Ltd</t>
        </is>
      </c>
      <c r="E20" t="inlineStr"/>
      <c r="F20" t="inlineStr">
        <is>
          <t>Variation 4198 - additional works</t>
        </is>
      </c>
      <c r="G20" s="9" t="n">
        <v>2009.79</v>
      </c>
      <c r="H20" t="inlineStr"/>
      <c r="I20" t="inlineStr"/>
      <c r="J20" t="inlineStr">
        <is>
          <t>No rule and no site reference</t>
        </is>
      </c>
      <c r="K20" t="inlineStr">
        <is>
          <t>Owner</t>
        </is>
      </c>
    </row>
    <row r="21">
      <c r="A21" t="inlineStr">
        <is>
          <t>INV-5921-1</t>
        </is>
      </c>
      <c r="B21" t="inlineStr">
        <is>
          <t>INV-5921</t>
        </is>
      </c>
      <c r="C21" s="11" t="n">
        <v>45946</v>
      </c>
      <c r="D21" t="inlineStr">
        <is>
          <t>Lakeside Constructions Pty Ltd</t>
        </is>
      </c>
      <c r="E21" t="inlineStr">
        <is>
          <t>S0029</t>
        </is>
      </c>
      <c r="F21" t="inlineStr">
        <is>
          <t>Fence and make safe package - Job 2009</t>
        </is>
      </c>
      <c r="G21" s="9" t="n">
        <v>2431.94</v>
      </c>
      <c r="H21" t="inlineStr">
        <is>
          <t>Fencing</t>
        </is>
      </c>
      <c r="I21" t="inlineStr"/>
      <c r="J21" t="inlineStr">
        <is>
          <t>Context: service line from the site, account needs a person</t>
        </is>
      </c>
      <c r="K21" t="inlineStr">
        <is>
          <t>Bookkeeper</t>
        </is>
      </c>
    </row>
    <row r="22">
      <c r="A22" t="inlineStr">
        <is>
          <t>INV-5904-1</t>
        </is>
      </c>
      <c r="B22" t="inlineStr">
        <is>
          <t>INV-5904</t>
        </is>
      </c>
      <c r="C22" s="11" t="n">
        <v>45955</v>
      </c>
      <c r="D22" t="inlineStr">
        <is>
          <t>Redline Builders Pty Ltd</t>
        </is>
      </c>
      <c r="E22" t="inlineStr"/>
      <c r="F22" t="inlineStr">
        <is>
          <t>As per quote Q-1911</t>
        </is>
      </c>
      <c r="G22" s="9" t="n">
        <v>1181.1</v>
      </c>
      <c r="H22" t="inlineStr"/>
      <c r="I22" t="inlineStr"/>
      <c r="J22" t="inlineStr">
        <is>
          <t>No rule and no site reference</t>
        </is>
      </c>
      <c r="K22" t="inlineStr">
        <is>
          <t>Owner</t>
        </is>
      </c>
    </row>
    <row r="23">
      <c r="A23" t="inlineStr">
        <is>
          <t>INV-5900-1</t>
        </is>
      </c>
      <c r="B23" t="inlineStr">
        <is>
          <t>INV-5900</t>
        </is>
      </c>
      <c r="C23" s="11" t="n">
        <v>45964</v>
      </c>
      <c r="D23" t="inlineStr">
        <is>
          <t>Wattle Insurance Repairs Pty Ltd</t>
        </is>
      </c>
      <c r="E23" t="inlineStr">
        <is>
          <t>S0477</t>
        </is>
      </c>
      <c r="F23" t="inlineStr">
        <is>
          <t>As per quote Q-1582</t>
        </is>
      </c>
      <c r="G23" s="9" t="n">
        <v>2723.82</v>
      </c>
      <c r="H23" t="inlineStr">
        <is>
          <t>Make-safe</t>
        </is>
      </c>
      <c r="I23" t="inlineStr"/>
      <c r="J23" t="inlineStr">
        <is>
          <t>Context: service line from the site, account needs a person</t>
        </is>
      </c>
      <c r="K23" t="inlineStr">
        <is>
          <t>Bookkeeper</t>
        </is>
      </c>
    </row>
    <row r="24">
      <c r="A24" t="inlineStr">
        <is>
          <t>INV-5920-1</t>
        </is>
      </c>
      <c r="B24" t="inlineStr">
        <is>
          <t>INV-5920</t>
        </is>
      </c>
      <c r="C24" s="11" t="n">
        <v>45966</v>
      </c>
      <c r="D24" t="inlineStr">
        <is>
          <t>Bluegum Construction Pty Ltd</t>
        </is>
      </c>
      <c r="E24" t="inlineStr"/>
      <c r="F24" t="inlineStr">
        <is>
          <t>Site works</t>
        </is>
      </c>
      <c r="G24" s="9" t="n">
        <v>959.58</v>
      </c>
      <c r="H24" t="inlineStr"/>
      <c r="I24" t="inlineStr"/>
      <c r="J24" t="inlineStr">
        <is>
          <t>No rule and no site reference</t>
        </is>
      </c>
      <c r="K24" t="inlineStr">
        <is>
          <t>Owner</t>
        </is>
      </c>
    </row>
    <row r="25">
      <c r="A25" t="inlineStr">
        <is>
          <t>INV-5895-1</t>
        </is>
      </c>
      <c r="B25" t="inlineStr">
        <is>
          <t>INV-5895</t>
        </is>
      </c>
      <c r="C25" s="11" t="n">
        <v>45972</v>
      </c>
      <c r="D25" t="inlineStr">
        <is>
          <t>Granite Constructions</t>
        </is>
      </c>
      <c r="E25" t="inlineStr">
        <is>
          <t>S0471</t>
        </is>
      </c>
      <c r="F25" t="inlineStr">
        <is>
          <t>Job 1496 - progress claim</t>
        </is>
      </c>
      <c r="G25" s="9" t="n">
        <v>503.14</v>
      </c>
      <c r="H25" t="inlineStr">
        <is>
          <t>Make-safe</t>
        </is>
      </c>
      <c r="I25" t="inlineStr"/>
      <c r="J25" t="inlineStr">
        <is>
          <t>Context: service line from the site, account needs a person</t>
        </is>
      </c>
      <c r="K25" t="inlineStr">
        <is>
          <t>Bookkeeper</t>
        </is>
      </c>
    </row>
    <row r="26">
      <c r="A26" t="inlineStr">
        <is>
          <t>INV-5914-1</t>
        </is>
      </c>
      <c r="B26" t="inlineStr">
        <is>
          <t>INV-5914</t>
        </is>
      </c>
      <c r="C26" s="11" t="n">
        <v>45991</v>
      </c>
      <c r="D26" t="inlineStr">
        <is>
          <t>Riverbend Homes Pty Ltd</t>
        </is>
      </c>
      <c r="E26" t="inlineStr">
        <is>
          <t>S0008</t>
        </is>
      </c>
      <c r="F26" t="inlineStr">
        <is>
          <t>Job 4796 - progress claim</t>
        </is>
      </c>
      <c r="G26" s="9" t="n">
        <v>1969.25</v>
      </c>
      <c r="H26" t="inlineStr">
        <is>
          <t>Fencing</t>
        </is>
      </c>
      <c r="I26" t="inlineStr"/>
      <c r="J26" t="inlineStr">
        <is>
          <t>Context: service line from the site, account needs a person</t>
        </is>
      </c>
      <c r="K26" t="inlineStr">
        <is>
          <t>Bookkeeper</t>
        </is>
      </c>
    </row>
    <row r="27">
      <c r="A27" t="inlineStr">
        <is>
          <t>INV-5903-1</t>
        </is>
      </c>
      <c r="B27" t="inlineStr">
        <is>
          <t>INV-5903</t>
        </is>
      </c>
      <c r="C27" s="11" t="n">
        <v>46012</v>
      </c>
      <c r="D27" t="inlineStr">
        <is>
          <t>Cobalt Constructions Pty Ltd</t>
        </is>
      </c>
      <c r="E27" t="inlineStr">
        <is>
          <t>S0266</t>
        </is>
      </c>
      <c r="F27" t="inlineStr">
        <is>
          <t>Job 2261 - progress claim</t>
        </is>
      </c>
      <c r="G27" s="9" t="n">
        <v>3184.48</v>
      </c>
      <c r="H27" t="inlineStr">
        <is>
          <t>Scaffolding</t>
        </is>
      </c>
      <c r="I27" t="inlineStr"/>
      <c r="J27" t="inlineStr">
        <is>
          <t>Context: service line from the site, account needs a person</t>
        </is>
      </c>
      <c r="K27" t="inlineStr">
        <is>
          <t>Bookkeeper</t>
        </is>
      </c>
    </row>
    <row r="28">
      <c r="A28" t="inlineStr">
        <is>
          <t>INV-5934-1</t>
        </is>
      </c>
      <c r="B28" t="inlineStr">
        <is>
          <t>INV-5934</t>
        </is>
      </c>
      <c r="C28" s="11" t="n">
        <v>46019</v>
      </c>
      <c r="D28" t="inlineStr">
        <is>
          <t>Lakeside Claims Services Pty Ltd</t>
        </is>
      </c>
      <c r="E28" t="inlineStr">
        <is>
          <t>S0382</t>
        </is>
      </c>
      <c r="F28" t="inlineStr">
        <is>
          <t>Misc charges</t>
        </is>
      </c>
      <c r="G28" s="9" t="n">
        <v>3612.05</v>
      </c>
      <c r="H28" t="inlineStr">
        <is>
          <t>Make-safe</t>
        </is>
      </c>
      <c r="I28" t="inlineStr"/>
      <c r="J28" t="inlineStr">
        <is>
          <t>Context: service line from the site, account needs a person</t>
        </is>
      </c>
      <c r="K28" t="inlineStr">
        <is>
          <t>Bookkeeper</t>
        </is>
      </c>
    </row>
    <row r="29">
      <c r="A29" t="inlineStr">
        <is>
          <t>INV-5932-1</t>
        </is>
      </c>
      <c r="B29" t="inlineStr">
        <is>
          <t>INV-5932</t>
        </is>
      </c>
      <c r="C29" s="11" t="n">
        <v>46028</v>
      </c>
      <c r="D29" t="inlineStr">
        <is>
          <t>Kestrel Constructions Pty Ltd</t>
        </is>
      </c>
      <c r="E29" t="inlineStr">
        <is>
          <t>S0138</t>
        </is>
      </c>
      <c r="F29" t="inlineStr">
        <is>
          <t>Fence and make safe package - Job 4280</t>
        </is>
      </c>
      <c r="G29" s="9" t="n">
        <v>3456.96</v>
      </c>
      <c r="H29" t="inlineStr">
        <is>
          <t>Fencing</t>
        </is>
      </c>
      <c r="I29" t="inlineStr"/>
      <c r="J29" t="inlineStr">
        <is>
          <t>Context: service line from the site, account needs a person</t>
        </is>
      </c>
      <c r="K29" t="inlineStr">
        <is>
          <t>Bookkeeper</t>
        </is>
      </c>
    </row>
    <row r="30">
      <c r="A30" t="inlineStr">
        <is>
          <t>INV-5930-1</t>
        </is>
      </c>
      <c r="B30" t="inlineStr">
        <is>
          <t>INV-5930</t>
        </is>
      </c>
      <c r="C30" s="11" t="n">
        <v>46035</v>
      </c>
      <c r="D30" t="inlineStr">
        <is>
          <t>Cobalt Developments Pty Ltd</t>
        </is>
      </c>
      <c r="E30" t="inlineStr"/>
      <c r="F30" t="inlineStr">
        <is>
          <t>Site works</t>
        </is>
      </c>
      <c r="G30" s="9" t="n">
        <v>2264.88</v>
      </c>
      <c r="H30" t="inlineStr"/>
      <c r="I30" t="inlineStr"/>
      <c r="J30" t="inlineStr">
        <is>
          <t>No rule and no site reference</t>
        </is>
      </c>
      <c r="K30" t="inlineStr">
        <is>
          <t>Owner</t>
        </is>
      </c>
    </row>
    <row r="31">
      <c r="A31" t="inlineStr">
        <is>
          <t>INV-5916-1</t>
        </is>
      </c>
      <c r="B31" t="inlineStr">
        <is>
          <t>INV-5916</t>
        </is>
      </c>
      <c r="C31" s="11" t="n">
        <v>46039</v>
      </c>
      <c r="D31" t="inlineStr">
        <is>
          <t>Mia Chen</t>
        </is>
      </c>
      <c r="E31" t="inlineStr">
        <is>
          <t>S0467</t>
        </is>
      </c>
      <c r="F31" t="inlineStr">
        <is>
          <t>Works completed as discussed</t>
        </is>
      </c>
      <c r="G31" s="9" t="n">
        <v>2706.78</v>
      </c>
      <c r="H31" t="inlineStr">
        <is>
          <t>Make-safe</t>
        </is>
      </c>
      <c r="I31" t="inlineStr"/>
      <c r="J31" t="inlineStr">
        <is>
          <t>Context: service line from the site, account needs a person</t>
        </is>
      </c>
      <c r="K31" t="inlineStr">
        <is>
          <t>Bookkeeper</t>
        </is>
      </c>
    </row>
    <row r="32">
      <c r="A32" t="inlineStr">
        <is>
          <t>INV-5898-1</t>
        </is>
      </c>
      <c r="B32" t="inlineStr">
        <is>
          <t>INV-5898</t>
        </is>
      </c>
      <c r="C32" s="11" t="n">
        <v>46041</v>
      </c>
      <c r="D32" t="inlineStr">
        <is>
          <t>Lakeside Constructions Pty Ltd</t>
        </is>
      </c>
      <c r="E32" t="inlineStr">
        <is>
          <t>S0231</t>
        </is>
      </c>
      <c r="F32" t="inlineStr">
        <is>
          <t>Fence and make safe package - Job 1871</t>
        </is>
      </c>
      <c r="G32" s="9" t="n">
        <v>270.11</v>
      </c>
      <c r="H32" t="inlineStr">
        <is>
          <t>Fencing</t>
        </is>
      </c>
      <c r="I32" t="inlineStr"/>
      <c r="J32" t="inlineStr">
        <is>
          <t>Context: service line from the site, account needs a person</t>
        </is>
      </c>
      <c r="K32" t="inlineStr">
        <is>
          <t>Bookkeeper</t>
        </is>
      </c>
    </row>
    <row r="33">
      <c r="A33" t="inlineStr">
        <is>
          <t>INV-5912-1</t>
        </is>
      </c>
      <c r="B33" t="inlineStr">
        <is>
          <t>INV-5912</t>
        </is>
      </c>
      <c r="C33" s="11" t="n">
        <v>46048</v>
      </c>
      <c r="D33" t="inlineStr">
        <is>
          <t>Silverleaf Insurance Repairs Pty Ltd</t>
        </is>
      </c>
      <c r="E33" t="inlineStr"/>
      <c r="F33" t="inlineStr">
        <is>
          <t>Variation 3059 - additional works</t>
        </is>
      </c>
      <c r="G33" s="9" t="n">
        <v>860.29</v>
      </c>
      <c r="H33" t="inlineStr"/>
      <c r="I33" t="inlineStr"/>
      <c r="J33" t="inlineStr">
        <is>
          <t>No rule and no site reference</t>
        </is>
      </c>
      <c r="K33" t="inlineStr">
        <is>
          <t>Owner</t>
        </is>
      </c>
    </row>
    <row r="34">
      <c r="A34" t="inlineStr">
        <is>
          <t>INV-5935-1</t>
        </is>
      </c>
      <c r="B34" t="inlineStr">
        <is>
          <t>INV-5935</t>
        </is>
      </c>
      <c r="C34" s="11" t="n">
        <v>46059</v>
      </c>
      <c r="D34" t="inlineStr">
        <is>
          <t>Summit Homes Pty Ltd</t>
        </is>
      </c>
      <c r="E34" t="inlineStr"/>
      <c r="F34" t="inlineStr">
        <is>
          <t>Works completed as discussed</t>
        </is>
      </c>
      <c r="G34" s="9" t="n">
        <v>3636.87</v>
      </c>
      <c r="H34" t="inlineStr"/>
      <c r="I34" t="inlineStr"/>
      <c r="J34" t="inlineStr">
        <is>
          <t>No rule and no site reference</t>
        </is>
      </c>
      <c r="K34" t="inlineStr">
        <is>
          <t>Owner</t>
        </is>
      </c>
    </row>
    <row r="35">
      <c r="A35" t="inlineStr">
        <is>
          <t>INV-5909-1</t>
        </is>
      </c>
      <c r="B35" t="inlineStr">
        <is>
          <t>INV-5909</t>
        </is>
      </c>
      <c r="C35" s="11" t="n">
        <v>46060</v>
      </c>
      <c r="D35" t="inlineStr">
        <is>
          <t>Sofia Hughes</t>
        </is>
      </c>
      <c r="E35" t="inlineStr"/>
      <c r="F35" t="inlineStr">
        <is>
          <t>Job 1675 - progress claim</t>
        </is>
      </c>
      <c r="G35" s="9" t="n">
        <v>3052.12</v>
      </c>
      <c r="H35" t="inlineStr"/>
      <c r="I35" t="inlineStr"/>
      <c r="J35" t="inlineStr">
        <is>
          <t>No rule and no site reference</t>
        </is>
      </c>
      <c r="K35" t="inlineStr">
        <is>
          <t>Owner</t>
        </is>
      </c>
    </row>
    <row r="36">
      <c r="A36" t="inlineStr">
        <is>
          <t>INV-5928-1</t>
        </is>
      </c>
      <c r="B36" t="inlineStr">
        <is>
          <t>INV-5928</t>
        </is>
      </c>
      <c r="C36" s="11" t="n">
        <v>46082</v>
      </c>
      <c r="D36" t="inlineStr">
        <is>
          <t>Coastline Developments Pty Ltd</t>
        </is>
      </c>
      <c r="E36" t="inlineStr">
        <is>
          <t>S0462</t>
        </is>
      </c>
      <c r="F36" t="inlineStr">
        <is>
          <t>Fence and make safe package - Job 4201</t>
        </is>
      </c>
      <c r="G36" s="9" t="n">
        <v>1864.11</v>
      </c>
      <c r="H36" t="inlineStr">
        <is>
          <t>Roofing</t>
        </is>
      </c>
      <c r="I36" t="inlineStr"/>
      <c r="J36" t="inlineStr">
        <is>
          <t>Context: service line from the site, account needs a person</t>
        </is>
      </c>
      <c r="K36" t="inlineStr">
        <is>
          <t>Bookkeeper</t>
        </is>
      </c>
    </row>
    <row r="37">
      <c r="A37" t="inlineStr">
        <is>
          <t>INV-5919-1</t>
        </is>
      </c>
      <c r="B37" t="inlineStr">
        <is>
          <t>INV-5919</t>
        </is>
      </c>
      <c r="C37" s="11" t="n">
        <v>46090</v>
      </c>
      <c r="D37" t="inlineStr">
        <is>
          <t>Bayside Owners Corporation Services Pty Ltd</t>
        </is>
      </c>
      <c r="E37" t="inlineStr">
        <is>
          <t>S0360</t>
        </is>
      </c>
      <c r="F37" t="inlineStr">
        <is>
          <t>As per quote Q-3163</t>
        </is>
      </c>
      <c r="G37" s="9" t="n">
        <v>3119.58</v>
      </c>
      <c r="H37" t="inlineStr">
        <is>
          <t>Roofing</t>
        </is>
      </c>
      <c r="I37" t="inlineStr"/>
      <c r="J37" t="inlineStr">
        <is>
          <t>Context: service line from the site, account needs a person</t>
        </is>
      </c>
      <c r="K37" t="inlineStr">
        <is>
          <t>Bookkeeper</t>
        </is>
      </c>
    </row>
    <row r="38">
      <c r="A38" t="inlineStr">
        <is>
          <t>INV-5907-1</t>
        </is>
      </c>
      <c r="B38" t="inlineStr">
        <is>
          <t>INV-5907</t>
        </is>
      </c>
      <c r="C38" s="11" t="n">
        <v>46099</v>
      </c>
      <c r="D38" t="inlineStr">
        <is>
          <t>Noah Williams</t>
        </is>
      </c>
      <c r="E38" t="inlineStr">
        <is>
          <t>S0143</t>
        </is>
      </c>
      <c r="F38" t="inlineStr">
        <is>
          <t>Fence and make safe package - Job 1607</t>
        </is>
      </c>
      <c r="G38" s="9" t="n">
        <v>3704.59</v>
      </c>
      <c r="H38" t="inlineStr">
        <is>
          <t>Fencing</t>
        </is>
      </c>
      <c r="I38" t="inlineStr"/>
      <c r="J38" t="inlineStr">
        <is>
          <t>Context: service line from the site, account needs a person</t>
        </is>
      </c>
      <c r="K38" t="inlineStr">
        <is>
          <t>Bookkeeper</t>
        </is>
      </c>
    </row>
    <row r="39">
      <c r="A39" t="inlineStr">
        <is>
          <t>INV-5924-1</t>
        </is>
      </c>
      <c r="B39" t="inlineStr">
        <is>
          <t>INV-5924</t>
        </is>
      </c>
      <c r="C39" s="11" t="n">
        <v>46106</v>
      </c>
      <c r="D39" t="inlineStr">
        <is>
          <t>Kestrel Constructions Pty Ltd</t>
        </is>
      </c>
      <c r="E39" t="inlineStr"/>
      <c r="F39" t="inlineStr">
        <is>
          <t>Fence and make safe package - Job 2214</t>
        </is>
      </c>
      <c r="G39" s="9" t="n">
        <v>927.28</v>
      </c>
      <c r="H39" t="inlineStr"/>
      <c r="I39" t="inlineStr"/>
      <c r="J39" t="inlineStr">
        <is>
          <t>No rule and no site reference</t>
        </is>
      </c>
      <c r="K39" t="inlineStr">
        <is>
          <t>Owner</t>
        </is>
      </c>
    </row>
    <row r="40">
      <c r="A40" t="inlineStr">
        <is>
          <t>INV-5926-1</t>
        </is>
      </c>
      <c r="B40" t="inlineStr">
        <is>
          <t>INV-5926</t>
        </is>
      </c>
      <c r="C40" s="11" t="n">
        <v>46110</v>
      </c>
      <c r="D40" t="inlineStr">
        <is>
          <t>Bluegum Body Corporate Pty Ltd</t>
        </is>
      </c>
      <c r="E40" t="inlineStr"/>
      <c r="F40" t="inlineStr">
        <is>
          <t>Job 2058 - progress claim</t>
        </is>
      </c>
      <c r="G40" s="9" t="n">
        <v>1388.47</v>
      </c>
      <c r="H40" t="inlineStr"/>
      <c r="I40" t="inlineStr"/>
      <c r="J40" t="inlineStr">
        <is>
          <t>No rule and no site reference</t>
        </is>
      </c>
      <c r="K40" t="inlineStr">
        <is>
          <t>Owner</t>
        </is>
      </c>
    </row>
    <row r="41">
      <c r="A41" t="inlineStr">
        <is>
          <t>INV-5929-1</t>
        </is>
      </c>
      <c r="B41" t="inlineStr">
        <is>
          <t>INV-5929</t>
        </is>
      </c>
      <c r="C41" s="11" t="n">
        <v>46126</v>
      </c>
      <c r="D41" t="inlineStr">
        <is>
          <t>Northgate Insurance Repairs</t>
        </is>
      </c>
      <c r="E41" t="inlineStr"/>
      <c r="F41" t="inlineStr">
        <is>
          <t>As per quote Q-2547</t>
        </is>
      </c>
      <c r="G41" s="9" t="n">
        <v>2374.82</v>
      </c>
      <c r="H41" t="inlineStr"/>
      <c r="I41" t="inlineStr"/>
      <c r="J41" t="inlineStr">
        <is>
          <t>No rule and no site reference</t>
        </is>
      </c>
      <c r="K41" t="inlineStr">
        <is>
          <t>Owner</t>
        </is>
      </c>
    </row>
    <row r="42">
      <c r="A42" t="inlineStr">
        <is>
          <t>INV-5897-1</t>
        </is>
      </c>
      <c r="B42" t="inlineStr">
        <is>
          <t>INV-5897</t>
        </is>
      </c>
      <c r="C42" s="11" t="n">
        <v>46129</v>
      </c>
      <c r="D42" t="inlineStr">
        <is>
          <t>Leo Hughes</t>
        </is>
      </c>
      <c r="E42" t="inlineStr"/>
      <c r="F42" t="inlineStr">
        <is>
          <t>As per quote Q-2344</t>
        </is>
      </c>
      <c r="G42" s="9" t="n">
        <v>1089.84</v>
      </c>
      <c r="H42" t="inlineStr"/>
      <c r="I42" t="inlineStr"/>
      <c r="J42" t="inlineStr">
        <is>
          <t>No rule and no site reference</t>
        </is>
      </c>
      <c r="K42" t="inlineStr">
        <is>
          <t>Owner</t>
        </is>
      </c>
    </row>
    <row r="43">
      <c r="A43" t="inlineStr">
        <is>
          <t>INV-5901-1</t>
        </is>
      </c>
      <c r="B43" t="inlineStr">
        <is>
          <t>INV-5901</t>
        </is>
      </c>
      <c r="C43" s="11" t="n">
        <v>46144</v>
      </c>
      <c r="D43" t="inlineStr">
        <is>
          <t>Zoe Martin</t>
        </is>
      </c>
      <c r="E43" t="inlineStr"/>
      <c r="F43" t="inlineStr">
        <is>
          <t>Site works</t>
        </is>
      </c>
      <c r="G43" s="9" t="n">
        <v>3232.89</v>
      </c>
      <c r="H43" t="inlineStr"/>
      <c r="I43" t="inlineStr"/>
      <c r="J43" t="inlineStr">
        <is>
          <t>No rule and no site reference</t>
        </is>
      </c>
      <c r="K43" t="inlineStr">
        <is>
          <t>Owner</t>
        </is>
      </c>
    </row>
    <row r="44">
      <c r="A44" t="inlineStr">
        <is>
          <t>INV-5925-1</t>
        </is>
      </c>
      <c r="B44" t="inlineStr">
        <is>
          <t>INV-5925</t>
        </is>
      </c>
      <c r="C44" s="11" t="n">
        <v>46160</v>
      </c>
      <c r="D44" t="inlineStr">
        <is>
          <t>Metro Developments</t>
        </is>
      </c>
      <c r="E44" t="inlineStr"/>
      <c r="F44" t="inlineStr">
        <is>
          <t>Works completed as discussed</t>
        </is>
      </c>
      <c r="G44" s="9" t="n">
        <v>1460.92</v>
      </c>
      <c r="H44" t="inlineStr"/>
      <c r="I44" t="inlineStr"/>
      <c r="J44" t="inlineStr">
        <is>
          <t>No rule and no site reference</t>
        </is>
      </c>
      <c r="K44" t="inlineStr">
        <is>
          <t>Owner</t>
        </is>
      </c>
    </row>
    <row r="45">
      <c r="A45" t="inlineStr">
        <is>
          <t>INV-5918-1</t>
        </is>
      </c>
      <c r="B45" t="inlineStr">
        <is>
          <t>INV-5918</t>
        </is>
      </c>
      <c r="C45" s="11" t="n">
        <v>46176</v>
      </c>
      <c r="D45" t="inlineStr">
        <is>
          <t>Coastline Projects Pty Ltd</t>
        </is>
      </c>
      <c r="E45" t="inlineStr">
        <is>
          <t>S0076</t>
        </is>
      </c>
      <c r="F45" t="inlineStr">
        <is>
          <t>Job 4623 - progress claim</t>
        </is>
      </c>
      <c r="G45" s="9" t="n">
        <v>1109.69</v>
      </c>
      <c r="H45" t="inlineStr">
        <is>
          <t>Fencing</t>
        </is>
      </c>
      <c r="I45" t="inlineStr"/>
      <c r="J45" t="inlineStr">
        <is>
          <t>Context: service line from the site, account needs a person</t>
        </is>
      </c>
      <c r="K45" t="inlineStr">
        <is>
          <t>Bookkeeper</t>
        </is>
      </c>
    </row>
    <row r="46">
      <c r="A46" t="inlineStr">
        <is>
          <t>INV-5896-1</t>
        </is>
      </c>
      <c r="B46" t="inlineStr">
        <is>
          <t>INV-5896</t>
        </is>
      </c>
      <c r="C46" s="11" t="n">
        <v>46178</v>
      </c>
      <c r="D46" t="inlineStr">
        <is>
          <t>Coastline Developments Pty Ltd</t>
        </is>
      </c>
      <c r="E46" t="inlineStr"/>
      <c r="F46" t="inlineStr">
        <is>
          <t>Misc charges</t>
        </is>
      </c>
      <c r="G46" s="9" t="n">
        <v>3305.12</v>
      </c>
      <c r="H46" t="inlineStr"/>
      <c r="I46" t="inlineStr"/>
      <c r="J46" t="inlineStr">
        <is>
          <t>No rule and no site reference</t>
        </is>
      </c>
      <c r="K46" t="inlineStr">
        <is>
          <t>Owner</t>
        </is>
      </c>
    </row>
    <row r="47">
      <c r="A47" t="inlineStr">
        <is>
          <t>INV-5933-1</t>
        </is>
      </c>
      <c r="B47" t="inlineStr">
        <is>
          <t>INV-5933</t>
        </is>
      </c>
      <c r="C47" s="11" t="n">
        <v>46179</v>
      </c>
      <c r="D47" t="inlineStr">
        <is>
          <t>Highpoint Projects</t>
        </is>
      </c>
      <c r="E47" t="inlineStr">
        <is>
          <t>S0033</t>
        </is>
      </c>
      <c r="F47" t="inlineStr">
        <is>
          <t>Job 1301 - progress claim</t>
        </is>
      </c>
      <c r="G47" s="9" t="n">
        <v>3483.89</v>
      </c>
      <c r="H47" t="inlineStr">
        <is>
          <t>Fencing</t>
        </is>
      </c>
      <c r="I47" t="inlineStr"/>
      <c r="J47" t="inlineStr">
        <is>
          <t>Context: service line from the site, account needs a person</t>
        </is>
      </c>
      <c r="K47" t="inlineStr">
        <is>
          <t>Bookkeeper</t>
        </is>
      </c>
    </row>
    <row r="48">
      <c r="A48" t="inlineStr">
        <is>
          <t>INV-5917-1</t>
        </is>
      </c>
      <c r="B48" t="inlineStr">
        <is>
          <t>INV-5917</t>
        </is>
      </c>
      <c r="C48" s="11" t="n">
        <v>46182</v>
      </c>
      <c r="D48" t="inlineStr">
        <is>
          <t>Ethan Walker</t>
        </is>
      </c>
      <c r="E48" t="inlineStr"/>
      <c r="F48" t="inlineStr">
        <is>
          <t>Job 4297 - progress claim</t>
        </is>
      </c>
      <c r="G48" s="9" t="n">
        <v>897.27</v>
      </c>
      <c r="H48" t="inlineStr"/>
      <c r="I48" t="inlineStr"/>
      <c r="J48" t="inlineStr">
        <is>
          <t>No rule and no site reference</t>
        </is>
      </c>
      <c r="K48" t="inlineStr">
        <is>
          <t>Owner</t>
        </is>
      </c>
    </row>
    <row r="49">
      <c r="A49" t="inlineStr">
        <is>
          <t>INV-5927-1</t>
        </is>
      </c>
      <c r="B49" t="inlineStr">
        <is>
          <t>INV-5927</t>
        </is>
      </c>
      <c r="C49" s="11" t="n">
        <v>46182</v>
      </c>
      <c r="D49" t="inlineStr">
        <is>
          <t>Coastline Claims Services</t>
        </is>
      </c>
      <c r="E49" t="inlineStr">
        <is>
          <t>S0481</t>
        </is>
      </c>
      <c r="F49" t="inlineStr">
        <is>
          <t>Fence and make safe package - Job 2116</t>
        </is>
      </c>
      <c r="G49" s="9" t="n">
        <v>2185.99</v>
      </c>
      <c r="H49" t="inlineStr">
        <is>
          <t>Make-safe</t>
        </is>
      </c>
      <c r="I49" t="inlineStr"/>
      <c r="J49" t="inlineStr">
        <is>
          <t>Context: service line from the site, account needs a person</t>
        </is>
      </c>
      <c r="K49" t="inlineStr">
        <is>
          <t>Bookkeeper</t>
        </is>
      </c>
    </row>
    <row r="50">
      <c r="A50" t="inlineStr">
        <is>
          <t>INV-5894-1</t>
        </is>
      </c>
      <c r="B50" t="inlineStr">
        <is>
          <t>INV-5894</t>
        </is>
      </c>
      <c r="C50" s="11" t="n">
        <v>46183</v>
      </c>
      <c r="D50" t="inlineStr">
        <is>
          <t>Banksia Strata Management</t>
        </is>
      </c>
      <c r="E50" t="inlineStr"/>
      <c r="F50" t="inlineStr">
        <is>
          <t>As per quote Q-3717</t>
        </is>
      </c>
      <c r="G50" s="9" t="n">
        <v>290.09</v>
      </c>
      <c r="H50" t="inlineStr"/>
      <c r="I50" t="inlineStr"/>
      <c r="J50" t="inlineStr">
        <is>
          <t>No rule and no site reference</t>
        </is>
      </c>
      <c r="K50" t="inlineStr">
        <is>
          <t>Owner</t>
        </is>
      </c>
    </row>
  </sheetData>
  <autoFilter ref="A4:K50"/>
  <dataValidations count="1">
    <dataValidation sqref="I5:I50" showDropDown="0" showInputMessage="0" showErrorMessage="0" allowBlank="1" type="list">
      <formula1>"4010,4020,4030,4040,835,Split"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46" customWidth="1" min="4" max="4"/>
    <col width="11" customWidth="1" min="5" max="5"/>
    <col width="15" customWidth="1" min="6" max="6"/>
    <col width="15" customWidth="1" min="7" max="7"/>
    <col width="11" customWidth="1" min="8" max="8"/>
    <col width="34" customWidth="1" min="9" max="9"/>
    <col width="10" customWidth="1" min="10" max="10"/>
    <col width="12" customWidth="1" min="12" max="12"/>
    <col width="14" customWidth="1" min="14" max="14"/>
  </cols>
  <sheetData>
    <row r="1">
      <c r="A1" s="6" t="inlineStr">
        <is>
          <t>Tax review: lines coded to the wrong tax rate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Line ID</t>
        </is>
      </c>
      <c r="B4" s="7" t="inlineStr">
        <is>
          <t>Invoice</t>
        </is>
      </c>
      <c r="C4" s="7" t="inlineStr">
        <is>
          <t>Date</t>
        </is>
      </c>
      <c r="D4" s="7" t="inlineStr">
        <is>
          <t>Description</t>
        </is>
      </c>
      <c r="E4" s="7" t="inlineStr">
        <is>
          <t>Amount</t>
        </is>
      </c>
      <c r="F4" s="7" t="inlineStr">
        <is>
          <t>Coded tax</t>
        </is>
      </c>
      <c r="G4" s="7" t="inlineStr">
        <is>
          <t>Expected tax</t>
        </is>
      </c>
      <c r="H4" s="7" t="inlineStr">
        <is>
          <t>GST effect</t>
        </is>
      </c>
      <c r="I4" s="7" t="inlineStr">
        <is>
          <t>Issue</t>
        </is>
      </c>
      <c r="J4" s="7" t="inlineStr">
        <is>
          <t>BAS quarter</t>
        </is>
      </c>
      <c r="L4" s="4" t="inlineStr">
        <is>
          <t>BAS quarter</t>
        </is>
      </c>
      <c r="M4" s="4" t="inlineStr">
        <is>
          <t>Lines</t>
        </is>
      </c>
      <c r="N4" s="4" t="inlineStr">
        <is>
          <t>GST to correct</t>
        </is>
      </c>
    </row>
    <row r="5">
      <c r="A5" t="inlineStr">
        <is>
          <t>INV-4658-2</t>
        </is>
      </c>
      <c r="B5" t="inlineStr">
        <is>
          <t>INV-4658</t>
        </is>
      </c>
      <c r="C5" s="11" t="n">
        <v>45863</v>
      </c>
      <c r="D5" t="inlineStr">
        <is>
          <t>Lost/damaged panels charged - 4 @ 145.00</t>
        </is>
      </c>
      <c r="E5" s="9" t="n">
        <v>580</v>
      </c>
      <c r="F5" t="inlineStr">
        <is>
          <t>GST Free Income</t>
        </is>
      </c>
      <c r="G5" t="inlineStr">
        <is>
          <t>GST on Income</t>
        </is>
      </c>
      <c r="H5" s="9">
        <f>IF(G5="GST on Income",ROUND(E5*0.1,2),ROUND(-E5*0.1,2))</f>
        <v>58</v>
      </c>
      <c r="I5" t="inlineStr">
        <is>
          <t>GST not charged on a taxable sale</t>
        </is>
      </c>
      <c r="J5" t="inlineStr">
        <is>
          <t>FY26 Q1</t>
        </is>
      </c>
      <c r="L5" t="inlineStr">
        <is>
          <t>FY26 Q1</t>
        </is>
      </c>
      <c r="M5">
        <f>COUNTIF($J$5:$J$87,L5)</f>
        <v>14</v>
      </c>
      <c r="N5" s="9">
        <f>SUMIFS($H$5:$H$87,$J$5:$J$87,L5)</f>
        <v>439.68</v>
      </c>
    </row>
    <row r="6">
      <c r="A6" t="inlineStr">
        <is>
          <t>INV-5861-1</t>
        </is>
      </c>
      <c r="B6" t="inlineStr">
        <is>
          <t>INV-5861</t>
        </is>
      </c>
      <c r="C6" s="11" t="n">
        <v>45872</v>
      </c>
      <c r="D6" t="inlineStr">
        <is>
          <t>Roof repair labour - 12 hrs</t>
        </is>
      </c>
      <c r="E6" s="9" t="n">
        <v>1176</v>
      </c>
      <c r="F6" t="inlineStr">
        <is>
          <t>GST Free Income</t>
        </is>
      </c>
      <c r="G6" t="inlineStr">
        <is>
          <t>GST on Income</t>
        </is>
      </c>
      <c r="H6" s="9">
        <f>IF(G6="GST on Income",ROUND(E6*0.1,2),ROUND(-E6*0.1,2))</f>
        <v>117.6</v>
      </c>
      <c r="I6" t="inlineStr">
        <is>
          <t>GST not charged on a taxable sale</t>
        </is>
      </c>
      <c r="J6" t="inlineStr">
        <is>
          <t>FY26 Q1</t>
        </is>
      </c>
      <c r="L6" t="inlineStr">
        <is>
          <t>FY26 Q2</t>
        </is>
      </c>
      <c r="M6">
        <f>COUNTIF($J$5:$J$87,L6)</f>
        <v>28</v>
      </c>
      <c r="N6" s="9">
        <f>SUMIFS($H$5:$H$87,$J$5:$J$87,L6)</f>
        <v>1202.19</v>
      </c>
    </row>
    <row r="7">
      <c r="A7" t="inlineStr">
        <is>
          <t>INV-5780-2</t>
        </is>
      </c>
      <c r="B7" t="inlineStr">
        <is>
          <t>INV-5780</t>
        </is>
      </c>
      <c r="C7" s="11" t="n">
        <v>45873</v>
      </c>
      <c r="D7" t="inlineStr">
        <is>
          <t>Materials - gutter and downpipe</t>
        </is>
      </c>
      <c r="E7" s="9" t="n">
        <v>503.79</v>
      </c>
      <c r="F7" t="inlineStr">
        <is>
          <t>GST Free Income</t>
        </is>
      </c>
      <c r="G7" t="inlineStr">
        <is>
          <t>GST on Income</t>
        </is>
      </c>
      <c r="H7" s="9">
        <f>IF(G7="GST on Income",ROUND(E7*0.1,2),ROUND(-E7*0.1,2))</f>
        <v>50.38</v>
      </c>
      <c r="I7" t="inlineStr">
        <is>
          <t>GST not charged on a taxable sale</t>
        </is>
      </c>
      <c r="J7" t="inlineStr">
        <is>
          <t>FY26 Q1</t>
        </is>
      </c>
      <c r="L7" t="inlineStr">
        <is>
          <t>FY26 Q3</t>
        </is>
      </c>
      <c r="M7">
        <f>COUNTIF($J$5:$J$87,L7)</f>
        <v>21</v>
      </c>
      <c r="N7" s="9">
        <f>SUMIFS($H$5:$H$87,$J$5:$J$87,L7)</f>
        <v>736.93</v>
      </c>
    </row>
    <row r="8">
      <c r="A8" t="inlineStr">
        <is>
          <t>INV-4768-3</t>
        </is>
      </c>
      <c r="B8" t="inlineStr">
        <is>
          <t>INV-4768</t>
        </is>
      </c>
      <c r="C8" s="11" t="n">
        <v>45887</v>
      </c>
      <c r="D8" t="inlineStr">
        <is>
          <t>Security deposit - fence panels (refundable)</t>
        </is>
      </c>
      <c r="E8" s="9" t="n">
        <v>990</v>
      </c>
      <c r="F8" t="inlineStr">
        <is>
          <t>GST on Income</t>
        </is>
      </c>
      <c r="G8" t="inlineStr">
        <is>
          <t>BAS Excluded</t>
        </is>
      </c>
      <c r="H8" s="9">
        <f>IF(G8="GST on Income",ROUND(E8*0.1,2),ROUND(-E8*0.1,2))</f>
        <v>-99</v>
      </c>
      <c r="I8" t="inlineStr">
        <is>
          <t>GST charged on a refundable deposit</t>
        </is>
      </c>
      <c r="J8" t="inlineStr">
        <is>
          <t>FY26 Q1</t>
        </is>
      </c>
      <c r="L8" t="inlineStr">
        <is>
          <t>FY26 Q4</t>
        </is>
      </c>
      <c r="M8">
        <f>COUNTIF($J$5:$J$87,L8)</f>
        <v>20</v>
      </c>
      <c r="N8" s="9">
        <f>SUMIFS($H$5:$H$87,$J$5:$J$87,L8)</f>
        <v>938.49</v>
      </c>
    </row>
    <row r="9">
      <c r="A9" t="inlineStr">
        <is>
          <t>INV-5516-1</t>
        </is>
      </c>
      <c r="B9" t="inlineStr">
        <is>
          <t>INV-5516</t>
        </is>
      </c>
      <c r="C9" s="11" t="n">
        <v>45887</v>
      </c>
      <c r="D9" t="inlineStr">
        <is>
          <t>Tarp kit hire 2 wks (10/08/25-17/08/25) - 2 kits</t>
        </is>
      </c>
      <c r="E9" s="9" t="n">
        <v>140</v>
      </c>
      <c r="F9" t="inlineStr">
        <is>
          <t>GST Free Income</t>
        </is>
      </c>
      <c r="G9" t="inlineStr">
        <is>
          <t>GST on Income</t>
        </is>
      </c>
      <c r="H9" s="9">
        <f>IF(G9="GST on Income",ROUND(E9*0.1,2),ROUND(-E9*0.1,2))</f>
        <v>14</v>
      </c>
      <c r="I9" t="inlineStr">
        <is>
          <t>GST not charged on a taxable sale</t>
        </is>
      </c>
      <c r="J9" t="inlineStr">
        <is>
          <t>FY26 Q1</t>
        </is>
      </c>
      <c r="L9" t="inlineStr">
        <is>
          <t>Total</t>
        </is>
      </c>
      <c r="M9">
        <f>SUM(M5:M8)</f>
        <v>83</v>
      </c>
      <c r="N9" s="9">
        <f>SUM(N5:N8)</f>
        <v>3317.29</v>
      </c>
    </row>
    <row r="10">
      <c r="A10" t="inlineStr">
        <is>
          <t>INV-5707-2</t>
        </is>
      </c>
      <c r="B10" t="inlineStr">
        <is>
          <t>INV-5707</t>
        </is>
      </c>
      <c r="C10" s="11" t="n">
        <v>45888</v>
      </c>
      <c r="D10" t="inlineStr">
        <is>
          <t>Tarp supply and install - 3 tarp(s)</t>
        </is>
      </c>
      <c r="E10" s="9" t="n">
        <v>720</v>
      </c>
      <c r="F10" t="inlineStr">
        <is>
          <t>GST Free Income</t>
        </is>
      </c>
      <c r="G10" t="inlineStr">
        <is>
          <t>GST on Income</t>
        </is>
      </c>
      <c r="H10" s="9">
        <f>IF(G10="GST on Income",ROUND(E10*0.1,2),ROUND(-E10*0.1,2))</f>
        <v>72</v>
      </c>
      <c r="I10" t="inlineStr">
        <is>
          <t>GST not charged on a taxable sale</t>
        </is>
      </c>
      <c r="J10" t="inlineStr">
        <is>
          <t>FY26 Q1</t>
        </is>
      </c>
    </row>
    <row r="11">
      <c r="A11" t="inlineStr">
        <is>
          <t>INV-4126-1</t>
        </is>
      </c>
      <c r="B11" t="inlineStr">
        <is>
          <t>INV-4126</t>
        </is>
      </c>
      <c r="C11" s="11" t="n">
        <v>45897</v>
      </c>
      <c r="D11" t="inlineStr">
        <is>
          <t>Delivery and installation - temporary fencing</t>
        </is>
      </c>
      <c r="E11" s="9" t="n">
        <v>165</v>
      </c>
      <c r="F11" t="inlineStr">
        <is>
          <t>GST Free Income</t>
        </is>
      </c>
      <c r="G11" t="inlineStr">
        <is>
          <t>GST on Income</t>
        </is>
      </c>
      <c r="H11" s="9">
        <f>IF(G11="GST on Income",ROUND(E11*0.1,2),ROUND(-E11*0.1,2))</f>
        <v>16.5</v>
      </c>
      <c r="I11" t="inlineStr">
        <is>
          <t>GST not charged on a taxable sale</t>
        </is>
      </c>
      <c r="J11" t="inlineStr">
        <is>
          <t>FY26 Q1</t>
        </is>
      </c>
    </row>
    <row r="12">
      <c r="A12" t="inlineStr">
        <is>
          <t>INV-4511-1</t>
        </is>
      </c>
      <c r="B12" t="inlineStr">
        <is>
          <t>INV-4511</t>
        </is>
      </c>
      <c r="C12" s="11" t="n">
        <v>45898</v>
      </c>
      <c r="D12" t="inlineStr">
        <is>
          <t>Temporary fence hire 4 wks (01/08/25-28/08/25) - 141 panels</t>
        </is>
      </c>
      <c r="E12" s="9" t="n">
        <v>2538</v>
      </c>
      <c r="F12" t="inlineStr">
        <is>
          <t>GST Free Income</t>
        </is>
      </c>
      <c r="G12" t="inlineStr">
        <is>
          <t>GST on Income</t>
        </is>
      </c>
      <c r="H12" s="9">
        <f>IF(G12="GST on Income",ROUND(E12*0.1,2),ROUND(-E12*0.1,2))</f>
        <v>253.8</v>
      </c>
      <c r="I12" t="inlineStr">
        <is>
          <t>GST not charged on a taxable sale</t>
        </is>
      </c>
      <c r="J12" t="inlineStr">
        <is>
          <t>FY26 Q1</t>
        </is>
      </c>
    </row>
    <row r="13">
      <c r="A13" t="inlineStr">
        <is>
          <t>INV-5804-4</t>
        </is>
      </c>
      <c r="B13" t="inlineStr">
        <is>
          <t>INV-5804</t>
        </is>
      </c>
      <c r="C13" s="11" t="n">
        <v>45899</v>
      </c>
      <c r="D13" t="inlineStr">
        <is>
          <t>Waste removal and tip fees</t>
        </is>
      </c>
      <c r="E13" s="9" t="n">
        <v>120</v>
      </c>
      <c r="F13" t="inlineStr">
        <is>
          <t>GST Free Income</t>
        </is>
      </c>
      <c r="G13" t="inlineStr">
        <is>
          <t>GST on Income</t>
        </is>
      </c>
      <c r="H13" s="9">
        <f>IF(G13="GST on Income",ROUND(E13*0.1,2),ROUND(-E13*0.1,2))</f>
        <v>12</v>
      </c>
      <c r="I13" t="inlineStr">
        <is>
          <t>GST not charged on a taxable sale</t>
        </is>
      </c>
      <c r="J13" t="inlineStr">
        <is>
          <t>FY26 Q1</t>
        </is>
      </c>
    </row>
    <row r="14">
      <c r="A14" t="inlineStr">
        <is>
          <t>INV-5877-1</t>
        </is>
      </c>
      <c r="B14" t="inlineStr">
        <is>
          <t>INV-5877</t>
        </is>
      </c>
      <c r="C14" s="11" t="n">
        <v>45900</v>
      </c>
      <c r="D14" t="inlineStr">
        <is>
          <t>Roof repair labour - 8 hrs</t>
        </is>
      </c>
      <c r="E14" s="9" t="n">
        <v>784</v>
      </c>
      <c r="F14" t="inlineStr">
        <is>
          <t>GST Free Income</t>
        </is>
      </c>
      <c r="G14" t="inlineStr">
        <is>
          <t>GST on Income</t>
        </is>
      </c>
      <c r="H14" s="9">
        <f>IF(G14="GST on Income",ROUND(E14*0.1,2),ROUND(-E14*0.1,2))</f>
        <v>78.4</v>
      </c>
      <c r="I14" t="inlineStr">
        <is>
          <t>GST not charged on a taxable sale</t>
        </is>
      </c>
      <c r="J14" t="inlineStr">
        <is>
          <t>FY26 Q1</t>
        </is>
      </c>
    </row>
    <row r="15">
      <c r="A15" t="inlineStr">
        <is>
          <t>INV-4965-3</t>
        </is>
      </c>
      <c r="B15" t="inlineStr">
        <is>
          <t>INV-4965</t>
        </is>
      </c>
      <c r="C15" s="11" t="n">
        <v>45907</v>
      </c>
      <c r="D15" t="inlineStr">
        <is>
          <t>Security deposit - fence panels (refundable)</t>
        </is>
      </c>
      <c r="E15" s="9" t="n">
        <v>620</v>
      </c>
      <c r="F15" t="inlineStr">
        <is>
          <t>GST on Income</t>
        </is>
      </c>
      <c r="G15" t="inlineStr">
        <is>
          <t>BAS Excluded</t>
        </is>
      </c>
      <c r="H15" s="9">
        <f>IF(G15="GST on Income",ROUND(E15*0.1,2),ROUND(-E15*0.1,2))</f>
        <v>-62</v>
      </c>
      <c r="I15" t="inlineStr">
        <is>
          <t>GST charged on a refundable deposit</t>
        </is>
      </c>
      <c r="J15" t="inlineStr">
        <is>
          <t>FY26 Q1</t>
        </is>
      </c>
    </row>
    <row r="16">
      <c r="A16" t="inlineStr">
        <is>
          <t>INV-4558-1</t>
        </is>
      </c>
      <c r="B16" t="inlineStr">
        <is>
          <t>INV-4558</t>
        </is>
      </c>
      <c r="C16" s="11" t="n">
        <v>45913</v>
      </c>
      <c r="D16" t="inlineStr">
        <is>
          <t>Collection and dismantle - temporary fencing</t>
        </is>
      </c>
      <c r="E16" s="9" t="n">
        <v>165</v>
      </c>
      <c r="F16" t="inlineStr">
        <is>
          <t>GST Free Income</t>
        </is>
      </c>
      <c r="G16" t="inlineStr">
        <is>
          <t>GST on Income</t>
        </is>
      </c>
      <c r="H16" s="9">
        <f>IF(G16="GST on Income",ROUND(E16*0.1,2),ROUND(-E16*0.1,2))</f>
        <v>16.5</v>
      </c>
      <c r="I16" t="inlineStr">
        <is>
          <t>GST not charged on a taxable sale</t>
        </is>
      </c>
      <c r="J16" t="inlineStr">
        <is>
          <t>FY26 Q1</t>
        </is>
      </c>
    </row>
    <row r="17">
      <c r="A17" t="inlineStr">
        <is>
          <t>INV-4864-3</t>
        </is>
      </c>
      <c r="B17" t="inlineStr">
        <is>
          <t>INV-4864</t>
        </is>
      </c>
      <c r="C17" s="11" t="n">
        <v>45920</v>
      </c>
      <c r="D17" t="inlineStr">
        <is>
          <t>Security deposit - fence panels (refundable)</t>
        </is>
      </c>
      <c r="E17" s="9" t="n">
        <v>1050</v>
      </c>
      <c r="F17" t="inlineStr">
        <is>
          <t>GST on Income</t>
        </is>
      </c>
      <c r="G17" t="inlineStr">
        <is>
          <t>BAS Excluded</t>
        </is>
      </c>
      <c r="H17" s="9">
        <f>IF(G17="GST on Income",ROUND(E17*0.1,2),ROUND(-E17*0.1,2))</f>
        <v>-105</v>
      </c>
      <c r="I17" t="inlineStr">
        <is>
          <t>GST charged on a refundable deposit</t>
        </is>
      </c>
      <c r="J17" t="inlineStr">
        <is>
          <t>FY26 Q1</t>
        </is>
      </c>
    </row>
    <row r="18">
      <c r="A18" t="inlineStr">
        <is>
          <t>INV-5124-1</t>
        </is>
      </c>
      <c r="B18" t="inlineStr">
        <is>
          <t>INV-5124</t>
        </is>
      </c>
      <c r="C18" s="11" t="n">
        <v>45927</v>
      </c>
      <c r="D18" t="inlineStr">
        <is>
          <t>Delivery and installation - temporary fencing</t>
        </is>
      </c>
      <c r="E18" s="9" t="n">
        <v>165</v>
      </c>
      <c r="F18" t="inlineStr">
        <is>
          <t>GST Free Income</t>
        </is>
      </c>
      <c r="G18" t="inlineStr">
        <is>
          <t>GST on Income</t>
        </is>
      </c>
      <c r="H18" s="9">
        <f>IF(G18="GST on Income",ROUND(E18*0.1,2),ROUND(-E18*0.1,2))</f>
        <v>16.5</v>
      </c>
      <c r="I18" t="inlineStr">
        <is>
          <t>GST not charged on a taxable sale</t>
        </is>
      </c>
      <c r="J18" t="inlineStr">
        <is>
          <t>FY26 Q1</t>
        </is>
      </c>
    </row>
    <row r="19">
      <c r="A19" t="inlineStr">
        <is>
          <t>INV-5093-1</t>
        </is>
      </c>
      <c r="B19" t="inlineStr">
        <is>
          <t>INV-5093</t>
        </is>
      </c>
      <c r="C19" s="11" t="n">
        <v>45936</v>
      </c>
      <c r="D19" t="inlineStr">
        <is>
          <t>Temporary fence hire 4 wks (08/09/25-05/10/25) - 147 panels</t>
        </is>
      </c>
      <c r="E19" s="9" t="n">
        <v>2646</v>
      </c>
      <c r="F19" t="inlineStr">
        <is>
          <t>GST Free Income</t>
        </is>
      </c>
      <c r="G19" t="inlineStr">
        <is>
          <t>GST on Income</t>
        </is>
      </c>
      <c r="H19" s="9">
        <f>IF(G19="GST on Income",ROUND(E19*0.1,2),ROUND(-E19*0.1,2))</f>
        <v>264.6</v>
      </c>
      <c r="I19" t="inlineStr">
        <is>
          <t>GST not charged on a taxable sale</t>
        </is>
      </c>
      <c r="J19" t="inlineStr">
        <is>
          <t>FY26 Q2</t>
        </is>
      </c>
    </row>
    <row r="20">
      <c r="A20" t="inlineStr">
        <is>
          <t>INV-4874-1</t>
        </is>
      </c>
      <c r="B20" t="inlineStr">
        <is>
          <t>INV-4874</t>
        </is>
      </c>
      <c r="C20" s="11" t="n">
        <v>45942</v>
      </c>
      <c r="D20" t="inlineStr">
        <is>
          <t>Temporary fence hire 2 wks (28/09/25-11/10/25) - 130 panels</t>
        </is>
      </c>
      <c r="E20" s="9" t="n">
        <v>1170</v>
      </c>
      <c r="F20" t="inlineStr">
        <is>
          <t>GST Free Income</t>
        </is>
      </c>
      <c r="G20" t="inlineStr">
        <is>
          <t>GST on Income</t>
        </is>
      </c>
      <c r="H20" s="9">
        <f>IF(G20="GST on Income",ROUND(E20*0.1,2),ROUND(-E20*0.1,2))</f>
        <v>117</v>
      </c>
      <c r="I20" t="inlineStr">
        <is>
          <t>GST not charged on a taxable sale</t>
        </is>
      </c>
      <c r="J20" t="inlineStr">
        <is>
          <t>FY26 Q2</t>
        </is>
      </c>
    </row>
    <row r="21">
      <c r="A21" t="inlineStr">
        <is>
          <t>INV-4315-3</t>
        </is>
      </c>
      <c r="B21" t="inlineStr">
        <is>
          <t>INV-4315</t>
        </is>
      </c>
      <c r="C21" s="11" t="n">
        <v>45949</v>
      </c>
      <c r="D21" t="inlineStr">
        <is>
          <t>Security deposit - fence panels (refundable)</t>
        </is>
      </c>
      <c r="E21" s="9" t="n">
        <v>1100</v>
      </c>
      <c r="F21" t="inlineStr">
        <is>
          <t>GST on Income</t>
        </is>
      </c>
      <c r="G21" t="inlineStr">
        <is>
          <t>BAS Excluded</t>
        </is>
      </c>
      <c r="H21" s="9">
        <f>IF(G21="GST on Income",ROUND(E21*0.1,2),ROUND(-E21*0.1,2))</f>
        <v>-110</v>
      </c>
      <c r="I21" t="inlineStr">
        <is>
          <t>GST charged on a refundable deposit</t>
        </is>
      </c>
      <c r="J21" t="inlineStr">
        <is>
          <t>FY26 Q2</t>
        </is>
      </c>
    </row>
    <row r="22">
      <c r="A22" t="inlineStr">
        <is>
          <t>INV-4713-2</t>
        </is>
      </c>
      <c r="B22" t="inlineStr">
        <is>
          <t>INV-4713</t>
        </is>
      </c>
      <c r="C22" s="11" t="n">
        <v>45950</v>
      </c>
      <c r="D22" t="inlineStr">
        <is>
          <t>Installation labour - 129 panels @ 2.20</t>
        </is>
      </c>
      <c r="E22" s="9" t="n">
        <v>283.8</v>
      </c>
      <c r="F22" t="inlineStr">
        <is>
          <t>GST Free Income</t>
        </is>
      </c>
      <c r="G22" t="inlineStr">
        <is>
          <t>GST on Income</t>
        </is>
      </c>
      <c r="H22" s="9">
        <f>IF(G22="GST on Income",ROUND(E22*0.1,2),ROUND(-E22*0.1,2))</f>
        <v>28.38</v>
      </c>
      <c r="I22" t="inlineStr">
        <is>
          <t>GST not charged on a taxable sale</t>
        </is>
      </c>
      <c r="J22" t="inlineStr">
        <is>
          <t>FY26 Q2</t>
        </is>
      </c>
    </row>
    <row r="23">
      <c r="A23" t="inlineStr">
        <is>
          <t>INV-5091-3</t>
        </is>
      </c>
      <c r="B23" t="inlineStr">
        <is>
          <t>INV-5091</t>
        </is>
      </c>
      <c r="C23" s="11" t="n">
        <v>45969</v>
      </c>
      <c r="D23" t="inlineStr">
        <is>
          <t>Security deposit - fence panels (refundable)</t>
        </is>
      </c>
      <c r="E23" s="9" t="n">
        <v>740</v>
      </c>
      <c r="F23" t="inlineStr">
        <is>
          <t>GST on Income</t>
        </is>
      </c>
      <c r="G23" t="inlineStr">
        <is>
          <t>BAS Excluded</t>
        </is>
      </c>
      <c r="H23" s="9">
        <f>IF(G23="GST on Income",ROUND(E23*0.1,2),ROUND(-E23*0.1,2))</f>
        <v>-74</v>
      </c>
      <c r="I23" t="inlineStr">
        <is>
          <t>GST charged on a refundable deposit</t>
        </is>
      </c>
      <c r="J23" t="inlineStr">
        <is>
          <t>FY26 Q2</t>
        </is>
      </c>
    </row>
    <row r="24">
      <c r="A24" t="inlineStr">
        <is>
          <t>INV-5508-2</t>
        </is>
      </c>
      <c r="B24" t="inlineStr">
        <is>
          <t>INV-5508</t>
        </is>
      </c>
      <c r="C24" s="11" t="n">
        <v>45971</v>
      </c>
      <c r="D24" t="inlineStr">
        <is>
          <t>Tarp supply and install - 1 tarp(s)</t>
        </is>
      </c>
      <c r="E24" s="9" t="n">
        <v>240</v>
      </c>
      <c r="F24" t="inlineStr">
        <is>
          <t>GST Free Income</t>
        </is>
      </c>
      <c r="G24" t="inlineStr">
        <is>
          <t>GST on Income</t>
        </is>
      </c>
      <c r="H24" s="9">
        <f>IF(G24="GST on Income",ROUND(E24*0.1,2),ROUND(-E24*0.1,2))</f>
        <v>24</v>
      </c>
      <c r="I24" t="inlineStr">
        <is>
          <t>GST not charged on a taxable sale</t>
        </is>
      </c>
      <c r="J24" t="inlineStr">
        <is>
          <t>FY26 Q2</t>
        </is>
      </c>
    </row>
    <row r="25">
      <c r="A25" t="inlineStr">
        <is>
          <t>CN-5947-1</t>
        </is>
      </c>
      <c r="B25" t="inlineStr">
        <is>
          <t>CN-5947</t>
        </is>
      </c>
      <c r="C25" s="11" t="n">
        <v>45972</v>
      </c>
      <c r="D25" t="inlineStr">
        <is>
          <t>Refund of security deposit - fence panels</t>
        </is>
      </c>
      <c r="E25" s="9" t="n">
        <v>-480</v>
      </c>
      <c r="F25" t="inlineStr">
        <is>
          <t>GST on Income</t>
        </is>
      </c>
      <c r="G25" t="inlineStr">
        <is>
          <t>BAS Excluded</t>
        </is>
      </c>
      <c r="H25" s="9">
        <f>IF(G25="GST on Income",ROUND(E25*0.1,2),ROUND(-E25*0.1,2))</f>
        <v>48</v>
      </c>
      <c r="I25" t="inlineStr">
        <is>
          <t>GST charged on a refundable deposit</t>
        </is>
      </c>
      <c r="J25" t="inlineStr">
        <is>
          <t>FY26 Q2</t>
        </is>
      </c>
    </row>
    <row r="26">
      <c r="A26" t="inlineStr">
        <is>
          <t>INV-4627-1</t>
        </is>
      </c>
      <c r="B26" t="inlineStr">
        <is>
          <t>INV-4627</t>
        </is>
      </c>
      <c r="C26" s="11" t="n">
        <v>45973</v>
      </c>
      <c r="D26" t="inlineStr">
        <is>
          <t>Temporary fence hire 4 wks (21/10/25-11/11/25) - 106 panels</t>
        </is>
      </c>
      <c r="E26" s="9" t="n">
        <v>1908</v>
      </c>
      <c r="F26" t="inlineStr">
        <is>
          <t>GST Free Income</t>
        </is>
      </c>
      <c r="G26" t="inlineStr">
        <is>
          <t>GST on Income</t>
        </is>
      </c>
      <c r="H26" s="9">
        <f>IF(G26="GST on Income",ROUND(E26*0.1,2),ROUND(-E26*0.1,2))</f>
        <v>190.8</v>
      </c>
      <c r="I26" t="inlineStr">
        <is>
          <t>GST not charged on a taxable sale</t>
        </is>
      </c>
      <c r="J26" t="inlineStr">
        <is>
          <t>FY26 Q2</t>
        </is>
      </c>
    </row>
    <row r="27">
      <c r="A27" t="inlineStr">
        <is>
          <t>INV-4849-1</t>
        </is>
      </c>
      <c r="B27" t="inlineStr">
        <is>
          <t>INV-4849</t>
        </is>
      </c>
      <c r="C27" s="11" t="n">
        <v>45973</v>
      </c>
      <c r="D27" t="inlineStr">
        <is>
          <t>Delivery and installation - temporary fencing</t>
        </is>
      </c>
      <c r="E27" s="9" t="n">
        <v>165</v>
      </c>
      <c r="F27" t="inlineStr">
        <is>
          <t>BAS Excluded</t>
        </is>
      </c>
      <c r="G27" t="inlineStr">
        <is>
          <t>GST on Income</t>
        </is>
      </c>
      <c r="H27" s="9">
        <f>IF(G27="GST on Income",ROUND(E27*0.1,2),ROUND(-E27*0.1,2))</f>
        <v>16.5</v>
      </c>
      <c r="I27" t="inlineStr">
        <is>
          <t>GST not charged on a taxable sale</t>
        </is>
      </c>
      <c r="J27" t="inlineStr">
        <is>
          <t>FY26 Q2</t>
        </is>
      </c>
    </row>
    <row r="28">
      <c r="A28" t="inlineStr">
        <is>
          <t>INV-4816-3</t>
        </is>
      </c>
      <c r="B28" t="inlineStr">
        <is>
          <t>INV-4816</t>
        </is>
      </c>
      <c r="C28" s="11" t="n">
        <v>45975</v>
      </c>
      <c r="D28" t="inlineStr">
        <is>
          <t>Security deposit - fence panels (refundable)</t>
        </is>
      </c>
      <c r="E28" s="9" t="n">
        <v>320</v>
      </c>
      <c r="F28" t="inlineStr">
        <is>
          <t>GST on Income</t>
        </is>
      </c>
      <c r="G28" t="inlineStr">
        <is>
          <t>BAS Excluded</t>
        </is>
      </c>
      <c r="H28" s="9">
        <f>IF(G28="GST on Income",ROUND(E28*0.1,2),ROUND(-E28*0.1,2))</f>
        <v>-32</v>
      </c>
      <c r="I28" t="inlineStr">
        <is>
          <t>GST charged on a refundable deposit</t>
        </is>
      </c>
      <c r="J28" t="inlineStr">
        <is>
          <t>FY26 Q2</t>
        </is>
      </c>
    </row>
    <row r="29">
      <c r="A29" t="inlineStr">
        <is>
          <t>INV-5134-2</t>
        </is>
      </c>
      <c r="B29" t="inlineStr">
        <is>
          <t>INV-5134</t>
        </is>
      </c>
      <c r="C29" s="11" t="n">
        <v>45979</v>
      </c>
      <c r="D29" t="inlineStr">
        <is>
          <t>Installation labour - 114 panels @ 2.20</t>
        </is>
      </c>
      <c r="E29" s="9" t="n">
        <v>250.8</v>
      </c>
      <c r="F29" t="inlineStr">
        <is>
          <t>GST Free Income</t>
        </is>
      </c>
      <c r="G29" t="inlineStr">
        <is>
          <t>GST on Income</t>
        </is>
      </c>
      <c r="H29" s="9">
        <f>IF(G29="GST on Income",ROUND(E29*0.1,2),ROUND(-E29*0.1,2))</f>
        <v>25.08</v>
      </c>
      <c r="I29" t="inlineStr">
        <is>
          <t>GST not charged on a taxable sale</t>
        </is>
      </c>
      <c r="J29" t="inlineStr">
        <is>
          <t>FY26 Q2</t>
        </is>
      </c>
    </row>
    <row r="30">
      <c r="A30" t="inlineStr">
        <is>
          <t>INV-5134-3</t>
        </is>
      </c>
      <c r="B30" t="inlineStr">
        <is>
          <t>INV-5134</t>
        </is>
      </c>
      <c r="C30" s="11" t="n">
        <v>45979</v>
      </c>
      <c r="D30" t="inlineStr">
        <is>
          <t>Security deposit - fence panels (refundable)</t>
        </is>
      </c>
      <c r="E30" s="9" t="n">
        <v>910</v>
      </c>
      <c r="F30" t="inlineStr">
        <is>
          <t>GST on Income</t>
        </is>
      </c>
      <c r="G30" t="inlineStr">
        <is>
          <t>BAS Excluded</t>
        </is>
      </c>
      <c r="H30" s="9">
        <f>IF(G30="GST on Income",ROUND(E30*0.1,2),ROUND(-E30*0.1,2))</f>
        <v>-91</v>
      </c>
      <c r="I30" t="inlineStr">
        <is>
          <t>GST charged on a refundable deposit</t>
        </is>
      </c>
      <c r="J30" t="inlineStr">
        <is>
          <t>FY26 Q2</t>
        </is>
      </c>
    </row>
    <row r="31">
      <c r="A31" t="inlineStr">
        <is>
          <t>CN-5946-1</t>
        </is>
      </c>
      <c r="B31" t="inlineStr">
        <is>
          <t>CN-5946</t>
        </is>
      </c>
      <c r="C31" s="11" t="n">
        <v>45983</v>
      </c>
      <c r="D31" t="inlineStr">
        <is>
          <t>Refund of security deposit - fence panels</t>
        </is>
      </c>
      <c r="E31" s="9" t="n">
        <v>-650</v>
      </c>
      <c r="F31" t="inlineStr">
        <is>
          <t>GST on Income</t>
        </is>
      </c>
      <c r="G31" t="inlineStr">
        <is>
          <t>BAS Excluded</t>
        </is>
      </c>
      <c r="H31" s="9">
        <f>IF(G31="GST on Income",ROUND(E31*0.1,2),ROUND(-E31*0.1,2))</f>
        <v>65</v>
      </c>
      <c r="I31" t="inlineStr">
        <is>
          <t>GST charged on a refundable deposit</t>
        </is>
      </c>
      <c r="J31" t="inlineStr">
        <is>
          <t>FY26 Q2</t>
        </is>
      </c>
    </row>
    <row r="32">
      <c r="A32" t="inlineStr">
        <is>
          <t>INV-5512-1</t>
        </is>
      </c>
      <c r="B32" t="inlineStr">
        <is>
          <t>INV-5512</t>
        </is>
      </c>
      <c r="C32" s="11" t="n">
        <v>45984</v>
      </c>
      <c r="D32" t="inlineStr">
        <is>
          <t>Emergency make safe call-out - after hours</t>
        </is>
      </c>
      <c r="E32" s="9" t="n">
        <v>560</v>
      </c>
      <c r="F32" t="inlineStr">
        <is>
          <t>BAS Excluded</t>
        </is>
      </c>
      <c r="G32" t="inlineStr">
        <is>
          <t>GST on Income</t>
        </is>
      </c>
      <c r="H32" s="9">
        <f>IF(G32="GST on Income",ROUND(E32*0.1,2),ROUND(-E32*0.1,2))</f>
        <v>56</v>
      </c>
      <c r="I32" t="inlineStr">
        <is>
          <t>GST not charged on a taxable sale</t>
        </is>
      </c>
      <c r="J32" t="inlineStr">
        <is>
          <t>FY26 Q2</t>
        </is>
      </c>
    </row>
    <row r="33">
      <c r="A33" t="inlineStr">
        <is>
          <t>INV-4952-1</t>
        </is>
      </c>
      <c r="B33" t="inlineStr">
        <is>
          <t>INV-4952</t>
        </is>
      </c>
      <c r="C33" s="11" t="n">
        <v>45985</v>
      </c>
      <c r="D33" t="inlineStr">
        <is>
          <t>Temporary fence hire 4 wks (27/10/25-23/11/25) - 122 panels</t>
        </is>
      </c>
      <c r="E33" s="9" t="n">
        <v>2196</v>
      </c>
      <c r="F33" t="inlineStr">
        <is>
          <t>GST Free Income</t>
        </is>
      </c>
      <c r="G33" t="inlineStr">
        <is>
          <t>GST on Income</t>
        </is>
      </c>
      <c r="H33" s="9">
        <f>IF(G33="GST on Income",ROUND(E33*0.1,2),ROUND(-E33*0.1,2))</f>
        <v>219.6</v>
      </c>
      <c r="I33" t="inlineStr">
        <is>
          <t>GST not charged on a taxable sale</t>
        </is>
      </c>
      <c r="J33" t="inlineStr">
        <is>
          <t>FY26 Q2</t>
        </is>
      </c>
    </row>
    <row r="34">
      <c r="A34" t="inlineStr">
        <is>
          <t>INV-4953-1</t>
        </is>
      </c>
      <c r="B34" t="inlineStr">
        <is>
          <t>INV-4953</t>
        </is>
      </c>
      <c r="C34" s="11" t="n">
        <v>45989</v>
      </c>
      <c r="D34" t="inlineStr">
        <is>
          <t>Temporary fence hire 1 wks (24/11/25-27/11/25) - 122 panels</t>
        </is>
      </c>
      <c r="E34" s="9" t="n">
        <v>549</v>
      </c>
      <c r="F34" t="inlineStr">
        <is>
          <t>BAS Excluded</t>
        </is>
      </c>
      <c r="G34" t="inlineStr">
        <is>
          <t>GST on Income</t>
        </is>
      </c>
      <c r="H34" s="9">
        <f>IF(G34="GST on Income",ROUND(E34*0.1,2),ROUND(-E34*0.1,2))</f>
        <v>54.9</v>
      </c>
      <c r="I34" t="inlineStr">
        <is>
          <t>GST not charged on a taxable sale</t>
        </is>
      </c>
      <c r="J34" t="inlineStr">
        <is>
          <t>FY26 Q2</t>
        </is>
      </c>
    </row>
    <row r="35">
      <c r="A35" t="inlineStr">
        <is>
          <t>CN-5942-1</t>
        </is>
      </c>
      <c r="B35" t="inlineStr">
        <is>
          <t>CN-5942</t>
        </is>
      </c>
      <c r="C35" s="11" t="n">
        <v>45991</v>
      </c>
      <c r="D35" t="inlineStr">
        <is>
          <t>Refund of security deposit - fence panels</t>
        </is>
      </c>
      <c r="E35" s="9" t="n">
        <v>-790</v>
      </c>
      <c r="F35" t="inlineStr">
        <is>
          <t>GST on Income</t>
        </is>
      </c>
      <c r="G35" t="inlineStr">
        <is>
          <t>BAS Excluded</t>
        </is>
      </c>
      <c r="H35" s="9">
        <f>IF(G35="GST on Income",ROUND(E35*0.1,2),ROUND(-E35*0.1,2))</f>
        <v>79</v>
      </c>
      <c r="I35" t="inlineStr">
        <is>
          <t>GST charged on a refundable deposit</t>
        </is>
      </c>
      <c r="J35" t="inlineStr">
        <is>
          <t>FY26 Q2</t>
        </is>
      </c>
    </row>
    <row r="36">
      <c r="A36" t="inlineStr">
        <is>
          <t>INV-4642-3</t>
        </is>
      </c>
      <c r="B36" t="inlineStr">
        <is>
          <t>INV-4642</t>
        </is>
      </c>
      <c r="C36" s="11" t="n">
        <v>46000</v>
      </c>
      <c r="D36" t="inlineStr">
        <is>
          <t>Security deposit - fence panels (refundable)</t>
        </is>
      </c>
      <c r="E36" s="9" t="n">
        <v>940</v>
      </c>
      <c r="F36" t="inlineStr">
        <is>
          <t>GST on Income</t>
        </is>
      </c>
      <c r="G36" t="inlineStr">
        <is>
          <t>BAS Excluded</t>
        </is>
      </c>
      <c r="H36" s="9">
        <f>IF(G36="GST on Income",ROUND(E36*0.1,2),ROUND(-E36*0.1,2))</f>
        <v>-94</v>
      </c>
      <c r="I36" t="inlineStr">
        <is>
          <t>GST charged on a refundable deposit</t>
        </is>
      </c>
      <c r="J36" t="inlineStr">
        <is>
          <t>FY26 Q2</t>
        </is>
      </c>
    </row>
    <row r="37">
      <c r="A37" t="inlineStr">
        <is>
          <t>INV-5188-1</t>
        </is>
      </c>
      <c r="B37" t="inlineStr">
        <is>
          <t>INV-5188</t>
        </is>
      </c>
      <c r="C37" s="11" t="n">
        <v>46004</v>
      </c>
      <c r="D37" t="inlineStr">
        <is>
          <t>Collection and dismantle - temporary fencing</t>
        </is>
      </c>
      <c r="E37" s="9" t="n">
        <v>165</v>
      </c>
      <c r="F37" t="inlineStr">
        <is>
          <t>GST Free Income</t>
        </is>
      </c>
      <c r="G37" t="inlineStr">
        <is>
          <t>GST on Income</t>
        </is>
      </c>
      <c r="H37" s="9">
        <f>IF(G37="GST on Income",ROUND(E37*0.1,2),ROUND(-E37*0.1,2))</f>
        <v>16.5</v>
      </c>
      <c r="I37" t="inlineStr">
        <is>
          <t>GST not charged on a taxable sale</t>
        </is>
      </c>
      <c r="J37" t="inlineStr">
        <is>
          <t>FY26 Q2</t>
        </is>
      </c>
    </row>
    <row r="38">
      <c r="A38" t="inlineStr">
        <is>
          <t>INV-5434-1</t>
        </is>
      </c>
      <c r="B38" t="inlineStr">
        <is>
          <t>INV-5434</t>
        </is>
      </c>
      <c r="C38" s="11" t="n">
        <v>46004</v>
      </c>
      <c r="D38" t="inlineStr">
        <is>
          <t>Scaffold tower hire 1 wks (12/12/25-12/12/25) - 6 towers</t>
        </is>
      </c>
      <c r="E38" s="9" t="n">
        <v>570</v>
      </c>
      <c r="F38" t="inlineStr">
        <is>
          <t>BAS Excluded</t>
        </is>
      </c>
      <c r="G38" t="inlineStr">
        <is>
          <t>GST on Income</t>
        </is>
      </c>
      <c r="H38" s="9">
        <f>IF(G38="GST on Income",ROUND(E38*0.1,2),ROUND(-E38*0.1,2))</f>
        <v>57</v>
      </c>
      <c r="I38" t="inlineStr">
        <is>
          <t>GST not charged on a taxable sale</t>
        </is>
      </c>
      <c r="J38" t="inlineStr">
        <is>
          <t>FY26 Q2</t>
        </is>
      </c>
    </row>
    <row r="39">
      <c r="A39" t="inlineStr">
        <is>
          <t>INV-5017-3</t>
        </is>
      </c>
      <c r="B39" t="inlineStr">
        <is>
          <t>INV-5017</t>
        </is>
      </c>
      <c r="C39" s="11" t="n">
        <v>46007</v>
      </c>
      <c r="D39" t="inlineStr">
        <is>
          <t>Security deposit - fence panels (refundable)</t>
        </is>
      </c>
      <c r="E39" s="9" t="n">
        <v>590</v>
      </c>
      <c r="F39" t="inlineStr">
        <is>
          <t>GST on Income</t>
        </is>
      </c>
      <c r="G39" t="inlineStr">
        <is>
          <t>BAS Excluded</t>
        </is>
      </c>
      <c r="H39" s="9">
        <f>IF(G39="GST on Income",ROUND(E39*0.1,2),ROUND(-E39*0.1,2))</f>
        <v>-59</v>
      </c>
      <c r="I39" t="inlineStr">
        <is>
          <t>GST charged on a refundable deposit</t>
        </is>
      </c>
      <c r="J39" t="inlineStr">
        <is>
          <t>FY26 Q2</t>
        </is>
      </c>
    </row>
    <row r="40">
      <c r="A40" t="inlineStr">
        <is>
          <t>INV-5468-3</t>
        </is>
      </c>
      <c r="B40" t="inlineStr">
        <is>
          <t>INV-5468</t>
        </is>
      </c>
      <c r="C40" s="11" t="n">
        <v>46013</v>
      </c>
      <c r="D40" t="inlineStr">
        <is>
          <t>Materials - Colorbond sheet</t>
        </is>
      </c>
      <c r="E40" s="9" t="n">
        <v>1199.11</v>
      </c>
      <c r="F40" t="inlineStr">
        <is>
          <t>GST Free Income</t>
        </is>
      </c>
      <c r="G40" t="inlineStr">
        <is>
          <t>GST on Income</t>
        </is>
      </c>
      <c r="H40" s="9">
        <f>IF(G40="GST on Income",ROUND(E40*0.1,2),ROUND(-E40*0.1,2))</f>
        <v>119.91</v>
      </c>
      <c r="I40" t="inlineStr">
        <is>
          <t>GST not charged on a taxable sale</t>
        </is>
      </c>
      <c r="J40" t="inlineStr">
        <is>
          <t>FY26 Q2</t>
        </is>
      </c>
    </row>
    <row r="41">
      <c r="A41" t="inlineStr">
        <is>
          <t>CN-5950-1</t>
        </is>
      </c>
      <c r="B41" t="inlineStr">
        <is>
          <t>CN-5950</t>
        </is>
      </c>
      <c r="C41" s="11" t="n">
        <v>46015</v>
      </c>
      <c r="D41" t="inlineStr">
        <is>
          <t>Refund of security deposit - fence panels</t>
        </is>
      </c>
      <c r="E41" s="9" t="n">
        <v>-720</v>
      </c>
      <c r="F41" t="inlineStr">
        <is>
          <t>GST on Income</t>
        </is>
      </c>
      <c r="G41" t="inlineStr">
        <is>
          <t>BAS Excluded</t>
        </is>
      </c>
      <c r="H41" s="9">
        <f>IF(G41="GST on Income",ROUND(E41*0.1,2),ROUND(-E41*0.1,2))</f>
        <v>72</v>
      </c>
      <c r="I41" t="inlineStr">
        <is>
          <t>GST charged on a refundable deposit</t>
        </is>
      </c>
      <c r="J41" t="inlineStr">
        <is>
          <t>FY26 Q2</t>
        </is>
      </c>
    </row>
    <row r="42">
      <c r="A42" t="inlineStr">
        <is>
          <t>INV-4261-1</t>
        </is>
      </c>
      <c r="B42" t="inlineStr">
        <is>
          <t>INV-4261</t>
        </is>
      </c>
      <c r="C42" s="11" t="n">
        <v>46015</v>
      </c>
      <c r="D42" t="inlineStr">
        <is>
          <t>Pedestrian barrier hire 4 wks (26/11/25-23/12/25) - 16 barriers</t>
        </is>
      </c>
      <c r="E42" s="9" t="n">
        <v>204.8</v>
      </c>
      <c r="F42" t="inlineStr">
        <is>
          <t>BAS Excluded</t>
        </is>
      </c>
      <c r="G42" t="inlineStr">
        <is>
          <t>GST on Income</t>
        </is>
      </c>
      <c r="H42" s="9">
        <f>IF(G42="GST on Income",ROUND(E42*0.1,2),ROUND(-E42*0.1,2))</f>
        <v>20.48</v>
      </c>
      <c r="I42" t="inlineStr">
        <is>
          <t>GST not charged on a taxable sale</t>
        </is>
      </c>
      <c r="J42" t="inlineStr">
        <is>
          <t>FY26 Q2</t>
        </is>
      </c>
    </row>
    <row r="43">
      <c r="A43" t="inlineStr">
        <is>
          <t>INV-4236-1</t>
        </is>
      </c>
      <c r="B43" t="inlineStr">
        <is>
          <t>INV-4236</t>
        </is>
      </c>
      <c r="C43" s="11" t="n">
        <v>46017</v>
      </c>
      <c r="D43" t="inlineStr">
        <is>
          <t>Temporary fence hire 2 wks (14/12/25-25/12/25) - 76 panels</t>
        </is>
      </c>
      <c r="E43" s="9" t="n">
        <v>684</v>
      </c>
      <c r="F43" t="inlineStr">
        <is>
          <t>GST Free Income</t>
        </is>
      </c>
      <c r="G43" t="inlineStr">
        <is>
          <t>GST on Income</t>
        </is>
      </c>
      <c r="H43" s="9">
        <f>IF(G43="GST on Income",ROUND(E43*0.1,2),ROUND(-E43*0.1,2))</f>
        <v>68.4</v>
      </c>
      <c r="I43" t="inlineStr">
        <is>
          <t>GST not charged on a taxable sale</t>
        </is>
      </c>
      <c r="J43" t="inlineStr">
        <is>
          <t>FY26 Q2</t>
        </is>
      </c>
    </row>
    <row r="44">
      <c r="A44" t="inlineStr">
        <is>
          <t>INV-5107-1</t>
        </is>
      </c>
      <c r="B44" t="inlineStr">
        <is>
          <t>INV-5107</t>
        </is>
      </c>
      <c r="C44" s="11" t="n">
        <v>46019</v>
      </c>
      <c r="D44" t="inlineStr">
        <is>
          <t>Pedestrian barrier hire 4 wks (30/11/25-27/12/25) - 18 barriers</t>
        </is>
      </c>
      <c r="E44" s="9" t="n">
        <v>230.4</v>
      </c>
      <c r="F44" t="inlineStr">
        <is>
          <t>GST Free Income</t>
        </is>
      </c>
      <c r="G44" t="inlineStr">
        <is>
          <t>GST on Income</t>
        </is>
      </c>
      <c r="H44" s="9">
        <f>IF(G44="GST on Income",ROUND(E44*0.1,2),ROUND(-E44*0.1,2))</f>
        <v>23.04</v>
      </c>
      <c r="I44" t="inlineStr">
        <is>
          <t>GST not charged on a taxable sale</t>
        </is>
      </c>
      <c r="J44" t="inlineStr">
        <is>
          <t>FY26 Q2</t>
        </is>
      </c>
    </row>
    <row r="45">
      <c r="A45" t="inlineStr">
        <is>
          <t>INV-5793-2</t>
        </is>
      </c>
      <c r="B45" t="inlineStr">
        <is>
          <t>INV-5793</t>
        </is>
      </c>
      <c r="C45" s="11" t="n">
        <v>46020</v>
      </c>
      <c r="D45" t="inlineStr">
        <is>
          <t>Tarp supply and install - 1 tarp(s)</t>
        </is>
      </c>
      <c r="E45" s="9" t="n">
        <v>240</v>
      </c>
      <c r="F45" t="inlineStr">
        <is>
          <t>BAS Excluded</t>
        </is>
      </c>
      <c r="G45" t="inlineStr">
        <is>
          <t>GST on Income</t>
        </is>
      </c>
      <c r="H45" s="9">
        <f>IF(G45="GST on Income",ROUND(E45*0.1,2),ROUND(-E45*0.1,2))</f>
        <v>24</v>
      </c>
      <c r="I45" t="inlineStr">
        <is>
          <t>GST not charged on a taxable sale</t>
        </is>
      </c>
      <c r="J45" t="inlineStr">
        <is>
          <t>FY26 Q2</t>
        </is>
      </c>
    </row>
    <row r="46">
      <c r="A46" t="inlineStr">
        <is>
          <t>INV-5637-2</t>
        </is>
      </c>
      <c r="B46" t="inlineStr">
        <is>
          <t>INV-5637</t>
        </is>
      </c>
      <c r="C46" s="11" t="n">
        <v>46021</v>
      </c>
      <c r="D46" t="inlineStr">
        <is>
          <t>Tarp supply and install - 3 tarp(s)</t>
        </is>
      </c>
      <c r="E46" s="9" t="n">
        <v>720</v>
      </c>
      <c r="F46" t="inlineStr">
        <is>
          <t>GST Free Income</t>
        </is>
      </c>
      <c r="G46" t="inlineStr">
        <is>
          <t>GST on Income</t>
        </is>
      </c>
      <c r="H46" s="9">
        <f>IF(G46="GST on Income",ROUND(E46*0.1,2),ROUND(-E46*0.1,2))</f>
        <v>72</v>
      </c>
      <c r="I46" t="inlineStr">
        <is>
          <t>GST not charged on a taxable sale</t>
        </is>
      </c>
      <c r="J46" t="inlineStr">
        <is>
          <t>FY26 Q2</t>
        </is>
      </c>
    </row>
    <row r="47">
      <c r="A47" t="inlineStr">
        <is>
          <t>INV-5753-3</t>
        </is>
      </c>
      <c r="B47" t="inlineStr">
        <is>
          <t>INV-5753</t>
        </is>
      </c>
      <c r="C47" s="11" t="n">
        <v>46032</v>
      </c>
      <c r="D47" t="inlineStr">
        <is>
          <t>Materials - gutter and downpipe</t>
        </is>
      </c>
      <c r="E47" s="9" t="n">
        <v>620.7</v>
      </c>
      <c r="F47" t="inlineStr">
        <is>
          <t>BAS Excluded</t>
        </is>
      </c>
      <c r="G47" t="inlineStr">
        <is>
          <t>GST on Income</t>
        </is>
      </c>
      <c r="H47" s="9">
        <f>IF(G47="GST on Income",ROUND(E47*0.1,2),ROUND(-E47*0.1,2))</f>
        <v>62.07</v>
      </c>
      <c r="I47" t="inlineStr">
        <is>
          <t>GST not charged on a taxable sale</t>
        </is>
      </c>
      <c r="J47" t="inlineStr">
        <is>
          <t>FY26 Q3</t>
        </is>
      </c>
    </row>
    <row r="48">
      <c r="A48" t="inlineStr">
        <is>
          <t>INV-5701-1</t>
        </is>
      </c>
      <c r="B48" t="inlineStr">
        <is>
          <t>INV-5701</t>
        </is>
      </c>
      <c r="C48" s="11" t="n">
        <v>46037</v>
      </c>
      <c r="D48" t="inlineStr">
        <is>
          <t>Emergency make safe call-out - after hours</t>
        </is>
      </c>
      <c r="E48" s="9" t="n">
        <v>560</v>
      </c>
      <c r="F48" t="inlineStr">
        <is>
          <t>GST Free Income</t>
        </is>
      </c>
      <c r="G48" t="inlineStr">
        <is>
          <t>GST on Income</t>
        </is>
      </c>
      <c r="H48" s="9">
        <f>IF(G48="GST on Income",ROUND(E48*0.1,2),ROUND(-E48*0.1,2))</f>
        <v>56</v>
      </c>
      <c r="I48" t="inlineStr">
        <is>
          <t>GST not charged on a taxable sale</t>
        </is>
      </c>
      <c r="J48" t="inlineStr">
        <is>
          <t>FY26 Q3</t>
        </is>
      </c>
    </row>
    <row r="49">
      <c r="A49" t="inlineStr">
        <is>
          <t>CN-5943-1</t>
        </is>
      </c>
      <c r="B49" t="inlineStr">
        <is>
          <t>CN-5943</t>
        </is>
      </c>
      <c r="C49" s="11" t="n">
        <v>46042</v>
      </c>
      <c r="D49" t="inlineStr">
        <is>
          <t>Refund of security deposit - fence panels</t>
        </is>
      </c>
      <c r="E49" s="9" t="n">
        <v>-450</v>
      </c>
      <c r="F49" t="inlineStr">
        <is>
          <t>GST on Income</t>
        </is>
      </c>
      <c r="G49" t="inlineStr">
        <is>
          <t>BAS Excluded</t>
        </is>
      </c>
      <c r="H49" s="9">
        <f>IF(G49="GST on Income",ROUND(E49*0.1,2),ROUND(-E49*0.1,2))</f>
        <v>45</v>
      </c>
      <c r="I49" t="inlineStr">
        <is>
          <t>GST charged on a refundable deposit</t>
        </is>
      </c>
      <c r="J49" t="inlineStr">
        <is>
          <t>FY26 Q3</t>
        </is>
      </c>
    </row>
    <row r="50">
      <c r="A50" t="inlineStr">
        <is>
          <t>INV-5736-1</t>
        </is>
      </c>
      <c r="B50" t="inlineStr">
        <is>
          <t>INV-5736</t>
        </is>
      </c>
      <c r="C50" s="11" t="n">
        <v>46049</v>
      </c>
      <c r="D50" t="inlineStr">
        <is>
          <t>Make safe call-out</t>
        </is>
      </c>
      <c r="E50" s="9" t="n">
        <v>385</v>
      </c>
      <c r="F50" t="inlineStr">
        <is>
          <t>GST Free Income</t>
        </is>
      </c>
      <c r="G50" t="inlineStr">
        <is>
          <t>GST on Income</t>
        </is>
      </c>
      <c r="H50" s="9">
        <f>IF(G50="GST on Income",ROUND(E50*0.1,2),ROUND(-E50*0.1,2))</f>
        <v>38.5</v>
      </c>
      <c r="I50" t="inlineStr">
        <is>
          <t>GST not charged on a taxable sale</t>
        </is>
      </c>
      <c r="J50" t="inlineStr">
        <is>
          <t>FY26 Q3</t>
        </is>
      </c>
    </row>
    <row r="51">
      <c r="A51" t="inlineStr">
        <is>
          <t>CN-5945-1</t>
        </is>
      </c>
      <c r="B51" t="inlineStr">
        <is>
          <t>CN-5945</t>
        </is>
      </c>
      <c r="C51" s="11" t="n">
        <v>46053</v>
      </c>
      <c r="D51" t="inlineStr">
        <is>
          <t>Refund of security deposit - fence panels</t>
        </is>
      </c>
      <c r="E51" s="9" t="n">
        <v>-580</v>
      </c>
      <c r="F51" t="inlineStr">
        <is>
          <t>GST on Income</t>
        </is>
      </c>
      <c r="G51" t="inlineStr">
        <is>
          <t>BAS Excluded</t>
        </is>
      </c>
      <c r="H51" s="9">
        <f>IF(G51="GST on Income",ROUND(E51*0.1,2),ROUND(-E51*0.1,2))</f>
        <v>58</v>
      </c>
      <c r="I51" t="inlineStr">
        <is>
          <t>GST charged on a refundable deposit</t>
        </is>
      </c>
      <c r="J51" t="inlineStr">
        <is>
          <t>FY26 Q3</t>
        </is>
      </c>
    </row>
    <row r="52">
      <c r="A52" t="inlineStr">
        <is>
          <t>INV-5812-3</t>
        </is>
      </c>
      <c r="B52" t="inlineStr">
        <is>
          <t>INV-5812</t>
        </is>
      </c>
      <c r="C52" s="11" t="n">
        <v>46053</v>
      </c>
      <c r="D52" t="inlineStr">
        <is>
          <t>Waste removal and tip fees</t>
        </is>
      </c>
      <c r="E52" s="9" t="n">
        <v>120</v>
      </c>
      <c r="F52" t="inlineStr">
        <is>
          <t>BAS Excluded</t>
        </is>
      </c>
      <c r="G52" t="inlineStr">
        <is>
          <t>GST on Income</t>
        </is>
      </c>
      <c r="H52" s="9">
        <f>IF(G52="GST on Income",ROUND(E52*0.1,2),ROUND(-E52*0.1,2))</f>
        <v>12</v>
      </c>
      <c r="I52" t="inlineStr">
        <is>
          <t>GST not charged on a taxable sale</t>
        </is>
      </c>
      <c r="J52" t="inlineStr">
        <is>
          <t>FY26 Q3</t>
        </is>
      </c>
    </row>
    <row r="53">
      <c r="A53" t="inlineStr">
        <is>
          <t>INV-4310-3</t>
        </is>
      </c>
      <c r="B53" t="inlineStr">
        <is>
          <t>INV-4310</t>
        </is>
      </c>
      <c r="C53" s="11" t="n">
        <v>46055</v>
      </c>
      <c r="D53" t="inlineStr">
        <is>
          <t>Security deposit - fence panels (refundable)</t>
        </is>
      </c>
      <c r="E53" s="9" t="n">
        <v>650</v>
      </c>
      <c r="F53" t="inlineStr">
        <is>
          <t>GST on Income</t>
        </is>
      </c>
      <c r="G53" t="inlineStr">
        <is>
          <t>BAS Excluded</t>
        </is>
      </c>
      <c r="H53" s="9">
        <f>IF(G53="GST on Income",ROUND(E53*0.1,2),ROUND(-E53*0.1,2))</f>
        <v>-65</v>
      </c>
      <c r="I53" t="inlineStr">
        <is>
          <t>GST charged on a refundable deposit</t>
        </is>
      </c>
      <c r="J53" t="inlineStr">
        <is>
          <t>FY26 Q3</t>
        </is>
      </c>
    </row>
    <row r="54">
      <c r="A54" t="inlineStr">
        <is>
          <t>CN-5941-1</t>
        </is>
      </c>
      <c r="B54" t="inlineStr">
        <is>
          <t>CN-5941</t>
        </is>
      </c>
      <c r="C54" s="11" t="n">
        <v>46057</v>
      </c>
      <c r="D54" t="inlineStr">
        <is>
          <t>Refund of security deposit - fence panels</t>
        </is>
      </c>
      <c r="E54" s="9" t="n">
        <v>-390</v>
      </c>
      <c r="F54" t="inlineStr">
        <is>
          <t>GST on Income</t>
        </is>
      </c>
      <c r="G54" t="inlineStr">
        <is>
          <t>BAS Excluded</t>
        </is>
      </c>
      <c r="H54" s="9">
        <f>IF(G54="GST on Income",ROUND(E54*0.1,2),ROUND(-E54*0.1,2))</f>
        <v>39</v>
      </c>
      <c r="I54" t="inlineStr">
        <is>
          <t>GST charged on a refundable deposit</t>
        </is>
      </c>
      <c r="J54" t="inlineStr">
        <is>
          <t>FY26 Q3</t>
        </is>
      </c>
    </row>
    <row r="55">
      <c r="A55" t="inlineStr">
        <is>
          <t>INV-4615-1</t>
        </is>
      </c>
      <c r="B55" t="inlineStr">
        <is>
          <t>INV-4615</t>
        </is>
      </c>
      <c r="C55" s="11" t="n">
        <v>46057</v>
      </c>
      <c r="D55" t="inlineStr">
        <is>
          <t>Temporary fence hire 2 wks (23/01/26-03/02/26) - 21 panels</t>
        </is>
      </c>
      <c r="E55" s="9" t="n">
        <v>189</v>
      </c>
      <c r="F55" t="inlineStr">
        <is>
          <t>BAS Excluded</t>
        </is>
      </c>
      <c r="G55" t="inlineStr">
        <is>
          <t>GST on Income</t>
        </is>
      </c>
      <c r="H55" s="9">
        <f>IF(G55="GST on Income",ROUND(E55*0.1,2),ROUND(-E55*0.1,2))</f>
        <v>18.9</v>
      </c>
      <c r="I55" t="inlineStr">
        <is>
          <t>GST not charged on a taxable sale</t>
        </is>
      </c>
      <c r="J55" t="inlineStr">
        <is>
          <t>FY26 Q3</t>
        </is>
      </c>
    </row>
    <row r="56">
      <c r="A56" t="inlineStr">
        <is>
          <t>INV-5634-1</t>
        </is>
      </c>
      <c r="B56" t="inlineStr">
        <is>
          <t>INV-5634</t>
        </is>
      </c>
      <c r="C56" s="11" t="n">
        <v>46057</v>
      </c>
      <c r="D56" t="inlineStr">
        <is>
          <t>Emergency make safe call-out - after hours</t>
        </is>
      </c>
      <c r="E56" s="9" t="n">
        <v>560</v>
      </c>
      <c r="F56" t="inlineStr">
        <is>
          <t>GST Free Income</t>
        </is>
      </c>
      <c r="G56" t="inlineStr">
        <is>
          <t>GST on Income</t>
        </is>
      </c>
      <c r="H56" s="9">
        <f>IF(G56="GST on Income",ROUND(E56*0.1,2),ROUND(-E56*0.1,2))</f>
        <v>56</v>
      </c>
      <c r="I56" t="inlineStr">
        <is>
          <t>GST not charged on a taxable sale</t>
        </is>
      </c>
      <c r="J56" t="inlineStr">
        <is>
          <t>FY26 Q3</t>
        </is>
      </c>
    </row>
    <row r="57">
      <c r="A57" t="inlineStr">
        <is>
          <t>INV-4311-2</t>
        </is>
      </c>
      <c r="B57" t="inlineStr">
        <is>
          <t>INV-4311</t>
        </is>
      </c>
      <c r="C57" s="11" t="n">
        <v>46059</v>
      </c>
      <c r="D57" t="inlineStr">
        <is>
          <t>Installation labour - 78 panels @ 2.20</t>
        </is>
      </c>
      <c r="E57" s="9" t="n">
        <v>171.6</v>
      </c>
      <c r="F57" t="inlineStr">
        <is>
          <t>GST Free Income</t>
        </is>
      </c>
      <c r="G57" t="inlineStr">
        <is>
          <t>GST on Income</t>
        </is>
      </c>
      <c r="H57" s="9">
        <f>IF(G57="GST on Income",ROUND(E57*0.1,2),ROUND(-E57*0.1,2))</f>
        <v>17.16</v>
      </c>
      <c r="I57" t="inlineStr">
        <is>
          <t>GST not charged on a taxable sale</t>
        </is>
      </c>
      <c r="J57" t="inlineStr">
        <is>
          <t>FY26 Q3</t>
        </is>
      </c>
    </row>
    <row r="58">
      <c r="A58" t="inlineStr">
        <is>
          <t>INV-5696-1</t>
        </is>
      </c>
      <c r="B58" t="inlineStr">
        <is>
          <t>INV-5696</t>
        </is>
      </c>
      <c r="C58" s="11" t="n">
        <v>46060</v>
      </c>
      <c r="D58" t="inlineStr">
        <is>
          <t>Roof repair labour - 4 hrs</t>
        </is>
      </c>
      <c r="E58" s="9" t="n">
        <v>392</v>
      </c>
      <c r="F58" t="inlineStr">
        <is>
          <t>GST Free Income</t>
        </is>
      </c>
      <c r="G58" t="inlineStr">
        <is>
          <t>GST on Income</t>
        </is>
      </c>
      <c r="H58" s="9">
        <f>IF(G58="GST on Income",ROUND(E58*0.1,2),ROUND(-E58*0.1,2))</f>
        <v>39.2</v>
      </c>
      <c r="I58" t="inlineStr">
        <is>
          <t>GST not charged on a taxable sale</t>
        </is>
      </c>
      <c r="J58" t="inlineStr">
        <is>
          <t>FY26 Q3</t>
        </is>
      </c>
    </row>
    <row r="59">
      <c r="A59" t="inlineStr">
        <is>
          <t>INV-5696-2</t>
        </is>
      </c>
      <c r="B59" t="inlineStr">
        <is>
          <t>INV-5696</t>
        </is>
      </c>
      <c r="C59" s="11" t="n">
        <v>46060</v>
      </c>
      <c r="D59" t="inlineStr">
        <is>
          <t>Materials - ridge capping</t>
        </is>
      </c>
      <c r="E59" s="9" t="n">
        <v>812.53</v>
      </c>
      <c r="F59" t="inlineStr">
        <is>
          <t>GST Free Income</t>
        </is>
      </c>
      <c r="G59" t="inlineStr">
        <is>
          <t>GST on Income</t>
        </is>
      </c>
      <c r="H59" s="9">
        <f>IF(G59="GST on Income",ROUND(E59*0.1,2),ROUND(-E59*0.1,2))</f>
        <v>81.25</v>
      </c>
      <c r="I59" t="inlineStr">
        <is>
          <t>GST not charged on a taxable sale</t>
        </is>
      </c>
      <c r="J59" t="inlineStr">
        <is>
          <t>FY26 Q3</t>
        </is>
      </c>
    </row>
    <row r="60">
      <c r="A60" t="inlineStr">
        <is>
          <t>INV-5864-2</t>
        </is>
      </c>
      <c r="B60" t="inlineStr">
        <is>
          <t>INV-5864</t>
        </is>
      </c>
      <c r="C60" s="11" t="n">
        <v>46060</v>
      </c>
      <c r="D60" t="inlineStr">
        <is>
          <t>Materials - ridge capping</t>
        </is>
      </c>
      <c r="E60" s="9" t="n">
        <v>759.61</v>
      </c>
      <c r="F60" t="inlineStr">
        <is>
          <t>GST Free Income</t>
        </is>
      </c>
      <c r="G60" t="inlineStr">
        <is>
          <t>GST on Income</t>
        </is>
      </c>
      <c r="H60" s="9">
        <f>IF(G60="GST on Income",ROUND(E60*0.1,2),ROUND(-E60*0.1,2))</f>
        <v>75.96</v>
      </c>
      <c r="I60" t="inlineStr">
        <is>
          <t>GST not charged on a taxable sale</t>
        </is>
      </c>
      <c r="J60" t="inlineStr">
        <is>
          <t>FY26 Q3</t>
        </is>
      </c>
    </row>
    <row r="61">
      <c r="A61" t="inlineStr">
        <is>
          <t>INV-5049-3</t>
        </is>
      </c>
      <c r="B61" t="inlineStr">
        <is>
          <t>INV-5049</t>
        </is>
      </c>
      <c r="C61" s="11" t="n">
        <v>46083</v>
      </c>
      <c r="D61" t="inlineStr">
        <is>
          <t>Security deposit - fence panels (refundable)</t>
        </is>
      </c>
      <c r="E61" s="9" t="n">
        <v>220</v>
      </c>
      <c r="F61" t="inlineStr">
        <is>
          <t>GST on Income</t>
        </is>
      </c>
      <c r="G61" t="inlineStr">
        <is>
          <t>BAS Excluded</t>
        </is>
      </c>
      <c r="H61" s="9">
        <f>IF(G61="GST on Income",ROUND(E61*0.1,2),ROUND(-E61*0.1,2))</f>
        <v>-22</v>
      </c>
      <c r="I61" t="inlineStr">
        <is>
          <t>GST charged on a refundable deposit</t>
        </is>
      </c>
      <c r="J61" t="inlineStr">
        <is>
          <t>FY26 Q3</t>
        </is>
      </c>
    </row>
    <row r="62">
      <c r="A62" t="inlineStr">
        <is>
          <t>INV-5315-1</t>
        </is>
      </c>
      <c r="B62" t="inlineStr">
        <is>
          <t>INV-5315</t>
        </is>
      </c>
      <c r="C62" s="11" t="n">
        <v>46089</v>
      </c>
      <c r="D62" t="inlineStr">
        <is>
          <t>Scaffold tower hire 1 wks (07/03/26-07/03/26) - 3 towers</t>
        </is>
      </c>
      <c r="E62" s="9" t="n">
        <v>285</v>
      </c>
      <c r="F62" t="inlineStr">
        <is>
          <t>GST Free Income</t>
        </is>
      </c>
      <c r="G62" t="inlineStr">
        <is>
          <t>GST on Income</t>
        </is>
      </c>
      <c r="H62" s="9">
        <f>IF(G62="GST on Income",ROUND(E62*0.1,2),ROUND(-E62*0.1,2))</f>
        <v>28.5</v>
      </c>
      <c r="I62" t="inlineStr">
        <is>
          <t>GST not charged on a taxable sale</t>
        </is>
      </c>
      <c r="J62" t="inlineStr">
        <is>
          <t>FY26 Q3</t>
        </is>
      </c>
    </row>
    <row r="63">
      <c r="A63" t="inlineStr">
        <is>
          <t>INV-5554-4</t>
        </is>
      </c>
      <c r="B63" t="inlineStr">
        <is>
          <t>INV-5554</t>
        </is>
      </c>
      <c r="C63" s="11" t="n">
        <v>46097</v>
      </c>
      <c r="D63" t="inlineStr">
        <is>
          <t>Waste removal and tip fees</t>
        </is>
      </c>
      <c r="E63" s="9" t="n">
        <v>120</v>
      </c>
      <c r="F63" t="inlineStr">
        <is>
          <t>GST Free Income</t>
        </is>
      </c>
      <c r="G63" t="inlineStr">
        <is>
          <t>GST on Income</t>
        </is>
      </c>
      <c r="H63" s="9">
        <f>IF(G63="GST on Income",ROUND(E63*0.1,2),ROUND(-E63*0.1,2))</f>
        <v>12</v>
      </c>
      <c r="I63" t="inlineStr">
        <is>
          <t>GST not charged on a taxable sale</t>
        </is>
      </c>
      <c r="J63" t="inlineStr">
        <is>
          <t>FY26 Q3</t>
        </is>
      </c>
    </row>
    <row r="64">
      <c r="A64" t="inlineStr">
        <is>
          <t>INV-4738-3</t>
        </is>
      </c>
      <c r="B64" t="inlineStr">
        <is>
          <t>INV-4738</t>
        </is>
      </c>
      <c r="C64" s="11" t="n">
        <v>46101</v>
      </c>
      <c r="D64" t="inlineStr">
        <is>
          <t>Security deposit - fence panels (refundable)</t>
        </is>
      </c>
      <c r="E64" s="9" t="n">
        <v>1120</v>
      </c>
      <c r="F64" t="inlineStr">
        <is>
          <t>GST on Income</t>
        </is>
      </c>
      <c r="G64" t="inlineStr">
        <is>
          <t>BAS Excluded</t>
        </is>
      </c>
      <c r="H64" s="9">
        <f>IF(G64="GST on Income",ROUND(E64*0.1,2),ROUND(-E64*0.1,2))</f>
        <v>-112</v>
      </c>
      <c r="I64" t="inlineStr">
        <is>
          <t>GST charged on a refundable deposit</t>
        </is>
      </c>
      <c r="J64" t="inlineStr">
        <is>
          <t>FY26 Q3</t>
        </is>
      </c>
    </row>
    <row r="65">
      <c r="A65" t="inlineStr">
        <is>
          <t>INV-5227-1</t>
        </is>
      </c>
      <c r="B65" t="inlineStr">
        <is>
          <t>INV-5227</t>
        </is>
      </c>
      <c r="C65" s="11" t="n">
        <v>46103</v>
      </c>
      <c r="D65" t="inlineStr">
        <is>
          <t>Scaffold tower hire 3 wks (07/03/26-21/03/26) - 4 towers</t>
        </is>
      </c>
      <c r="E65" s="9" t="n">
        <v>1140</v>
      </c>
      <c r="F65" t="inlineStr">
        <is>
          <t>GST Free Income</t>
        </is>
      </c>
      <c r="G65" t="inlineStr">
        <is>
          <t>GST on Income</t>
        </is>
      </c>
      <c r="H65" s="9">
        <f>IF(G65="GST on Income",ROUND(E65*0.1,2),ROUND(-E65*0.1,2))</f>
        <v>114</v>
      </c>
      <c r="I65" t="inlineStr">
        <is>
          <t>GST not charged on a taxable sale</t>
        </is>
      </c>
      <c r="J65" t="inlineStr">
        <is>
          <t>FY26 Q3</t>
        </is>
      </c>
    </row>
    <row r="66">
      <c r="A66" t="inlineStr">
        <is>
          <t>INV-5528-1</t>
        </is>
      </c>
      <c r="B66" t="inlineStr">
        <is>
          <t>INV-5528</t>
        </is>
      </c>
      <c r="C66" s="11" t="n">
        <v>46105</v>
      </c>
      <c r="D66" t="inlineStr">
        <is>
          <t>Roof repair labour - 8 hrs</t>
        </is>
      </c>
      <c r="E66" s="9" t="n">
        <v>784</v>
      </c>
      <c r="F66" t="inlineStr">
        <is>
          <t>BAS Excluded</t>
        </is>
      </c>
      <c r="G66" t="inlineStr">
        <is>
          <t>GST on Income</t>
        </is>
      </c>
      <c r="H66" s="9">
        <f>IF(G66="GST on Income",ROUND(E66*0.1,2),ROUND(-E66*0.1,2))</f>
        <v>78.4</v>
      </c>
      <c r="I66" t="inlineStr">
        <is>
          <t>GST not charged on a taxable sale</t>
        </is>
      </c>
      <c r="J66" t="inlineStr">
        <is>
          <t>FY26 Q3</t>
        </is>
      </c>
    </row>
    <row r="67">
      <c r="A67" t="inlineStr">
        <is>
          <t>INV-5528-2</t>
        </is>
      </c>
      <c r="B67" t="inlineStr">
        <is>
          <t>INV-5528</t>
        </is>
      </c>
      <c r="C67" s="11" t="n">
        <v>46105</v>
      </c>
      <c r="D67" t="inlineStr">
        <is>
          <t>Materials - ridge capping</t>
        </is>
      </c>
      <c r="E67" s="9" t="n">
        <v>1039.9</v>
      </c>
      <c r="F67" t="inlineStr">
        <is>
          <t>BAS Excluded</t>
        </is>
      </c>
      <c r="G67" t="inlineStr">
        <is>
          <t>GST on Income</t>
        </is>
      </c>
      <c r="H67" s="9">
        <f>IF(G67="GST on Income",ROUND(E67*0.1,2),ROUND(-E67*0.1,2))</f>
        <v>103.99</v>
      </c>
      <c r="I67" t="inlineStr">
        <is>
          <t>GST not charged on a taxable sale</t>
        </is>
      </c>
      <c r="J67" t="inlineStr">
        <is>
          <t>FY26 Q3</t>
        </is>
      </c>
    </row>
    <row r="68">
      <c r="A68" t="inlineStr">
        <is>
          <t>INV-4648-1</t>
        </is>
      </c>
      <c r="B68" t="inlineStr">
        <is>
          <t>INV-4648</t>
        </is>
      </c>
      <c r="C68" s="11" t="n">
        <v>46115</v>
      </c>
      <c r="D68" t="inlineStr">
        <is>
          <t>Temporary fence hire 4 wks (06/03/26-02/04/26) - 35 panels</t>
        </is>
      </c>
      <c r="E68" s="9" t="n">
        <v>630</v>
      </c>
      <c r="F68" t="inlineStr">
        <is>
          <t>GST Free Income</t>
        </is>
      </c>
      <c r="G68" t="inlineStr">
        <is>
          <t>GST on Income</t>
        </is>
      </c>
      <c r="H68" s="9">
        <f>IF(G68="GST on Income",ROUND(E68*0.1,2),ROUND(-E68*0.1,2))</f>
        <v>63</v>
      </c>
      <c r="I68" t="inlineStr">
        <is>
          <t>GST not charged on a taxable sale</t>
        </is>
      </c>
      <c r="J68" t="inlineStr">
        <is>
          <t>FY26 Q4</t>
        </is>
      </c>
    </row>
    <row r="69">
      <c r="A69" t="inlineStr">
        <is>
          <t>INV-4568-2</t>
        </is>
      </c>
      <c r="B69" t="inlineStr">
        <is>
          <t>INV-4568</t>
        </is>
      </c>
      <c r="C69" s="11" t="n">
        <v>46122</v>
      </c>
      <c r="D69" t="inlineStr">
        <is>
          <t>Installation labour - 115 panels @ 2.20</t>
        </is>
      </c>
      <c r="E69" s="9" t="n">
        <v>253</v>
      </c>
      <c r="F69" t="inlineStr">
        <is>
          <t>GST Free Income</t>
        </is>
      </c>
      <c r="G69" t="inlineStr">
        <is>
          <t>GST on Income</t>
        </is>
      </c>
      <c r="H69" s="9">
        <f>IF(G69="GST on Income",ROUND(E69*0.1,2),ROUND(-E69*0.1,2))</f>
        <v>25.3</v>
      </c>
      <c r="I69" t="inlineStr">
        <is>
          <t>GST not charged on a taxable sale</t>
        </is>
      </c>
      <c r="J69" t="inlineStr">
        <is>
          <t>FY26 Q4</t>
        </is>
      </c>
    </row>
    <row r="70">
      <c r="A70" t="inlineStr">
        <is>
          <t>INV-5132-1</t>
        </is>
      </c>
      <c r="B70" t="inlineStr">
        <is>
          <t>INV-5132</t>
        </is>
      </c>
      <c r="C70" s="11" t="n">
        <v>46147</v>
      </c>
      <c r="D70" t="inlineStr">
        <is>
          <t>Temporary fence hire 4 wks (07/04/26-04/05/26) - 114 panels</t>
        </is>
      </c>
      <c r="E70" s="9" t="n">
        <v>2052</v>
      </c>
      <c r="F70" t="inlineStr">
        <is>
          <t>BAS Excluded</t>
        </is>
      </c>
      <c r="G70" t="inlineStr">
        <is>
          <t>GST on Income</t>
        </is>
      </c>
      <c r="H70" s="9">
        <f>IF(G70="GST on Income",ROUND(E70*0.1,2),ROUND(-E70*0.1,2))</f>
        <v>205.2</v>
      </c>
      <c r="I70" t="inlineStr">
        <is>
          <t>GST not charged on a taxable sale</t>
        </is>
      </c>
      <c r="J70" t="inlineStr">
        <is>
          <t>FY26 Q4</t>
        </is>
      </c>
    </row>
    <row r="71">
      <c r="A71" t="inlineStr">
        <is>
          <t>INV-5627-1</t>
        </is>
      </c>
      <c r="B71" t="inlineStr">
        <is>
          <t>INV-5627</t>
        </is>
      </c>
      <c r="C71" s="11" t="n">
        <v>46148</v>
      </c>
      <c r="D71" t="inlineStr">
        <is>
          <t>Make safe call-out</t>
        </is>
      </c>
      <c r="E71" s="9" t="n">
        <v>385</v>
      </c>
      <c r="F71" t="inlineStr">
        <is>
          <t>BAS Excluded</t>
        </is>
      </c>
      <c r="G71" t="inlineStr">
        <is>
          <t>GST on Income</t>
        </is>
      </c>
      <c r="H71" s="9">
        <f>IF(G71="GST on Income",ROUND(E71*0.1,2),ROUND(-E71*0.1,2))</f>
        <v>38.5</v>
      </c>
      <c r="I71" t="inlineStr">
        <is>
          <t>GST not charged on a taxable sale</t>
        </is>
      </c>
      <c r="J71" t="inlineStr">
        <is>
          <t>FY26 Q4</t>
        </is>
      </c>
    </row>
    <row r="72">
      <c r="A72" t="inlineStr">
        <is>
          <t>INV-4660-3</t>
        </is>
      </c>
      <c r="B72" t="inlineStr">
        <is>
          <t>INV-4660</t>
        </is>
      </c>
      <c r="C72" s="11" t="n">
        <v>46150</v>
      </c>
      <c r="D72" t="inlineStr">
        <is>
          <t>Security deposit - fence panels (refundable)</t>
        </is>
      </c>
      <c r="E72" s="9" t="n">
        <v>130</v>
      </c>
      <c r="F72" t="inlineStr">
        <is>
          <t>GST on Income</t>
        </is>
      </c>
      <c r="G72" t="inlineStr">
        <is>
          <t>BAS Excluded</t>
        </is>
      </c>
      <c r="H72" s="9">
        <f>IF(G72="GST on Income",ROUND(E72*0.1,2),ROUND(-E72*0.1,2))</f>
        <v>-13</v>
      </c>
      <c r="I72" t="inlineStr">
        <is>
          <t>GST charged on a refundable deposit</t>
        </is>
      </c>
      <c r="J72" t="inlineStr">
        <is>
          <t>FY26 Q4</t>
        </is>
      </c>
    </row>
    <row r="73">
      <c r="A73" t="inlineStr">
        <is>
          <t>INV-4857-1</t>
        </is>
      </c>
      <c r="B73" t="inlineStr">
        <is>
          <t>INV-4857</t>
        </is>
      </c>
      <c r="C73" s="11" t="n">
        <v>46152</v>
      </c>
      <c r="D73" t="inlineStr">
        <is>
          <t>Temporary fence hire 4 wks (12/04/26-09/05/26) - 54 panels</t>
        </is>
      </c>
      <c r="E73" s="9" t="n">
        <v>972</v>
      </c>
      <c r="F73" t="inlineStr">
        <is>
          <t>GST Free Income</t>
        </is>
      </c>
      <c r="G73" t="inlineStr">
        <is>
          <t>GST on Income</t>
        </is>
      </c>
      <c r="H73" s="9">
        <f>IF(G73="GST on Income",ROUND(E73*0.1,2),ROUND(-E73*0.1,2))</f>
        <v>97.2</v>
      </c>
      <c r="I73" t="inlineStr">
        <is>
          <t>GST not charged on a taxable sale</t>
        </is>
      </c>
      <c r="J73" t="inlineStr">
        <is>
          <t>FY26 Q4</t>
        </is>
      </c>
    </row>
    <row r="74">
      <c r="A74" t="inlineStr">
        <is>
          <t>INV-5577-2</t>
        </is>
      </c>
      <c r="B74" t="inlineStr">
        <is>
          <t>INV-5577</t>
        </is>
      </c>
      <c r="C74" s="11" t="n">
        <v>46159</v>
      </c>
      <c r="D74" t="inlineStr">
        <is>
          <t>Materials - gutter and downpipe</t>
        </is>
      </c>
      <c r="E74" s="9" t="n">
        <v>672.4299999999999</v>
      </c>
      <c r="F74" t="inlineStr">
        <is>
          <t>GST Free Income</t>
        </is>
      </c>
      <c r="G74" t="inlineStr">
        <is>
          <t>GST on Income</t>
        </is>
      </c>
      <c r="H74" s="9">
        <f>IF(G74="GST on Income",ROUND(E74*0.1,2),ROUND(-E74*0.1,2))</f>
        <v>67.24</v>
      </c>
      <c r="I74" t="inlineStr">
        <is>
          <t>GST not charged on a taxable sale</t>
        </is>
      </c>
      <c r="J74" t="inlineStr">
        <is>
          <t>FY26 Q4</t>
        </is>
      </c>
    </row>
    <row r="75">
      <c r="A75" t="inlineStr">
        <is>
          <t>INV-4600-1</t>
        </is>
      </c>
      <c r="B75" t="inlineStr">
        <is>
          <t>INV-4600</t>
        </is>
      </c>
      <c r="C75" s="11" t="n">
        <v>46162</v>
      </c>
      <c r="D75" t="inlineStr">
        <is>
          <t>Temporary fence hire 4 wks (22/04/26-19/05/26) - 141 panels</t>
        </is>
      </c>
      <c r="E75" s="9" t="n">
        <v>2538</v>
      </c>
      <c r="F75" t="inlineStr">
        <is>
          <t>GST Free Income</t>
        </is>
      </c>
      <c r="G75" t="inlineStr">
        <is>
          <t>GST on Income</t>
        </is>
      </c>
      <c r="H75" s="9">
        <f>IF(G75="GST on Income",ROUND(E75*0.1,2),ROUND(-E75*0.1,2))</f>
        <v>253.8</v>
      </c>
      <c r="I75" t="inlineStr">
        <is>
          <t>GST not charged on a taxable sale</t>
        </is>
      </c>
      <c r="J75" t="inlineStr">
        <is>
          <t>FY26 Q4</t>
        </is>
      </c>
    </row>
    <row r="76">
      <c r="A76" t="inlineStr">
        <is>
          <t>INV-4605-1</t>
        </is>
      </c>
      <c r="B76" t="inlineStr">
        <is>
          <t>INV-4605</t>
        </is>
      </c>
      <c r="C76" s="11" t="n">
        <v>46162</v>
      </c>
      <c r="D76" t="inlineStr">
        <is>
          <t>Pedestrian barrier hire 4 wks (22/04/26-19/05/26) - 14 barriers</t>
        </is>
      </c>
      <c r="E76" s="9" t="n">
        <v>179.2</v>
      </c>
      <c r="F76" t="inlineStr">
        <is>
          <t>GST Free Income</t>
        </is>
      </c>
      <c r="G76" t="inlineStr">
        <is>
          <t>GST on Income</t>
        </is>
      </c>
      <c r="H76" s="9">
        <f>IF(G76="GST on Income",ROUND(E76*0.1,2),ROUND(-E76*0.1,2))</f>
        <v>17.92</v>
      </c>
      <c r="I76" t="inlineStr">
        <is>
          <t>GST not charged on a taxable sale</t>
        </is>
      </c>
      <c r="J76" t="inlineStr">
        <is>
          <t>FY26 Q4</t>
        </is>
      </c>
    </row>
    <row r="77">
      <c r="A77" t="inlineStr">
        <is>
          <t>INV-5690-1</t>
        </is>
      </c>
      <c r="B77" t="inlineStr">
        <is>
          <t>INV-5690</t>
        </is>
      </c>
      <c r="C77" s="11" t="n">
        <v>46162</v>
      </c>
      <c r="D77" t="inlineStr">
        <is>
          <t>Tarp kit hire 1 wks (19/05/26-19/05/26) - 3 kits</t>
        </is>
      </c>
      <c r="E77" s="9" t="n">
        <v>105</v>
      </c>
      <c r="F77" t="inlineStr">
        <is>
          <t>BAS Excluded</t>
        </is>
      </c>
      <c r="G77" t="inlineStr">
        <is>
          <t>GST on Income</t>
        </is>
      </c>
      <c r="H77" s="9">
        <f>IF(G77="GST on Income",ROUND(E77*0.1,2),ROUND(-E77*0.1,2))</f>
        <v>10.5</v>
      </c>
      <c r="I77" t="inlineStr">
        <is>
          <t>GST not charged on a taxable sale</t>
        </is>
      </c>
      <c r="J77" t="inlineStr">
        <is>
          <t>FY26 Q4</t>
        </is>
      </c>
    </row>
    <row r="78">
      <c r="A78" t="inlineStr">
        <is>
          <t>INV-4914-3</t>
        </is>
      </c>
      <c r="B78" t="inlineStr">
        <is>
          <t>INV-4914</t>
        </is>
      </c>
      <c r="C78" s="11" t="n">
        <v>46163</v>
      </c>
      <c r="D78" t="inlineStr">
        <is>
          <t>Security deposit - fence panels (refundable)</t>
        </is>
      </c>
      <c r="E78" s="9" t="n">
        <v>660</v>
      </c>
      <c r="F78" t="inlineStr">
        <is>
          <t>GST on Income</t>
        </is>
      </c>
      <c r="G78" t="inlineStr">
        <is>
          <t>BAS Excluded</t>
        </is>
      </c>
      <c r="H78" s="9">
        <f>IF(G78="GST on Income",ROUND(E78*0.1,2),ROUND(-E78*0.1,2))</f>
        <v>-66</v>
      </c>
      <c r="I78" t="inlineStr">
        <is>
          <t>GST charged on a refundable deposit</t>
        </is>
      </c>
      <c r="J78" t="inlineStr">
        <is>
          <t>FY26 Q4</t>
        </is>
      </c>
    </row>
    <row r="79">
      <c r="A79" t="inlineStr">
        <is>
          <t>INV-5332-1</t>
        </is>
      </c>
      <c r="B79" t="inlineStr">
        <is>
          <t>INV-5332</t>
        </is>
      </c>
      <c r="C79" s="11" t="n">
        <v>46167</v>
      </c>
      <c r="D79" t="inlineStr">
        <is>
          <t>Scaffold tower hire 4 wks (27/04/26-24/05/26) - 2 towers</t>
        </is>
      </c>
      <c r="E79" s="9" t="n">
        <v>760</v>
      </c>
      <c r="F79" t="inlineStr">
        <is>
          <t>GST Free Income</t>
        </is>
      </c>
      <c r="G79" t="inlineStr">
        <is>
          <t>GST on Income</t>
        </is>
      </c>
      <c r="H79" s="9">
        <f>IF(G79="GST on Income",ROUND(E79*0.1,2),ROUND(-E79*0.1,2))</f>
        <v>76</v>
      </c>
      <c r="I79" t="inlineStr">
        <is>
          <t>GST not charged on a taxable sale</t>
        </is>
      </c>
      <c r="J79" t="inlineStr">
        <is>
          <t>FY26 Q4</t>
        </is>
      </c>
    </row>
    <row r="80">
      <c r="A80" t="inlineStr">
        <is>
          <t>INV-5392-1</t>
        </is>
      </c>
      <c r="B80" t="inlineStr">
        <is>
          <t>INV-5392</t>
        </is>
      </c>
      <c r="C80" s="11" t="n">
        <v>46170</v>
      </c>
      <c r="D80" t="inlineStr">
        <is>
          <t>Scaffold tower hire 4 wks (06/05/26-27/05/26) - 2 towers</t>
        </is>
      </c>
      <c r="E80" s="9" t="n">
        <v>760</v>
      </c>
      <c r="F80" t="inlineStr">
        <is>
          <t>GST Free Income</t>
        </is>
      </c>
      <c r="G80" t="inlineStr">
        <is>
          <t>GST on Income</t>
        </is>
      </c>
      <c r="H80" s="9">
        <f>IF(G80="GST on Income",ROUND(E80*0.1,2),ROUND(-E80*0.1,2))</f>
        <v>76</v>
      </c>
      <c r="I80" t="inlineStr">
        <is>
          <t>GST not charged on a taxable sale</t>
        </is>
      </c>
      <c r="J80" t="inlineStr">
        <is>
          <t>FY26 Q4</t>
        </is>
      </c>
    </row>
    <row r="81">
      <c r="A81" t="inlineStr">
        <is>
          <t>INV-5918-1</t>
        </is>
      </c>
      <c r="B81" t="inlineStr">
        <is>
          <t>INV-5918</t>
        </is>
      </c>
      <c r="C81" s="11" t="n">
        <v>46176</v>
      </c>
      <c r="D81" t="inlineStr">
        <is>
          <t>Job 4623 - progress claim</t>
        </is>
      </c>
      <c r="E81" s="9" t="n">
        <v>1109.69</v>
      </c>
      <c r="F81" t="inlineStr">
        <is>
          <t>GST Free Income</t>
        </is>
      </c>
      <c r="G81" t="inlineStr">
        <is>
          <t>GST on Income</t>
        </is>
      </c>
      <c r="H81" s="9">
        <f>IF(G81="GST on Income",ROUND(E81*0.1,2),ROUND(-E81*0.1,2))</f>
        <v>110.97</v>
      </c>
      <c r="I81" t="inlineStr">
        <is>
          <t>GST not charged on a taxable sale</t>
        </is>
      </c>
      <c r="J81" t="inlineStr">
        <is>
          <t>FY26 Q4</t>
        </is>
      </c>
    </row>
    <row r="82">
      <c r="A82" t="inlineStr">
        <is>
          <t>INV-4225-3</t>
        </is>
      </c>
      <c r="B82" t="inlineStr">
        <is>
          <t>INV-4225</t>
        </is>
      </c>
      <c r="C82" s="11" t="n">
        <v>46180</v>
      </c>
      <c r="D82" t="inlineStr">
        <is>
          <t>Security deposit - fence panels (refundable)</t>
        </is>
      </c>
      <c r="E82" s="9" t="n">
        <v>940</v>
      </c>
      <c r="F82" t="inlineStr">
        <is>
          <t>GST on Income</t>
        </is>
      </c>
      <c r="G82" t="inlineStr">
        <is>
          <t>BAS Excluded</t>
        </is>
      </c>
      <c r="H82" s="9">
        <f>IF(G82="GST on Income",ROUND(E82*0.1,2),ROUND(-E82*0.1,2))</f>
        <v>-94</v>
      </c>
      <c r="I82" t="inlineStr">
        <is>
          <t>GST charged on a refundable deposit</t>
        </is>
      </c>
      <c r="J82" t="inlineStr">
        <is>
          <t>FY26 Q4</t>
        </is>
      </c>
    </row>
    <row r="83">
      <c r="A83" t="inlineStr">
        <is>
          <t>INV-4252-3</t>
        </is>
      </c>
      <c r="B83" t="inlineStr">
        <is>
          <t>INV-4252</t>
        </is>
      </c>
      <c r="C83" s="11" t="n">
        <v>46180</v>
      </c>
      <c r="D83" t="inlineStr">
        <is>
          <t>Security deposit - fence panels (refundable)</t>
        </is>
      </c>
      <c r="E83" s="9" t="n">
        <v>1090</v>
      </c>
      <c r="F83" t="inlineStr">
        <is>
          <t>GST on Income</t>
        </is>
      </c>
      <c r="G83" t="inlineStr">
        <is>
          <t>BAS Excluded</t>
        </is>
      </c>
      <c r="H83" s="9">
        <f>IF(G83="GST on Income",ROUND(E83*0.1,2),ROUND(-E83*0.1,2))</f>
        <v>-109</v>
      </c>
      <c r="I83" t="inlineStr">
        <is>
          <t>GST charged on a refundable deposit</t>
        </is>
      </c>
      <c r="J83" t="inlineStr">
        <is>
          <t>FY26 Q4</t>
        </is>
      </c>
    </row>
    <row r="84">
      <c r="A84" t="inlineStr">
        <is>
          <t>INV-5869-1</t>
        </is>
      </c>
      <c r="B84" t="inlineStr">
        <is>
          <t>INV-5869</t>
        </is>
      </c>
      <c r="C84" s="11" t="n">
        <v>46191</v>
      </c>
      <c r="D84" t="inlineStr">
        <is>
          <t>Make safe call-out</t>
        </is>
      </c>
      <c r="E84" s="9" t="n">
        <v>385</v>
      </c>
      <c r="F84" t="inlineStr">
        <is>
          <t>GST Free Income</t>
        </is>
      </c>
      <c r="G84" t="inlineStr">
        <is>
          <t>GST on Income</t>
        </is>
      </c>
      <c r="H84" s="9">
        <f>IF(G84="GST on Income",ROUND(E84*0.1,2),ROUND(-E84*0.1,2))</f>
        <v>38.5</v>
      </c>
      <c r="I84" t="inlineStr">
        <is>
          <t>GST not charged on a taxable sale</t>
        </is>
      </c>
      <c r="J84" t="inlineStr">
        <is>
          <t>FY26 Q4</t>
        </is>
      </c>
    </row>
    <row r="85">
      <c r="A85" t="inlineStr">
        <is>
          <t>INV-5673-2</t>
        </is>
      </c>
      <c r="B85" t="inlineStr">
        <is>
          <t>INV-5673</t>
        </is>
      </c>
      <c r="C85" s="11" t="n">
        <v>46195</v>
      </c>
      <c r="D85" t="inlineStr">
        <is>
          <t>Materials - roof tiles (matched)</t>
        </is>
      </c>
      <c r="E85" s="9" t="n">
        <v>579.5700000000001</v>
      </c>
      <c r="F85" t="inlineStr">
        <is>
          <t>GST Free Income</t>
        </is>
      </c>
      <c r="G85" t="inlineStr">
        <is>
          <t>GST on Income</t>
        </is>
      </c>
      <c r="H85" s="9">
        <f>IF(G85="GST on Income",ROUND(E85*0.1,2),ROUND(-E85*0.1,2))</f>
        <v>57.96</v>
      </c>
      <c r="I85" t="inlineStr">
        <is>
          <t>GST not charged on a taxable sale</t>
        </is>
      </c>
      <c r="J85" t="inlineStr">
        <is>
          <t>FY26 Q4</t>
        </is>
      </c>
    </row>
    <row r="86">
      <c r="A86" t="inlineStr">
        <is>
          <t>CN-5944-1</t>
        </is>
      </c>
      <c r="B86" t="inlineStr">
        <is>
          <t>CN-5944</t>
        </is>
      </c>
      <c r="C86" s="11" t="n">
        <v>46198</v>
      </c>
      <c r="D86" t="inlineStr">
        <is>
          <t>Refund of security deposit - fence panels</t>
        </is>
      </c>
      <c r="E86" s="9" t="n">
        <v>-530</v>
      </c>
      <c r="F86" t="inlineStr">
        <is>
          <t>GST on Income</t>
        </is>
      </c>
      <c r="G86" t="inlineStr">
        <is>
          <t>BAS Excluded</t>
        </is>
      </c>
      <c r="H86" s="9">
        <f>IF(G86="GST on Income",ROUND(E86*0.1,2),ROUND(-E86*0.1,2))</f>
        <v>53</v>
      </c>
      <c r="I86" t="inlineStr">
        <is>
          <t>GST charged on a refundable deposit</t>
        </is>
      </c>
      <c r="J86" t="inlineStr">
        <is>
          <t>FY26 Q4</t>
        </is>
      </c>
    </row>
    <row r="87">
      <c r="A87" t="inlineStr">
        <is>
          <t>INV-5734-1</t>
        </is>
      </c>
      <c r="B87" t="inlineStr">
        <is>
          <t>INV-5734</t>
        </is>
      </c>
      <c r="C87" s="11" t="n">
        <v>46198</v>
      </c>
      <c r="D87" t="inlineStr">
        <is>
          <t>Roof repair labour - 3 hrs</t>
        </is>
      </c>
      <c r="E87" s="9" t="n">
        <v>294</v>
      </c>
      <c r="F87" t="inlineStr">
        <is>
          <t>GST Free Income</t>
        </is>
      </c>
      <c r="G87" t="inlineStr">
        <is>
          <t>GST on Income</t>
        </is>
      </c>
      <c r="H87" s="9">
        <f>IF(G87="GST on Income",ROUND(E87*0.1,2),ROUND(-E87*0.1,2))</f>
        <v>29.4</v>
      </c>
      <c r="I87" t="inlineStr">
        <is>
          <t>GST not charged on a taxable sale</t>
        </is>
      </c>
      <c r="J87" t="inlineStr">
        <is>
          <t>FY26 Q4</t>
        </is>
      </c>
    </row>
  </sheetData>
  <autoFilter ref="A4:J87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15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2" customWidth="1" min="2" max="2"/>
    <col width="15" customWidth="1" min="3" max="3"/>
    <col width="36" customWidth="1" min="4" max="4"/>
    <col width="11" customWidth="1" min="5" max="5"/>
    <col width="10" customWidth="1" min="6" max="6"/>
    <col width="32" customWidth="1" min="7" max="7"/>
    <col width="6" customWidth="1" min="8" max="8"/>
    <col width="7" customWidth="1" min="9" max="9"/>
    <col width="44" customWidth="1" min="10" max="10"/>
    <col width="10" customWidth="1" min="11" max="11"/>
    <col width="12" customWidth="1" min="12" max="12"/>
    <col width="9" customWidth="1" min="13" max="13"/>
    <col width="12" customWidth="1" min="14" max="14"/>
    <col width="10" customWidth="1" min="15" max="15"/>
  </cols>
  <sheetData>
    <row r="1">
      <c r="A1" s="6" t="inlineStr">
        <is>
          <t>Xero contacts: duplicates and their master record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Contact ID</t>
        </is>
      </c>
      <c r="B4" s="7" t="inlineStr">
        <is>
          <t>Name</t>
        </is>
      </c>
      <c r="C4" s="7" t="inlineStr">
        <is>
          <t>Tax number</t>
        </is>
      </c>
      <c r="D4" s="7" t="inlineStr">
        <is>
          <t>Email</t>
        </is>
      </c>
      <c r="E4" s="7" t="inlineStr">
        <is>
          <t>Created</t>
        </is>
      </c>
      <c r="F4" s="7" t="inlineStr">
        <is>
          <t>Master ID</t>
        </is>
      </c>
      <c r="G4" s="7" t="inlineStr">
        <is>
          <t>Master name</t>
        </is>
      </c>
      <c r="H4" s="7" t="inlineStr">
        <is>
          <t>Rule</t>
        </is>
      </c>
      <c r="I4" s="7" t="inlineStr">
        <is>
          <t>Score</t>
        </is>
      </c>
      <c r="J4" s="7" t="inlineStr">
        <is>
          <t>Note</t>
        </is>
      </c>
      <c r="K4" s="7" t="inlineStr">
        <is>
          <t>Related ID</t>
        </is>
      </c>
      <c r="L4" s="7" t="inlineStr">
        <is>
          <t>Action</t>
        </is>
      </c>
      <c r="M4" s="7" t="inlineStr">
        <is>
          <t>Invoice lines</t>
        </is>
      </c>
      <c r="N4" s="7" t="inlineStr">
        <is>
          <t>Invoiced</t>
        </is>
      </c>
      <c r="O4" s="7" t="inlineStr">
        <is>
          <t>Master check</t>
        </is>
      </c>
    </row>
    <row r="5">
      <c r="A5" t="inlineStr">
        <is>
          <t>C0001</t>
        </is>
      </c>
      <c r="B5" t="inlineStr">
        <is>
          <t>Parkview Projects Pty Ltd</t>
        </is>
      </c>
      <c r="C5" t="inlineStr">
        <is>
          <t>97 771 735 822</t>
        </is>
      </c>
      <c r="D5" t="inlineStr">
        <is>
          <t>accounts@parkviewprojects.example</t>
        </is>
      </c>
      <c r="E5" s="11" t="n">
        <v>45488</v>
      </c>
      <c r="F5" t="inlineStr">
        <is>
          <t>C0001</t>
        </is>
      </c>
      <c r="G5" t="inlineStr">
        <is>
          <t>Parkview Projects Pty Ltd</t>
        </is>
      </c>
      <c r="H5" t="inlineStr"/>
      <c r="I5" t="inlineStr"/>
      <c r="J5" t="inlineStr"/>
      <c r="K5" t="inlineStr"/>
      <c r="L5" t="inlineStr">
        <is>
          <t>Keep</t>
        </is>
      </c>
      <c r="M5">
        <f>COUNTIF('Invoice Lines'!$E$5:$E$2542,A5)</f>
        <v>15</v>
      </c>
      <c r="N5" s="9">
        <f>SUMIFS('Invoice Lines'!$K$5:$K$2542,'Invoice Lines'!$E$5:$E$2542,A5,'Invoice Lines'!$M$5:$M$2542,1)</f>
        <v>18826.1</v>
      </c>
      <c r="O5" t="str">
        <f>IF(COUNTIF('Contacts'!$A$5:$A$157,F5)=0,"MISSING",IF(INDEX('Contacts'!$F$5:$F$157,MATCH(F5,'Contacts'!$A$5:$A$157,0))=F5,"OK","CHAIN"))</f>
        <v>OK</v>
      </c>
    </row>
    <row r="6">
      <c r="A6" t="inlineStr">
        <is>
          <t>C0002</t>
        </is>
      </c>
      <c r="B6" t="inlineStr">
        <is>
          <t>Summit Building Group</t>
        </is>
      </c>
      <c r="C6" t="inlineStr"/>
      <c r="D6" t="inlineStr">
        <is>
          <t>accounts@summitbuildinggrou.example</t>
        </is>
      </c>
      <c r="E6" s="11" t="n">
        <v>45668</v>
      </c>
      <c r="F6" t="inlineStr">
        <is>
          <t>C0002</t>
        </is>
      </c>
      <c r="G6" t="inlineStr">
        <is>
          <t>Summit Building Group</t>
        </is>
      </c>
      <c r="H6" t="inlineStr"/>
      <c r="I6" t="inlineStr"/>
      <c r="J6" t="inlineStr"/>
      <c r="K6" t="inlineStr"/>
      <c r="L6" t="inlineStr">
        <is>
          <t>Keep</t>
        </is>
      </c>
      <c r="M6">
        <f>COUNTIF('Invoice Lines'!$E$5:$E$2542,A6)</f>
        <v>29</v>
      </c>
      <c r="N6" s="9">
        <f>SUMIFS('Invoice Lines'!$K$5:$K$2542,'Invoice Lines'!$E$5:$E$2542,A6,'Invoice Lines'!$M$5:$M$2542,1)</f>
        <v>21764.29</v>
      </c>
      <c r="O6" t="str">
        <f>IF(COUNTIF('Contacts'!$A$5:$A$157,F6)=0,"MISSING",IF(INDEX('Contacts'!$F$5:$F$157,MATCH(F6,'Contacts'!$A$5:$A$157,0))=F6,"OK","CHAIN"))</f>
        <v>OK</v>
      </c>
    </row>
    <row r="7">
      <c r="A7" t="inlineStr">
        <is>
          <t>C0003</t>
        </is>
      </c>
      <c r="B7" t="inlineStr">
        <is>
          <t>Summit Projects Pty Ltd</t>
        </is>
      </c>
      <c r="C7" t="inlineStr">
        <is>
          <t>90 510 179 160</t>
        </is>
      </c>
      <c r="D7" t="inlineStr">
        <is>
          <t>accounts@summitprojects.example</t>
        </is>
      </c>
      <c r="E7" s="11" t="n">
        <v>45576</v>
      </c>
      <c r="F7" t="inlineStr">
        <is>
          <t>C0003</t>
        </is>
      </c>
      <c r="G7" t="inlineStr">
        <is>
          <t>Summit Projects Pty Ltd</t>
        </is>
      </c>
      <c r="H7" t="inlineStr"/>
      <c r="I7" t="inlineStr"/>
      <c r="J7" t="inlineStr"/>
      <c r="K7" t="inlineStr"/>
      <c r="L7" t="inlineStr">
        <is>
          <t>Keep</t>
        </is>
      </c>
      <c r="M7">
        <f>COUNTIF('Invoice Lines'!$E$5:$E$2542,A7)</f>
        <v>21</v>
      </c>
      <c r="N7" s="9">
        <f>SUMIFS('Invoice Lines'!$K$5:$K$2542,'Invoice Lines'!$E$5:$E$2542,A7,'Invoice Lines'!$M$5:$M$2542,1)</f>
        <v>13453.8</v>
      </c>
      <c r="O7" t="str">
        <f>IF(COUNTIF('Contacts'!$A$5:$A$157,F7)=0,"MISSING",IF(INDEX('Contacts'!$F$5:$F$157,MATCH(F7,'Contacts'!$A$5:$A$157,0))=F7,"OK","CHAIN"))</f>
        <v>OK</v>
      </c>
    </row>
    <row r="8">
      <c r="A8" t="inlineStr">
        <is>
          <t>C0004</t>
        </is>
      </c>
      <c r="B8" t="inlineStr">
        <is>
          <t>Lakeside Builders Pty Ltd</t>
        </is>
      </c>
      <c r="C8" t="inlineStr">
        <is>
          <t>96 276 024 262</t>
        </is>
      </c>
      <c r="D8" t="inlineStr">
        <is>
          <t>accounts@lakesidebuilders.example</t>
        </is>
      </c>
      <c r="E8" s="11" t="n">
        <v>45484</v>
      </c>
      <c r="F8" t="inlineStr">
        <is>
          <t>C0004</t>
        </is>
      </c>
      <c r="G8" t="inlineStr">
        <is>
          <t>Lakeside Builders Pty Ltd</t>
        </is>
      </c>
      <c r="H8" t="inlineStr"/>
      <c r="I8" t="inlineStr"/>
      <c r="J8" t="inlineStr"/>
      <c r="K8" t="inlineStr"/>
      <c r="L8" t="inlineStr">
        <is>
          <t>Keep</t>
        </is>
      </c>
      <c r="M8">
        <f>COUNTIF('Invoice Lines'!$E$5:$E$2542,A8)</f>
        <v>7</v>
      </c>
      <c r="N8" s="9">
        <f>SUMIFS('Invoice Lines'!$K$5:$K$2542,'Invoice Lines'!$E$5:$E$2542,A8,'Invoice Lines'!$M$5:$M$2542,1)</f>
        <v>1557.6</v>
      </c>
      <c r="O8" t="str">
        <f>IF(COUNTIF('Contacts'!$A$5:$A$157,F8)=0,"MISSING",IF(INDEX('Contacts'!$F$5:$F$157,MATCH(F8,'Contacts'!$A$5:$A$157,0))=F8,"OK","CHAIN"))</f>
        <v>OK</v>
      </c>
    </row>
    <row r="9">
      <c r="A9" t="inlineStr">
        <is>
          <t>C0005</t>
        </is>
      </c>
      <c r="B9" t="inlineStr">
        <is>
          <t>Fairway Developments</t>
        </is>
      </c>
      <c r="C9" t="inlineStr">
        <is>
          <t>98 790 561 070</t>
        </is>
      </c>
      <c r="D9" t="inlineStr">
        <is>
          <t>accounts@fairwaydevelopment.example</t>
        </is>
      </c>
      <c r="E9" s="11" t="n">
        <v>45594</v>
      </c>
      <c r="F9" t="inlineStr">
        <is>
          <t>C0005</t>
        </is>
      </c>
      <c r="G9" t="inlineStr">
        <is>
          <t>Fairway Developments</t>
        </is>
      </c>
      <c r="H9" t="inlineStr"/>
      <c r="I9" t="inlineStr"/>
      <c r="J9" t="inlineStr"/>
      <c r="K9" t="inlineStr"/>
      <c r="L9" t="inlineStr">
        <is>
          <t>Keep</t>
        </is>
      </c>
      <c r="M9">
        <f>COUNTIF('Invoice Lines'!$E$5:$E$2542,A9)</f>
        <v>7</v>
      </c>
      <c r="N9" s="9">
        <f>SUMIFS('Invoice Lines'!$K$5:$K$2542,'Invoice Lines'!$E$5:$E$2542,A9,'Invoice Lines'!$M$5:$M$2542,1)</f>
        <v>2743.96</v>
      </c>
      <c r="O9" t="str">
        <f>IF(COUNTIF('Contacts'!$A$5:$A$157,F9)=0,"MISSING",IF(INDEX('Contacts'!$F$5:$F$157,MATCH(F9,'Contacts'!$A$5:$A$157,0))=F9,"OK","CHAIN"))</f>
        <v>OK</v>
      </c>
    </row>
    <row r="10">
      <c r="A10" t="inlineStr">
        <is>
          <t>C0006</t>
        </is>
      </c>
      <c r="B10" t="inlineStr">
        <is>
          <t>Harbour Homes</t>
        </is>
      </c>
      <c r="C10" t="inlineStr">
        <is>
          <t>98 241 863 362</t>
        </is>
      </c>
      <c r="D10" t="inlineStr">
        <is>
          <t>accounts@harbourhomes.example</t>
        </is>
      </c>
      <c r="E10" s="11" t="n">
        <v>45325</v>
      </c>
      <c r="F10" t="inlineStr">
        <is>
          <t>C0006</t>
        </is>
      </c>
      <c r="G10" t="inlineStr">
        <is>
          <t>Harbour Homes</t>
        </is>
      </c>
      <c r="H10" t="inlineStr"/>
      <c r="I10" t="inlineStr"/>
      <c r="J10" t="inlineStr"/>
      <c r="K10" t="inlineStr"/>
      <c r="L10" t="inlineStr">
        <is>
          <t>Keep</t>
        </is>
      </c>
      <c r="M10">
        <f>COUNTIF('Invoice Lines'!$E$5:$E$2542,A10)</f>
        <v>14</v>
      </c>
      <c r="N10" s="9">
        <f>SUMIFS('Invoice Lines'!$K$5:$K$2542,'Invoice Lines'!$E$5:$E$2542,A10,'Invoice Lines'!$M$5:$M$2542,1)</f>
        <v>16320.85</v>
      </c>
      <c r="O10" t="str">
        <f>IF(COUNTIF('Contacts'!$A$5:$A$157,F10)=0,"MISSING",IF(INDEX('Contacts'!$F$5:$F$157,MATCH(F10,'Contacts'!$A$5:$A$157,0))=F10,"OK","CHAIN"))</f>
        <v>OK</v>
      </c>
    </row>
    <row r="11">
      <c r="A11" t="inlineStr">
        <is>
          <t>C0007</t>
        </is>
      </c>
      <c r="B11" t="inlineStr">
        <is>
          <t>Eastlink Projects</t>
        </is>
      </c>
      <c r="C11" t="inlineStr">
        <is>
          <t>96 055 101 861</t>
        </is>
      </c>
      <c r="D11" t="inlineStr">
        <is>
          <t>accounts@eastlinkprojects.example</t>
        </is>
      </c>
      <c r="E11" s="11" t="n">
        <v>45066</v>
      </c>
      <c r="F11" t="inlineStr">
        <is>
          <t>C0007</t>
        </is>
      </c>
      <c r="G11" t="inlineStr">
        <is>
          <t>Eastlink Projects</t>
        </is>
      </c>
      <c r="H11" t="inlineStr"/>
      <c r="I11" t="inlineStr"/>
      <c r="J11" t="inlineStr"/>
      <c r="K11" t="inlineStr"/>
      <c r="L11" t="inlineStr">
        <is>
          <t>Keep</t>
        </is>
      </c>
      <c r="M11">
        <f>COUNTIF('Invoice Lines'!$E$5:$E$2542,A11)</f>
        <v>21</v>
      </c>
      <c r="N11" s="9">
        <f>SUMIFS('Invoice Lines'!$K$5:$K$2542,'Invoice Lines'!$E$5:$E$2542,A11,'Invoice Lines'!$M$5:$M$2542,1)</f>
        <v>19844.3</v>
      </c>
      <c r="O11" t="str">
        <f>IF(COUNTIF('Contacts'!$A$5:$A$157,F11)=0,"MISSING",IF(INDEX('Contacts'!$F$5:$F$157,MATCH(F11,'Contacts'!$A$5:$A$157,0))=F11,"OK","CHAIN"))</f>
        <v>OK</v>
      </c>
    </row>
    <row r="12">
      <c r="A12" t="inlineStr">
        <is>
          <t>C0008</t>
        </is>
      </c>
      <c r="B12" t="inlineStr">
        <is>
          <t>Redline Builders Pty Ltd</t>
        </is>
      </c>
      <c r="C12" t="inlineStr"/>
      <c r="D12" t="inlineStr">
        <is>
          <t>accounts@redlinebuilders.example</t>
        </is>
      </c>
      <c r="E12" s="11" t="n">
        <v>45273</v>
      </c>
      <c r="F12" t="inlineStr">
        <is>
          <t>C0008</t>
        </is>
      </c>
      <c r="G12" t="inlineStr">
        <is>
          <t>Redline Builders Pty Ltd</t>
        </is>
      </c>
      <c r="H12" t="inlineStr"/>
      <c r="I12" t="inlineStr"/>
      <c r="J12" t="inlineStr"/>
      <c r="K12" t="inlineStr"/>
      <c r="L12" t="inlineStr">
        <is>
          <t>Keep</t>
        </is>
      </c>
      <c r="M12">
        <f>COUNTIF('Invoice Lines'!$E$5:$E$2542,A12)</f>
        <v>23</v>
      </c>
      <c r="N12" s="9">
        <f>SUMIFS('Invoice Lines'!$K$5:$K$2542,'Invoice Lines'!$E$5:$E$2542,A12,'Invoice Lines'!$M$5:$M$2542,1)</f>
        <v>13662.11</v>
      </c>
      <c r="O12" t="str">
        <f>IF(COUNTIF('Contacts'!$A$5:$A$157,F12)=0,"MISSING",IF(INDEX('Contacts'!$F$5:$F$157,MATCH(F12,'Contacts'!$A$5:$A$157,0))=F12,"OK","CHAIN"))</f>
        <v>OK</v>
      </c>
    </row>
    <row r="13">
      <c r="A13" t="inlineStr">
        <is>
          <t>C0009</t>
        </is>
      </c>
      <c r="B13" t="inlineStr">
        <is>
          <t>Bluegum Projects Pty Ltd</t>
        </is>
      </c>
      <c r="C13" t="inlineStr">
        <is>
          <t>90 418 355 629</t>
        </is>
      </c>
      <c r="D13" t="inlineStr">
        <is>
          <t>accounts@bluegumprojects.example</t>
        </is>
      </c>
      <c r="E13" s="11" t="n">
        <v>45654</v>
      </c>
      <c r="F13" t="inlineStr">
        <is>
          <t>C0009</t>
        </is>
      </c>
      <c r="G13" t="inlineStr">
        <is>
          <t>Bluegum Projects Pty Ltd</t>
        </is>
      </c>
      <c r="H13" t="inlineStr"/>
      <c r="I13" t="inlineStr"/>
      <c r="J13" t="inlineStr"/>
      <c r="K13" t="inlineStr"/>
      <c r="L13" t="inlineStr">
        <is>
          <t>Keep</t>
        </is>
      </c>
      <c r="M13">
        <f>COUNTIF('Invoice Lines'!$E$5:$E$2542,A13)</f>
        <v>0</v>
      </c>
      <c r="N13" s="9">
        <f>SUMIFS('Invoice Lines'!$K$5:$K$2542,'Invoice Lines'!$E$5:$E$2542,A13,'Invoice Lines'!$M$5:$M$2542,1)</f>
        <v>0</v>
      </c>
      <c r="O13" t="str">
        <f>IF(COUNTIF('Contacts'!$A$5:$A$157,F13)=0,"MISSING",IF(INDEX('Contacts'!$F$5:$F$157,MATCH(F13,'Contacts'!$A$5:$A$157,0))=F13,"OK","CHAIN"))</f>
        <v>OK</v>
      </c>
    </row>
    <row r="14">
      <c r="A14" t="inlineStr">
        <is>
          <t>C0010</t>
        </is>
      </c>
      <c r="B14" t="inlineStr">
        <is>
          <t>Eastlink Developments</t>
        </is>
      </c>
      <c r="C14" t="inlineStr">
        <is>
          <t>90 321 519 032</t>
        </is>
      </c>
      <c r="D14" t="inlineStr">
        <is>
          <t>accounts@eastlinkdevelopmen.example</t>
        </is>
      </c>
      <c r="E14" s="11" t="n">
        <v>44953</v>
      </c>
      <c r="F14" t="inlineStr">
        <is>
          <t>C0010</t>
        </is>
      </c>
      <c r="G14" t="inlineStr">
        <is>
          <t>Eastlink Developments</t>
        </is>
      </c>
      <c r="H14" t="inlineStr"/>
      <c r="I14" t="inlineStr"/>
      <c r="J14" t="inlineStr"/>
      <c r="K14" t="inlineStr"/>
      <c r="L14" t="inlineStr">
        <is>
          <t>Keep</t>
        </is>
      </c>
      <c r="M14">
        <f>COUNTIF('Invoice Lines'!$E$5:$E$2542,A14)</f>
        <v>16</v>
      </c>
      <c r="N14" s="9">
        <f>SUMIFS('Invoice Lines'!$K$5:$K$2542,'Invoice Lines'!$E$5:$E$2542,A14,'Invoice Lines'!$M$5:$M$2542,1)</f>
        <v>17708.8</v>
      </c>
      <c r="O14" t="str">
        <f>IF(COUNTIF('Contacts'!$A$5:$A$157,F14)=0,"MISSING",IF(INDEX('Contacts'!$F$5:$F$157,MATCH(F14,'Contacts'!$A$5:$A$157,0))=F14,"OK","CHAIN"))</f>
        <v>OK</v>
      </c>
    </row>
    <row r="15">
      <c r="A15" t="inlineStr">
        <is>
          <t>C0011</t>
        </is>
      </c>
      <c r="B15" t="inlineStr">
        <is>
          <t>Wattle Homes Pty Ltd</t>
        </is>
      </c>
      <c r="C15" t="inlineStr">
        <is>
          <t>98 985 850 842</t>
        </is>
      </c>
      <c r="D15" t="inlineStr">
        <is>
          <t>accounts@wattlehomes.example</t>
        </is>
      </c>
      <c r="E15" s="11" t="n">
        <v>45037</v>
      </c>
      <c r="F15" t="inlineStr">
        <is>
          <t>C0011</t>
        </is>
      </c>
      <c r="G15" t="inlineStr">
        <is>
          <t>Wattle Homes Pty Ltd</t>
        </is>
      </c>
      <c r="H15" t="inlineStr"/>
      <c r="I15" t="inlineStr"/>
      <c r="J15" t="inlineStr"/>
      <c r="K15" t="inlineStr"/>
      <c r="L15" t="inlineStr">
        <is>
          <t>Keep</t>
        </is>
      </c>
      <c r="M15">
        <f>COUNTIF('Invoice Lines'!$E$5:$E$2542,A15)</f>
        <v>23</v>
      </c>
      <c r="N15" s="9">
        <f>SUMIFS('Invoice Lines'!$K$5:$K$2542,'Invoice Lines'!$E$5:$E$2542,A15,'Invoice Lines'!$M$5:$M$2542,1)</f>
        <v>9613.4</v>
      </c>
      <c r="O15" t="str">
        <f>IF(COUNTIF('Contacts'!$A$5:$A$157,F15)=0,"MISSING",IF(INDEX('Contacts'!$F$5:$F$157,MATCH(F15,'Contacts'!$A$5:$A$157,0))=F15,"OK","CHAIN"))</f>
        <v>OK</v>
      </c>
    </row>
    <row r="16">
      <c r="A16" t="inlineStr">
        <is>
          <t>C0012</t>
        </is>
      </c>
      <c r="B16" t="inlineStr">
        <is>
          <t>Kestrel Constructions Pty Ltd</t>
        </is>
      </c>
      <c r="C16" t="inlineStr">
        <is>
          <t>93 469 136 710</t>
        </is>
      </c>
      <c r="D16" t="inlineStr">
        <is>
          <t>accounts@kestrelconstructio.example</t>
        </is>
      </c>
      <c r="E16" s="11" t="n">
        <v>44927</v>
      </c>
      <c r="F16" t="inlineStr">
        <is>
          <t>C0012</t>
        </is>
      </c>
      <c r="G16" t="inlineStr">
        <is>
          <t>Kestrel Constructions Pty Ltd</t>
        </is>
      </c>
      <c r="H16" t="inlineStr"/>
      <c r="I16" t="inlineStr"/>
      <c r="J16" t="inlineStr"/>
      <c r="K16" t="inlineStr"/>
      <c r="L16" t="inlineStr">
        <is>
          <t>Keep</t>
        </is>
      </c>
      <c r="M16">
        <f>COUNTIF('Invoice Lines'!$E$5:$E$2542,A16)</f>
        <v>21</v>
      </c>
      <c r="N16" s="9">
        <f>SUMIFS('Invoice Lines'!$K$5:$K$2542,'Invoice Lines'!$E$5:$E$2542,A16,'Invoice Lines'!$M$5:$M$2542,1)</f>
        <v>13826.51</v>
      </c>
      <c r="O16" t="str">
        <f>IF(COUNTIF('Contacts'!$A$5:$A$157,F16)=0,"MISSING",IF(INDEX('Contacts'!$F$5:$F$157,MATCH(F16,'Contacts'!$A$5:$A$157,0))=F16,"OK","CHAIN"))</f>
        <v>OK</v>
      </c>
    </row>
    <row r="17">
      <c r="A17" t="inlineStr">
        <is>
          <t>C0013</t>
        </is>
      </c>
      <c r="B17" t="inlineStr">
        <is>
          <t>Granite Builders Pty Ltd</t>
        </is>
      </c>
      <c r="C17" t="inlineStr">
        <is>
          <t>90 332 025 336</t>
        </is>
      </c>
      <c r="D17" t="inlineStr">
        <is>
          <t>accounts@granitebuilders.example</t>
        </is>
      </c>
      <c r="E17" s="11" t="n">
        <v>45560</v>
      </c>
      <c r="F17" t="inlineStr">
        <is>
          <t>C0013</t>
        </is>
      </c>
      <c r="G17" t="inlineStr">
        <is>
          <t>Granite Builders Pty Ltd</t>
        </is>
      </c>
      <c r="H17" t="inlineStr"/>
      <c r="I17" t="inlineStr"/>
      <c r="J17" t="inlineStr"/>
      <c r="K17" t="inlineStr"/>
      <c r="L17" t="inlineStr">
        <is>
          <t>Keep</t>
        </is>
      </c>
      <c r="M17">
        <f>COUNTIF('Invoice Lines'!$E$5:$E$2542,A17)</f>
        <v>0</v>
      </c>
      <c r="N17" s="9">
        <f>SUMIFS('Invoice Lines'!$K$5:$K$2542,'Invoice Lines'!$E$5:$E$2542,A17,'Invoice Lines'!$M$5:$M$2542,1)</f>
        <v>0</v>
      </c>
      <c r="O17" t="str">
        <f>IF(COUNTIF('Contacts'!$A$5:$A$157,F17)=0,"MISSING",IF(INDEX('Contacts'!$F$5:$F$157,MATCH(F17,'Contacts'!$A$5:$A$157,0))=F17,"OK","CHAIN"))</f>
        <v>OK</v>
      </c>
    </row>
    <row r="18">
      <c r="A18" t="inlineStr">
        <is>
          <t>C0014</t>
        </is>
      </c>
      <c r="B18" t="inlineStr">
        <is>
          <t>Riverbend Homes Pty Ltd</t>
        </is>
      </c>
      <c r="C18" t="inlineStr">
        <is>
          <t>93 545 254 903</t>
        </is>
      </c>
      <c r="D18" t="inlineStr">
        <is>
          <t>accounts@riverbendhomes.example</t>
        </is>
      </c>
      <c r="E18" s="11" t="n">
        <v>45198</v>
      </c>
      <c r="F18" t="inlineStr">
        <is>
          <t>C0014</t>
        </is>
      </c>
      <c r="G18" t="inlineStr">
        <is>
          <t>Riverbend Homes Pty Ltd</t>
        </is>
      </c>
      <c r="H18" t="inlineStr"/>
      <c r="I18" t="inlineStr"/>
      <c r="J18" t="inlineStr"/>
      <c r="K18" t="inlineStr"/>
      <c r="L18" t="inlineStr">
        <is>
          <t>Keep</t>
        </is>
      </c>
      <c r="M18">
        <f>COUNTIF('Invoice Lines'!$E$5:$E$2542,A18)</f>
        <v>51</v>
      </c>
      <c r="N18" s="9">
        <f>SUMIFS('Invoice Lines'!$K$5:$K$2542,'Invoice Lines'!$E$5:$E$2542,A18,'Invoice Lines'!$M$5:$M$2542,1)</f>
        <v>30583.46</v>
      </c>
      <c r="O18" t="str">
        <f>IF(COUNTIF('Contacts'!$A$5:$A$157,F18)=0,"MISSING",IF(INDEX('Contacts'!$F$5:$F$157,MATCH(F18,'Contacts'!$A$5:$A$157,0))=F18,"OK","CHAIN"))</f>
        <v>OK</v>
      </c>
    </row>
    <row r="19">
      <c r="A19" t="inlineStr">
        <is>
          <t>C0015</t>
        </is>
      </c>
      <c r="B19" t="inlineStr">
        <is>
          <t>Bluegum Building Group</t>
        </is>
      </c>
      <c r="C19" t="inlineStr">
        <is>
          <t>98 253 930 956</t>
        </is>
      </c>
      <c r="D19" t="inlineStr">
        <is>
          <t>accounts@bluegumbuildinggro.example</t>
        </is>
      </c>
      <c r="E19" s="11" t="n">
        <v>44948</v>
      </c>
      <c r="F19" t="inlineStr">
        <is>
          <t>C0015</t>
        </is>
      </c>
      <c r="G19" t="inlineStr">
        <is>
          <t>Bluegum Building Group</t>
        </is>
      </c>
      <c r="H19" t="inlineStr"/>
      <c r="I19" t="inlineStr"/>
      <c r="J19" t="inlineStr"/>
      <c r="K19" t="inlineStr"/>
      <c r="L19" t="inlineStr">
        <is>
          <t>Keep</t>
        </is>
      </c>
      <c r="M19">
        <f>COUNTIF('Invoice Lines'!$E$5:$E$2542,A19)</f>
        <v>40</v>
      </c>
      <c r="N19" s="9">
        <f>SUMIFS('Invoice Lines'!$K$5:$K$2542,'Invoice Lines'!$E$5:$E$2542,A19,'Invoice Lines'!$M$5:$M$2542,1)</f>
        <v>32911.48</v>
      </c>
      <c r="O19" t="str">
        <f>IF(COUNTIF('Contacts'!$A$5:$A$157,F19)=0,"MISSING",IF(INDEX('Contacts'!$F$5:$F$157,MATCH(F19,'Contacts'!$A$5:$A$157,0))=F19,"OK","CHAIN"))</f>
        <v>OK</v>
      </c>
    </row>
    <row r="20">
      <c r="A20" t="inlineStr">
        <is>
          <t>C0016</t>
        </is>
      </c>
      <c r="B20" t="inlineStr">
        <is>
          <t>Juniper Developments Pty Ltd</t>
        </is>
      </c>
      <c r="C20" t="inlineStr">
        <is>
          <t>96 600 576 893</t>
        </is>
      </c>
      <c r="D20" t="inlineStr">
        <is>
          <t>accounts@juniperdevelopment.example</t>
        </is>
      </c>
      <c r="E20" s="11" t="n">
        <v>45580</v>
      </c>
      <c r="F20" t="inlineStr">
        <is>
          <t>C0016</t>
        </is>
      </c>
      <c r="G20" t="inlineStr">
        <is>
          <t>Juniper Developments Pty Ltd</t>
        </is>
      </c>
      <c r="H20" t="inlineStr"/>
      <c r="I20" t="inlineStr"/>
      <c r="J20" t="inlineStr"/>
      <c r="K20" t="inlineStr"/>
      <c r="L20" t="inlineStr">
        <is>
          <t>Keep</t>
        </is>
      </c>
      <c r="M20">
        <f>COUNTIF('Invoice Lines'!$E$5:$E$2542,A20)</f>
        <v>4</v>
      </c>
      <c r="N20" s="9">
        <f>SUMIFS('Invoice Lines'!$K$5:$K$2542,'Invoice Lines'!$E$5:$E$2542,A20,'Invoice Lines'!$M$5:$M$2542,1)</f>
        <v>1195</v>
      </c>
      <c r="O20" t="str">
        <f>IF(COUNTIF('Contacts'!$A$5:$A$157,F20)=0,"MISSING",IF(INDEX('Contacts'!$F$5:$F$157,MATCH(F20,'Contacts'!$A$5:$A$157,0))=F20,"OK","CHAIN"))</f>
        <v>OK</v>
      </c>
    </row>
    <row r="21">
      <c r="A21" t="inlineStr">
        <is>
          <t>C0017</t>
        </is>
      </c>
      <c r="B21" t="inlineStr">
        <is>
          <t>Cobalt Developments Pty Ltd</t>
        </is>
      </c>
      <c r="C21" t="inlineStr"/>
      <c r="D21" t="inlineStr">
        <is>
          <t>accounts@cobaltdevelopments.example</t>
        </is>
      </c>
      <c r="E21" s="11" t="n">
        <v>45653</v>
      </c>
      <c r="F21" t="inlineStr">
        <is>
          <t>C0017</t>
        </is>
      </c>
      <c r="G21" t="inlineStr">
        <is>
          <t>Cobalt Developments Pty Ltd</t>
        </is>
      </c>
      <c r="H21" t="inlineStr"/>
      <c r="I21" t="inlineStr"/>
      <c r="J21" t="inlineStr"/>
      <c r="K21" t="inlineStr"/>
      <c r="L21" t="inlineStr">
        <is>
          <t>Keep</t>
        </is>
      </c>
      <c r="M21">
        <f>COUNTIF('Invoice Lines'!$E$5:$E$2542,A21)</f>
        <v>36</v>
      </c>
      <c r="N21" s="9">
        <f>SUMIFS('Invoice Lines'!$K$5:$K$2542,'Invoice Lines'!$E$5:$E$2542,A21,'Invoice Lines'!$M$5:$M$2542,1)</f>
        <v>15063.38</v>
      </c>
      <c r="O21" t="str">
        <f>IF(COUNTIF('Contacts'!$A$5:$A$157,F21)=0,"MISSING",IF(INDEX('Contacts'!$F$5:$F$157,MATCH(F21,'Contacts'!$A$5:$A$157,0))=F21,"OK","CHAIN"))</f>
        <v>OK</v>
      </c>
    </row>
    <row r="22">
      <c r="A22" t="inlineStr">
        <is>
          <t>C0018</t>
        </is>
      </c>
      <c r="B22" t="inlineStr">
        <is>
          <t>Wattle Constructions Pty Ltd</t>
        </is>
      </c>
      <c r="C22" t="inlineStr"/>
      <c r="D22" t="inlineStr">
        <is>
          <t>accounts@wattleconstruction.example</t>
        </is>
      </c>
      <c r="E22" s="11" t="n">
        <v>44999</v>
      </c>
      <c r="F22" t="inlineStr">
        <is>
          <t>C0018</t>
        </is>
      </c>
      <c r="G22" t="inlineStr">
        <is>
          <t>Wattle Constructions Pty Ltd</t>
        </is>
      </c>
      <c r="H22" t="inlineStr"/>
      <c r="I22" t="inlineStr"/>
      <c r="J22" t="inlineStr"/>
      <c r="K22" t="inlineStr"/>
      <c r="L22" t="inlineStr">
        <is>
          <t>Keep</t>
        </is>
      </c>
      <c r="M22">
        <f>COUNTIF('Invoice Lines'!$E$5:$E$2542,A22)</f>
        <v>66</v>
      </c>
      <c r="N22" s="9">
        <f>SUMIFS('Invoice Lines'!$K$5:$K$2542,'Invoice Lines'!$E$5:$E$2542,A22,'Invoice Lines'!$M$5:$M$2542,1)</f>
        <v>36120.83</v>
      </c>
      <c r="O22" t="str">
        <f>IF(COUNTIF('Contacts'!$A$5:$A$157,F22)=0,"MISSING",IF(INDEX('Contacts'!$F$5:$F$157,MATCH(F22,'Contacts'!$A$5:$A$157,0))=F22,"OK","CHAIN"))</f>
        <v>OK</v>
      </c>
    </row>
    <row r="23">
      <c r="A23" t="inlineStr">
        <is>
          <t>C0019</t>
        </is>
      </c>
      <c r="B23" t="inlineStr">
        <is>
          <t>Metro Developments</t>
        </is>
      </c>
      <c r="C23" t="inlineStr">
        <is>
          <t>95 518 721 376</t>
        </is>
      </c>
      <c r="D23" t="inlineStr">
        <is>
          <t>accounts@metrodevelopments.example</t>
        </is>
      </c>
      <c r="E23" s="11" t="n">
        <v>45461</v>
      </c>
      <c r="F23" t="inlineStr">
        <is>
          <t>C0019</t>
        </is>
      </c>
      <c r="G23" t="inlineStr">
        <is>
          <t>Metro Developments</t>
        </is>
      </c>
      <c r="H23" t="inlineStr"/>
      <c r="I23" t="inlineStr"/>
      <c r="J23" t="inlineStr"/>
      <c r="K23" t="inlineStr"/>
      <c r="L23" t="inlineStr">
        <is>
          <t>Keep</t>
        </is>
      </c>
      <c r="M23">
        <f>COUNTIF('Invoice Lines'!$E$5:$E$2542,A23)</f>
        <v>21</v>
      </c>
      <c r="N23" s="9">
        <f>SUMIFS('Invoice Lines'!$K$5:$K$2542,'Invoice Lines'!$E$5:$E$2542,A23,'Invoice Lines'!$M$5:$M$2542,1)</f>
        <v>13069.07</v>
      </c>
      <c r="O23" t="str">
        <f>IF(COUNTIF('Contacts'!$A$5:$A$157,F23)=0,"MISSING",IF(INDEX('Contacts'!$F$5:$F$157,MATCH(F23,'Contacts'!$A$5:$A$157,0))=F23,"OK","CHAIN"))</f>
        <v>OK</v>
      </c>
    </row>
    <row r="24">
      <c r="A24" t="inlineStr">
        <is>
          <t>C0020</t>
        </is>
      </c>
      <c r="B24" t="inlineStr">
        <is>
          <t>Eastlink Constructions</t>
        </is>
      </c>
      <c r="C24" t="inlineStr">
        <is>
          <t>96 991 728 334</t>
        </is>
      </c>
      <c r="D24" t="inlineStr">
        <is>
          <t>accounts@eastlinkconstructi.example</t>
        </is>
      </c>
      <c r="E24" s="11" t="n">
        <v>45093</v>
      </c>
      <c r="F24" t="inlineStr">
        <is>
          <t>C0020</t>
        </is>
      </c>
      <c r="G24" t="inlineStr">
        <is>
          <t>Eastlink Constructions</t>
        </is>
      </c>
      <c r="H24" t="inlineStr"/>
      <c r="I24" t="inlineStr"/>
      <c r="J24" t="inlineStr"/>
      <c r="K24" t="inlineStr"/>
      <c r="L24" t="inlineStr">
        <is>
          <t>Keep</t>
        </is>
      </c>
      <c r="M24">
        <f>COUNTIF('Invoice Lines'!$E$5:$E$2542,A24)</f>
        <v>25</v>
      </c>
      <c r="N24" s="9">
        <f>SUMIFS('Invoice Lines'!$K$5:$K$2542,'Invoice Lines'!$E$5:$E$2542,A24,'Invoice Lines'!$M$5:$M$2542,1)</f>
        <v>18062.47</v>
      </c>
      <c r="O24" t="str">
        <f>IF(COUNTIF('Contacts'!$A$5:$A$157,F24)=0,"MISSING",IF(INDEX('Contacts'!$F$5:$F$157,MATCH(F24,'Contacts'!$A$5:$A$157,0))=F24,"OK","CHAIN"))</f>
        <v>OK</v>
      </c>
    </row>
    <row r="25">
      <c r="A25" t="inlineStr">
        <is>
          <t>C0021</t>
        </is>
      </c>
      <c r="B25" t="inlineStr">
        <is>
          <t>Ironbark Building Group</t>
        </is>
      </c>
      <c r="C25" t="inlineStr">
        <is>
          <t>91 201 447 719</t>
        </is>
      </c>
      <c r="D25" t="inlineStr">
        <is>
          <t>accounts@ironbarkbuildinggr.example</t>
        </is>
      </c>
      <c r="E25" s="11" t="n">
        <v>45565</v>
      </c>
      <c r="F25" t="inlineStr">
        <is>
          <t>C0021</t>
        </is>
      </c>
      <c r="G25" t="inlineStr">
        <is>
          <t>Ironbark Building Group</t>
        </is>
      </c>
      <c r="H25" t="inlineStr"/>
      <c r="I25" t="inlineStr"/>
      <c r="J25" t="inlineStr"/>
      <c r="K25" t="inlineStr"/>
      <c r="L25" t="inlineStr">
        <is>
          <t>Keep</t>
        </is>
      </c>
      <c r="M25">
        <f>COUNTIF('Invoice Lines'!$E$5:$E$2542,A25)</f>
        <v>16</v>
      </c>
      <c r="N25" s="9">
        <f>SUMIFS('Invoice Lines'!$K$5:$K$2542,'Invoice Lines'!$E$5:$E$2542,A25,'Invoice Lines'!$M$5:$M$2542,1)</f>
        <v>13402.11</v>
      </c>
      <c r="O25" t="str">
        <f>IF(COUNTIF('Contacts'!$A$5:$A$157,F25)=0,"MISSING",IF(INDEX('Contacts'!$F$5:$F$157,MATCH(F25,'Contacts'!$A$5:$A$157,0))=F25,"OK","CHAIN"))</f>
        <v>OK</v>
      </c>
    </row>
    <row r="26">
      <c r="A26" t="inlineStr">
        <is>
          <t>C0022</t>
        </is>
      </c>
      <c r="B26" t="inlineStr">
        <is>
          <t>Highpoint Projects</t>
        </is>
      </c>
      <c r="C26" t="inlineStr">
        <is>
          <t>94 682 905 390</t>
        </is>
      </c>
      <c r="D26" t="inlineStr">
        <is>
          <t>accounts@highpointprojects.example</t>
        </is>
      </c>
      <c r="E26" s="11" t="n">
        <v>45430</v>
      </c>
      <c r="F26" t="inlineStr">
        <is>
          <t>C0022</t>
        </is>
      </c>
      <c r="G26" t="inlineStr">
        <is>
          <t>Highpoint Projects</t>
        </is>
      </c>
      <c r="H26" t="inlineStr"/>
      <c r="I26" t="inlineStr"/>
      <c r="J26" t="inlineStr"/>
      <c r="K26" t="inlineStr"/>
      <c r="L26" t="inlineStr">
        <is>
          <t>Keep</t>
        </is>
      </c>
      <c r="M26">
        <f>COUNTIF('Invoice Lines'!$E$5:$E$2542,A26)</f>
        <v>114</v>
      </c>
      <c r="N26" s="9">
        <f>SUMIFS('Invoice Lines'!$K$5:$K$2542,'Invoice Lines'!$E$5:$E$2542,A26,'Invoice Lines'!$M$5:$M$2542,1)</f>
        <v>84685.59</v>
      </c>
      <c r="O26" t="str">
        <f>IF(COUNTIF('Contacts'!$A$5:$A$157,F26)=0,"MISSING",IF(INDEX('Contacts'!$F$5:$F$157,MATCH(F26,'Contacts'!$A$5:$A$157,0))=F26,"OK","CHAIN"))</f>
        <v>OK</v>
      </c>
    </row>
    <row r="27">
      <c r="A27" t="inlineStr">
        <is>
          <t>C0023</t>
        </is>
      </c>
      <c r="B27" t="inlineStr">
        <is>
          <t>Ashford Constructions Pty Ltd</t>
        </is>
      </c>
      <c r="C27" t="inlineStr">
        <is>
          <t>94 012 055 653</t>
        </is>
      </c>
      <c r="D27" t="inlineStr">
        <is>
          <t>accounts@ashfordconstructio.example</t>
        </is>
      </c>
      <c r="E27" s="11" t="n">
        <v>45545</v>
      </c>
      <c r="F27" t="inlineStr">
        <is>
          <t>C0023</t>
        </is>
      </c>
      <c r="G27" t="inlineStr">
        <is>
          <t>Ashford Constructions Pty Ltd</t>
        </is>
      </c>
      <c r="H27" t="inlineStr"/>
      <c r="I27" t="inlineStr"/>
      <c r="J27" t="inlineStr"/>
      <c r="K27" t="inlineStr"/>
      <c r="L27" t="inlineStr">
        <is>
          <t>Keep</t>
        </is>
      </c>
      <c r="M27">
        <f>COUNTIF('Invoice Lines'!$E$5:$E$2542,A27)</f>
        <v>7</v>
      </c>
      <c r="N27" s="9">
        <f>SUMIFS('Invoice Lines'!$K$5:$K$2542,'Invoice Lines'!$E$5:$E$2542,A27,'Invoice Lines'!$M$5:$M$2542,1)</f>
        <v>4676.57</v>
      </c>
      <c r="O27" t="str">
        <f>IF(COUNTIF('Contacts'!$A$5:$A$157,F27)=0,"MISSING",IF(INDEX('Contacts'!$F$5:$F$157,MATCH(F27,'Contacts'!$A$5:$A$157,0))=F27,"OK","CHAIN"))</f>
        <v>OK</v>
      </c>
    </row>
    <row r="28">
      <c r="A28" t="inlineStr">
        <is>
          <t>C0024</t>
        </is>
      </c>
      <c r="B28" t="inlineStr">
        <is>
          <t>Parkview Homes Pty Ltd</t>
        </is>
      </c>
      <c r="C28" t="inlineStr">
        <is>
          <t>92 528 181 718</t>
        </is>
      </c>
      <c r="D28" t="inlineStr">
        <is>
          <t>accounts@parkviewhomes.example</t>
        </is>
      </c>
      <c r="E28" s="11" t="n">
        <v>45218</v>
      </c>
      <c r="F28" t="inlineStr">
        <is>
          <t>C0024</t>
        </is>
      </c>
      <c r="G28" t="inlineStr">
        <is>
          <t>Parkview Homes Pty Ltd</t>
        </is>
      </c>
      <c r="H28" t="inlineStr"/>
      <c r="I28" t="inlineStr"/>
      <c r="J28" t="inlineStr"/>
      <c r="K28" t="inlineStr"/>
      <c r="L28" t="inlineStr">
        <is>
          <t>Keep</t>
        </is>
      </c>
      <c r="M28">
        <f>COUNTIF('Invoice Lines'!$E$5:$E$2542,A28)</f>
        <v>82</v>
      </c>
      <c r="N28" s="9">
        <f>SUMIFS('Invoice Lines'!$K$5:$K$2542,'Invoice Lines'!$E$5:$E$2542,A28,'Invoice Lines'!$M$5:$M$2542,1)</f>
        <v>55820.67</v>
      </c>
      <c r="O28" t="str">
        <f>IF(COUNTIF('Contacts'!$A$5:$A$157,F28)=0,"MISSING",IF(INDEX('Contacts'!$F$5:$F$157,MATCH(F28,'Contacts'!$A$5:$A$157,0))=F28,"OK","CHAIN"))</f>
        <v>OK</v>
      </c>
    </row>
    <row r="29">
      <c r="A29" t="inlineStr">
        <is>
          <t>C0025</t>
        </is>
      </c>
      <c r="B29" t="inlineStr">
        <is>
          <t>Silverleaf Building Group Pty Ltd</t>
        </is>
      </c>
      <c r="C29" t="inlineStr">
        <is>
          <t>90 114 726 599</t>
        </is>
      </c>
      <c r="D29" t="inlineStr">
        <is>
          <t>accounts@silverleafbuilding.example</t>
        </is>
      </c>
      <c r="E29" s="11" t="n">
        <v>45293</v>
      </c>
      <c r="F29" t="inlineStr">
        <is>
          <t>C0025</t>
        </is>
      </c>
      <c r="G29" t="inlineStr">
        <is>
          <t>Silverleaf Building Group Pty Ltd</t>
        </is>
      </c>
      <c r="H29" t="inlineStr"/>
      <c r="I29" t="inlineStr"/>
      <c r="J29" t="inlineStr"/>
      <c r="K29" t="inlineStr"/>
      <c r="L29" t="inlineStr">
        <is>
          <t>Keep</t>
        </is>
      </c>
      <c r="M29">
        <f>COUNTIF('Invoice Lines'!$E$5:$E$2542,A29)</f>
        <v>16</v>
      </c>
      <c r="N29" s="9">
        <f>SUMIFS('Invoice Lines'!$K$5:$K$2542,'Invoice Lines'!$E$5:$E$2542,A29,'Invoice Lines'!$M$5:$M$2542,1)</f>
        <v>11427.38</v>
      </c>
      <c r="O29" t="str">
        <f>IF(COUNTIF('Contacts'!$A$5:$A$157,F29)=0,"MISSING",IF(INDEX('Contacts'!$F$5:$F$157,MATCH(F29,'Contacts'!$A$5:$A$157,0))=F29,"OK","CHAIN"))</f>
        <v>OK</v>
      </c>
    </row>
    <row r="30">
      <c r="A30" t="inlineStr">
        <is>
          <t>C0026</t>
        </is>
      </c>
      <c r="B30" t="inlineStr">
        <is>
          <t>Juniper Constructions</t>
        </is>
      </c>
      <c r="C30" t="inlineStr">
        <is>
          <t>98 149 609 756</t>
        </is>
      </c>
      <c r="D30" t="inlineStr">
        <is>
          <t>accounts@juniperconstructio.example</t>
        </is>
      </c>
      <c r="E30" s="11" t="n">
        <v>45313</v>
      </c>
      <c r="F30" t="inlineStr">
        <is>
          <t>C0026</t>
        </is>
      </c>
      <c r="G30" t="inlineStr">
        <is>
          <t>Juniper Constructions</t>
        </is>
      </c>
      <c r="H30" t="inlineStr"/>
      <c r="I30" t="inlineStr"/>
      <c r="J30" t="inlineStr"/>
      <c r="K30" t="inlineStr"/>
      <c r="L30" t="inlineStr">
        <is>
          <t>Keep</t>
        </is>
      </c>
      <c r="M30">
        <f>COUNTIF('Invoice Lines'!$E$5:$E$2542,A30)</f>
        <v>18</v>
      </c>
      <c r="N30" s="9">
        <f>SUMIFS('Invoice Lines'!$K$5:$K$2542,'Invoice Lines'!$E$5:$E$2542,A30,'Invoice Lines'!$M$5:$M$2542,1)</f>
        <v>11602.32</v>
      </c>
      <c r="O30" t="str">
        <f>IF(COUNTIF('Contacts'!$A$5:$A$157,F30)=0,"MISSING",IF(INDEX('Contacts'!$F$5:$F$157,MATCH(F30,'Contacts'!$A$5:$A$157,0))=F30,"OK","CHAIN"))</f>
        <v>OK</v>
      </c>
    </row>
    <row r="31">
      <c r="A31" t="inlineStr">
        <is>
          <t>C0027</t>
        </is>
      </c>
      <c r="B31" t="inlineStr">
        <is>
          <t>Metro Projects Pty Ltd</t>
        </is>
      </c>
      <c r="C31" t="inlineStr">
        <is>
          <t>98 780 081 157</t>
        </is>
      </c>
      <c r="D31" t="inlineStr">
        <is>
          <t>accounts@metroprojects.example</t>
        </is>
      </c>
      <c r="E31" s="11" t="n">
        <v>45502</v>
      </c>
      <c r="F31" t="inlineStr">
        <is>
          <t>C0027</t>
        </is>
      </c>
      <c r="G31" t="inlineStr">
        <is>
          <t>Metro Projects Pty Ltd</t>
        </is>
      </c>
      <c r="H31" t="inlineStr"/>
      <c r="I31" t="inlineStr"/>
      <c r="J31" t="inlineStr"/>
      <c r="K31" t="inlineStr"/>
      <c r="L31" t="inlineStr">
        <is>
          <t>Keep</t>
        </is>
      </c>
      <c r="M31">
        <f>COUNTIF('Invoice Lines'!$E$5:$E$2542,A31)</f>
        <v>24</v>
      </c>
      <c r="N31" s="9">
        <f>SUMIFS('Invoice Lines'!$K$5:$K$2542,'Invoice Lines'!$E$5:$E$2542,A31,'Invoice Lines'!$M$5:$M$2542,1)</f>
        <v>17632.2</v>
      </c>
      <c r="O31" t="str">
        <f>IF(COUNTIF('Contacts'!$A$5:$A$157,F31)=0,"MISSING",IF(INDEX('Contacts'!$F$5:$F$157,MATCH(F31,'Contacts'!$A$5:$A$157,0))=F31,"OK","CHAIN"))</f>
        <v>OK</v>
      </c>
    </row>
    <row r="32">
      <c r="A32" t="inlineStr">
        <is>
          <t>C0028</t>
        </is>
      </c>
      <c r="B32" t="inlineStr">
        <is>
          <t>Banksia Homes</t>
        </is>
      </c>
      <c r="C32" t="inlineStr">
        <is>
          <t>97 510 430 436</t>
        </is>
      </c>
      <c r="D32" t="inlineStr">
        <is>
          <t>accounts@banksiahomes.example</t>
        </is>
      </c>
      <c r="E32" s="11" t="n">
        <v>45425</v>
      </c>
      <c r="F32" t="inlineStr">
        <is>
          <t>C0028</t>
        </is>
      </c>
      <c r="G32" t="inlineStr">
        <is>
          <t>Banksia Homes</t>
        </is>
      </c>
      <c r="H32" t="inlineStr"/>
      <c r="I32" t="inlineStr"/>
      <c r="J32" t="inlineStr"/>
      <c r="K32" t="inlineStr"/>
      <c r="L32" t="inlineStr">
        <is>
          <t>Keep</t>
        </is>
      </c>
      <c r="M32">
        <f>COUNTIF('Invoice Lines'!$E$5:$E$2542,A32)</f>
        <v>7</v>
      </c>
      <c r="N32" s="9">
        <f>SUMIFS('Invoice Lines'!$K$5:$K$2542,'Invoice Lines'!$E$5:$E$2542,A32,'Invoice Lines'!$M$5:$M$2542,1)</f>
        <v>3180.6</v>
      </c>
      <c r="O32" t="str">
        <f>IF(COUNTIF('Contacts'!$A$5:$A$157,F32)=0,"MISSING",IF(INDEX('Contacts'!$F$5:$F$157,MATCH(F32,'Contacts'!$A$5:$A$157,0))=F32,"OK","CHAIN"))</f>
        <v>OK</v>
      </c>
    </row>
    <row r="33">
      <c r="A33" t="inlineStr">
        <is>
          <t>C0029</t>
        </is>
      </c>
      <c r="B33" t="inlineStr">
        <is>
          <t>Ironbark Constructions</t>
        </is>
      </c>
      <c r="C33" t="inlineStr">
        <is>
          <t>97 873 866 911</t>
        </is>
      </c>
      <c r="D33" t="inlineStr">
        <is>
          <t>accounts@ironbarkconstructi.example</t>
        </is>
      </c>
      <c r="E33" s="11" t="n">
        <v>45331</v>
      </c>
      <c r="F33" t="inlineStr">
        <is>
          <t>C0029</t>
        </is>
      </c>
      <c r="G33" t="inlineStr">
        <is>
          <t>Ironbark Constructions</t>
        </is>
      </c>
      <c r="H33" t="inlineStr"/>
      <c r="I33" t="inlineStr"/>
      <c r="J33" t="inlineStr"/>
      <c r="K33" t="inlineStr"/>
      <c r="L33" t="inlineStr">
        <is>
          <t>Keep</t>
        </is>
      </c>
      <c r="M33">
        <f>COUNTIF('Invoice Lines'!$E$5:$E$2542,A33)</f>
        <v>33</v>
      </c>
      <c r="N33" s="9">
        <f>SUMIFS('Invoice Lines'!$K$5:$K$2542,'Invoice Lines'!$E$5:$E$2542,A33,'Invoice Lines'!$M$5:$M$2542,1)</f>
        <v>26427.89</v>
      </c>
      <c r="O33" t="str">
        <f>IF(COUNTIF('Contacts'!$A$5:$A$157,F33)=0,"MISSING",IF(INDEX('Contacts'!$F$5:$F$157,MATCH(F33,'Contacts'!$A$5:$A$157,0))=F33,"OK","CHAIN"))</f>
        <v>OK</v>
      </c>
    </row>
    <row r="34">
      <c r="A34" t="inlineStr">
        <is>
          <t>C0030</t>
        </is>
      </c>
      <c r="B34" t="inlineStr">
        <is>
          <t>Bluegum Developments</t>
        </is>
      </c>
      <c r="C34" t="inlineStr">
        <is>
          <t>91 620 562 623</t>
        </is>
      </c>
      <c r="D34" t="inlineStr">
        <is>
          <t>accounts@bluegumdevelopment.example</t>
        </is>
      </c>
      <c r="E34" s="11" t="n">
        <v>45522</v>
      </c>
      <c r="F34" t="inlineStr">
        <is>
          <t>C0030</t>
        </is>
      </c>
      <c r="G34" t="inlineStr">
        <is>
          <t>Bluegum Developments</t>
        </is>
      </c>
      <c r="H34" t="inlineStr"/>
      <c r="I34" t="inlineStr"/>
      <c r="J34" t="inlineStr"/>
      <c r="K34" t="inlineStr"/>
      <c r="L34" t="inlineStr">
        <is>
          <t>Keep</t>
        </is>
      </c>
      <c r="M34">
        <f>COUNTIF('Invoice Lines'!$E$5:$E$2542,A34)</f>
        <v>27</v>
      </c>
      <c r="N34" s="9">
        <f>SUMIFS('Invoice Lines'!$K$5:$K$2542,'Invoice Lines'!$E$5:$E$2542,A34,'Invoice Lines'!$M$5:$M$2542,1)</f>
        <v>20780.25</v>
      </c>
      <c r="O34" t="str">
        <f>IF(COUNTIF('Contacts'!$A$5:$A$157,F34)=0,"MISSING",IF(INDEX('Contacts'!$F$5:$F$157,MATCH(F34,'Contacts'!$A$5:$A$157,0))=F34,"OK","CHAIN"))</f>
        <v>OK</v>
      </c>
    </row>
    <row r="35">
      <c r="A35" t="inlineStr">
        <is>
          <t>C0031</t>
        </is>
      </c>
      <c r="B35" t="inlineStr">
        <is>
          <t>Granite Developments Pty Ltd</t>
        </is>
      </c>
      <c r="C35" t="inlineStr">
        <is>
          <t>95 071 465 931</t>
        </is>
      </c>
      <c r="D35" t="inlineStr">
        <is>
          <t>accounts@granitedevelopment.example</t>
        </is>
      </c>
      <c r="E35" s="11" t="n">
        <v>45162</v>
      </c>
      <c r="F35" t="inlineStr">
        <is>
          <t>C0031</t>
        </is>
      </c>
      <c r="G35" t="inlineStr">
        <is>
          <t>Granite Developments Pty Ltd</t>
        </is>
      </c>
      <c r="H35" t="inlineStr"/>
      <c r="I35" t="inlineStr"/>
      <c r="J35" t="inlineStr"/>
      <c r="K35" t="inlineStr"/>
      <c r="L35" t="inlineStr">
        <is>
          <t>Keep</t>
        </is>
      </c>
      <c r="M35">
        <f>COUNTIF('Invoice Lines'!$E$5:$E$2542,A35)</f>
        <v>7</v>
      </c>
      <c r="N35" s="9">
        <f>SUMIFS('Invoice Lines'!$K$5:$K$2542,'Invoice Lines'!$E$5:$E$2542,A35,'Invoice Lines'!$M$5:$M$2542,1)</f>
        <v>3040</v>
      </c>
      <c r="O35" t="str">
        <f>IF(COUNTIF('Contacts'!$A$5:$A$157,F35)=0,"MISSING",IF(INDEX('Contacts'!$F$5:$F$157,MATCH(F35,'Contacts'!$A$5:$A$157,0))=F35,"OK","CHAIN"))</f>
        <v>OK</v>
      </c>
    </row>
    <row r="36">
      <c r="A36" t="inlineStr">
        <is>
          <t>C0032</t>
        </is>
      </c>
      <c r="B36" t="inlineStr">
        <is>
          <t>Banksia Building Group</t>
        </is>
      </c>
      <c r="C36" t="inlineStr">
        <is>
          <t>95 624 168 272</t>
        </is>
      </c>
      <c r="D36" t="inlineStr">
        <is>
          <t>accounts@banksiabuildinggro.example</t>
        </is>
      </c>
      <c r="E36" s="11" t="n">
        <v>45308</v>
      </c>
      <c r="F36" t="inlineStr">
        <is>
          <t>C0032</t>
        </is>
      </c>
      <c r="G36" t="inlineStr">
        <is>
          <t>Banksia Building Group</t>
        </is>
      </c>
      <c r="H36" t="inlineStr"/>
      <c r="I36" t="inlineStr"/>
      <c r="J36" t="inlineStr"/>
      <c r="K36" t="inlineStr"/>
      <c r="L36" t="inlineStr">
        <is>
          <t>Keep</t>
        </is>
      </c>
      <c r="M36">
        <f>COUNTIF('Invoice Lines'!$E$5:$E$2542,A36)</f>
        <v>0</v>
      </c>
      <c r="N36" s="9">
        <f>SUMIFS('Invoice Lines'!$K$5:$K$2542,'Invoice Lines'!$E$5:$E$2542,A36,'Invoice Lines'!$M$5:$M$2542,1)</f>
        <v>0</v>
      </c>
      <c r="O36" t="str">
        <f>IF(COUNTIF('Contacts'!$A$5:$A$157,F36)=0,"MISSING",IF(INDEX('Contacts'!$F$5:$F$157,MATCH(F36,'Contacts'!$A$5:$A$157,0))=F36,"OK","CHAIN"))</f>
        <v>OK</v>
      </c>
    </row>
    <row r="37">
      <c r="A37" t="inlineStr">
        <is>
          <t>C0033</t>
        </is>
      </c>
      <c r="B37" t="inlineStr">
        <is>
          <t>Granite Projects Pty Ltd</t>
        </is>
      </c>
      <c r="C37" t="inlineStr">
        <is>
          <t>92 236 939 162</t>
        </is>
      </c>
      <c r="D37" t="inlineStr">
        <is>
          <t>accounts@graniteprojects.example</t>
        </is>
      </c>
      <c r="E37" s="11" t="n">
        <v>45006</v>
      </c>
      <c r="F37" t="inlineStr">
        <is>
          <t>C0033</t>
        </is>
      </c>
      <c r="G37" t="inlineStr">
        <is>
          <t>Granite Projects Pty Ltd</t>
        </is>
      </c>
      <c r="H37" t="inlineStr"/>
      <c r="I37" t="inlineStr"/>
      <c r="J37" t="inlineStr"/>
      <c r="K37" t="inlineStr"/>
      <c r="L37" t="inlineStr">
        <is>
          <t>Keep</t>
        </is>
      </c>
      <c r="M37">
        <f>COUNTIF('Invoice Lines'!$E$5:$E$2542,A37)</f>
        <v>53</v>
      </c>
      <c r="N37" s="9">
        <f>SUMIFS('Invoice Lines'!$K$5:$K$2542,'Invoice Lines'!$E$5:$E$2542,A37,'Invoice Lines'!$M$5:$M$2542,1)</f>
        <v>37084.05</v>
      </c>
      <c r="O37" t="str">
        <f>IF(COUNTIF('Contacts'!$A$5:$A$157,F37)=0,"MISSING",IF(INDEX('Contacts'!$F$5:$F$157,MATCH(F37,'Contacts'!$A$5:$A$157,0))=F37,"OK","CHAIN"))</f>
        <v>OK</v>
      </c>
    </row>
    <row r="38">
      <c r="A38" t="inlineStr">
        <is>
          <t>C0034</t>
        </is>
      </c>
      <c r="B38" t="inlineStr">
        <is>
          <t>Norfolk Constructions Pty Ltd</t>
        </is>
      </c>
      <c r="C38" t="inlineStr">
        <is>
          <t>92 659 683 296</t>
        </is>
      </c>
      <c r="D38" t="inlineStr">
        <is>
          <t>accounts@norfolkconstructio.example</t>
        </is>
      </c>
      <c r="E38" s="11" t="n">
        <v>45660</v>
      </c>
      <c r="F38" t="inlineStr">
        <is>
          <t>C0034</t>
        </is>
      </c>
      <c r="G38" t="inlineStr">
        <is>
          <t>Norfolk Constructions Pty Ltd</t>
        </is>
      </c>
      <c r="H38" t="inlineStr"/>
      <c r="I38" t="inlineStr"/>
      <c r="J38" t="inlineStr"/>
      <c r="K38" t="inlineStr"/>
      <c r="L38" t="inlineStr">
        <is>
          <t>Keep</t>
        </is>
      </c>
      <c r="M38">
        <f>COUNTIF('Invoice Lines'!$E$5:$E$2542,A38)</f>
        <v>24</v>
      </c>
      <c r="N38" s="9">
        <f>SUMIFS('Invoice Lines'!$K$5:$K$2542,'Invoice Lines'!$E$5:$E$2542,A38,'Invoice Lines'!$M$5:$M$2542,1)</f>
        <v>17636.48</v>
      </c>
      <c r="O38" t="str">
        <f>IF(COUNTIF('Contacts'!$A$5:$A$157,F38)=0,"MISSING",IF(INDEX('Contacts'!$F$5:$F$157,MATCH(F38,'Contacts'!$A$5:$A$157,0))=F38,"OK","CHAIN"))</f>
        <v>OK</v>
      </c>
    </row>
    <row r="39">
      <c r="A39" t="inlineStr">
        <is>
          <t>C0035</t>
        </is>
      </c>
      <c r="B39" t="inlineStr">
        <is>
          <t>Bayside Homes Pty Ltd</t>
        </is>
      </c>
      <c r="C39" t="inlineStr">
        <is>
          <t>99 760 690 272</t>
        </is>
      </c>
      <c r="D39" t="inlineStr">
        <is>
          <t>accounts@baysidehomes.example</t>
        </is>
      </c>
      <c r="E39" s="11" t="n">
        <v>45406</v>
      </c>
      <c r="F39" t="inlineStr">
        <is>
          <t>C0035</t>
        </is>
      </c>
      <c r="G39" t="inlineStr">
        <is>
          <t>Bayside Homes Pty Ltd</t>
        </is>
      </c>
      <c r="H39" t="inlineStr"/>
      <c r="I39" t="inlineStr"/>
      <c r="J39" t="inlineStr"/>
      <c r="K39" t="inlineStr"/>
      <c r="L39" t="inlineStr">
        <is>
          <t>Keep</t>
        </is>
      </c>
      <c r="M39">
        <f>COUNTIF('Invoice Lines'!$E$5:$E$2542,A39)</f>
        <v>23</v>
      </c>
      <c r="N39" s="9">
        <f>SUMIFS('Invoice Lines'!$K$5:$K$2542,'Invoice Lines'!$E$5:$E$2542,A39,'Invoice Lines'!$M$5:$M$2542,1)</f>
        <v>9298.66</v>
      </c>
      <c r="O39" t="str">
        <f>IF(COUNTIF('Contacts'!$A$5:$A$157,F39)=0,"MISSING",IF(INDEX('Contacts'!$F$5:$F$157,MATCH(F39,'Contacts'!$A$5:$A$157,0))=F39,"OK","CHAIN"))</f>
        <v>OK</v>
      </c>
    </row>
    <row r="40">
      <c r="A40" t="inlineStr">
        <is>
          <t>C0036</t>
        </is>
      </c>
      <c r="B40" t="inlineStr">
        <is>
          <t>Summit Homes Pty Ltd</t>
        </is>
      </c>
      <c r="C40" t="inlineStr">
        <is>
          <t>98 579 583 912</t>
        </is>
      </c>
      <c r="D40" t="inlineStr">
        <is>
          <t>accounts@summithomes.example</t>
        </is>
      </c>
      <c r="E40" s="11" t="n">
        <v>45197</v>
      </c>
      <c r="F40" t="inlineStr">
        <is>
          <t>C0036</t>
        </is>
      </c>
      <c r="G40" t="inlineStr">
        <is>
          <t>Summit Homes Pty Ltd</t>
        </is>
      </c>
      <c r="H40" t="inlineStr"/>
      <c r="I40" t="inlineStr"/>
      <c r="J40" t="inlineStr"/>
      <c r="K40" t="inlineStr"/>
      <c r="L40" t="inlineStr">
        <is>
          <t>Keep</t>
        </is>
      </c>
      <c r="M40">
        <f>COUNTIF('Invoice Lines'!$E$5:$E$2542,A40)</f>
        <v>27</v>
      </c>
      <c r="N40" s="9">
        <f>SUMIFS('Invoice Lines'!$K$5:$K$2542,'Invoice Lines'!$E$5:$E$2542,A40,'Invoice Lines'!$M$5:$M$2542,1)</f>
        <v>16246.47</v>
      </c>
      <c r="O40" t="str">
        <f>IF(COUNTIF('Contacts'!$A$5:$A$157,F40)=0,"MISSING",IF(INDEX('Contacts'!$F$5:$F$157,MATCH(F40,'Contacts'!$A$5:$A$157,0))=F40,"OK","CHAIN"))</f>
        <v>OK</v>
      </c>
    </row>
    <row r="41">
      <c r="A41" t="inlineStr">
        <is>
          <t>C0037</t>
        </is>
      </c>
      <c r="B41" t="inlineStr">
        <is>
          <t>Highpoint Constructions</t>
        </is>
      </c>
      <c r="C41" t="inlineStr">
        <is>
          <t>90 129 237 142</t>
        </is>
      </c>
      <c r="D41" t="inlineStr">
        <is>
          <t>accounts@highpointconstruct.example</t>
        </is>
      </c>
      <c r="E41" s="11" t="n">
        <v>44951</v>
      </c>
      <c r="F41" t="inlineStr">
        <is>
          <t>C0037</t>
        </is>
      </c>
      <c r="G41" t="inlineStr">
        <is>
          <t>Highpoint Constructions</t>
        </is>
      </c>
      <c r="H41" t="inlineStr"/>
      <c r="I41" t="inlineStr"/>
      <c r="J41" t="inlineStr"/>
      <c r="K41" t="inlineStr"/>
      <c r="L41" t="inlineStr">
        <is>
          <t>Keep</t>
        </is>
      </c>
      <c r="M41">
        <f>COUNTIF('Invoice Lines'!$E$5:$E$2542,A41)</f>
        <v>6</v>
      </c>
      <c r="N41" s="9">
        <f>SUMIFS('Invoice Lines'!$K$5:$K$2542,'Invoice Lines'!$E$5:$E$2542,A41,'Invoice Lines'!$M$5:$M$2542,1)</f>
        <v>1975</v>
      </c>
      <c r="O41" t="str">
        <f>IF(COUNTIF('Contacts'!$A$5:$A$157,F41)=0,"MISSING",IF(INDEX('Contacts'!$F$5:$F$157,MATCH(F41,'Contacts'!$A$5:$A$157,0))=F41,"OK","CHAIN"))</f>
        <v>OK</v>
      </c>
    </row>
    <row r="42">
      <c r="A42" t="inlineStr">
        <is>
          <t>C0038</t>
        </is>
      </c>
      <c r="B42" t="inlineStr">
        <is>
          <t>Cobalt Constructions Pty Ltd</t>
        </is>
      </c>
      <c r="C42" t="inlineStr"/>
      <c r="D42" t="inlineStr">
        <is>
          <t>accounts@cobaltconstruction.example</t>
        </is>
      </c>
      <c r="E42" s="11" t="n">
        <v>45649</v>
      </c>
      <c r="F42" t="inlineStr">
        <is>
          <t>C0038</t>
        </is>
      </c>
      <c r="G42" t="inlineStr">
        <is>
          <t>Cobalt Constructions Pty Ltd</t>
        </is>
      </c>
      <c r="H42" t="inlineStr"/>
      <c r="I42" t="inlineStr"/>
      <c r="J42" t="inlineStr"/>
      <c r="K42" t="inlineStr"/>
      <c r="L42" t="inlineStr">
        <is>
          <t>Keep</t>
        </is>
      </c>
      <c r="M42">
        <f>COUNTIF('Invoice Lines'!$E$5:$E$2542,A42)</f>
        <v>42</v>
      </c>
      <c r="N42" s="9">
        <f>SUMIFS('Invoice Lines'!$K$5:$K$2542,'Invoice Lines'!$E$5:$E$2542,A42,'Invoice Lines'!$M$5:$M$2542,1)</f>
        <v>37178.03</v>
      </c>
      <c r="O42" t="str">
        <f>IF(COUNTIF('Contacts'!$A$5:$A$157,F42)=0,"MISSING",IF(INDEX('Contacts'!$F$5:$F$157,MATCH(F42,'Contacts'!$A$5:$A$157,0))=F42,"OK","CHAIN"))</f>
        <v>OK</v>
      </c>
    </row>
    <row r="43">
      <c r="A43" t="inlineStr">
        <is>
          <t>C0039</t>
        </is>
      </c>
      <c r="B43" t="inlineStr">
        <is>
          <t>Coastline Developments Pty Ltd</t>
        </is>
      </c>
      <c r="C43" t="inlineStr">
        <is>
          <t>91 391 218 631</t>
        </is>
      </c>
      <c r="D43" t="inlineStr">
        <is>
          <t>accounts@coastlinedevelopme.example</t>
        </is>
      </c>
      <c r="E43" s="11" t="n">
        <v>45521</v>
      </c>
      <c r="F43" t="inlineStr">
        <is>
          <t>C0039</t>
        </is>
      </c>
      <c r="G43" t="inlineStr">
        <is>
          <t>Coastline Developments Pty Ltd</t>
        </is>
      </c>
      <c r="H43" t="inlineStr">
        <is>
          <t>N1</t>
        </is>
      </c>
      <c r="I43" t="n">
        <v>0.884</v>
      </c>
      <c r="J43" t="inlineStr">
        <is>
          <t>Similar name but different tax numbers: kept separate</t>
        </is>
      </c>
      <c r="K43" t="inlineStr">
        <is>
          <t>C0010</t>
        </is>
      </c>
      <c r="L43" t="inlineStr">
        <is>
          <t>Keep separate</t>
        </is>
      </c>
      <c r="M43">
        <f>COUNTIF('Invoice Lines'!$E$5:$E$2542,A43)</f>
        <v>22</v>
      </c>
      <c r="N43" s="9">
        <f>SUMIFS('Invoice Lines'!$K$5:$K$2542,'Invoice Lines'!$E$5:$E$2542,A43,'Invoice Lines'!$M$5:$M$2542,1)</f>
        <v>18099.66</v>
      </c>
      <c r="O43" t="str">
        <f>IF(COUNTIF('Contacts'!$A$5:$A$157,F43)=0,"MISSING",IF(INDEX('Contacts'!$F$5:$F$157,MATCH(F43,'Contacts'!$A$5:$A$157,0))=F43,"OK","CHAIN"))</f>
        <v>OK</v>
      </c>
    </row>
    <row r="44">
      <c r="A44" t="inlineStr">
        <is>
          <t>C0040</t>
        </is>
      </c>
      <c r="B44" t="inlineStr">
        <is>
          <t>Coastline Projects Pty Ltd</t>
        </is>
      </c>
      <c r="C44" t="inlineStr">
        <is>
          <t>91 887 832 291</t>
        </is>
      </c>
      <c r="D44" t="inlineStr">
        <is>
          <t>accounts@coastlineprojects.example</t>
        </is>
      </c>
      <c r="E44" s="11" t="n">
        <v>45179</v>
      </c>
      <c r="F44" t="inlineStr">
        <is>
          <t>C0040</t>
        </is>
      </c>
      <c r="G44" t="inlineStr">
        <is>
          <t>Coastline Projects Pty Ltd</t>
        </is>
      </c>
      <c r="H44" t="inlineStr">
        <is>
          <t>N1</t>
        </is>
      </c>
      <c r="I44" t="n">
        <v>0.857</v>
      </c>
      <c r="J44" t="inlineStr">
        <is>
          <t>Similar name but different tax numbers: kept separate</t>
        </is>
      </c>
      <c r="K44" t="inlineStr">
        <is>
          <t>C0007</t>
        </is>
      </c>
      <c r="L44" t="inlineStr">
        <is>
          <t>Keep separate</t>
        </is>
      </c>
      <c r="M44">
        <f>COUNTIF('Invoice Lines'!$E$5:$E$2542,A44)</f>
        <v>26</v>
      </c>
      <c r="N44" s="9">
        <f>SUMIFS('Invoice Lines'!$K$5:$K$2542,'Invoice Lines'!$E$5:$E$2542,A44,'Invoice Lines'!$M$5:$M$2542,1)</f>
        <v>19461.99</v>
      </c>
      <c r="O44" t="str">
        <f>IF(COUNTIF('Contacts'!$A$5:$A$157,F44)=0,"MISSING",IF(INDEX('Contacts'!$F$5:$F$157,MATCH(F44,'Contacts'!$A$5:$A$157,0))=F44,"OK","CHAIN"))</f>
        <v>OK</v>
      </c>
    </row>
    <row r="45">
      <c r="A45" t="inlineStr">
        <is>
          <t>C0041</t>
        </is>
      </c>
      <c r="B45" t="inlineStr">
        <is>
          <t>Summit Builders Pty Ltd</t>
        </is>
      </c>
      <c r="C45" t="inlineStr">
        <is>
          <t>91 727 677 162</t>
        </is>
      </c>
      <c r="D45" t="inlineStr">
        <is>
          <t>accounts@summitbuilders.example</t>
        </is>
      </c>
      <c r="E45" s="11" t="n">
        <v>45673</v>
      </c>
      <c r="F45" t="inlineStr">
        <is>
          <t>C0041</t>
        </is>
      </c>
      <c r="G45" t="inlineStr">
        <is>
          <t>Summit Builders Pty Ltd</t>
        </is>
      </c>
      <c r="H45" t="inlineStr"/>
      <c r="I45" t="inlineStr"/>
      <c r="J45" t="inlineStr"/>
      <c r="K45" t="inlineStr"/>
      <c r="L45" t="inlineStr">
        <is>
          <t>Keep</t>
        </is>
      </c>
      <c r="M45">
        <f>COUNTIF('Invoice Lines'!$E$5:$E$2542,A45)</f>
        <v>31</v>
      </c>
      <c r="N45" s="9">
        <f>SUMIFS('Invoice Lines'!$K$5:$K$2542,'Invoice Lines'!$E$5:$E$2542,A45,'Invoice Lines'!$M$5:$M$2542,1)</f>
        <v>24921.9</v>
      </c>
      <c r="O45" t="str">
        <f>IF(COUNTIF('Contacts'!$A$5:$A$157,F45)=0,"MISSING",IF(INDEX('Contacts'!$F$5:$F$157,MATCH(F45,'Contacts'!$A$5:$A$157,0))=F45,"OK","CHAIN"))</f>
        <v>OK</v>
      </c>
    </row>
    <row r="46">
      <c r="A46" t="inlineStr">
        <is>
          <t>C0042</t>
        </is>
      </c>
      <c r="B46" t="inlineStr">
        <is>
          <t>Lakeside Constructions Pty Ltd</t>
        </is>
      </c>
      <c r="C46" t="inlineStr"/>
      <c r="D46" t="inlineStr">
        <is>
          <t>accounts@lakesideconstructi.example</t>
        </is>
      </c>
      <c r="E46" s="11" t="n">
        <v>45124</v>
      </c>
      <c r="F46" t="inlineStr">
        <is>
          <t>C0042</t>
        </is>
      </c>
      <c r="G46" t="inlineStr">
        <is>
          <t>Lakeside Constructions Pty Ltd</t>
        </is>
      </c>
      <c r="H46" t="inlineStr"/>
      <c r="I46" t="inlineStr"/>
      <c r="J46" t="inlineStr"/>
      <c r="K46" t="inlineStr"/>
      <c r="L46" t="inlineStr">
        <is>
          <t>Keep</t>
        </is>
      </c>
      <c r="M46">
        <f>COUNTIF('Invoice Lines'!$E$5:$E$2542,A46)</f>
        <v>29</v>
      </c>
      <c r="N46" s="9">
        <f>SUMIFS('Invoice Lines'!$K$5:$K$2542,'Invoice Lines'!$E$5:$E$2542,A46,'Invoice Lines'!$M$5:$M$2542,1)</f>
        <v>24083.95</v>
      </c>
      <c r="O46" t="str">
        <f>IF(COUNTIF('Contacts'!$A$5:$A$157,F46)=0,"MISSING",IF(INDEX('Contacts'!$F$5:$F$157,MATCH(F46,'Contacts'!$A$5:$A$157,0))=F46,"OK","CHAIN"))</f>
        <v>OK</v>
      </c>
    </row>
    <row r="47">
      <c r="A47" t="inlineStr">
        <is>
          <t>C0043</t>
        </is>
      </c>
      <c r="B47" t="inlineStr">
        <is>
          <t>Banksia Projects Pty Ltd</t>
        </is>
      </c>
      <c r="C47" t="inlineStr"/>
      <c r="D47" t="inlineStr">
        <is>
          <t>accounts@banksiaprojects.example</t>
        </is>
      </c>
      <c r="E47" s="11" t="n">
        <v>44962</v>
      </c>
      <c r="F47" t="inlineStr">
        <is>
          <t>C0043</t>
        </is>
      </c>
      <c r="G47" t="inlineStr">
        <is>
          <t>Banksia Projects Pty Ltd</t>
        </is>
      </c>
      <c r="H47" t="inlineStr"/>
      <c r="I47" t="inlineStr"/>
      <c r="J47" t="inlineStr"/>
      <c r="K47" t="inlineStr"/>
      <c r="L47" t="inlineStr">
        <is>
          <t>Keep</t>
        </is>
      </c>
      <c r="M47">
        <f>COUNTIF('Invoice Lines'!$E$5:$E$2542,A47)</f>
        <v>23</v>
      </c>
      <c r="N47" s="9">
        <f>SUMIFS('Invoice Lines'!$K$5:$K$2542,'Invoice Lines'!$E$5:$E$2542,A47,'Invoice Lines'!$M$5:$M$2542,1)</f>
        <v>25807.8</v>
      </c>
      <c r="O47" t="str">
        <f>IF(COUNTIF('Contacts'!$A$5:$A$157,F47)=0,"MISSING",IF(INDEX('Contacts'!$F$5:$F$157,MATCH(F47,'Contacts'!$A$5:$A$157,0))=F47,"OK","CHAIN"))</f>
        <v>OK</v>
      </c>
    </row>
    <row r="48">
      <c r="A48" t="inlineStr">
        <is>
          <t>C0044</t>
        </is>
      </c>
      <c r="B48" t="inlineStr">
        <is>
          <t>Granite Constructions</t>
        </is>
      </c>
      <c r="C48" t="inlineStr">
        <is>
          <t>97 880 151 114</t>
        </is>
      </c>
      <c r="D48" t="inlineStr">
        <is>
          <t>accounts@graniteconstructio.example</t>
        </is>
      </c>
      <c r="E48" s="11" t="n">
        <v>45662</v>
      </c>
      <c r="F48" t="inlineStr">
        <is>
          <t>C0044</t>
        </is>
      </c>
      <c r="G48" t="inlineStr">
        <is>
          <t>Granite Constructions</t>
        </is>
      </c>
      <c r="H48" t="inlineStr"/>
      <c r="I48" t="inlineStr"/>
      <c r="J48" t="inlineStr"/>
      <c r="K48" t="inlineStr"/>
      <c r="L48" t="inlineStr">
        <is>
          <t>Keep</t>
        </is>
      </c>
      <c r="M48">
        <f>COUNTIF('Invoice Lines'!$E$5:$E$2542,A48)</f>
        <v>17</v>
      </c>
      <c r="N48" s="9">
        <f>SUMIFS('Invoice Lines'!$K$5:$K$2542,'Invoice Lines'!$E$5:$E$2542,A48,'Invoice Lines'!$M$5:$M$2542,1)</f>
        <v>8019.72</v>
      </c>
      <c r="O48" t="str">
        <f>IF(COUNTIF('Contacts'!$A$5:$A$157,F48)=0,"MISSING",IF(INDEX('Contacts'!$F$5:$F$157,MATCH(F48,'Contacts'!$A$5:$A$157,0))=F48,"OK","CHAIN"))</f>
        <v>OK</v>
      </c>
    </row>
    <row r="49">
      <c r="A49" t="inlineStr">
        <is>
          <t>C0045</t>
        </is>
      </c>
      <c r="B49" t="inlineStr">
        <is>
          <t>Westside Owners Corporation Services Pty Ltd</t>
        </is>
      </c>
      <c r="C49" t="inlineStr">
        <is>
          <t>94 835 671 124</t>
        </is>
      </c>
      <c r="D49" t="inlineStr">
        <is>
          <t>accounts@westsideownerscorp.example</t>
        </is>
      </c>
      <c r="E49" s="11" t="n">
        <v>45031</v>
      </c>
      <c r="F49" t="inlineStr">
        <is>
          <t>C0045</t>
        </is>
      </c>
      <c r="G49" t="inlineStr">
        <is>
          <t>Westside Owners Corporation Services Pty Ltd</t>
        </is>
      </c>
      <c r="H49" t="inlineStr"/>
      <c r="I49" t="inlineStr"/>
      <c r="J49" t="inlineStr"/>
      <c r="K49" t="inlineStr"/>
      <c r="L49" t="inlineStr">
        <is>
          <t>Keep</t>
        </is>
      </c>
      <c r="M49">
        <f>COUNTIF('Invoice Lines'!$E$5:$E$2542,A49)</f>
        <v>10</v>
      </c>
      <c r="N49" s="9">
        <f>SUMIFS('Invoice Lines'!$K$5:$K$2542,'Invoice Lines'!$E$5:$E$2542,A49,'Invoice Lines'!$M$5:$M$2542,1)</f>
        <v>10710</v>
      </c>
      <c r="O49" t="str">
        <f>IF(COUNTIF('Contacts'!$A$5:$A$157,F49)=0,"MISSING",IF(INDEX('Contacts'!$F$5:$F$157,MATCH(F49,'Contacts'!$A$5:$A$157,0))=F49,"OK","CHAIN"))</f>
        <v>OK</v>
      </c>
    </row>
    <row r="50">
      <c r="A50" t="inlineStr">
        <is>
          <t>C0046</t>
        </is>
      </c>
      <c r="B50" t="inlineStr">
        <is>
          <t>Bayside Owners Corporation Services Pty Ltd</t>
        </is>
      </c>
      <c r="C50" t="inlineStr">
        <is>
          <t>98 206 339 672</t>
        </is>
      </c>
      <c r="D50" t="inlineStr">
        <is>
          <t>accounts@baysideownerscorpo.example</t>
        </is>
      </c>
      <c r="E50" s="11" t="n">
        <v>45482</v>
      </c>
      <c r="F50" t="inlineStr">
        <is>
          <t>C0046</t>
        </is>
      </c>
      <c r="G50" t="inlineStr">
        <is>
          <t>Bayside Owners Corporation Services Pty Ltd</t>
        </is>
      </c>
      <c r="H50" t="inlineStr">
        <is>
          <t>N1</t>
        </is>
      </c>
      <c r="I50" t="n">
        <v>0.901</v>
      </c>
      <c r="J50" t="inlineStr">
        <is>
          <t>Similar name but different tax numbers: kept separate</t>
        </is>
      </c>
      <c r="K50" t="inlineStr">
        <is>
          <t>C0045</t>
        </is>
      </c>
      <c r="L50" t="inlineStr">
        <is>
          <t>Keep separate</t>
        </is>
      </c>
      <c r="M50">
        <f>COUNTIF('Invoice Lines'!$E$5:$E$2542,A50)</f>
        <v>25</v>
      </c>
      <c r="N50" s="9">
        <f>SUMIFS('Invoice Lines'!$K$5:$K$2542,'Invoice Lines'!$E$5:$E$2542,A50,'Invoice Lines'!$M$5:$M$2542,1)</f>
        <v>19959.1</v>
      </c>
      <c r="O50" t="str">
        <f>IF(COUNTIF('Contacts'!$A$5:$A$157,F50)=0,"MISSING",IF(INDEX('Contacts'!$F$5:$F$157,MATCH(F50,'Contacts'!$A$5:$A$157,0))=F50,"OK","CHAIN"))</f>
        <v>OK</v>
      </c>
    </row>
    <row r="51">
      <c r="A51" t="inlineStr">
        <is>
          <t>C0047</t>
        </is>
      </c>
      <c r="B51" t="inlineStr">
        <is>
          <t>Fairway Owners Corporation Services</t>
        </is>
      </c>
      <c r="C51" t="inlineStr">
        <is>
          <t>97 310 583 996</t>
        </is>
      </c>
      <c r="D51" t="inlineStr">
        <is>
          <t>accounts@fairwayownerscorpo.example</t>
        </is>
      </c>
      <c r="E51" s="11" t="n">
        <v>45610</v>
      </c>
      <c r="F51" t="inlineStr">
        <is>
          <t>C0047</t>
        </is>
      </c>
      <c r="G51" t="inlineStr">
        <is>
          <t>Fairway Owners Corporation Services</t>
        </is>
      </c>
      <c r="H51" t="inlineStr">
        <is>
          <t>V1</t>
        </is>
      </c>
      <c r="I51" t="n">
        <v>0.857</v>
      </c>
      <c r="J51" t="inlineStr">
        <is>
          <t>Similar name, nothing else in common: review</t>
        </is>
      </c>
      <c r="K51" t="inlineStr">
        <is>
          <t>C0057</t>
        </is>
      </c>
      <c r="L51" t="inlineStr">
        <is>
          <t>Review</t>
        </is>
      </c>
      <c r="M51">
        <f>COUNTIF('Invoice Lines'!$E$5:$E$2542,A51)</f>
        <v>14</v>
      </c>
      <c r="N51" s="9">
        <f>SUMIFS('Invoice Lines'!$K$5:$K$2542,'Invoice Lines'!$E$5:$E$2542,A51,'Invoice Lines'!$M$5:$M$2542,1)</f>
        <v>9235</v>
      </c>
      <c r="O51" t="str">
        <f>IF(COUNTIF('Contacts'!$A$5:$A$157,F51)=0,"MISSING",IF(INDEX('Contacts'!$F$5:$F$157,MATCH(F51,'Contacts'!$A$5:$A$157,0))=F51,"OK","CHAIN"))</f>
        <v>OK</v>
      </c>
    </row>
    <row r="52">
      <c r="A52" t="inlineStr">
        <is>
          <t>C0048</t>
        </is>
      </c>
      <c r="B52" t="inlineStr">
        <is>
          <t>Banksia Strata Management</t>
        </is>
      </c>
      <c r="C52" t="inlineStr">
        <is>
          <t>92 204 999 772</t>
        </is>
      </c>
      <c r="D52" t="inlineStr">
        <is>
          <t>accounts@banksiastratamanag.example</t>
        </is>
      </c>
      <c r="E52" s="11" t="n">
        <v>45701</v>
      </c>
      <c r="F52" t="inlineStr">
        <is>
          <t>C0048</t>
        </is>
      </c>
      <c r="G52" t="inlineStr">
        <is>
          <t>Banksia Strata Management</t>
        </is>
      </c>
      <c r="H52" t="inlineStr"/>
      <c r="I52" t="inlineStr"/>
      <c r="J52" t="inlineStr"/>
      <c r="K52" t="inlineStr"/>
      <c r="L52" t="inlineStr">
        <is>
          <t>Keep</t>
        </is>
      </c>
      <c r="M52">
        <f>COUNTIF('Invoice Lines'!$E$5:$E$2542,A52)</f>
        <v>21</v>
      </c>
      <c r="N52" s="9">
        <f>SUMIFS('Invoice Lines'!$K$5:$K$2542,'Invoice Lines'!$E$5:$E$2542,A52,'Invoice Lines'!$M$5:$M$2542,1)</f>
        <v>11798.07</v>
      </c>
      <c r="O52" t="str">
        <f>IF(COUNTIF('Contacts'!$A$5:$A$157,F52)=0,"MISSING",IF(INDEX('Contacts'!$F$5:$F$157,MATCH(F52,'Contacts'!$A$5:$A$157,0))=F52,"OK","CHAIN"))</f>
        <v>OK</v>
      </c>
    </row>
    <row r="53">
      <c r="A53" t="inlineStr">
        <is>
          <t>C0049</t>
        </is>
      </c>
      <c r="B53" t="inlineStr">
        <is>
          <t>Fairway Body Corporate Pty Ltd</t>
        </is>
      </c>
      <c r="C53" t="inlineStr">
        <is>
          <t>92 619 724 316</t>
        </is>
      </c>
      <c r="D53" t="inlineStr">
        <is>
          <t>accounts@fairwaybodycorpora.example</t>
        </is>
      </c>
      <c r="E53" s="11" t="n">
        <v>45073</v>
      </c>
      <c r="F53" t="inlineStr">
        <is>
          <t>C0049</t>
        </is>
      </c>
      <c r="G53" t="inlineStr">
        <is>
          <t>Fairway Body Corporate Pty Ltd</t>
        </is>
      </c>
      <c r="H53" t="inlineStr"/>
      <c r="I53" t="inlineStr"/>
      <c r="J53" t="inlineStr"/>
      <c r="K53" t="inlineStr"/>
      <c r="L53" t="inlineStr">
        <is>
          <t>Keep</t>
        </is>
      </c>
      <c r="M53">
        <f>COUNTIF('Invoice Lines'!$E$5:$E$2542,A53)</f>
        <v>13</v>
      </c>
      <c r="N53" s="9">
        <f>SUMIFS('Invoice Lines'!$K$5:$K$2542,'Invoice Lines'!$E$5:$E$2542,A53,'Invoice Lines'!$M$5:$M$2542,1)</f>
        <v>8532.53</v>
      </c>
      <c r="O53" t="str">
        <f>IF(COUNTIF('Contacts'!$A$5:$A$157,F53)=0,"MISSING",IF(INDEX('Contacts'!$F$5:$F$157,MATCH(F53,'Contacts'!$A$5:$A$157,0))=F53,"OK","CHAIN"))</f>
        <v>OK</v>
      </c>
    </row>
    <row r="54">
      <c r="A54" t="inlineStr">
        <is>
          <t>C0050</t>
        </is>
      </c>
      <c r="B54" t="inlineStr">
        <is>
          <t>Southbank Body Corporate Pty Ltd</t>
        </is>
      </c>
      <c r="C54" t="inlineStr">
        <is>
          <t>99 092 280 903</t>
        </is>
      </c>
      <c r="D54" t="inlineStr">
        <is>
          <t>accounts@southbankbodycorpo.example</t>
        </is>
      </c>
      <c r="E54" s="11" t="n">
        <v>45233</v>
      </c>
      <c r="F54" t="inlineStr">
        <is>
          <t>C0050</t>
        </is>
      </c>
      <c r="G54" t="inlineStr">
        <is>
          <t>Southbank Body Corporate Pty Ltd</t>
        </is>
      </c>
      <c r="H54" t="inlineStr"/>
      <c r="I54" t="inlineStr"/>
      <c r="J54" t="inlineStr"/>
      <c r="K54" t="inlineStr"/>
      <c r="L54" t="inlineStr">
        <is>
          <t>Keep</t>
        </is>
      </c>
      <c r="M54">
        <f>COUNTIF('Invoice Lines'!$E$5:$E$2542,A54)</f>
        <v>10</v>
      </c>
      <c r="N54" s="9">
        <f>SUMIFS('Invoice Lines'!$K$5:$K$2542,'Invoice Lines'!$E$5:$E$2542,A54,'Invoice Lines'!$M$5:$M$2542,1)</f>
        <v>5801.48</v>
      </c>
      <c r="O54" t="str">
        <f>IF(COUNTIF('Contacts'!$A$5:$A$157,F54)=0,"MISSING",IF(INDEX('Contacts'!$F$5:$F$157,MATCH(F54,'Contacts'!$A$5:$A$157,0))=F54,"OK","CHAIN"))</f>
        <v>OK</v>
      </c>
    </row>
    <row r="55">
      <c r="A55" t="inlineStr">
        <is>
          <t>C0051</t>
        </is>
      </c>
      <c r="B55" t="inlineStr">
        <is>
          <t>Granite Body Corporate Pty Ltd</t>
        </is>
      </c>
      <c r="C55" t="inlineStr">
        <is>
          <t>96 219 908 751</t>
        </is>
      </c>
      <c r="D55" t="inlineStr">
        <is>
          <t>accounts@granitebodycorpora.example</t>
        </is>
      </c>
      <c r="E55" s="11" t="n">
        <v>45548</v>
      </c>
      <c r="F55" t="inlineStr">
        <is>
          <t>C0051</t>
        </is>
      </c>
      <c r="G55" t="inlineStr">
        <is>
          <t>Granite Body Corporate Pty Ltd</t>
        </is>
      </c>
      <c r="H55" t="inlineStr"/>
      <c r="I55" t="inlineStr"/>
      <c r="J55" t="inlineStr"/>
      <c r="K55" t="inlineStr"/>
      <c r="L55" t="inlineStr">
        <is>
          <t>Keep</t>
        </is>
      </c>
      <c r="M55">
        <f>COUNTIF('Invoice Lines'!$E$5:$E$2542,A55)</f>
        <v>9</v>
      </c>
      <c r="N55" s="9">
        <f>SUMIFS('Invoice Lines'!$K$5:$K$2542,'Invoice Lines'!$E$5:$E$2542,A55,'Invoice Lines'!$M$5:$M$2542,1)</f>
        <v>3335</v>
      </c>
      <c r="O55" t="str">
        <f>IF(COUNTIF('Contacts'!$A$5:$A$157,F55)=0,"MISSING",IF(INDEX('Contacts'!$F$5:$F$157,MATCH(F55,'Contacts'!$A$5:$A$157,0))=F55,"OK","CHAIN"))</f>
        <v>OK</v>
      </c>
    </row>
    <row r="56">
      <c r="A56" t="inlineStr">
        <is>
          <t>C0052</t>
        </is>
      </c>
      <c r="B56" t="inlineStr">
        <is>
          <t>Bluegum Body Corporate Pty Ltd</t>
        </is>
      </c>
      <c r="C56" t="inlineStr"/>
      <c r="D56" t="inlineStr">
        <is>
          <t>accounts@bluegumbodycorpora.example</t>
        </is>
      </c>
      <c r="E56" s="11" t="n">
        <v>45049</v>
      </c>
      <c r="F56" t="inlineStr">
        <is>
          <t>C0052</t>
        </is>
      </c>
      <c r="G56" t="inlineStr">
        <is>
          <t>Bluegum Body Corporate Pty Ltd</t>
        </is>
      </c>
      <c r="H56" t="inlineStr"/>
      <c r="I56" t="inlineStr"/>
      <c r="J56" t="inlineStr"/>
      <c r="K56" t="inlineStr"/>
      <c r="L56" t="inlineStr">
        <is>
          <t>Keep</t>
        </is>
      </c>
      <c r="M56">
        <f>COUNTIF('Invoice Lines'!$E$5:$E$2542,A56)</f>
        <v>9</v>
      </c>
      <c r="N56" s="9">
        <f>SUMIFS('Invoice Lines'!$K$5:$K$2542,'Invoice Lines'!$E$5:$E$2542,A56,'Invoice Lines'!$M$5:$M$2542,1)</f>
        <v>8440.87</v>
      </c>
      <c r="O56" t="str">
        <f>IF(COUNTIF('Contacts'!$A$5:$A$157,F56)=0,"MISSING",IF(INDEX('Contacts'!$F$5:$F$157,MATCH(F56,'Contacts'!$A$5:$A$157,0))=F56,"OK","CHAIN"))</f>
        <v>OK</v>
      </c>
    </row>
    <row r="57">
      <c r="A57" t="inlineStr">
        <is>
          <t>C0053</t>
        </is>
      </c>
      <c r="B57" t="inlineStr">
        <is>
          <t>Summit Strata Management Pty Ltd</t>
        </is>
      </c>
      <c r="C57" t="inlineStr">
        <is>
          <t>96 717 687 839</t>
        </is>
      </c>
      <c r="D57" t="inlineStr">
        <is>
          <t>accounts@summitstratamanage.example</t>
        </is>
      </c>
      <c r="E57" s="11" t="n">
        <v>45296</v>
      </c>
      <c r="F57" t="inlineStr">
        <is>
          <t>C0053</t>
        </is>
      </c>
      <c r="G57" t="inlineStr">
        <is>
          <t>Summit Strata Management Pty Ltd</t>
        </is>
      </c>
      <c r="H57" t="inlineStr"/>
      <c r="I57" t="inlineStr"/>
      <c r="J57" t="inlineStr"/>
      <c r="K57" t="inlineStr"/>
      <c r="L57" t="inlineStr">
        <is>
          <t>Keep</t>
        </is>
      </c>
      <c r="M57">
        <f>COUNTIF('Invoice Lines'!$E$5:$E$2542,A57)</f>
        <v>7</v>
      </c>
      <c r="N57" s="9">
        <f>SUMIFS('Invoice Lines'!$K$5:$K$2542,'Invoice Lines'!$E$5:$E$2542,A57,'Invoice Lines'!$M$5:$M$2542,1)</f>
        <v>4001.5</v>
      </c>
      <c r="O57" t="str">
        <f>IF(COUNTIF('Contacts'!$A$5:$A$157,F57)=0,"MISSING",IF(INDEX('Contacts'!$F$5:$F$157,MATCH(F57,'Contacts'!$A$5:$A$157,0))=F57,"OK","CHAIN"))</f>
        <v>OK</v>
      </c>
    </row>
    <row r="58">
      <c r="A58" t="inlineStr">
        <is>
          <t>C0054</t>
        </is>
      </c>
      <c r="B58" t="inlineStr">
        <is>
          <t>Westside Strata Management Pty Ltd</t>
        </is>
      </c>
      <c r="C58" t="inlineStr">
        <is>
          <t>90 144 001 363</t>
        </is>
      </c>
      <c r="D58" t="inlineStr">
        <is>
          <t>accounts@westsidestratamana.example</t>
        </is>
      </c>
      <c r="E58" s="11" t="n">
        <v>45634</v>
      </c>
      <c r="F58" t="inlineStr">
        <is>
          <t>C0054</t>
        </is>
      </c>
      <c r="G58" t="inlineStr">
        <is>
          <t>Westside Strata Management Pty Ltd</t>
        </is>
      </c>
      <c r="H58" t="inlineStr"/>
      <c r="I58" t="inlineStr"/>
      <c r="J58" t="inlineStr"/>
      <c r="K58" t="inlineStr"/>
      <c r="L58" t="inlineStr">
        <is>
          <t>Keep</t>
        </is>
      </c>
      <c r="M58">
        <f>COUNTIF('Invoice Lines'!$E$5:$E$2542,A58)</f>
        <v>13</v>
      </c>
      <c r="N58" s="9">
        <f>SUMIFS('Invoice Lines'!$K$5:$K$2542,'Invoice Lines'!$E$5:$E$2542,A58,'Invoice Lines'!$M$5:$M$2542,1)</f>
        <v>9064.14</v>
      </c>
      <c r="O58" t="str">
        <f>IF(COUNTIF('Contacts'!$A$5:$A$157,F58)=0,"MISSING",IF(INDEX('Contacts'!$F$5:$F$157,MATCH(F58,'Contacts'!$A$5:$A$157,0))=F58,"OK","CHAIN"))</f>
        <v>OK</v>
      </c>
    </row>
    <row r="59">
      <c r="A59" t="inlineStr">
        <is>
          <t>C0055</t>
        </is>
      </c>
      <c r="B59" t="inlineStr">
        <is>
          <t>Coastline Strata Management Pty Ltd</t>
        </is>
      </c>
      <c r="C59" t="inlineStr">
        <is>
          <t>94 246 505 318</t>
        </is>
      </c>
      <c r="D59" t="inlineStr">
        <is>
          <t>accounts@coastlinestrataman.example</t>
        </is>
      </c>
      <c r="E59" s="11" t="n">
        <v>45281</v>
      </c>
      <c r="F59" t="inlineStr">
        <is>
          <t>C0055</t>
        </is>
      </c>
      <c r="G59" t="inlineStr">
        <is>
          <t>Coastline Strata Management Pty Ltd</t>
        </is>
      </c>
      <c r="H59" t="inlineStr"/>
      <c r="I59" t="inlineStr"/>
      <c r="J59" t="inlineStr"/>
      <c r="K59" t="inlineStr"/>
      <c r="L59" t="inlineStr">
        <is>
          <t>Keep</t>
        </is>
      </c>
      <c r="M59">
        <f>COUNTIF('Invoice Lines'!$E$5:$E$2542,A59)</f>
        <v>17</v>
      </c>
      <c r="N59" s="9">
        <f>SUMIFS('Invoice Lines'!$K$5:$K$2542,'Invoice Lines'!$E$5:$E$2542,A59,'Invoice Lines'!$M$5:$M$2542,1)</f>
        <v>13323.17</v>
      </c>
      <c r="O59" t="str">
        <f>IF(COUNTIF('Contacts'!$A$5:$A$157,F59)=0,"MISSING",IF(INDEX('Contacts'!$F$5:$F$157,MATCH(F59,'Contacts'!$A$5:$A$157,0))=F59,"OK","CHAIN"))</f>
        <v>OK</v>
      </c>
    </row>
    <row r="60">
      <c r="A60" t="inlineStr">
        <is>
          <t>C0056</t>
        </is>
      </c>
      <c r="B60" t="inlineStr">
        <is>
          <t>Northgate Strata Management</t>
        </is>
      </c>
      <c r="C60" t="inlineStr">
        <is>
          <t>91 123 853 266</t>
        </is>
      </c>
      <c r="D60" t="inlineStr">
        <is>
          <t>accounts@northgatestrataman.example</t>
        </is>
      </c>
      <c r="E60" s="11" t="n">
        <v>45588</v>
      </c>
      <c r="F60" t="inlineStr">
        <is>
          <t>C0056</t>
        </is>
      </c>
      <c r="G60" t="inlineStr">
        <is>
          <t>Northgate Strata Management</t>
        </is>
      </c>
      <c r="H60" t="inlineStr"/>
      <c r="I60" t="inlineStr"/>
      <c r="J60" t="inlineStr"/>
      <c r="K60" t="inlineStr"/>
      <c r="L60" t="inlineStr">
        <is>
          <t>Keep</t>
        </is>
      </c>
      <c r="M60">
        <f>COUNTIF('Invoice Lines'!$E$5:$E$2542,A60)</f>
        <v>0</v>
      </c>
      <c r="N60" s="9">
        <f>SUMIFS('Invoice Lines'!$K$5:$K$2542,'Invoice Lines'!$E$5:$E$2542,A60,'Invoice Lines'!$M$5:$M$2542,1)</f>
        <v>0</v>
      </c>
      <c r="O60" t="str">
        <f>IF(COUNTIF('Contacts'!$A$5:$A$157,F60)=0,"MISSING",IF(INDEX('Contacts'!$F$5:$F$157,MATCH(F60,'Contacts'!$A$5:$A$157,0))=F60,"OK","CHAIN"))</f>
        <v>OK</v>
      </c>
    </row>
    <row r="61">
      <c r="A61" t="inlineStr">
        <is>
          <t>C0057</t>
        </is>
      </c>
      <c r="B61" t="inlineStr">
        <is>
          <t>Ashford Owners Corporation Services</t>
        </is>
      </c>
      <c r="C61" t="inlineStr"/>
      <c r="D61" t="inlineStr">
        <is>
          <t>accounts@ashfordownerscorpo.example</t>
        </is>
      </c>
      <c r="E61" s="11" t="n">
        <v>45539</v>
      </c>
      <c r="F61" t="inlineStr">
        <is>
          <t>C0057</t>
        </is>
      </c>
      <c r="G61" t="inlineStr">
        <is>
          <t>Ashford Owners Corporation Services</t>
        </is>
      </c>
      <c r="H61" t="inlineStr">
        <is>
          <t>V1</t>
        </is>
      </c>
      <c r="I61" t="n">
        <v>0.886</v>
      </c>
      <c r="J61" t="inlineStr">
        <is>
          <t>Similar name, nothing else in common: review</t>
        </is>
      </c>
      <c r="K61" t="inlineStr">
        <is>
          <t>C0046</t>
        </is>
      </c>
      <c r="L61" t="inlineStr">
        <is>
          <t>Review</t>
        </is>
      </c>
      <c r="M61">
        <f>COUNTIF('Invoice Lines'!$E$5:$E$2542,A61)</f>
        <v>1</v>
      </c>
      <c r="N61" s="9">
        <f>SUMIFS('Invoice Lines'!$K$5:$K$2542,'Invoice Lines'!$E$5:$E$2542,A61,'Invoice Lines'!$M$5:$M$2542,1)</f>
        <v>385</v>
      </c>
      <c r="O61" t="str">
        <f>IF(COUNTIF('Contacts'!$A$5:$A$157,F61)=0,"MISSING",IF(INDEX('Contacts'!$F$5:$F$157,MATCH(F61,'Contacts'!$A$5:$A$157,0))=F61,"OK","CHAIN"))</f>
        <v>OK</v>
      </c>
    </row>
    <row r="62">
      <c r="A62" t="inlineStr">
        <is>
          <t>C0058</t>
        </is>
      </c>
      <c r="B62" t="inlineStr">
        <is>
          <t>Summit Body Corporate Pty Ltd</t>
        </is>
      </c>
      <c r="C62" t="inlineStr">
        <is>
          <t>90 177 756 480</t>
        </is>
      </c>
      <c r="D62" t="inlineStr">
        <is>
          <t>accounts@summitbodycorporat.example</t>
        </is>
      </c>
      <c r="E62" s="11" t="n">
        <v>45226</v>
      </c>
      <c r="F62" t="inlineStr">
        <is>
          <t>C0058</t>
        </is>
      </c>
      <c r="G62" t="inlineStr">
        <is>
          <t>Summit Body Corporate Pty Ltd</t>
        </is>
      </c>
      <c r="H62" t="inlineStr"/>
      <c r="I62" t="inlineStr"/>
      <c r="J62" t="inlineStr"/>
      <c r="K62" t="inlineStr"/>
      <c r="L62" t="inlineStr">
        <is>
          <t>Keep</t>
        </is>
      </c>
      <c r="M62">
        <f>COUNTIF('Invoice Lines'!$E$5:$E$2542,A62)</f>
        <v>7</v>
      </c>
      <c r="N62" s="9">
        <f>SUMIFS('Invoice Lines'!$K$5:$K$2542,'Invoice Lines'!$E$5:$E$2542,A62,'Invoice Lines'!$M$5:$M$2542,1)</f>
        <v>3917.07</v>
      </c>
      <c r="O62" t="str">
        <f>IF(COUNTIF('Contacts'!$A$5:$A$157,F62)=0,"MISSING",IF(INDEX('Contacts'!$F$5:$F$157,MATCH(F62,'Contacts'!$A$5:$A$157,0))=F62,"OK","CHAIN"))</f>
        <v>OK</v>
      </c>
    </row>
    <row r="63">
      <c r="A63" t="inlineStr">
        <is>
          <t>C0059</t>
        </is>
      </c>
      <c r="B63" t="inlineStr">
        <is>
          <t>Silverleaf Insurance Repairs Pty Ltd</t>
        </is>
      </c>
      <c r="C63" t="inlineStr"/>
      <c r="D63" t="inlineStr">
        <is>
          <t>accounts@silverleafinsuranc.example</t>
        </is>
      </c>
      <c r="E63" s="11" t="n">
        <v>45349</v>
      </c>
      <c r="F63" t="inlineStr">
        <is>
          <t>C0059</t>
        </is>
      </c>
      <c r="G63" t="inlineStr">
        <is>
          <t>Silverleaf Insurance Repairs Pty Ltd</t>
        </is>
      </c>
      <c r="H63" t="inlineStr"/>
      <c r="I63" t="inlineStr"/>
      <c r="J63" t="inlineStr"/>
      <c r="K63" t="inlineStr"/>
      <c r="L63" t="inlineStr">
        <is>
          <t>Keep</t>
        </is>
      </c>
      <c r="M63">
        <f>COUNTIF('Invoice Lines'!$E$5:$E$2542,A63)</f>
        <v>29</v>
      </c>
      <c r="N63" s="9">
        <f>SUMIFS('Invoice Lines'!$K$5:$K$2542,'Invoice Lines'!$E$5:$E$2542,A63,'Invoice Lines'!$M$5:$M$2542,1)</f>
        <v>14970.14</v>
      </c>
      <c r="O63" t="str">
        <f>IF(COUNTIF('Contacts'!$A$5:$A$157,F63)=0,"MISSING",IF(INDEX('Contacts'!$F$5:$F$157,MATCH(F63,'Contacts'!$A$5:$A$157,0))=F63,"OK","CHAIN"))</f>
        <v>OK</v>
      </c>
    </row>
    <row r="64">
      <c r="A64" t="inlineStr">
        <is>
          <t>C0060</t>
        </is>
      </c>
      <c r="B64" t="inlineStr">
        <is>
          <t>Redline Claims Services</t>
        </is>
      </c>
      <c r="C64" t="inlineStr">
        <is>
          <t>95 757 935 491</t>
        </is>
      </c>
      <c r="D64" t="inlineStr">
        <is>
          <t>accounts@redlineclaimsservi.example</t>
        </is>
      </c>
      <c r="E64" s="11" t="n">
        <v>45212</v>
      </c>
      <c r="F64" t="inlineStr">
        <is>
          <t>C0060</t>
        </is>
      </c>
      <c r="G64" t="inlineStr">
        <is>
          <t>Redline Claims Services</t>
        </is>
      </c>
      <c r="H64" t="inlineStr"/>
      <c r="I64" t="inlineStr"/>
      <c r="J64" t="inlineStr"/>
      <c r="K64" t="inlineStr"/>
      <c r="L64" t="inlineStr">
        <is>
          <t>Keep</t>
        </is>
      </c>
      <c r="M64">
        <f>COUNTIF('Invoice Lines'!$E$5:$E$2542,A64)</f>
        <v>29</v>
      </c>
      <c r="N64" s="9">
        <f>SUMIFS('Invoice Lines'!$K$5:$K$2542,'Invoice Lines'!$E$5:$E$2542,A64,'Invoice Lines'!$M$5:$M$2542,1)</f>
        <v>17056.1</v>
      </c>
      <c r="O64" t="str">
        <f>IF(COUNTIF('Contacts'!$A$5:$A$157,F64)=0,"MISSING",IF(INDEX('Contacts'!$F$5:$F$157,MATCH(F64,'Contacts'!$A$5:$A$157,0))=F64,"OK","CHAIN"))</f>
        <v>OK</v>
      </c>
    </row>
    <row r="65">
      <c r="A65" t="inlineStr">
        <is>
          <t>C0061</t>
        </is>
      </c>
      <c r="B65" t="inlineStr">
        <is>
          <t>Southbank Claims Services Pty Ltd</t>
        </is>
      </c>
      <c r="C65" t="inlineStr">
        <is>
          <t>97 176 915 371</t>
        </is>
      </c>
      <c r="D65" t="inlineStr">
        <is>
          <t>accounts@southbankclaimsser.example</t>
        </is>
      </c>
      <c r="E65" s="11" t="n">
        <v>45565</v>
      </c>
      <c r="F65" t="inlineStr">
        <is>
          <t>C0061</t>
        </is>
      </c>
      <c r="G65" t="inlineStr">
        <is>
          <t>Southbank Claims Services Pty Ltd</t>
        </is>
      </c>
      <c r="H65" t="inlineStr"/>
      <c r="I65" t="inlineStr"/>
      <c r="J65" t="inlineStr"/>
      <c r="K65" t="inlineStr"/>
      <c r="L65" t="inlineStr">
        <is>
          <t>Keep</t>
        </is>
      </c>
      <c r="M65">
        <f>COUNTIF('Invoice Lines'!$E$5:$E$2542,A65)</f>
        <v>17</v>
      </c>
      <c r="N65" s="9">
        <f>SUMIFS('Invoice Lines'!$K$5:$K$2542,'Invoice Lines'!$E$5:$E$2542,A65,'Invoice Lines'!$M$5:$M$2542,1)</f>
        <v>17526.17</v>
      </c>
      <c r="O65" t="str">
        <f>IF(COUNTIF('Contacts'!$A$5:$A$157,F65)=0,"MISSING",IF(INDEX('Contacts'!$F$5:$F$157,MATCH(F65,'Contacts'!$A$5:$A$157,0))=F65,"OK","CHAIN"))</f>
        <v>OK</v>
      </c>
    </row>
    <row r="66">
      <c r="A66" t="inlineStr">
        <is>
          <t>C0062</t>
        </is>
      </c>
      <c r="B66" t="inlineStr">
        <is>
          <t>Wattle Insurance Repairs Pty Ltd</t>
        </is>
      </c>
      <c r="C66" t="inlineStr">
        <is>
          <t>97 197 007 654</t>
        </is>
      </c>
      <c r="D66" t="inlineStr">
        <is>
          <t>accounts@wattleinsurancerep.example</t>
        </is>
      </c>
      <c r="E66" s="11" t="n">
        <v>45524</v>
      </c>
      <c r="F66" t="inlineStr">
        <is>
          <t>C0062</t>
        </is>
      </c>
      <c r="G66" t="inlineStr">
        <is>
          <t>Wattle Insurance Repairs Pty Ltd</t>
        </is>
      </c>
      <c r="H66" t="inlineStr"/>
      <c r="I66" t="inlineStr"/>
      <c r="J66" t="inlineStr"/>
      <c r="K66" t="inlineStr"/>
      <c r="L66" t="inlineStr">
        <is>
          <t>Keep</t>
        </is>
      </c>
      <c r="M66">
        <f>COUNTIF('Invoice Lines'!$E$5:$E$2542,A66)</f>
        <v>20</v>
      </c>
      <c r="N66" s="9">
        <f>SUMIFS('Invoice Lines'!$K$5:$K$2542,'Invoice Lines'!$E$5:$E$2542,A66,'Invoice Lines'!$M$5:$M$2542,1)</f>
        <v>11875.67</v>
      </c>
      <c r="O66" t="str">
        <f>IF(COUNTIF('Contacts'!$A$5:$A$157,F66)=0,"MISSING",IF(INDEX('Contacts'!$F$5:$F$157,MATCH(F66,'Contacts'!$A$5:$A$157,0))=F66,"OK","CHAIN"))</f>
        <v>OK</v>
      </c>
    </row>
    <row r="67">
      <c r="A67" t="inlineStr">
        <is>
          <t>C0063</t>
        </is>
      </c>
      <c r="B67" t="inlineStr">
        <is>
          <t>Highpoint Insurance Repairs Pty Ltd</t>
        </is>
      </c>
      <c r="C67" t="inlineStr">
        <is>
          <t>99 499 696 136</t>
        </is>
      </c>
      <c r="D67" t="inlineStr">
        <is>
          <t>accounts@highpointinsurance.example</t>
        </is>
      </c>
      <c r="E67" s="11" t="n">
        <v>45508</v>
      </c>
      <c r="F67" t="inlineStr">
        <is>
          <t>C0063</t>
        </is>
      </c>
      <c r="G67" t="inlineStr">
        <is>
          <t>Highpoint Insurance Repairs Pty Ltd</t>
        </is>
      </c>
      <c r="H67" t="inlineStr"/>
      <c r="I67" t="inlineStr"/>
      <c r="J67" t="inlineStr"/>
      <c r="K67" t="inlineStr"/>
      <c r="L67" t="inlineStr">
        <is>
          <t>Keep</t>
        </is>
      </c>
      <c r="M67">
        <f>COUNTIF('Invoice Lines'!$E$5:$E$2542,A67)</f>
        <v>49</v>
      </c>
      <c r="N67" s="9">
        <f>SUMIFS('Invoice Lines'!$K$5:$K$2542,'Invoice Lines'!$E$5:$E$2542,A67,'Invoice Lines'!$M$5:$M$2542,1)</f>
        <v>25043.42</v>
      </c>
      <c r="O67" t="str">
        <f>IF(COUNTIF('Contacts'!$A$5:$A$157,F67)=0,"MISSING",IF(INDEX('Contacts'!$F$5:$F$157,MATCH(F67,'Contacts'!$A$5:$A$157,0))=F67,"OK","CHAIN"))</f>
        <v>OK</v>
      </c>
    </row>
    <row r="68">
      <c r="A68" t="inlineStr">
        <is>
          <t>C0064</t>
        </is>
      </c>
      <c r="B68" t="inlineStr">
        <is>
          <t>Lakeside Claims Services Pty Ltd</t>
        </is>
      </c>
      <c r="C68" t="inlineStr">
        <is>
          <t>91 356 833 119</t>
        </is>
      </c>
      <c r="D68" t="inlineStr">
        <is>
          <t>accounts@lakesideclaimsserv.example</t>
        </is>
      </c>
      <c r="E68" s="11" t="n">
        <v>45096</v>
      </c>
      <c r="F68" t="inlineStr">
        <is>
          <t>C0064</t>
        </is>
      </c>
      <c r="G68" t="inlineStr">
        <is>
          <t>Lakeside Claims Services Pty Ltd</t>
        </is>
      </c>
      <c r="H68" t="inlineStr"/>
      <c r="I68" t="inlineStr"/>
      <c r="J68" t="inlineStr"/>
      <c r="K68" t="inlineStr"/>
      <c r="L68" t="inlineStr">
        <is>
          <t>Keep</t>
        </is>
      </c>
      <c r="M68">
        <f>COUNTIF('Invoice Lines'!$E$5:$E$2542,A68)</f>
        <v>26</v>
      </c>
      <c r="N68" s="9">
        <f>SUMIFS('Invoice Lines'!$K$5:$K$2542,'Invoice Lines'!$E$5:$E$2542,A68,'Invoice Lines'!$M$5:$M$2542,1)</f>
        <v>16043.33</v>
      </c>
      <c r="O68" t="str">
        <f>IF(COUNTIF('Contacts'!$A$5:$A$157,F68)=0,"MISSING",IF(INDEX('Contacts'!$F$5:$F$157,MATCH(F68,'Contacts'!$A$5:$A$157,0))=F68,"OK","CHAIN"))</f>
        <v>OK</v>
      </c>
    </row>
    <row r="69">
      <c r="A69" t="inlineStr">
        <is>
          <t>C0065</t>
        </is>
      </c>
      <c r="B69" t="inlineStr">
        <is>
          <t>Stonebridge Claims Services</t>
        </is>
      </c>
      <c r="C69" t="inlineStr">
        <is>
          <t>90 217 481 421</t>
        </is>
      </c>
      <c r="D69" t="inlineStr">
        <is>
          <t>accounts@stonebridgeclaimss.example</t>
        </is>
      </c>
      <c r="E69" s="11" t="n">
        <v>45704</v>
      </c>
      <c r="F69" t="inlineStr">
        <is>
          <t>C0065</t>
        </is>
      </c>
      <c r="G69" t="inlineStr">
        <is>
          <t>Stonebridge Claims Services</t>
        </is>
      </c>
      <c r="H69" t="inlineStr"/>
      <c r="I69" t="inlineStr"/>
      <c r="J69" t="inlineStr"/>
      <c r="K69" t="inlineStr"/>
      <c r="L69" t="inlineStr">
        <is>
          <t>Keep</t>
        </is>
      </c>
      <c r="M69">
        <f>COUNTIF('Invoice Lines'!$E$5:$E$2542,A69)</f>
        <v>24</v>
      </c>
      <c r="N69" s="9">
        <f>SUMIFS('Invoice Lines'!$K$5:$K$2542,'Invoice Lines'!$E$5:$E$2542,A69,'Invoice Lines'!$M$5:$M$2542,1)</f>
        <v>12475.26</v>
      </c>
      <c r="O69" t="str">
        <f>IF(COUNTIF('Contacts'!$A$5:$A$157,F69)=0,"MISSING",IF(INDEX('Contacts'!$F$5:$F$157,MATCH(F69,'Contacts'!$A$5:$A$157,0))=F69,"OK","CHAIN"))</f>
        <v>OK</v>
      </c>
    </row>
    <row r="70">
      <c r="A70" t="inlineStr">
        <is>
          <t>C0066</t>
        </is>
      </c>
      <c r="B70" t="inlineStr">
        <is>
          <t>Northgate Insurance Repairs</t>
        </is>
      </c>
      <c r="C70" t="inlineStr">
        <is>
          <t>92 957 164 983</t>
        </is>
      </c>
      <c r="D70" t="inlineStr">
        <is>
          <t>accounts@northgateinsurance.example</t>
        </is>
      </c>
      <c r="E70" s="11" t="n">
        <v>45638</v>
      </c>
      <c r="F70" t="inlineStr">
        <is>
          <t>C0066</t>
        </is>
      </c>
      <c r="G70" t="inlineStr">
        <is>
          <t>Northgate Insurance Repairs</t>
        </is>
      </c>
      <c r="H70" t="inlineStr"/>
      <c r="I70" t="inlineStr"/>
      <c r="J70" t="inlineStr"/>
      <c r="K70" t="inlineStr"/>
      <c r="L70" t="inlineStr">
        <is>
          <t>Keep</t>
        </is>
      </c>
      <c r="M70">
        <f>COUNTIF('Invoice Lines'!$E$5:$E$2542,A70)</f>
        <v>49</v>
      </c>
      <c r="N70" s="9">
        <f>SUMIFS('Invoice Lines'!$K$5:$K$2542,'Invoice Lines'!$E$5:$E$2542,A70,'Invoice Lines'!$M$5:$M$2542,1)</f>
        <v>26171.76</v>
      </c>
      <c r="O70" t="str">
        <f>IF(COUNTIF('Contacts'!$A$5:$A$157,F70)=0,"MISSING",IF(INDEX('Contacts'!$F$5:$F$157,MATCH(F70,'Contacts'!$A$5:$A$157,0))=F70,"OK","CHAIN"))</f>
        <v>OK</v>
      </c>
    </row>
    <row r="71">
      <c r="A71" t="inlineStr">
        <is>
          <t>C0067</t>
        </is>
      </c>
      <c r="B71" t="inlineStr">
        <is>
          <t>Banksia Claims Services Pty Ltd</t>
        </is>
      </c>
      <c r="C71" t="inlineStr">
        <is>
          <t>94 180 093 547</t>
        </is>
      </c>
      <c r="D71" t="inlineStr">
        <is>
          <t>accounts@banksiaclaimsservi.example</t>
        </is>
      </c>
      <c r="E71" s="11" t="n">
        <v>45420</v>
      </c>
      <c r="F71" t="inlineStr">
        <is>
          <t>C0067</t>
        </is>
      </c>
      <c r="G71" t="inlineStr">
        <is>
          <t>Banksia Claims Services Pty Ltd</t>
        </is>
      </c>
      <c r="H71" t="inlineStr">
        <is>
          <t>N1</t>
        </is>
      </c>
      <c r="I71" t="n">
        <v>0.851</v>
      </c>
      <c r="J71" t="inlineStr">
        <is>
          <t>Similar name but different tax numbers: kept separate</t>
        </is>
      </c>
      <c r="K71" t="inlineStr">
        <is>
          <t>C0064</t>
        </is>
      </c>
      <c r="L71" t="inlineStr">
        <is>
          <t>Keep separate</t>
        </is>
      </c>
      <c r="M71">
        <f>COUNTIF('Invoice Lines'!$E$5:$E$2542,A71)</f>
        <v>16</v>
      </c>
      <c r="N71" s="9">
        <f>SUMIFS('Invoice Lines'!$K$5:$K$2542,'Invoice Lines'!$E$5:$E$2542,A71,'Invoice Lines'!$M$5:$M$2542,1)</f>
        <v>7296.48</v>
      </c>
      <c r="O71" t="str">
        <f>IF(COUNTIF('Contacts'!$A$5:$A$157,F71)=0,"MISSING",IF(INDEX('Contacts'!$F$5:$F$157,MATCH(F71,'Contacts'!$A$5:$A$157,0))=F71,"OK","CHAIN"))</f>
        <v>OK</v>
      </c>
    </row>
    <row r="72">
      <c r="A72" t="inlineStr">
        <is>
          <t>C0068</t>
        </is>
      </c>
      <c r="B72" t="inlineStr">
        <is>
          <t>Coastline Claims Services</t>
        </is>
      </c>
      <c r="C72" t="inlineStr"/>
      <c r="D72" t="inlineStr">
        <is>
          <t>accounts@coastlineclaimsser.example</t>
        </is>
      </c>
      <c r="E72" s="11" t="n">
        <v>45693</v>
      </c>
      <c r="F72" t="inlineStr">
        <is>
          <t>C0068</t>
        </is>
      </c>
      <c r="G72" t="inlineStr">
        <is>
          <t>Coastline Claims Services</t>
        </is>
      </c>
      <c r="H72" t="inlineStr"/>
      <c r="I72" t="inlineStr"/>
      <c r="J72" t="inlineStr"/>
      <c r="K72" t="inlineStr"/>
      <c r="L72" t="inlineStr">
        <is>
          <t>Keep</t>
        </is>
      </c>
      <c r="M72">
        <f>COUNTIF('Invoice Lines'!$E$5:$E$2542,A72)</f>
        <v>29</v>
      </c>
      <c r="N72" s="9">
        <f>SUMIFS('Invoice Lines'!$K$5:$K$2542,'Invoice Lines'!$E$5:$E$2542,A72,'Invoice Lines'!$M$5:$M$2542,1)</f>
        <v>22193.19</v>
      </c>
      <c r="O72" t="str">
        <f>IF(COUNTIF('Contacts'!$A$5:$A$157,F72)=0,"MISSING",IF(INDEX('Contacts'!$F$5:$F$157,MATCH(F72,'Contacts'!$A$5:$A$157,0))=F72,"OK","CHAIN"))</f>
        <v>OK</v>
      </c>
    </row>
    <row r="73">
      <c r="A73" t="inlineStr">
        <is>
          <t>C0069</t>
        </is>
      </c>
      <c r="B73" t="inlineStr">
        <is>
          <t>Brimbank City Council</t>
        </is>
      </c>
      <c r="C73" t="inlineStr">
        <is>
          <t>99 668 041 309</t>
        </is>
      </c>
      <c r="D73" t="inlineStr">
        <is>
          <t>accounts@brimbankcitycounci.example</t>
        </is>
      </c>
      <c r="E73" s="11" t="n">
        <v>45551</v>
      </c>
      <c r="F73" t="inlineStr">
        <is>
          <t>C0069</t>
        </is>
      </c>
      <c r="G73" t="inlineStr">
        <is>
          <t>Brimbank City Council</t>
        </is>
      </c>
      <c r="H73" t="inlineStr"/>
      <c r="I73" t="inlineStr"/>
      <c r="J73" t="inlineStr"/>
      <c r="K73" t="inlineStr"/>
      <c r="L73" t="inlineStr">
        <is>
          <t>Keep</t>
        </is>
      </c>
      <c r="M73">
        <f>COUNTIF('Invoice Lines'!$E$5:$E$2542,A73)</f>
        <v>0</v>
      </c>
      <c r="N73" s="9">
        <f>SUMIFS('Invoice Lines'!$K$5:$K$2542,'Invoice Lines'!$E$5:$E$2542,A73,'Invoice Lines'!$M$5:$M$2542,1)</f>
        <v>0</v>
      </c>
      <c r="O73" t="str">
        <f>IF(COUNTIF('Contacts'!$A$5:$A$157,F73)=0,"MISSING",IF(INDEX('Contacts'!$F$5:$F$157,MATCH(F73,'Contacts'!$A$5:$A$157,0))=F73,"OK","CHAIN"))</f>
        <v>OK</v>
      </c>
    </row>
    <row r="74">
      <c r="A74" t="inlineStr">
        <is>
          <t>C0070</t>
        </is>
      </c>
      <c r="B74" t="inlineStr">
        <is>
          <t>Banyule City Council</t>
        </is>
      </c>
      <c r="C74" t="inlineStr">
        <is>
          <t>96 365 381 749</t>
        </is>
      </c>
      <c r="D74" t="inlineStr">
        <is>
          <t>accounts@banyulecitycouncil.example</t>
        </is>
      </c>
      <c r="E74" s="11" t="n">
        <v>45560</v>
      </c>
      <c r="F74" t="inlineStr">
        <is>
          <t>C0070</t>
        </is>
      </c>
      <c r="G74" t="inlineStr">
        <is>
          <t>Banyule City Council</t>
        </is>
      </c>
      <c r="H74" t="inlineStr"/>
      <c r="I74" t="inlineStr"/>
      <c r="J74" t="inlineStr"/>
      <c r="K74" t="inlineStr"/>
      <c r="L74" t="inlineStr">
        <is>
          <t>Keep</t>
        </is>
      </c>
      <c r="M74">
        <f>COUNTIF('Invoice Lines'!$E$5:$E$2542,A74)</f>
        <v>19</v>
      </c>
      <c r="N74" s="9">
        <f>SUMIFS('Invoice Lines'!$K$5:$K$2542,'Invoice Lines'!$E$5:$E$2542,A74,'Invoice Lines'!$M$5:$M$2542,1)</f>
        <v>24367.3</v>
      </c>
      <c r="O74" t="str">
        <f>IF(COUNTIF('Contacts'!$A$5:$A$157,F74)=0,"MISSING",IF(INDEX('Contacts'!$F$5:$F$157,MATCH(F74,'Contacts'!$A$5:$A$157,0))=F74,"OK","CHAIN"))</f>
        <v>OK</v>
      </c>
    </row>
    <row r="75">
      <c r="A75" t="inlineStr">
        <is>
          <t>C0071</t>
        </is>
      </c>
      <c r="B75" t="inlineStr">
        <is>
          <t>Maribyrnong City Council</t>
        </is>
      </c>
      <c r="C75" t="inlineStr">
        <is>
          <t>99 736 484 678</t>
        </is>
      </c>
      <c r="D75" t="inlineStr">
        <is>
          <t>accounts@maribyrnongcitycou.example</t>
        </is>
      </c>
      <c r="E75" s="11" t="n">
        <v>45516</v>
      </c>
      <c r="F75" t="inlineStr">
        <is>
          <t>C0071</t>
        </is>
      </c>
      <c r="G75" t="inlineStr">
        <is>
          <t>Maribyrnong City Council</t>
        </is>
      </c>
      <c r="H75" t="inlineStr"/>
      <c r="I75" t="inlineStr"/>
      <c r="J75" t="inlineStr"/>
      <c r="K75" t="inlineStr"/>
      <c r="L75" t="inlineStr">
        <is>
          <t>Keep</t>
        </is>
      </c>
      <c r="M75">
        <f>COUNTIF('Invoice Lines'!$E$5:$E$2542,A75)</f>
        <v>33</v>
      </c>
      <c r="N75" s="9">
        <f>SUMIFS('Invoice Lines'!$K$5:$K$2542,'Invoice Lines'!$E$5:$E$2542,A75,'Invoice Lines'!$M$5:$M$2542,1)</f>
        <v>18453</v>
      </c>
      <c r="O75" t="str">
        <f>IF(COUNTIF('Contacts'!$A$5:$A$157,F75)=0,"MISSING",IF(INDEX('Contacts'!$F$5:$F$157,MATCH(F75,'Contacts'!$A$5:$A$157,0))=F75,"OK","CHAIN"))</f>
        <v>OK</v>
      </c>
    </row>
    <row r="76">
      <c r="A76" t="inlineStr">
        <is>
          <t>C0072</t>
        </is>
      </c>
      <c r="B76" t="inlineStr">
        <is>
          <t>Kingston City Council</t>
        </is>
      </c>
      <c r="C76" t="inlineStr"/>
      <c r="D76" t="inlineStr">
        <is>
          <t>accounts@kingstoncitycounci.example</t>
        </is>
      </c>
      <c r="E76" s="11" t="n">
        <v>45023</v>
      </c>
      <c r="F76" t="inlineStr">
        <is>
          <t>C0072</t>
        </is>
      </c>
      <c r="G76" t="inlineStr">
        <is>
          <t>Kingston City Council</t>
        </is>
      </c>
      <c r="H76" t="inlineStr"/>
      <c r="I76" t="inlineStr"/>
      <c r="J76" t="inlineStr"/>
      <c r="K76" t="inlineStr"/>
      <c r="L76" t="inlineStr">
        <is>
          <t>Keep</t>
        </is>
      </c>
      <c r="M76">
        <f>COUNTIF('Invoice Lines'!$E$5:$E$2542,A76)</f>
        <v>20</v>
      </c>
      <c r="N76" s="9">
        <f>SUMIFS('Invoice Lines'!$K$5:$K$2542,'Invoice Lines'!$E$5:$E$2542,A76,'Invoice Lines'!$M$5:$M$2542,1)</f>
        <v>26306.1</v>
      </c>
      <c r="O76" t="str">
        <f>IF(COUNTIF('Contacts'!$A$5:$A$157,F76)=0,"MISSING",IF(INDEX('Contacts'!$F$5:$F$157,MATCH(F76,'Contacts'!$A$5:$A$157,0))=F76,"OK","CHAIN"))</f>
        <v>OK</v>
      </c>
    </row>
    <row r="77">
      <c r="A77" t="inlineStr">
        <is>
          <t>C0073</t>
        </is>
      </c>
      <c r="B77" t="inlineStr">
        <is>
          <t>Juniper Festivals</t>
        </is>
      </c>
      <c r="C77" t="inlineStr">
        <is>
          <t>99 772 463 848</t>
        </is>
      </c>
      <c r="D77" t="inlineStr">
        <is>
          <t>accounts@juniperfestivals.example</t>
        </is>
      </c>
      <c r="E77" s="11" t="n">
        <v>45406</v>
      </c>
      <c r="F77" t="inlineStr">
        <is>
          <t>C0073</t>
        </is>
      </c>
      <c r="G77" t="inlineStr">
        <is>
          <t>Juniper Festivals</t>
        </is>
      </c>
      <c r="H77" t="inlineStr"/>
      <c r="I77" t="inlineStr"/>
      <c r="J77" t="inlineStr"/>
      <c r="K77" t="inlineStr"/>
      <c r="L77" t="inlineStr">
        <is>
          <t>Keep</t>
        </is>
      </c>
      <c r="M77">
        <f>COUNTIF('Invoice Lines'!$E$5:$E$2542,A77)</f>
        <v>12</v>
      </c>
      <c r="N77" s="9">
        <f>SUMIFS('Invoice Lines'!$K$5:$K$2542,'Invoice Lines'!$E$5:$E$2542,A77,'Invoice Lines'!$M$5:$M$2542,1)</f>
        <v>5052.8</v>
      </c>
      <c r="O77" t="str">
        <f>IF(COUNTIF('Contacts'!$A$5:$A$157,F77)=0,"MISSING",IF(INDEX('Contacts'!$F$5:$F$157,MATCH(F77,'Contacts'!$A$5:$A$157,0))=F77,"OK","CHAIN"))</f>
        <v>OK</v>
      </c>
    </row>
    <row r="78">
      <c r="A78" t="inlineStr">
        <is>
          <t>C0074</t>
        </is>
      </c>
      <c r="B78" t="inlineStr">
        <is>
          <t>Ironbark Events Pty Ltd</t>
        </is>
      </c>
      <c r="C78" t="inlineStr">
        <is>
          <t>94 495 052 771</t>
        </is>
      </c>
      <c r="D78" t="inlineStr">
        <is>
          <t>accounts@ironbarkevents.example</t>
        </is>
      </c>
      <c r="E78" s="11" t="n">
        <v>45564</v>
      </c>
      <c r="F78" t="inlineStr">
        <is>
          <t>C0074</t>
        </is>
      </c>
      <c r="G78" t="inlineStr">
        <is>
          <t>Ironbark Events Pty Ltd</t>
        </is>
      </c>
      <c r="H78" t="inlineStr"/>
      <c r="I78" t="inlineStr"/>
      <c r="J78" t="inlineStr"/>
      <c r="K78" t="inlineStr"/>
      <c r="L78" t="inlineStr">
        <is>
          <t>Keep</t>
        </is>
      </c>
      <c r="M78">
        <f>COUNTIF('Invoice Lines'!$E$5:$E$2542,A78)</f>
        <v>22</v>
      </c>
      <c r="N78" s="9">
        <f>SUMIFS('Invoice Lines'!$K$5:$K$2542,'Invoice Lines'!$E$5:$E$2542,A78,'Invoice Lines'!$M$5:$M$2542,1)</f>
        <v>9163.8</v>
      </c>
      <c r="O78" t="str">
        <f>IF(COUNTIF('Contacts'!$A$5:$A$157,F78)=0,"MISSING",IF(INDEX('Contacts'!$F$5:$F$157,MATCH(F78,'Contacts'!$A$5:$A$157,0))=F78,"OK","CHAIN"))</f>
        <v>OK</v>
      </c>
    </row>
    <row r="79">
      <c r="A79" t="inlineStr">
        <is>
          <t>C0075</t>
        </is>
      </c>
      <c r="B79" t="inlineStr">
        <is>
          <t>Oakridge Productions</t>
        </is>
      </c>
      <c r="C79" t="inlineStr">
        <is>
          <t>91 190 624 198</t>
        </is>
      </c>
      <c r="D79" t="inlineStr">
        <is>
          <t>accounts@oakridgeproduction.example</t>
        </is>
      </c>
      <c r="E79" s="11" t="n">
        <v>45151</v>
      </c>
      <c r="F79" t="inlineStr">
        <is>
          <t>C0075</t>
        </is>
      </c>
      <c r="G79" t="inlineStr">
        <is>
          <t>Oakridge Productions</t>
        </is>
      </c>
      <c r="H79" t="inlineStr"/>
      <c r="I79" t="inlineStr"/>
      <c r="J79" t="inlineStr"/>
      <c r="K79" t="inlineStr"/>
      <c r="L79" t="inlineStr">
        <is>
          <t>Keep</t>
        </is>
      </c>
      <c r="M79">
        <f>COUNTIF('Invoice Lines'!$E$5:$E$2542,A79)</f>
        <v>18</v>
      </c>
      <c r="N79" s="9">
        <f>SUMIFS('Invoice Lines'!$K$5:$K$2542,'Invoice Lines'!$E$5:$E$2542,A79,'Invoice Lines'!$M$5:$M$2542,1)</f>
        <v>7493.1</v>
      </c>
      <c r="O79" t="str">
        <f>IF(COUNTIF('Contacts'!$A$5:$A$157,F79)=0,"MISSING",IF(INDEX('Contacts'!$F$5:$F$157,MATCH(F79,'Contacts'!$A$5:$A$157,0))=F79,"OK","CHAIN"))</f>
        <v>OK</v>
      </c>
    </row>
    <row r="80">
      <c r="A80" t="inlineStr">
        <is>
          <t>C0076</t>
        </is>
      </c>
      <c r="B80" t="inlineStr">
        <is>
          <t>Westside Productions</t>
        </is>
      </c>
      <c r="C80" t="inlineStr">
        <is>
          <t>95 406 383 464</t>
        </is>
      </c>
      <c r="D80" t="inlineStr">
        <is>
          <t>accounts@westsideproduction.example</t>
        </is>
      </c>
      <c r="E80" s="11" t="n">
        <v>45500</v>
      </c>
      <c r="F80" t="inlineStr">
        <is>
          <t>C0076</t>
        </is>
      </c>
      <c r="G80" t="inlineStr">
        <is>
          <t>Westside Productions</t>
        </is>
      </c>
      <c r="H80" t="inlineStr"/>
      <c r="I80" t="inlineStr"/>
      <c r="J80" t="inlineStr"/>
      <c r="K80" t="inlineStr"/>
      <c r="L80" t="inlineStr">
        <is>
          <t>Keep</t>
        </is>
      </c>
      <c r="M80">
        <f>COUNTIF('Invoice Lines'!$E$5:$E$2542,A80)</f>
        <v>6</v>
      </c>
      <c r="N80" s="9">
        <f>SUMIFS('Invoice Lines'!$K$5:$K$2542,'Invoice Lines'!$E$5:$E$2542,A80,'Invoice Lines'!$M$5:$M$2542,1)</f>
        <v>924</v>
      </c>
      <c r="O80" t="str">
        <f>IF(COUNTIF('Contacts'!$A$5:$A$157,F80)=0,"MISSING",IF(INDEX('Contacts'!$F$5:$F$157,MATCH(F80,'Contacts'!$A$5:$A$157,0))=F80,"OK","CHAIN"))</f>
        <v>OK</v>
      </c>
    </row>
    <row r="81">
      <c r="A81" t="inlineStr">
        <is>
          <t>C0077</t>
        </is>
      </c>
      <c r="B81" t="inlineStr">
        <is>
          <t>Corner Events Pty Ltd</t>
        </is>
      </c>
      <c r="C81" t="inlineStr"/>
      <c r="D81" t="inlineStr">
        <is>
          <t>accounts@cornerevents.example</t>
        </is>
      </c>
      <c r="E81" s="11" t="n">
        <v>45534</v>
      </c>
      <c r="F81" t="inlineStr">
        <is>
          <t>C0077</t>
        </is>
      </c>
      <c r="G81" t="inlineStr">
        <is>
          <t>Corner Events Pty Ltd</t>
        </is>
      </c>
      <c r="H81" t="inlineStr"/>
      <c r="I81" t="inlineStr"/>
      <c r="J81" t="inlineStr"/>
      <c r="K81" t="inlineStr"/>
      <c r="L81" t="inlineStr">
        <is>
          <t>Keep</t>
        </is>
      </c>
      <c r="M81">
        <f>COUNTIF('Invoice Lines'!$E$5:$E$2542,A81)</f>
        <v>16</v>
      </c>
      <c r="N81" s="9">
        <f>SUMIFS('Invoice Lines'!$K$5:$K$2542,'Invoice Lines'!$E$5:$E$2542,A81,'Invoice Lines'!$M$5:$M$2542,1)</f>
        <v>10129.1</v>
      </c>
      <c r="O81" t="str">
        <f>IF(COUNTIF('Contacts'!$A$5:$A$157,F81)=0,"MISSING",IF(INDEX('Contacts'!$F$5:$F$157,MATCH(F81,'Contacts'!$A$5:$A$157,0))=F81,"OK","CHAIN"))</f>
        <v>OK</v>
      </c>
    </row>
    <row r="82">
      <c r="A82" t="inlineStr">
        <is>
          <t>C0078</t>
        </is>
      </c>
      <c r="B82" t="inlineStr">
        <is>
          <t>Oakridge Festivals</t>
        </is>
      </c>
      <c r="C82" t="inlineStr">
        <is>
          <t>95 827 845 826</t>
        </is>
      </c>
      <c r="D82" t="inlineStr">
        <is>
          <t>accounts@oakridgefestivals.example</t>
        </is>
      </c>
      <c r="E82" s="11" t="n">
        <v>45296</v>
      </c>
      <c r="F82" t="inlineStr">
        <is>
          <t>C0078</t>
        </is>
      </c>
      <c r="G82" t="inlineStr">
        <is>
          <t>Oakridge Festivals</t>
        </is>
      </c>
      <c r="H82" t="inlineStr"/>
      <c r="I82" t="inlineStr"/>
      <c r="J82" t="inlineStr"/>
      <c r="K82" t="inlineStr"/>
      <c r="L82" t="inlineStr">
        <is>
          <t>Keep</t>
        </is>
      </c>
      <c r="M82">
        <f>COUNTIF('Invoice Lines'!$E$5:$E$2542,A82)</f>
        <v>5</v>
      </c>
      <c r="N82" s="9">
        <f>SUMIFS('Invoice Lines'!$K$5:$K$2542,'Invoice Lines'!$E$5:$E$2542,A82,'Invoice Lines'!$M$5:$M$2542,1)</f>
        <v>2648.6</v>
      </c>
      <c r="O82" t="str">
        <f>IF(COUNTIF('Contacts'!$A$5:$A$157,F82)=0,"MISSING",IF(INDEX('Contacts'!$F$5:$F$157,MATCH(F82,'Contacts'!$A$5:$A$157,0))=F82,"OK","CHAIN"))</f>
        <v>OK</v>
      </c>
    </row>
    <row r="83">
      <c r="A83" t="inlineStr">
        <is>
          <t>C0079</t>
        </is>
      </c>
      <c r="B83" t="inlineStr">
        <is>
          <t>Kestrel Events Pty Ltd</t>
        </is>
      </c>
      <c r="C83" t="inlineStr">
        <is>
          <t>91 581 075 645</t>
        </is>
      </c>
      <c r="D83" t="inlineStr">
        <is>
          <t>accounts@kestrelevents.example</t>
        </is>
      </c>
      <c r="E83" s="11" t="n">
        <v>45391</v>
      </c>
      <c r="F83" t="inlineStr">
        <is>
          <t>C0079</t>
        </is>
      </c>
      <c r="G83" t="inlineStr">
        <is>
          <t>Kestrel Events Pty Ltd</t>
        </is>
      </c>
      <c r="H83" t="inlineStr"/>
      <c r="I83" t="inlineStr"/>
      <c r="J83" t="inlineStr"/>
      <c r="K83" t="inlineStr"/>
      <c r="L83" t="inlineStr">
        <is>
          <t>Keep</t>
        </is>
      </c>
      <c r="M83">
        <f>COUNTIF('Invoice Lines'!$E$5:$E$2542,A83)</f>
        <v>2</v>
      </c>
      <c r="N83" s="9">
        <f>SUMIFS('Invoice Lines'!$K$5:$K$2542,'Invoice Lines'!$E$5:$E$2542,A83,'Invoice Lines'!$M$5:$M$2542,1)</f>
        <v>1690.5</v>
      </c>
      <c r="O83" t="str">
        <f>IF(COUNTIF('Contacts'!$A$5:$A$157,F83)=0,"MISSING",IF(INDEX('Contacts'!$F$5:$F$157,MATCH(F83,'Contacts'!$A$5:$A$157,0))=F83,"OK","CHAIN"))</f>
        <v>OK</v>
      </c>
    </row>
    <row r="84">
      <c r="A84" t="inlineStr">
        <is>
          <t>C0080</t>
        </is>
      </c>
      <c r="B84" t="inlineStr">
        <is>
          <t>Ember Productions Pty Ltd</t>
        </is>
      </c>
      <c r="C84" t="inlineStr">
        <is>
          <t>98 381 260 420</t>
        </is>
      </c>
      <c r="D84" t="inlineStr">
        <is>
          <t>accounts@emberproductions.example</t>
        </is>
      </c>
      <c r="E84" s="11" t="n">
        <v>45159</v>
      </c>
      <c r="F84" t="inlineStr">
        <is>
          <t>C0080</t>
        </is>
      </c>
      <c r="G84" t="inlineStr">
        <is>
          <t>Ember Productions Pty Ltd</t>
        </is>
      </c>
      <c r="H84" t="inlineStr"/>
      <c r="I84" t="inlineStr"/>
      <c r="J84" t="inlineStr"/>
      <c r="K84" t="inlineStr"/>
      <c r="L84" t="inlineStr">
        <is>
          <t>Keep</t>
        </is>
      </c>
      <c r="M84">
        <f>COUNTIF('Invoice Lines'!$E$5:$E$2542,A84)</f>
        <v>18</v>
      </c>
      <c r="N84" s="9">
        <f>SUMIFS('Invoice Lines'!$K$5:$K$2542,'Invoice Lines'!$E$5:$E$2542,A84,'Invoice Lines'!$M$5:$M$2542,1)</f>
        <v>8600.55</v>
      </c>
      <c r="O84" t="str">
        <f>IF(COUNTIF('Contacts'!$A$5:$A$157,F84)=0,"MISSING",IF(INDEX('Contacts'!$F$5:$F$157,MATCH(F84,'Contacts'!$A$5:$A$157,0))=F84,"OK","CHAIN"))</f>
        <v>OK</v>
      </c>
    </row>
    <row r="85">
      <c r="A85" t="inlineStr">
        <is>
          <t>C0081</t>
        </is>
      </c>
      <c r="B85" t="inlineStr">
        <is>
          <t>Mia Chen</t>
        </is>
      </c>
      <c r="C85" t="inlineStr"/>
      <c r="D85" t="inlineStr">
        <is>
          <t>ella@miachen.example</t>
        </is>
      </c>
      <c r="E85" s="11" t="n">
        <v>45140</v>
      </c>
      <c r="F85" t="inlineStr">
        <is>
          <t>C0081</t>
        </is>
      </c>
      <c r="G85" t="inlineStr">
        <is>
          <t>Mia Chen</t>
        </is>
      </c>
      <c r="H85" t="inlineStr"/>
      <c r="I85" t="inlineStr"/>
      <c r="J85" t="inlineStr"/>
      <c r="K85" t="inlineStr"/>
      <c r="L85" t="inlineStr">
        <is>
          <t>Keep</t>
        </is>
      </c>
      <c r="M85">
        <f>COUNTIF('Invoice Lines'!$E$5:$E$2542,A85)</f>
        <v>7</v>
      </c>
      <c r="N85" s="9">
        <f>SUMIFS('Invoice Lines'!$K$5:$K$2542,'Invoice Lines'!$E$5:$E$2542,A85,'Invoice Lines'!$M$5:$M$2542,1)</f>
        <v>6592.68</v>
      </c>
      <c r="O85" t="str">
        <f>IF(COUNTIF('Contacts'!$A$5:$A$157,F85)=0,"MISSING",IF(INDEX('Contacts'!$F$5:$F$157,MATCH(F85,'Contacts'!$A$5:$A$157,0))=F85,"OK","CHAIN"))</f>
        <v>OK</v>
      </c>
    </row>
    <row r="86">
      <c r="A86" t="inlineStr">
        <is>
          <t>C0082</t>
        </is>
      </c>
      <c r="B86" t="inlineStr">
        <is>
          <t>Olivia Hughes</t>
        </is>
      </c>
      <c r="C86" t="inlineStr"/>
      <c r="D86" t="inlineStr">
        <is>
          <t>ethan@oliviahughes.example</t>
        </is>
      </c>
      <c r="E86" s="11" t="n">
        <v>45038</v>
      </c>
      <c r="F86" t="inlineStr">
        <is>
          <t>C0082</t>
        </is>
      </c>
      <c r="G86" t="inlineStr">
        <is>
          <t>Olivia Hughes</t>
        </is>
      </c>
      <c r="H86" t="inlineStr"/>
      <c r="I86" t="inlineStr"/>
      <c r="J86" t="inlineStr"/>
      <c r="K86" t="inlineStr"/>
      <c r="L86" t="inlineStr">
        <is>
          <t>Keep</t>
        </is>
      </c>
      <c r="M86">
        <f>COUNTIF('Invoice Lines'!$E$5:$E$2542,A86)</f>
        <v>9</v>
      </c>
      <c r="N86" s="9">
        <f>SUMIFS('Invoice Lines'!$K$5:$K$2542,'Invoice Lines'!$E$5:$E$2542,A86,'Invoice Lines'!$M$5:$M$2542,1)</f>
        <v>5604.51</v>
      </c>
      <c r="O86" t="str">
        <f>IF(COUNTIF('Contacts'!$A$5:$A$157,F86)=0,"MISSING",IF(INDEX('Contacts'!$F$5:$F$157,MATCH(F86,'Contacts'!$A$5:$A$157,0))=F86,"OK","CHAIN"))</f>
        <v>OK</v>
      </c>
    </row>
    <row r="87">
      <c r="A87" t="inlineStr">
        <is>
          <t>C0083</t>
        </is>
      </c>
      <c r="B87" t="inlineStr">
        <is>
          <t>Noah Williams</t>
        </is>
      </c>
      <c r="C87" t="inlineStr"/>
      <c r="D87" t="inlineStr">
        <is>
          <t>priya@noahwilliams.example</t>
        </is>
      </c>
      <c r="E87" s="11" t="n">
        <v>45194</v>
      </c>
      <c r="F87" t="inlineStr">
        <is>
          <t>C0083</t>
        </is>
      </c>
      <c r="G87" t="inlineStr">
        <is>
          <t>Noah Williams</t>
        </is>
      </c>
      <c r="H87" t="inlineStr"/>
      <c r="I87" t="inlineStr"/>
      <c r="J87" t="inlineStr"/>
      <c r="K87" t="inlineStr"/>
      <c r="L87" t="inlineStr">
        <is>
          <t>Keep</t>
        </is>
      </c>
      <c r="M87">
        <f>COUNTIF('Invoice Lines'!$E$5:$E$2542,A87)</f>
        <v>27</v>
      </c>
      <c r="N87" s="9">
        <f>SUMIFS('Invoice Lines'!$K$5:$K$2542,'Invoice Lines'!$E$5:$E$2542,A87,'Invoice Lines'!$M$5:$M$2542,1)</f>
        <v>29309.63</v>
      </c>
      <c r="O87" t="str">
        <f>IF(COUNTIF('Contacts'!$A$5:$A$157,F87)=0,"MISSING",IF(INDEX('Contacts'!$F$5:$F$157,MATCH(F87,'Contacts'!$A$5:$A$157,0))=F87,"OK","CHAIN"))</f>
        <v>OK</v>
      </c>
    </row>
    <row r="88">
      <c r="A88" t="inlineStr">
        <is>
          <t>C0084</t>
        </is>
      </c>
      <c r="B88" t="inlineStr">
        <is>
          <t>Mia Walker</t>
        </is>
      </c>
      <c r="C88" t="inlineStr"/>
      <c r="D88" t="inlineStr">
        <is>
          <t>leo@miawalker.example</t>
        </is>
      </c>
      <c r="E88" s="11" t="n">
        <v>45678</v>
      </c>
      <c r="F88" t="inlineStr">
        <is>
          <t>C0084</t>
        </is>
      </c>
      <c r="G88" t="inlineStr">
        <is>
          <t>Mia Walker</t>
        </is>
      </c>
      <c r="H88" t="inlineStr"/>
      <c r="I88" t="inlineStr"/>
      <c r="J88" t="inlineStr"/>
      <c r="K88" t="inlineStr"/>
      <c r="L88" t="inlineStr">
        <is>
          <t>Keep</t>
        </is>
      </c>
      <c r="M88">
        <f>COUNTIF('Invoice Lines'!$E$5:$E$2542,A88)</f>
        <v>11</v>
      </c>
      <c r="N88" s="9">
        <f>SUMIFS('Invoice Lines'!$K$5:$K$2542,'Invoice Lines'!$E$5:$E$2542,A88,'Invoice Lines'!$M$5:$M$2542,1)</f>
        <v>5534.82</v>
      </c>
      <c r="O88" t="str">
        <f>IF(COUNTIF('Contacts'!$A$5:$A$157,F88)=0,"MISSING",IF(INDEX('Contacts'!$F$5:$F$157,MATCH(F88,'Contacts'!$A$5:$A$157,0))=F88,"OK","CHAIN"))</f>
        <v>OK</v>
      </c>
    </row>
    <row r="89">
      <c r="A89" t="inlineStr">
        <is>
          <t>C0085</t>
        </is>
      </c>
      <c r="B89" t="inlineStr">
        <is>
          <t>Zoe Williams</t>
        </is>
      </c>
      <c r="C89" t="inlineStr"/>
      <c r="D89" t="inlineStr">
        <is>
          <t>hannah@zoewilliams.example</t>
        </is>
      </c>
      <c r="E89" s="11" t="n">
        <v>45249</v>
      </c>
      <c r="F89" t="inlineStr">
        <is>
          <t>C0085</t>
        </is>
      </c>
      <c r="G89" t="inlineStr">
        <is>
          <t>Zoe Williams</t>
        </is>
      </c>
      <c r="H89" t="inlineStr"/>
      <c r="I89" t="inlineStr"/>
      <c r="J89" t="inlineStr"/>
      <c r="K89" t="inlineStr"/>
      <c r="L89" t="inlineStr">
        <is>
          <t>Keep</t>
        </is>
      </c>
      <c r="M89">
        <f>COUNTIF('Invoice Lines'!$E$5:$E$2542,A89)</f>
        <v>7</v>
      </c>
      <c r="N89" s="9">
        <f>SUMIFS('Invoice Lines'!$K$5:$K$2542,'Invoice Lines'!$E$5:$E$2542,A89,'Invoice Lines'!$M$5:$M$2542,1)</f>
        <v>2240</v>
      </c>
      <c r="O89" t="str">
        <f>IF(COUNTIF('Contacts'!$A$5:$A$157,F89)=0,"MISSING",IF(INDEX('Contacts'!$F$5:$F$157,MATCH(F89,'Contacts'!$A$5:$A$157,0))=F89,"OK","CHAIN"))</f>
        <v>OK</v>
      </c>
    </row>
    <row r="90">
      <c r="A90" t="inlineStr">
        <is>
          <t>C0086</t>
        </is>
      </c>
      <c r="B90" t="inlineStr">
        <is>
          <t>Mei Ali</t>
        </is>
      </c>
      <c r="C90" t="inlineStr"/>
      <c r="D90" t="inlineStr">
        <is>
          <t>oscar@meiali.example</t>
        </is>
      </c>
      <c r="E90" s="11" t="n">
        <v>45288</v>
      </c>
      <c r="F90" t="inlineStr">
        <is>
          <t>C0086</t>
        </is>
      </c>
      <c r="G90" t="inlineStr">
        <is>
          <t>Mei Ali</t>
        </is>
      </c>
      <c r="H90" t="inlineStr"/>
      <c r="I90" t="inlineStr"/>
      <c r="J90" t="inlineStr"/>
      <c r="K90" t="inlineStr"/>
      <c r="L90" t="inlineStr">
        <is>
          <t>Keep</t>
        </is>
      </c>
      <c r="M90">
        <f>COUNTIF('Invoice Lines'!$E$5:$E$2542,A90)</f>
        <v>20</v>
      </c>
      <c r="N90" s="9">
        <f>SUMIFS('Invoice Lines'!$K$5:$K$2542,'Invoice Lines'!$E$5:$E$2542,A90,'Invoice Lines'!$M$5:$M$2542,1)</f>
        <v>9089.26</v>
      </c>
      <c r="O90" t="str">
        <f>IF(COUNTIF('Contacts'!$A$5:$A$157,F90)=0,"MISSING",IF(INDEX('Contacts'!$F$5:$F$157,MATCH(F90,'Contacts'!$A$5:$A$157,0))=F90,"OK","CHAIN"))</f>
        <v>OK</v>
      </c>
    </row>
    <row r="91">
      <c r="A91" t="inlineStr">
        <is>
          <t>C0087</t>
        </is>
      </c>
      <c r="B91" t="inlineStr">
        <is>
          <t>Amelia Brown</t>
        </is>
      </c>
      <c r="C91" t="inlineStr"/>
      <c r="D91" t="inlineStr">
        <is>
          <t>sam@ameliabrown.example</t>
        </is>
      </c>
      <c r="E91" s="11" t="n">
        <v>45416</v>
      </c>
      <c r="F91" t="inlineStr">
        <is>
          <t>C0087</t>
        </is>
      </c>
      <c r="G91" t="inlineStr">
        <is>
          <t>Amelia Brown</t>
        </is>
      </c>
      <c r="H91" t="inlineStr"/>
      <c r="I91" t="inlineStr"/>
      <c r="J91" t="inlineStr"/>
      <c r="K91" t="inlineStr"/>
      <c r="L91" t="inlineStr">
        <is>
          <t>Keep</t>
        </is>
      </c>
      <c r="M91">
        <f>COUNTIF('Invoice Lines'!$E$5:$E$2542,A91)</f>
        <v>9</v>
      </c>
      <c r="N91" s="9">
        <f>SUMIFS('Invoice Lines'!$K$5:$K$2542,'Invoice Lines'!$E$5:$E$2542,A91,'Invoice Lines'!$M$5:$M$2542,1)</f>
        <v>4202.71</v>
      </c>
      <c r="O91" t="str">
        <f>IF(COUNTIF('Contacts'!$A$5:$A$157,F91)=0,"MISSING",IF(INDEX('Contacts'!$F$5:$F$157,MATCH(F91,'Contacts'!$A$5:$A$157,0))=F91,"OK","CHAIN"))</f>
        <v>OK</v>
      </c>
    </row>
    <row r="92">
      <c r="A92" t="inlineStr">
        <is>
          <t>C0088</t>
        </is>
      </c>
      <c r="B92" t="inlineStr">
        <is>
          <t>Chloe Papadopoulos</t>
        </is>
      </c>
      <c r="C92" t="inlineStr"/>
      <c r="D92" t="inlineStr">
        <is>
          <t>olivia@chloepapadopoulos.example</t>
        </is>
      </c>
      <c r="E92" s="11" t="n">
        <v>45385</v>
      </c>
      <c r="F92" t="inlineStr">
        <is>
          <t>C0088</t>
        </is>
      </c>
      <c r="G92" t="inlineStr">
        <is>
          <t>Chloe Papadopoulos</t>
        </is>
      </c>
      <c r="H92" t="inlineStr"/>
      <c r="I92" t="inlineStr"/>
      <c r="J92" t="inlineStr"/>
      <c r="K92" t="inlineStr"/>
      <c r="L92" t="inlineStr">
        <is>
          <t>Keep</t>
        </is>
      </c>
      <c r="M92">
        <f>COUNTIF('Invoice Lines'!$E$5:$E$2542,A92)</f>
        <v>1</v>
      </c>
      <c r="N92" s="9">
        <f>SUMIFS('Invoice Lines'!$K$5:$K$2542,'Invoice Lines'!$E$5:$E$2542,A92,'Invoice Lines'!$M$5:$M$2542,1)</f>
        <v>560</v>
      </c>
      <c r="O92" t="str">
        <f>IF(COUNTIF('Contacts'!$A$5:$A$157,F92)=0,"MISSING",IF(INDEX('Contacts'!$F$5:$F$157,MATCH(F92,'Contacts'!$A$5:$A$157,0))=F92,"OK","CHAIN"))</f>
        <v>OK</v>
      </c>
    </row>
    <row r="93">
      <c r="A93" t="inlineStr">
        <is>
          <t>C0089</t>
        </is>
      </c>
      <c r="B93" t="inlineStr">
        <is>
          <t>Leo Hughes</t>
        </is>
      </c>
      <c r="C93" t="inlineStr"/>
      <c r="D93" t="inlineStr">
        <is>
          <t>mei@leohughes.example</t>
        </is>
      </c>
      <c r="E93" s="11" t="n">
        <v>45258</v>
      </c>
      <c r="F93" t="inlineStr">
        <is>
          <t>C0089</t>
        </is>
      </c>
      <c r="G93" t="inlineStr">
        <is>
          <t>Leo Hughes</t>
        </is>
      </c>
      <c r="H93" t="inlineStr"/>
      <c r="I93" t="inlineStr"/>
      <c r="J93" t="inlineStr"/>
      <c r="K93" t="inlineStr"/>
      <c r="L93" t="inlineStr">
        <is>
          <t>Keep</t>
        </is>
      </c>
      <c r="M93">
        <f>COUNTIF('Invoice Lines'!$E$5:$E$2542,A93)</f>
        <v>15</v>
      </c>
      <c r="N93" s="9">
        <f>SUMIFS('Invoice Lines'!$K$5:$K$2542,'Invoice Lines'!$E$5:$E$2542,A93,'Invoice Lines'!$M$5:$M$2542,1)</f>
        <v>7951.08</v>
      </c>
      <c r="O93" t="str">
        <f>IF(COUNTIF('Contacts'!$A$5:$A$157,F93)=0,"MISSING",IF(INDEX('Contacts'!$F$5:$F$157,MATCH(F93,'Contacts'!$A$5:$A$157,0))=F93,"OK","CHAIN"))</f>
        <v>OK</v>
      </c>
    </row>
    <row r="94">
      <c r="A94" t="inlineStr">
        <is>
          <t>C0090</t>
        </is>
      </c>
      <c r="B94" t="inlineStr">
        <is>
          <t>Noah Ryan</t>
        </is>
      </c>
      <c r="C94" t="inlineStr"/>
      <c r="D94" t="inlineStr">
        <is>
          <t>noah@noahryan.example</t>
        </is>
      </c>
      <c r="E94" s="11" t="n">
        <v>44999</v>
      </c>
      <c r="F94" t="inlineStr">
        <is>
          <t>C0090</t>
        </is>
      </c>
      <c r="G94" t="inlineStr">
        <is>
          <t>Noah Ryan</t>
        </is>
      </c>
      <c r="H94" t="inlineStr"/>
      <c r="I94" t="inlineStr"/>
      <c r="J94" t="inlineStr"/>
      <c r="K94" t="inlineStr"/>
      <c r="L94" t="inlineStr">
        <is>
          <t>Keep</t>
        </is>
      </c>
      <c r="M94">
        <f>COUNTIF('Invoice Lines'!$E$5:$E$2542,A94)</f>
        <v>0</v>
      </c>
      <c r="N94" s="9">
        <f>SUMIFS('Invoice Lines'!$K$5:$K$2542,'Invoice Lines'!$E$5:$E$2542,A94,'Invoice Lines'!$M$5:$M$2542,1)</f>
        <v>0</v>
      </c>
      <c r="O94" t="str">
        <f>IF(COUNTIF('Contacts'!$A$5:$A$157,F94)=0,"MISSING",IF(INDEX('Contacts'!$F$5:$F$157,MATCH(F94,'Contacts'!$A$5:$A$157,0))=F94,"OK","CHAIN"))</f>
        <v>OK</v>
      </c>
    </row>
    <row r="95">
      <c r="A95" t="inlineStr">
        <is>
          <t>C0091</t>
        </is>
      </c>
      <c r="B95" t="inlineStr">
        <is>
          <t>Zoe Martin</t>
        </is>
      </c>
      <c r="C95" t="inlineStr"/>
      <c r="D95" t="inlineStr">
        <is>
          <t>mei@zoemartin.example</t>
        </is>
      </c>
      <c r="E95" s="11" t="n">
        <v>45419</v>
      </c>
      <c r="F95" t="inlineStr">
        <is>
          <t>C0091</t>
        </is>
      </c>
      <c r="G95" t="inlineStr">
        <is>
          <t>Zoe Martin</t>
        </is>
      </c>
      <c r="H95" t="inlineStr"/>
      <c r="I95" t="inlineStr"/>
      <c r="J95" t="inlineStr"/>
      <c r="K95" t="inlineStr"/>
      <c r="L95" t="inlineStr">
        <is>
          <t>Keep</t>
        </is>
      </c>
      <c r="M95">
        <f>COUNTIF('Invoice Lines'!$E$5:$E$2542,A95)</f>
        <v>16</v>
      </c>
      <c r="N95" s="9">
        <f>SUMIFS('Invoice Lines'!$K$5:$K$2542,'Invoice Lines'!$E$5:$E$2542,A95,'Invoice Lines'!$M$5:$M$2542,1)</f>
        <v>14188.56</v>
      </c>
      <c r="O95" t="str">
        <f>IF(COUNTIF('Contacts'!$A$5:$A$157,F95)=0,"MISSING",IF(INDEX('Contacts'!$F$5:$F$157,MATCH(F95,'Contacts'!$A$5:$A$157,0))=F95,"OK","CHAIN"))</f>
        <v>OK</v>
      </c>
    </row>
    <row r="96">
      <c r="A96" t="inlineStr">
        <is>
          <t>C0092</t>
        </is>
      </c>
      <c r="B96" t="inlineStr">
        <is>
          <t>Leo Jones</t>
        </is>
      </c>
      <c r="C96" t="inlineStr"/>
      <c r="D96" t="inlineStr">
        <is>
          <t>daniel@leojones.example</t>
        </is>
      </c>
      <c r="E96" s="11" t="n">
        <v>45678</v>
      </c>
      <c r="F96" t="inlineStr">
        <is>
          <t>C0092</t>
        </is>
      </c>
      <c r="G96" t="inlineStr">
        <is>
          <t>Leo Jones</t>
        </is>
      </c>
      <c r="H96" t="inlineStr"/>
      <c r="I96" t="inlineStr"/>
      <c r="J96" t="inlineStr"/>
      <c r="K96" t="inlineStr"/>
      <c r="L96" t="inlineStr">
        <is>
          <t>Keep</t>
        </is>
      </c>
      <c r="M96">
        <f>COUNTIF('Invoice Lines'!$E$5:$E$2542,A96)</f>
        <v>12</v>
      </c>
      <c r="N96" s="9">
        <f>SUMIFS('Invoice Lines'!$K$5:$K$2542,'Invoice Lines'!$E$5:$E$2542,A96,'Invoice Lines'!$M$5:$M$2542,1)</f>
        <v>7350</v>
      </c>
      <c r="O96" t="str">
        <f>IF(COUNTIF('Contacts'!$A$5:$A$157,F96)=0,"MISSING",IF(INDEX('Contacts'!$F$5:$F$157,MATCH(F96,'Contacts'!$A$5:$A$157,0))=F96,"OK","CHAIN"))</f>
        <v>OK</v>
      </c>
    </row>
    <row r="97">
      <c r="A97" t="inlineStr">
        <is>
          <t>C0093</t>
        </is>
      </c>
      <c r="B97" t="inlineStr">
        <is>
          <t>Olivia Wilson</t>
        </is>
      </c>
      <c r="C97" t="inlineStr"/>
      <c r="D97" t="inlineStr">
        <is>
          <t>daniel@oliviawilson.example</t>
        </is>
      </c>
      <c r="E97" s="11" t="n">
        <v>45029</v>
      </c>
      <c r="F97" t="inlineStr">
        <is>
          <t>C0093</t>
        </is>
      </c>
      <c r="G97" t="inlineStr">
        <is>
          <t>Olivia Wilson</t>
        </is>
      </c>
      <c r="H97" t="inlineStr"/>
      <c r="I97" t="inlineStr"/>
      <c r="J97" t="inlineStr"/>
      <c r="K97" t="inlineStr"/>
      <c r="L97" t="inlineStr">
        <is>
          <t>Keep</t>
        </is>
      </c>
      <c r="M97">
        <f>COUNTIF('Invoice Lines'!$E$5:$E$2542,A97)</f>
        <v>11</v>
      </c>
      <c r="N97" s="9">
        <f>SUMIFS('Invoice Lines'!$K$5:$K$2542,'Invoice Lines'!$E$5:$E$2542,A97,'Invoice Lines'!$M$5:$M$2542,1)</f>
        <v>6342.98</v>
      </c>
      <c r="O97" t="str">
        <f>IF(COUNTIF('Contacts'!$A$5:$A$157,F97)=0,"MISSING",IF(INDEX('Contacts'!$F$5:$F$157,MATCH(F97,'Contacts'!$A$5:$A$157,0))=F97,"OK","CHAIN"))</f>
        <v>OK</v>
      </c>
    </row>
    <row r="98">
      <c r="A98" t="inlineStr">
        <is>
          <t>C0094</t>
        </is>
      </c>
      <c r="B98" t="inlineStr">
        <is>
          <t>Grace Kelly</t>
        </is>
      </c>
      <c r="C98" t="inlineStr"/>
      <c r="D98" t="inlineStr">
        <is>
          <t>olivia@gracekelly.example</t>
        </is>
      </c>
      <c r="E98" s="11" t="n">
        <v>45253</v>
      </c>
      <c r="F98" t="inlineStr">
        <is>
          <t>C0094</t>
        </is>
      </c>
      <c r="G98" t="inlineStr">
        <is>
          <t>Grace Kelly</t>
        </is>
      </c>
      <c r="H98" t="inlineStr"/>
      <c r="I98" t="inlineStr"/>
      <c r="J98" t="inlineStr"/>
      <c r="K98" t="inlineStr"/>
      <c r="L98" t="inlineStr">
        <is>
          <t>Keep</t>
        </is>
      </c>
      <c r="M98">
        <f>COUNTIF('Invoice Lines'!$E$5:$E$2542,A98)</f>
        <v>4</v>
      </c>
      <c r="N98" s="9">
        <f>SUMIFS('Invoice Lines'!$K$5:$K$2542,'Invoice Lines'!$E$5:$E$2542,A98,'Invoice Lines'!$M$5:$M$2542,1)</f>
        <v>4215</v>
      </c>
      <c r="O98" t="str">
        <f>IF(COUNTIF('Contacts'!$A$5:$A$157,F98)=0,"MISSING",IF(INDEX('Contacts'!$F$5:$F$157,MATCH(F98,'Contacts'!$A$5:$A$157,0))=F98,"OK","CHAIN"))</f>
        <v>OK</v>
      </c>
    </row>
    <row r="99">
      <c r="A99" t="inlineStr">
        <is>
          <t>C0095</t>
        </is>
      </c>
      <c r="B99" t="inlineStr">
        <is>
          <t>Noah Singh</t>
        </is>
      </c>
      <c r="C99" t="inlineStr"/>
      <c r="D99" t="inlineStr">
        <is>
          <t>jack@noahsingh.example</t>
        </is>
      </c>
      <c r="E99" s="11" t="n">
        <v>45483</v>
      </c>
      <c r="F99" t="inlineStr">
        <is>
          <t>C0095</t>
        </is>
      </c>
      <c r="G99" t="inlineStr">
        <is>
          <t>Noah Singh</t>
        </is>
      </c>
      <c r="H99" t="inlineStr"/>
      <c r="I99" t="inlineStr"/>
      <c r="J99" t="inlineStr"/>
      <c r="K99" t="inlineStr"/>
      <c r="L99" t="inlineStr">
        <is>
          <t>Keep</t>
        </is>
      </c>
      <c r="M99">
        <f>COUNTIF('Invoice Lines'!$E$5:$E$2542,A99)</f>
        <v>6</v>
      </c>
      <c r="N99" s="9">
        <f>SUMIFS('Invoice Lines'!$K$5:$K$2542,'Invoice Lines'!$E$5:$E$2542,A99,'Invoice Lines'!$M$5:$M$2542,1)</f>
        <v>3950</v>
      </c>
      <c r="O99" t="str">
        <f>IF(COUNTIF('Contacts'!$A$5:$A$157,F99)=0,"MISSING",IF(INDEX('Contacts'!$F$5:$F$157,MATCH(F99,'Contacts'!$A$5:$A$157,0))=F99,"OK","CHAIN"))</f>
        <v>OK</v>
      </c>
    </row>
    <row r="100">
      <c r="A100" t="inlineStr">
        <is>
          <t>C0096</t>
        </is>
      </c>
      <c r="B100" t="inlineStr">
        <is>
          <t>Lucas Kelly</t>
        </is>
      </c>
      <c r="C100" t="inlineStr"/>
      <c r="D100" t="inlineStr">
        <is>
          <t>jack@lucaskelly.example</t>
        </is>
      </c>
      <c r="E100" s="11" t="n">
        <v>45602</v>
      </c>
      <c r="F100" t="inlineStr">
        <is>
          <t>C0096</t>
        </is>
      </c>
      <c r="G100" t="inlineStr">
        <is>
          <t>Lucas Kelly</t>
        </is>
      </c>
      <c r="H100" t="inlineStr"/>
      <c r="I100" t="inlineStr"/>
      <c r="J100" t="inlineStr"/>
      <c r="K100" t="inlineStr"/>
      <c r="L100" t="inlineStr">
        <is>
          <t>Keep</t>
        </is>
      </c>
      <c r="M100">
        <f>COUNTIF('Invoice Lines'!$E$5:$E$2542,A100)</f>
        <v>7</v>
      </c>
      <c r="N100" s="9">
        <f>SUMIFS('Invoice Lines'!$K$5:$K$2542,'Invoice Lines'!$E$5:$E$2542,A100,'Invoice Lines'!$M$5:$M$2542,1)</f>
        <v>2355</v>
      </c>
      <c r="O100" t="str">
        <f>IF(COUNTIF('Contacts'!$A$5:$A$157,F100)=0,"MISSING",IF(INDEX('Contacts'!$F$5:$F$157,MATCH(F100,'Contacts'!$A$5:$A$157,0))=F100,"OK","CHAIN"))</f>
        <v>OK</v>
      </c>
    </row>
    <row r="101">
      <c r="A101" t="inlineStr">
        <is>
          <t>C0097</t>
        </is>
      </c>
      <c r="B101" t="inlineStr">
        <is>
          <t>Arjun Rossi</t>
        </is>
      </c>
      <c r="C101" t="inlineStr"/>
      <c r="D101" t="inlineStr">
        <is>
          <t>mason@arjunrossi.example</t>
        </is>
      </c>
      <c r="E101" s="11" t="n">
        <v>45374</v>
      </c>
      <c r="F101" t="inlineStr">
        <is>
          <t>C0097</t>
        </is>
      </c>
      <c r="G101" t="inlineStr">
        <is>
          <t>Arjun Rossi</t>
        </is>
      </c>
      <c r="H101" t="inlineStr"/>
      <c r="I101" t="inlineStr"/>
      <c r="J101" t="inlineStr"/>
      <c r="K101" t="inlineStr"/>
      <c r="L101" t="inlineStr">
        <is>
          <t>Keep</t>
        </is>
      </c>
      <c r="M101">
        <f>COUNTIF('Invoice Lines'!$E$5:$E$2542,A101)</f>
        <v>6</v>
      </c>
      <c r="N101" s="9">
        <f>SUMIFS('Invoice Lines'!$K$5:$K$2542,'Invoice Lines'!$E$5:$E$2542,A101,'Invoice Lines'!$M$5:$M$2542,1)</f>
        <v>2824.49</v>
      </c>
      <c r="O101" t="str">
        <f>IF(COUNTIF('Contacts'!$A$5:$A$157,F101)=0,"MISSING",IF(INDEX('Contacts'!$F$5:$F$157,MATCH(F101,'Contacts'!$A$5:$A$157,0))=F101,"OK","CHAIN"))</f>
        <v>OK</v>
      </c>
    </row>
    <row r="102">
      <c r="A102" t="inlineStr">
        <is>
          <t>C0098</t>
        </is>
      </c>
      <c r="B102" t="inlineStr">
        <is>
          <t>Ethan Walker</t>
        </is>
      </c>
      <c r="C102" t="inlineStr"/>
      <c r="D102" t="inlineStr">
        <is>
          <t>oscar@ethanwalker.example</t>
        </is>
      </c>
      <c r="E102" s="11" t="n">
        <v>45123</v>
      </c>
      <c r="F102" t="inlineStr">
        <is>
          <t>C0098</t>
        </is>
      </c>
      <c r="G102" t="inlineStr">
        <is>
          <t>Ethan Walker</t>
        </is>
      </c>
      <c r="H102" t="inlineStr"/>
      <c r="I102" t="inlineStr"/>
      <c r="J102" t="inlineStr"/>
      <c r="K102" t="inlineStr"/>
      <c r="L102" t="inlineStr">
        <is>
          <t>Keep</t>
        </is>
      </c>
      <c r="M102">
        <f>COUNTIF('Invoice Lines'!$E$5:$E$2542,A102)</f>
        <v>15</v>
      </c>
      <c r="N102" s="9">
        <f>SUMIFS('Invoice Lines'!$K$5:$K$2542,'Invoice Lines'!$E$5:$E$2542,A102,'Invoice Lines'!$M$5:$M$2542,1)</f>
        <v>16438.87</v>
      </c>
      <c r="O102" t="str">
        <f>IF(COUNTIF('Contacts'!$A$5:$A$157,F102)=0,"MISSING",IF(INDEX('Contacts'!$F$5:$F$157,MATCH(F102,'Contacts'!$A$5:$A$157,0))=F102,"OK","CHAIN"))</f>
        <v>OK</v>
      </c>
    </row>
    <row r="103">
      <c r="A103" t="inlineStr">
        <is>
          <t>C0099</t>
        </is>
      </c>
      <c r="B103" t="inlineStr">
        <is>
          <t>Ruby Rossi</t>
        </is>
      </c>
      <c r="C103" t="inlineStr"/>
      <c r="D103" t="inlineStr">
        <is>
          <t>chloe@rubyrossi.example</t>
        </is>
      </c>
      <c r="E103" s="11" t="n">
        <v>44933</v>
      </c>
      <c r="F103" t="inlineStr">
        <is>
          <t>C0099</t>
        </is>
      </c>
      <c r="G103" t="inlineStr">
        <is>
          <t>Ruby Rossi</t>
        </is>
      </c>
      <c r="H103" t="inlineStr"/>
      <c r="I103" t="inlineStr"/>
      <c r="J103" t="inlineStr"/>
      <c r="K103" t="inlineStr"/>
      <c r="L103" t="inlineStr">
        <is>
          <t>Keep</t>
        </is>
      </c>
      <c r="M103">
        <f>COUNTIF('Invoice Lines'!$E$5:$E$2542,A103)</f>
        <v>12</v>
      </c>
      <c r="N103" s="9">
        <f>SUMIFS('Invoice Lines'!$K$5:$K$2542,'Invoice Lines'!$E$5:$E$2542,A103,'Invoice Lines'!$M$5:$M$2542,1)</f>
        <v>10738.04</v>
      </c>
      <c r="O103" t="str">
        <f>IF(COUNTIF('Contacts'!$A$5:$A$157,F103)=0,"MISSING",IF(INDEX('Contacts'!$F$5:$F$157,MATCH(F103,'Contacts'!$A$5:$A$157,0))=F103,"OK","CHAIN"))</f>
        <v>OK</v>
      </c>
    </row>
    <row r="104">
      <c r="A104" t="inlineStr">
        <is>
          <t>C0100</t>
        </is>
      </c>
      <c r="B104" t="inlineStr">
        <is>
          <t>Mei Wilson</t>
        </is>
      </c>
      <c r="C104" t="inlineStr"/>
      <c r="D104" t="inlineStr">
        <is>
          <t>jack@meiwilson.example</t>
        </is>
      </c>
      <c r="E104" s="11" t="n">
        <v>45038</v>
      </c>
      <c r="F104" t="inlineStr">
        <is>
          <t>C0100</t>
        </is>
      </c>
      <c r="G104" t="inlineStr">
        <is>
          <t>Mei Wilson</t>
        </is>
      </c>
      <c r="H104" t="inlineStr"/>
      <c r="I104" t="inlineStr"/>
      <c r="J104" t="inlineStr"/>
      <c r="K104" t="inlineStr"/>
      <c r="L104" t="inlineStr">
        <is>
          <t>Keep</t>
        </is>
      </c>
      <c r="M104">
        <f>COUNTIF('Invoice Lines'!$E$5:$E$2542,A104)</f>
        <v>5</v>
      </c>
      <c r="N104" s="9">
        <f>SUMIFS('Invoice Lines'!$K$5:$K$2542,'Invoice Lines'!$E$5:$E$2542,A104,'Invoice Lines'!$M$5:$M$2542,1)</f>
        <v>2249.42</v>
      </c>
      <c r="O104" t="str">
        <f>IF(COUNTIF('Contacts'!$A$5:$A$157,F104)=0,"MISSING",IF(INDEX('Contacts'!$F$5:$F$157,MATCH(F104,'Contacts'!$A$5:$A$157,0))=F104,"OK","CHAIN"))</f>
        <v>OK</v>
      </c>
    </row>
    <row r="105">
      <c r="A105" t="inlineStr">
        <is>
          <t>C0101</t>
        </is>
      </c>
      <c r="B105" t="inlineStr">
        <is>
          <t>Liam Murphy</t>
        </is>
      </c>
      <c r="C105" t="inlineStr"/>
      <c r="D105" t="inlineStr">
        <is>
          <t>sam@liammurphy.example</t>
        </is>
      </c>
      <c r="E105" s="11" t="n">
        <v>45305</v>
      </c>
      <c r="F105" t="inlineStr">
        <is>
          <t>C0101</t>
        </is>
      </c>
      <c r="G105" t="inlineStr">
        <is>
          <t>Liam Murphy</t>
        </is>
      </c>
      <c r="H105" t="inlineStr"/>
      <c r="I105" t="inlineStr"/>
      <c r="J105" t="inlineStr"/>
      <c r="K105" t="inlineStr"/>
      <c r="L105" t="inlineStr">
        <is>
          <t>Keep</t>
        </is>
      </c>
      <c r="M105">
        <f>COUNTIF('Invoice Lines'!$E$5:$E$2542,A105)</f>
        <v>0</v>
      </c>
      <c r="N105" s="9">
        <f>SUMIFS('Invoice Lines'!$K$5:$K$2542,'Invoice Lines'!$E$5:$E$2542,A105,'Invoice Lines'!$M$5:$M$2542,1)</f>
        <v>0</v>
      </c>
      <c r="O105" t="str">
        <f>IF(COUNTIF('Contacts'!$A$5:$A$157,F105)=0,"MISSING",IF(INDEX('Contacts'!$F$5:$F$157,MATCH(F105,'Contacts'!$A$5:$A$157,0))=F105,"OK","CHAIN"))</f>
        <v>OK</v>
      </c>
    </row>
    <row r="106">
      <c r="A106" t="inlineStr">
        <is>
          <t>C0102</t>
        </is>
      </c>
      <c r="B106" t="inlineStr">
        <is>
          <t>Arjun Doyle</t>
        </is>
      </c>
      <c r="C106" t="inlineStr"/>
      <c r="D106" t="inlineStr">
        <is>
          <t>priya@arjundoyle.example</t>
        </is>
      </c>
      <c r="E106" s="11" t="n">
        <v>44984</v>
      </c>
      <c r="F106" t="inlineStr">
        <is>
          <t>C0102</t>
        </is>
      </c>
      <c r="G106" t="inlineStr">
        <is>
          <t>Arjun Doyle</t>
        </is>
      </c>
      <c r="H106" t="inlineStr"/>
      <c r="I106" t="inlineStr"/>
      <c r="J106" t="inlineStr"/>
      <c r="K106" t="inlineStr"/>
      <c r="L106" t="inlineStr">
        <is>
          <t>Keep</t>
        </is>
      </c>
      <c r="M106">
        <f>COUNTIF('Invoice Lines'!$E$5:$E$2542,A106)</f>
        <v>30</v>
      </c>
      <c r="N106" s="9">
        <f>SUMIFS('Invoice Lines'!$K$5:$K$2542,'Invoice Lines'!$E$5:$E$2542,A106,'Invoice Lines'!$M$5:$M$2542,1)</f>
        <v>18472.03</v>
      </c>
      <c r="O106" t="str">
        <f>IF(COUNTIF('Contacts'!$A$5:$A$157,F106)=0,"MISSING",IF(INDEX('Contacts'!$F$5:$F$157,MATCH(F106,'Contacts'!$A$5:$A$157,0))=F106,"OK","CHAIN"))</f>
        <v>OK</v>
      </c>
    </row>
    <row r="107">
      <c r="A107" t="inlineStr">
        <is>
          <t>C0103</t>
        </is>
      </c>
      <c r="B107" t="inlineStr">
        <is>
          <t>Grace Martin</t>
        </is>
      </c>
      <c r="C107" t="inlineStr"/>
      <c r="D107" t="inlineStr">
        <is>
          <t>mason@gracemartin.example</t>
        </is>
      </c>
      <c r="E107" s="11" t="n">
        <v>45238</v>
      </c>
      <c r="F107" t="inlineStr">
        <is>
          <t>C0103</t>
        </is>
      </c>
      <c r="G107" t="inlineStr">
        <is>
          <t>Grace Martin</t>
        </is>
      </c>
      <c r="H107" t="inlineStr"/>
      <c r="I107" t="inlineStr"/>
      <c r="J107" t="inlineStr"/>
      <c r="K107" t="inlineStr"/>
      <c r="L107" t="inlineStr">
        <is>
          <t>Keep</t>
        </is>
      </c>
      <c r="M107">
        <f>COUNTIF('Invoice Lines'!$E$5:$E$2542,A107)</f>
        <v>15</v>
      </c>
      <c r="N107" s="9">
        <f>SUMIFS('Invoice Lines'!$K$5:$K$2542,'Invoice Lines'!$E$5:$E$2542,A107,'Invoice Lines'!$M$5:$M$2542,1)</f>
        <v>3799.4</v>
      </c>
      <c r="O107" t="str">
        <f>IF(COUNTIF('Contacts'!$A$5:$A$157,F107)=0,"MISSING",IF(INDEX('Contacts'!$F$5:$F$157,MATCH(F107,'Contacts'!$A$5:$A$157,0))=F107,"OK","CHAIN"))</f>
        <v>OK</v>
      </c>
    </row>
    <row r="108">
      <c r="A108" t="inlineStr">
        <is>
          <t>C0104</t>
        </is>
      </c>
      <c r="B108" t="inlineStr">
        <is>
          <t>Oscar Jones</t>
        </is>
      </c>
      <c r="C108" t="inlineStr"/>
      <c r="D108" t="inlineStr">
        <is>
          <t>liam@oscarjones.example</t>
        </is>
      </c>
      <c r="E108" s="11" t="n">
        <v>45685</v>
      </c>
      <c r="F108" t="inlineStr">
        <is>
          <t>C0104</t>
        </is>
      </c>
      <c r="G108" t="inlineStr">
        <is>
          <t>Oscar Jones</t>
        </is>
      </c>
      <c r="H108" t="inlineStr"/>
      <c r="I108" t="inlineStr"/>
      <c r="J108" t="inlineStr"/>
      <c r="K108" t="inlineStr"/>
      <c r="L108" t="inlineStr">
        <is>
          <t>Keep</t>
        </is>
      </c>
      <c r="M108">
        <f>COUNTIF('Invoice Lines'!$E$5:$E$2542,A108)</f>
        <v>4</v>
      </c>
      <c r="N108" s="9">
        <f>SUMIFS('Invoice Lines'!$K$5:$K$2542,'Invoice Lines'!$E$5:$E$2542,A108,'Invoice Lines'!$M$5:$M$2542,1)</f>
        <v>1355</v>
      </c>
      <c r="O108" t="str">
        <f>IF(COUNTIF('Contacts'!$A$5:$A$157,F108)=0,"MISSING",IF(INDEX('Contacts'!$F$5:$F$157,MATCH(F108,'Contacts'!$A$5:$A$157,0))=F108,"OK","CHAIN"))</f>
        <v>OK</v>
      </c>
    </row>
    <row r="109">
      <c r="A109" t="inlineStr">
        <is>
          <t>C0105</t>
        </is>
      </c>
      <c r="B109" t="inlineStr">
        <is>
          <t>Priya Walker</t>
        </is>
      </c>
      <c r="C109" t="inlineStr"/>
      <c r="D109" t="inlineStr">
        <is>
          <t>ava@priyawalker.example</t>
        </is>
      </c>
      <c r="E109" s="11" t="n">
        <v>45522</v>
      </c>
      <c r="F109" t="inlineStr">
        <is>
          <t>C0105</t>
        </is>
      </c>
      <c r="G109" t="inlineStr">
        <is>
          <t>Priya Walker</t>
        </is>
      </c>
      <c r="H109" t="inlineStr"/>
      <c r="I109" t="inlineStr"/>
      <c r="J109" t="inlineStr"/>
      <c r="K109" t="inlineStr"/>
      <c r="L109" t="inlineStr">
        <is>
          <t>Keep</t>
        </is>
      </c>
      <c r="M109">
        <f>COUNTIF('Invoice Lines'!$E$5:$E$2542,A109)</f>
        <v>21</v>
      </c>
      <c r="N109" s="9">
        <f>SUMIFS('Invoice Lines'!$K$5:$K$2542,'Invoice Lines'!$E$5:$E$2542,A109,'Invoice Lines'!$M$5:$M$2542,1)</f>
        <v>19858.68</v>
      </c>
      <c r="O109" t="str">
        <f>IF(COUNTIF('Contacts'!$A$5:$A$157,F109)=0,"MISSING",IF(INDEX('Contacts'!$F$5:$F$157,MATCH(F109,'Contacts'!$A$5:$A$157,0))=F109,"OK","CHAIN"))</f>
        <v>OK</v>
      </c>
    </row>
    <row r="110">
      <c r="A110" t="inlineStr">
        <is>
          <t>C0106</t>
        </is>
      </c>
      <c r="B110" t="inlineStr">
        <is>
          <t>Ella Wilson</t>
        </is>
      </c>
      <c r="C110" t="inlineStr"/>
      <c r="D110" t="inlineStr">
        <is>
          <t>leo@ellawilson.example</t>
        </is>
      </c>
      <c r="E110" s="11" t="n">
        <v>45239</v>
      </c>
      <c r="F110" t="inlineStr">
        <is>
          <t>C0106</t>
        </is>
      </c>
      <c r="G110" t="inlineStr">
        <is>
          <t>Ella Wilson</t>
        </is>
      </c>
      <c r="H110" t="inlineStr"/>
      <c r="I110" t="inlineStr"/>
      <c r="J110" t="inlineStr"/>
      <c r="K110" t="inlineStr"/>
      <c r="L110" t="inlineStr">
        <is>
          <t>Keep</t>
        </is>
      </c>
      <c r="M110">
        <f>COUNTIF('Invoice Lines'!$E$5:$E$2542,A110)</f>
        <v>7</v>
      </c>
      <c r="N110" s="9">
        <f>SUMIFS('Invoice Lines'!$K$5:$K$2542,'Invoice Lines'!$E$5:$E$2542,A110,'Invoice Lines'!$M$5:$M$2542,1)</f>
        <v>6214</v>
      </c>
      <c r="O110" t="str">
        <f>IF(COUNTIF('Contacts'!$A$5:$A$157,F110)=0,"MISSING",IF(INDEX('Contacts'!$F$5:$F$157,MATCH(F110,'Contacts'!$A$5:$A$157,0))=F110,"OK","CHAIN"))</f>
        <v>OK</v>
      </c>
    </row>
    <row r="111">
      <c r="A111" t="inlineStr">
        <is>
          <t>C0107</t>
        </is>
      </c>
      <c r="B111" t="inlineStr">
        <is>
          <t>Sofia Hughes</t>
        </is>
      </c>
      <c r="C111" t="inlineStr"/>
      <c r="D111" t="inlineStr">
        <is>
          <t>ella@sofiahughes.example</t>
        </is>
      </c>
      <c r="E111" s="11" t="n">
        <v>45351</v>
      </c>
      <c r="F111" t="inlineStr">
        <is>
          <t>C0107</t>
        </is>
      </c>
      <c r="G111" t="inlineStr">
        <is>
          <t>Sofia Hughes</t>
        </is>
      </c>
      <c r="H111" t="inlineStr"/>
      <c r="I111" t="inlineStr"/>
      <c r="J111" t="inlineStr"/>
      <c r="K111" t="inlineStr"/>
      <c r="L111" t="inlineStr">
        <is>
          <t>Keep</t>
        </is>
      </c>
      <c r="M111">
        <f>COUNTIF('Invoice Lines'!$E$5:$E$2542,A111)</f>
        <v>5</v>
      </c>
      <c r="N111" s="9">
        <f>SUMIFS('Invoice Lines'!$K$5:$K$2542,'Invoice Lines'!$E$5:$E$2542,A111,'Invoice Lines'!$M$5:$M$2542,1)</f>
        <v>5528.25</v>
      </c>
      <c r="O111" t="str">
        <f>IF(COUNTIF('Contacts'!$A$5:$A$157,F111)=0,"MISSING",IF(INDEX('Contacts'!$F$5:$F$157,MATCH(F111,'Contacts'!$A$5:$A$157,0))=F111,"OK","CHAIN"))</f>
        <v>OK</v>
      </c>
    </row>
    <row r="112">
      <c r="A112" t="inlineStr">
        <is>
          <t>C0108</t>
        </is>
      </c>
      <c r="B112" t="inlineStr">
        <is>
          <t>Mia Papadopoulos</t>
        </is>
      </c>
      <c r="C112" t="inlineStr"/>
      <c r="D112" t="inlineStr">
        <is>
          <t>mia@miapapadopoulos.example</t>
        </is>
      </c>
      <c r="E112" s="11" t="n">
        <v>45724</v>
      </c>
      <c r="F112" t="inlineStr">
        <is>
          <t>C0108</t>
        </is>
      </c>
      <c r="G112" t="inlineStr">
        <is>
          <t>Mia Papadopoulos</t>
        </is>
      </c>
      <c r="H112" t="inlineStr"/>
      <c r="I112" t="inlineStr"/>
      <c r="J112" t="inlineStr"/>
      <c r="K112" t="inlineStr"/>
      <c r="L112" t="inlineStr">
        <is>
          <t>Keep</t>
        </is>
      </c>
      <c r="M112">
        <f>COUNTIF('Invoice Lines'!$E$5:$E$2542,A112)</f>
        <v>5</v>
      </c>
      <c r="N112" s="9">
        <f>SUMIFS('Invoice Lines'!$K$5:$K$2542,'Invoice Lines'!$E$5:$E$2542,A112,'Invoice Lines'!$M$5:$M$2542,1)</f>
        <v>3106.9</v>
      </c>
      <c r="O112" t="str">
        <f>IF(COUNTIF('Contacts'!$A$5:$A$157,F112)=0,"MISSING",IF(INDEX('Contacts'!$F$5:$F$157,MATCH(F112,'Contacts'!$A$5:$A$157,0))=F112,"OK","CHAIN"))</f>
        <v>OK</v>
      </c>
    </row>
    <row r="113">
      <c r="A113" t="inlineStr">
        <is>
          <t>C0109</t>
        </is>
      </c>
      <c r="B113" t="inlineStr">
        <is>
          <t>Noah Ali</t>
        </is>
      </c>
      <c r="C113" t="inlineStr"/>
      <c r="D113" t="inlineStr">
        <is>
          <t>tariq@noahali.example</t>
        </is>
      </c>
      <c r="E113" s="11" t="n">
        <v>45450</v>
      </c>
      <c r="F113" t="inlineStr">
        <is>
          <t>C0109</t>
        </is>
      </c>
      <c r="G113" t="inlineStr">
        <is>
          <t>Noah Ali</t>
        </is>
      </c>
      <c r="H113" t="inlineStr"/>
      <c r="I113" t="inlineStr"/>
      <c r="J113" t="inlineStr"/>
      <c r="K113" t="inlineStr"/>
      <c r="L113" t="inlineStr">
        <is>
          <t>Keep</t>
        </is>
      </c>
      <c r="M113">
        <f>COUNTIF('Invoice Lines'!$E$5:$E$2542,A113)</f>
        <v>6</v>
      </c>
      <c r="N113" s="9">
        <f>SUMIFS('Invoice Lines'!$K$5:$K$2542,'Invoice Lines'!$E$5:$E$2542,A113,'Invoice Lines'!$M$5:$M$2542,1)</f>
        <v>2555</v>
      </c>
      <c r="O113" t="str">
        <f>IF(COUNTIF('Contacts'!$A$5:$A$157,F113)=0,"MISSING",IF(INDEX('Contacts'!$F$5:$F$157,MATCH(F113,'Contacts'!$A$5:$A$157,0))=F113,"OK","CHAIN"))</f>
        <v>OK</v>
      </c>
    </row>
    <row r="114">
      <c r="A114" t="inlineStr">
        <is>
          <t>C0110</t>
        </is>
      </c>
      <c r="B114" t="inlineStr">
        <is>
          <t>Henry Murphy</t>
        </is>
      </c>
      <c r="C114" t="inlineStr"/>
      <c r="D114" t="inlineStr">
        <is>
          <t>jack@henrymurphy.example</t>
        </is>
      </c>
      <c r="E114" s="11" t="n">
        <v>45325</v>
      </c>
      <c r="F114" t="inlineStr">
        <is>
          <t>C0110</t>
        </is>
      </c>
      <c r="G114" t="inlineStr">
        <is>
          <t>Henry Murphy</t>
        </is>
      </c>
      <c r="H114" t="inlineStr"/>
      <c r="I114" t="inlineStr"/>
      <c r="J114" t="inlineStr"/>
      <c r="K114" t="inlineStr"/>
      <c r="L114" t="inlineStr">
        <is>
          <t>Keep</t>
        </is>
      </c>
      <c r="M114">
        <f>COUNTIF('Invoice Lines'!$E$5:$E$2542,A114)</f>
        <v>4</v>
      </c>
      <c r="N114" s="9">
        <f>SUMIFS('Invoice Lines'!$K$5:$K$2542,'Invoice Lines'!$E$5:$E$2542,A114,'Invoice Lines'!$M$5:$M$2542,1)</f>
        <v>2298.44</v>
      </c>
      <c r="O114" t="str">
        <f>IF(COUNTIF('Contacts'!$A$5:$A$157,F114)=0,"MISSING",IF(INDEX('Contacts'!$F$5:$F$157,MATCH(F114,'Contacts'!$A$5:$A$157,0))=F114,"OK","CHAIN"))</f>
        <v>OK</v>
      </c>
    </row>
    <row r="115">
      <c r="A115" t="inlineStr">
        <is>
          <t>C0111</t>
        </is>
      </c>
      <c r="B115" t="inlineStr">
        <is>
          <t>Noah Kelly</t>
        </is>
      </c>
      <c r="C115" t="inlineStr"/>
      <c r="D115" t="inlineStr">
        <is>
          <t>isla@noahkelly.example</t>
        </is>
      </c>
      <c r="E115" s="11" t="n">
        <v>45533</v>
      </c>
      <c r="F115" t="inlineStr">
        <is>
          <t>C0111</t>
        </is>
      </c>
      <c r="G115" t="inlineStr">
        <is>
          <t>Noah Kelly</t>
        </is>
      </c>
      <c r="H115" t="inlineStr"/>
      <c r="I115" t="inlineStr"/>
      <c r="J115" t="inlineStr"/>
      <c r="K115" t="inlineStr"/>
      <c r="L115" t="inlineStr">
        <is>
          <t>Keep</t>
        </is>
      </c>
      <c r="M115">
        <f>COUNTIF('Invoice Lines'!$E$5:$E$2542,A115)</f>
        <v>1</v>
      </c>
      <c r="N115" s="9">
        <f>SUMIFS('Invoice Lines'!$K$5:$K$2542,'Invoice Lines'!$E$5:$E$2542,A115,'Invoice Lines'!$M$5:$M$2542,1)</f>
        <v>490.5</v>
      </c>
      <c r="O115" t="str">
        <f>IF(COUNTIF('Contacts'!$A$5:$A$157,F115)=0,"MISSING",IF(INDEX('Contacts'!$F$5:$F$157,MATCH(F115,'Contacts'!$A$5:$A$157,0))=F115,"OK","CHAIN"))</f>
        <v>OK</v>
      </c>
    </row>
    <row r="116">
      <c r="A116" t="inlineStr">
        <is>
          <t>C0112</t>
        </is>
      </c>
      <c r="B116" t="inlineStr">
        <is>
          <t>Sam Murphy</t>
        </is>
      </c>
      <c r="C116" t="inlineStr"/>
      <c r="D116" t="inlineStr">
        <is>
          <t>sofia@sammurphy.example</t>
        </is>
      </c>
      <c r="E116" s="11" t="n">
        <v>45488</v>
      </c>
      <c r="F116" t="inlineStr">
        <is>
          <t>C0112</t>
        </is>
      </c>
      <c r="G116" t="inlineStr">
        <is>
          <t>Sam Murphy</t>
        </is>
      </c>
      <c r="H116" t="inlineStr">
        <is>
          <t>V1</t>
        </is>
      </c>
      <c r="I116" t="n">
        <v>0.857</v>
      </c>
      <c r="J116" t="inlineStr">
        <is>
          <t>Similar name, nothing else in common: review</t>
        </is>
      </c>
      <c r="K116" t="inlineStr">
        <is>
          <t>C0101</t>
        </is>
      </c>
      <c r="L116" t="inlineStr">
        <is>
          <t>Review</t>
        </is>
      </c>
      <c r="M116">
        <f>COUNTIF('Invoice Lines'!$E$5:$E$2542,A116)</f>
        <v>13</v>
      </c>
      <c r="N116" s="9">
        <f>SUMIFS('Invoice Lines'!$K$5:$K$2542,'Invoice Lines'!$E$5:$E$2542,A116,'Invoice Lines'!$M$5:$M$2542,1)</f>
        <v>9652.67</v>
      </c>
      <c r="O116" t="str">
        <f>IF(COUNTIF('Contacts'!$A$5:$A$157,F116)=0,"MISSING",IF(INDEX('Contacts'!$F$5:$F$157,MATCH(F116,'Contacts'!$A$5:$A$157,0))=F116,"OK","CHAIN"))</f>
        <v>OK</v>
      </c>
    </row>
    <row r="117">
      <c r="A117" t="inlineStr">
        <is>
          <t>C0113</t>
        </is>
      </c>
      <c r="B117" t="inlineStr">
        <is>
          <t>Isla Brown</t>
        </is>
      </c>
      <c r="C117" t="inlineStr"/>
      <c r="D117" t="inlineStr">
        <is>
          <t>chloe@islabrown.example</t>
        </is>
      </c>
      <c r="E117" s="11" t="n">
        <v>45317</v>
      </c>
      <c r="F117" t="inlineStr">
        <is>
          <t>C0113</t>
        </is>
      </c>
      <c r="G117" t="inlineStr">
        <is>
          <t>Isla Brown</t>
        </is>
      </c>
      <c r="H117" t="inlineStr"/>
      <c r="I117" t="inlineStr"/>
      <c r="J117" t="inlineStr"/>
      <c r="K117" t="inlineStr"/>
      <c r="L117" t="inlineStr">
        <is>
          <t>Keep</t>
        </is>
      </c>
      <c r="M117">
        <f>COUNTIF('Invoice Lines'!$E$5:$E$2542,A117)</f>
        <v>4</v>
      </c>
      <c r="N117" s="9">
        <f>SUMIFS('Invoice Lines'!$K$5:$K$2542,'Invoice Lines'!$E$5:$E$2542,A117,'Invoice Lines'!$M$5:$M$2542,1)</f>
        <v>4860</v>
      </c>
      <c r="O117" t="str">
        <f>IF(COUNTIF('Contacts'!$A$5:$A$157,F117)=0,"MISSING",IF(INDEX('Contacts'!$F$5:$F$157,MATCH(F117,'Contacts'!$A$5:$A$157,0))=F117,"OK","CHAIN"))</f>
        <v>OK</v>
      </c>
    </row>
    <row r="118">
      <c r="A118" t="inlineStr">
        <is>
          <t>C0114</t>
        </is>
      </c>
      <c r="B118" t="inlineStr">
        <is>
          <t>Ella Brown</t>
        </is>
      </c>
      <c r="C118" t="inlineStr"/>
      <c r="D118" t="inlineStr">
        <is>
          <t>amelia@ellabrown.example</t>
        </is>
      </c>
      <c r="E118" s="11" t="n">
        <v>45330</v>
      </c>
      <c r="F118" t="inlineStr">
        <is>
          <t>C0114</t>
        </is>
      </c>
      <c r="G118" t="inlineStr">
        <is>
          <t>Ella Brown</t>
        </is>
      </c>
      <c r="H118" t="inlineStr"/>
      <c r="I118" t="inlineStr"/>
      <c r="J118" t="inlineStr"/>
      <c r="K118" t="inlineStr"/>
      <c r="L118" t="inlineStr">
        <is>
          <t>Keep</t>
        </is>
      </c>
      <c r="M118">
        <f>COUNTIF('Invoice Lines'!$E$5:$E$2542,A118)</f>
        <v>3</v>
      </c>
      <c r="N118" s="9">
        <f>SUMIFS('Invoice Lines'!$K$5:$K$2542,'Invoice Lines'!$E$5:$E$2542,A118,'Invoice Lines'!$M$5:$M$2542,1)</f>
        <v>1860</v>
      </c>
      <c r="O118" t="str">
        <f>IF(COUNTIF('Contacts'!$A$5:$A$157,F118)=0,"MISSING",IF(INDEX('Contacts'!$F$5:$F$157,MATCH(F118,'Contacts'!$A$5:$A$157,0))=F118,"OK","CHAIN"))</f>
        <v>OK</v>
      </c>
    </row>
    <row r="119">
      <c r="A119" t="inlineStr">
        <is>
          <t>C0115</t>
        </is>
      </c>
      <c r="B119" t="inlineStr">
        <is>
          <t>Arjun Smith</t>
        </is>
      </c>
      <c r="C119" t="inlineStr"/>
      <c r="D119" t="inlineStr">
        <is>
          <t>zoe@arjunsmith.example</t>
        </is>
      </c>
      <c r="E119" s="11" t="n">
        <v>45291</v>
      </c>
      <c r="F119" t="inlineStr">
        <is>
          <t>C0115</t>
        </is>
      </c>
      <c r="G119" t="inlineStr">
        <is>
          <t>Arjun Smith</t>
        </is>
      </c>
      <c r="H119" t="inlineStr"/>
      <c r="I119" t="inlineStr"/>
      <c r="J119" t="inlineStr"/>
      <c r="K119" t="inlineStr"/>
      <c r="L119" t="inlineStr">
        <is>
          <t>Keep</t>
        </is>
      </c>
      <c r="M119">
        <f>COUNTIF('Invoice Lines'!$E$5:$E$2542,A119)</f>
        <v>7</v>
      </c>
      <c r="N119" s="9">
        <f>SUMIFS('Invoice Lines'!$K$5:$K$2542,'Invoice Lines'!$E$5:$E$2542,A119,'Invoice Lines'!$M$5:$M$2542,1)</f>
        <v>1991.6</v>
      </c>
      <c r="O119" t="str">
        <f>IF(COUNTIF('Contacts'!$A$5:$A$157,F119)=0,"MISSING",IF(INDEX('Contacts'!$F$5:$F$157,MATCH(F119,'Contacts'!$A$5:$A$157,0))=F119,"OK","CHAIN"))</f>
        <v>OK</v>
      </c>
    </row>
    <row r="120">
      <c r="A120" t="inlineStr">
        <is>
          <t>C0116</t>
        </is>
      </c>
      <c r="B120" t="inlineStr">
        <is>
          <t>Lucas Patel</t>
        </is>
      </c>
      <c r="C120" t="inlineStr"/>
      <c r="D120" t="inlineStr">
        <is>
          <t>jack@lucaspatel.example</t>
        </is>
      </c>
      <c r="E120" s="11" t="n">
        <v>44975</v>
      </c>
      <c r="F120" t="inlineStr">
        <is>
          <t>C0116</t>
        </is>
      </c>
      <c r="G120" t="inlineStr">
        <is>
          <t>Lucas Patel</t>
        </is>
      </c>
      <c r="H120" t="inlineStr"/>
      <c r="I120" t="inlineStr"/>
      <c r="J120" t="inlineStr"/>
      <c r="K120" t="inlineStr"/>
      <c r="L120" t="inlineStr">
        <is>
          <t>Keep</t>
        </is>
      </c>
      <c r="M120">
        <f>COUNTIF('Invoice Lines'!$E$5:$E$2542,A120)</f>
        <v>25</v>
      </c>
      <c r="N120" s="9">
        <f>SUMIFS('Invoice Lines'!$K$5:$K$2542,'Invoice Lines'!$E$5:$E$2542,A120,'Invoice Lines'!$M$5:$M$2542,1)</f>
        <v>19164.05</v>
      </c>
      <c r="O120" t="str">
        <f>IF(COUNTIF('Contacts'!$A$5:$A$157,F120)=0,"MISSING",IF(INDEX('Contacts'!$F$5:$F$157,MATCH(F120,'Contacts'!$A$5:$A$157,0))=F120,"OK","CHAIN"))</f>
        <v>OK</v>
      </c>
    </row>
    <row r="121">
      <c r="A121" t="inlineStr">
        <is>
          <t>C0117</t>
        </is>
      </c>
      <c r="B121" t="inlineStr">
        <is>
          <t>Mei Nguyen</t>
        </is>
      </c>
      <c r="C121" t="inlineStr"/>
      <c r="D121" t="inlineStr">
        <is>
          <t>daniel@meinguyen.example</t>
        </is>
      </c>
      <c r="E121" s="11" t="n">
        <v>45509</v>
      </c>
      <c r="F121" t="inlineStr">
        <is>
          <t>C0117</t>
        </is>
      </c>
      <c r="G121" t="inlineStr">
        <is>
          <t>Mei Nguyen</t>
        </is>
      </c>
      <c r="H121" t="inlineStr"/>
      <c r="I121" t="inlineStr"/>
      <c r="J121" t="inlineStr"/>
      <c r="K121" t="inlineStr"/>
      <c r="L121" t="inlineStr">
        <is>
          <t>Keep</t>
        </is>
      </c>
      <c r="M121">
        <f>COUNTIF('Invoice Lines'!$E$5:$E$2542,A121)</f>
        <v>5</v>
      </c>
      <c r="N121" s="9">
        <f>SUMIFS('Invoice Lines'!$K$5:$K$2542,'Invoice Lines'!$E$5:$E$2542,A121,'Invoice Lines'!$M$5:$M$2542,1)</f>
        <v>2563.09</v>
      </c>
      <c r="O121" t="str">
        <f>IF(COUNTIF('Contacts'!$A$5:$A$157,F121)=0,"MISSING",IF(INDEX('Contacts'!$F$5:$F$157,MATCH(F121,'Contacts'!$A$5:$A$157,0))=F121,"OK","CHAIN"))</f>
        <v>OK</v>
      </c>
    </row>
    <row r="122">
      <c r="A122" t="inlineStr">
        <is>
          <t>C0118</t>
        </is>
      </c>
      <c r="B122" t="inlineStr">
        <is>
          <t>Sofia Singh</t>
        </is>
      </c>
      <c r="C122" t="inlineStr"/>
      <c r="D122" t="inlineStr">
        <is>
          <t>hannah@sofiasingh.example</t>
        </is>
      </c>
      <c r="E122" s="11" t="n">
        <v>45211</v>
      </c>
      <c r="F122" t="inlineStr">
        <is>
          <t>C0118</t>
        </is>
      </c>
      <c r="G122" t="inlineStr">
        <is>
          <t>Sofia Singh</t>
        </is>
      </c>
      <c r="H122" t="inlineStr"/>
      <c r="I122" t="inlineStr"/>
      <c r="J122" t="inlineStr"/>
      <c r="K122" t="inlineStr"/>
      <c r="L122" t="inlineStr">
        <is>
          <t>Keep</t>
        </is>
      </c>
      <c r="M122">
        <f>COUNTIF('Invoice Lines'!$E$5:$E$2542,A122)</f>
        <v>15</v>
      </c>
      <c r="N122" s="9">
        <f>SUMIFS('Invoice Lines'!$K$5:$K$2542,'Invoice Lines'!$E$5:$E$2542,A122,'Invoice Lines'!$M$5:$M$2542,1)</f>
        <v>8802.56</v>
      </c>
      <c r="O122" t="str">
        <f>IF(COUNTIF('Contacts'!$A$5:$A$157,F122)=0,"MISSING",IF(INDEX('Contacts'!$F$5:$F$157,MATCH(F122,'Contacts'!$A$5:$A$157,0))=F122,"OK","CHAIN"))</f>
        <v>OK</v>
      </c>
    </row>
    <row r="123">
      <c r="A123" t="inlineStr">
        <is>
          <t>C0119</t>
        </is>
      </c>
      <c r="B123" t="inlineStr">
        <is>
          <t>Northgate Builders Pty Ltd</t>
        </is>
      </c>
      <c r="C123" t="inlineStr">
        <is>
          <t>92 823 668 718</t>
        </is>
      </c>
      <c r="D123" t="inlineStr">
        <is>
          <t>accounts@northgatebuilders.example</t>
        </is>
      </c>
      <c r="E123" s="11" t="n">
        <v>45091</v>
      </c>
      <c r="F123" t="inlineStr">
        <is>
          <t>C0119</t>
        </is>
      </c>
      <c r="G123" t="inlineStr">
        <is>
          <t>Northgate Builders Pty Ltd</t>
        </is>
      </c>
      <c r="H123" t="inlineStr"/>
      <c r="I123" t="inlineStr"/>
      <c r="J123" t="inlineStr"/>
      <c r="K123" t="inlineStr"/>
      <c r="L123" t="inlineStr">
        <is>
          <t>Keep</t>
        </is>
      </c>
      <c r="M123">
        <f>COUNTIF('Invoice Lines'!$E$5:$E$2542,A123)</f>
        <v>47</v>
      </c>
      <c r="N123" s="9">
        <f>SUMIFS('Invoice Lines'!$K$5:$K$2542,'Invoice Lines'!$E$5:$E$2542,A123,'Invoice Lines'!$M$5:$M$2542,1)</f>
        <v>54849.82</v>
      </c>
      <c r="O123" t="str">
        <f>IF(COUNTIF('Contacts'!$A$5:$A$157,F123)=0,"MISSING",IF(INDEX('Contacts'!$F$5:$F$157,MATCH(F123,'Contacts'!$A$5:$A$157,0))=F123,"OK","CHAIN"))</f>
        <v>OK</v>
      </c>
    </row>
    <row r="124">
      <c r="A124" t="inlineStr">
        <is>
          <t>C0120</t>
        </is>
      </c>
      <c r="B124" t="inlineStr">
        <is>
          <t>Northgate Building Group</t>
        </is>
      </c>
      <c r="C124" t="inlineStr">
        <is>
          <t>95 045 284 548</t>
        </is>
      </c>
      <c r="D124" t="inlineStr">
        <is>
          <t>accounts@northgatebuildingg.example</t>
        </is>
      </c>
      <c r="E124" s="11" t="n">
        <v>45591</v>
      </c>
      <c r="F124" t="inlineStr">
        <is>
          <t>C0120</t>
        </is>
      </c>
      <c r="G124" t="inlineStr">
        <is>
          <t>Northgate Building Group</t>
        </is>
      </c>
      <c r="H124" t="inlineStr"/>
      <c r="I124" t="inlineStr"/>
      <c r="J124" t="inlineStr"/>
      <c r="K124" t="inlineStr"/>
      <c r="L124" t="inlineStr">
        <is>
          <t>Keep</t>
        </is>
      </c>
      <c r="M124">
        <f>COUNTIF('Invoice Lines'!$E$5:$E$2542,A124)</f>
        <v>23</v>
      </c>
      <c r="N124" s="9">
        <f>SUMIFS('Invoice Lines'!$K$5:$K$2542,'Invoice Lines'!$E$5:$E$2542,A124,'Invoice Lines'!$M$5:$M$2542,1)</f>
        <v>22975.81</v>
      </c>
      <c r="O124" t="str">
        <f>IF(COUNTIF('Contacts'!$A$5:$A$157,F124)=0,"MISSING",IF(INDEX('Contacts'!$F$5:$F$157,MATCH(F124,'Contacts'!$A$5:$A$157,0))=F124,"OK","CHAIN"))</f>
        <v>OK</v>
      </c>
    </row>
    <row r="125">
      <c r="A125" t="inlineStr">
        <is>
          <t>C0121</t>
        </is>
      </c>
      <c r="B125" t="inlineStr">
        <is>
          <t>Bluegum Constructions</t>
        </is>
      </c>
      <c r="C125" t="inlineStr">
        <is>
          <t>97 309 195 989</t>
        </is>
      </c>
      <c r="D125" t="inlineStr">
        <is>
          <t>accounts@bluegumconstructio.example</t>
        </is>
      </c>
      <c r="E125" s="11" t="n">
        <v>45320</v>
      </c>
      <c r="F125" t="inlineStr">
        <is>
          <t>C0121</t>
        </is>
      </c>
      <c r="G125" t="inlineStr">
        <is>
          <t>Bluegum Constructions</t>
        </is>
      </c>
      <c r="H125" t="inlineStr"/>
      <c r="I125" t="inlineStr"/>
      <c r="J125" t="inlineStr"/>
      <c r="K125" t="inlineStr"/>
      <c r="L125" t="inlineStr">
        <is>
          <t>Keep</t>
        </is>
      </c>
      <c r="M125">
        <f>COUNTIF('Invoice Lines'!$E$5:$E$2542,A125)</f>
        <v>20</v>
      </c>
      <c r="N125" s="9">
        <f>SUMIFS('Invoice Lines'!$K$5:$K$2542,'Invoice Lines'!$E$5:$E$2542,A125,'Invoice Lines'!$M$5:$M$2542,1)</f>
        <v>8623.6</v>
      </c>
      <c r="O125" t="str">
        <f>IF(COUNTIF('Contacts'!$A$5:$A$157,F125)=0,"MISSING",IF(INDEX('Contacts'!$F$5:$F$157,MATCH(F125,'Contacts'!$A$5:$A$157,0))=F125,"OK","CHAIN"))</f>
        <v>OK</v>
      </c>
    </row>
    <row r="126">
      <c r="A126" t="inlineStr">
        <is>
          <t>C0122</t>
        </is>
      </c>
      <c r="B126" t="inlineStr">
        <is>
          <t>Bluegum Construction Pty Ltd</t>
        </is>
      </c>
      <c r="C126" t="inlineStr">
        <is>
          <t>97 829 278 122</t>
        </is>
      </c>
      <c r="D126" t="inlineStr">
        <is>
          <t>accounts@bluegumconstructio.example</t>
        </is>
      </c>
      <c r="E126" s="11" t="n">
        <v>45469</v>
      </c>
      <c r="F126" t="inlineStr">
        <is>
          <t>C0122</t>
        </is>
      </c>
      <c r="G126" t="inlineStr">
        <is>
          <t>Bluegum Construction Pty Ltd</t>
        </is>
      </c>
      <c r="H126" t="inlineStr">
        <is>
          <t>N1</t>
        </is>
      </c>
      <c r="I126" t="n">
        <v>0.976</v>
      </c>
      <c r="J126" t="inlineStr">
        <is>
          <t>Similar name but different tax numbers: kept separate</t>
        </is>
      </c>
      <c r="K126" t="inlineStr">
        <is>
          <t>C0121</t>
        </is>
      </c>
      <c r="L126" t="inlineStr">
        <is>
          <t>Keep separate</t>
        </is>
      </c>
      <c r="M126">
        <f>COUNTIF('Invoice Lines'!$E$5:$E$2542,A126)</f>
        <v>50</v>
      </c>
      <c r="N126" s="9">
        <f>SUMIFS('Invoice Lines'!$K$5:$K$2542,'Invoice Lines'!$E$5:$E$2542,A126,'Invoice Lines'!$M$5:$M$2542,1)</f>
        <v>37606.57</v>
      </c>
      <c r="O126" t="str">
        <f>IF(COUNTIF('Contacts'!$A$5:$A$157,F126)=0,"MISSING",IF(INDEX('Contacts'!$F$5:$F$157,MATCH(F126,'Contacts'!$A$5:$A$157,0))=F126,"OK","CHAIN"))</f>
        <v>OK</v>
      </c>
    </row>
    <row r="127">
      <c r="A127" t="inlineStr">
        <is>
          <t>C0123</t>
        </is>
      </c>
      <c r="B127" t="inlineStr">
        <is>
          <t>Harbour Strata Management</t>
        </is>
      </c>
      <c r="C127" t="inlineStr">
        <is>
          <t>90 129 833 846</t>
        </is>
      </c>
      <c r="D127" t="inlineStr">
        <is>
          <t>accounts@harbourstratamanag.example</t>
        </is>
      </c>
      <c r="E127" s="11" t="n">
        <v>45472</v>
      </c>
      <c r="F127" t="inlineStr">
        <is>
          <t>C0123</t>
        </is>
      </c>
      <c r="G127" t="inlineStr">
        <is>
          <t>Harbour Strata Management</t>
        </is>
      </c>
      <c r="H127" t="inlineStr">
        <is>
          <t>N1</t>
        </is>
      </c>
      <c r="I127" t="n">
        <v>0.98</v>
      </c>
      <c r="J127" t="inlineStr">
        <is>
          <t>Similar name but different tax numbers: kept separate</t>
        </is>
      </c>
      <c r="K127" t="inlineStr">
        <is>
          <t>C0124</t>
        </is>
      </c>
      <c r="L127" t="inlineStr">
        <is>
          <t>Keep separate</t>
        </is>
      </c>
      <c r="M127">
        <f>COUNTIF('Invoice Lines'!$E$5:$E$2542,A127)</f>
        <v>9</v>
      </c>
      <c r="N127" s="9">
        <f>SUMIFS('Invoice Lines'!$K$5:$K$2542,'Invoice Lines'!$E$5:$E$2542,A127,'Invoice Lines'!$M$5:$M$2542,1)</f>
        <v>8249.46</v>
      </c>
      <c r="O127" t="str">
        <f>IF(COUNTIF('Contacts'!$A$5:$A$157,F127)=0,"MISSING",IF(INDEX('Contacts'!$F$5:$F$157,MATCH(F127,'Contacts'!$A$5:$A$157,0))=F127,"OK","CHAIN"))</f>
        <v>OK</v>
      </c>
    </row>
    <row r="128">
      <c r="A128" t="inlineStr">
        <is>
          <t>C0124</t>
        </is>
      </c>
      <c r="B128" t="inlineStr">
        <is>
          <t>Harbor Strata Management</t>
        </is>
      </c>
      <c r="C128" t="inlineStr">
        <is>
          <t>98 478 280 122</t>
        </is>
      </c>
      <c r="D128" t="inlineStr">
        <is>
          <t>accounts@harborstratamanage.example</t>
        </is>
      </c>
      <c r="E128" s="11" t="n">
        <v>45157</v>
      </c>
      <c r="F128" t="inlineStr">
        <is>
          <t>C0124</t>
        </is>
      </c>
      <c r="G128" t="inlineStr">
        <is>
          <t>Harbor Strata Management</t>
        </is>
      </c>
      <c r="H128" t="inlineStr"/>
      <c r="I128" t="inlineStr"/>
      <c r="J128" t="inlineStr"/>
      <c r="K128" t="inlineStr"/>
      <c r="L128" t="inlineStr">
        <is>
          <t>Keep</t>
        </is>
      </c>
      <c r="M128">
        <f>COUNTIF('Invoice Lines'!$E$5:$E$2542,A128)</f>
        <v>34</v>
      </c>
      <c r="N128" s="9">
        <f>SUMIFS('Invoice Lines'!$K$5:$K$2542,'Invoice Lines'!$E$5:$E$2542,A128,'Invoice Lines'!$M$5:$M$2542,1)</f>
        <v>24548.41</v>
      </c>
      <c r="O128" t="str">
        <f>IF(COUNTIF('Contacts'!$A$5:$A$157,F128)=0,"MISSING",IF(INDEX('Contacts'!$F$5:$F$157,MATCH(F128,'Contacts'!$A$5:$A$157,0))=F128,"OK","CHAIN"))</f>
        <v>OK</v>
      </c>
    </row>
    <row r="129">
      <c r="A129" t="inlineStr">
        <is>
          <t>C0125</t>
        </is>
      </c>
      <c r="B129" t="inlineStr">
        <is>
          <t>Lakeisde Claims Services Pty Ltd</t>
        </is>
      </c>
      <c r="C129" t="inlineStr">
        <is>
          <t>91 356 833 119</t>
        </is>
      </c>
      <c r="D129" t="inlineStr">
        <is>
          <t>accounts@lakesideclaimsserv.example</t>
        </is>
      </c>
      <c r="E129" s="11" t="n">
        <v>45937</v>
      </c>
      <c r="F129" t="inlineStr">
        <is>
          <t>C0064</t>
        </is>
      </c>
      <c r="G129" t="inlineStr">
        <is>
          <t>Lakeside Claims Services Pty Ltd</t>
        </is>
      </c>
      <c r="H129" t="inlineStr">
        <is>
          <t>M1</t>
        </is>
      </c>
      <c r="I129" t="n">
        <v>1</v>
      </c>
      <c r="J129" t="inlineStr">
        <is>
          <t>Same tax number</t>
        </is>
      </c>
      <c r="K129" t="inlineStr">
        <is>
          <t>C0064</t>
        </is>
      </c>
      <c r="L129" t="inlineStr">
        <is>
          <t>Merge into master</t>
        </is>
      </c>
      <c r="M129">
        <f>COUNTIF('Invoice Lines'!$E$5:$E$2542,A129)</f>
        <v>9</v>
      </c>
      <c r="N129" s="9">
        <f>SUMIFS('Invoice Lines'!$K$5:$K$2542,'Invoice Lines'!$E$5:$E$2542,A129,'Invoice Lines'!$M$5:$M$2542,1)</f>
        <v>10548.64</v>
      </c>
      <c r="O129" t="str">
        <f>IF(COUNTIF('Contacts'!$A$5:$A$157,F129)=0,"MISSING",IF(INDEX('Contacts'!$F$5:$F$157,MATCH(F129,'Contacts'!$A$5:$A$157,0))=F129,"OK","CHAIN"))</f>
        <v>OK</v>
      </c>
    </row>
    <row r="130">
      <c r="A130" t="inlineStr">
        <is>
          <t>C0126</t>
        </is>
      </c>
      <c r="B130" t="inlineStr">
        <is>
          <t>SUMMIT BODY CORPORATE PTY LTD</t>
        </is>
      </c>
      <c r="C130" t="inlineStr">
        <is>
          <t>90 177 756 480</t>
        </is>
      </c>
      <c r="D130" t="inlineStr">
        <is>
          <t>accounts@summitbodycorporat.example</t>
        </is>
      </c>
      <c r="E130" s="11" t="n">
        <v>45822</v>
      </c>
      <c r="F130" t="inlineStr">
        <is>
          <t>C0058</t>
        </is>
      </c>
      <c r="G130" t="inlineStr">
        <is>
          <t>Summit Body Corporate Pty Ltd</t>
        </is>
      </c>
      <c r="H130" t="inlineStr">
        <is>
          <t>M1</t>
        </is>
      </c>
      <c r="I130" t="n">
        <v>1</v>
      </c>
      <c r="J130" t="inlineStr">
        <is>
          <t>Same tax number</t>
        </is>
      </c>
      <c r="K130" t="inlineStr">
        <is>
          <t>C0058</t>
        </is>
      </c>
      <c r="L130" t="inlineStr">
        <is>
          <t>Merge into master</t>
        </is>
      </c>
      <c r="M130">
        <f>COUNTIF('Invoice Lines'!$E$5:$E$2542,A130)</f>
        <v>2</v>
      </c>
      <c r="N130" s="9">
        <f>SUMIFS('Invoice Lines'!$K$5:$K$2542,'Invoice Lines'!$E$5:$E$2542,A130,'Invoice Lines'!$M$5:$M$2542,1)</f>
        <v>2096.24</v>
      </c>
      <c r="O130" t="str">
        <f>IF(COUNTIF('Contacts'!$A$5:$A$157,F130)=0,"MISSING",IF(INDEX('Contacts'!$F$5:$F$157,MATCH(F130,'Contacts'!$A$5:$A$157,0))=F130,"OK","CHAIN"))</f>
        <v>OK</v>
      </c>
    </row>
    <row r="131">
      <c r="A131" t="inlineStr">
        <is>
          <t>C0127</t>
        </is>
      </c>
      <c r="B131" t="inlineStr">
        <is>
          <t>ARJUN SMITH</t>
        </is>
      </c>
      <c r="C131" t="inlineStr"/>
      <c r="D131" t="inlineStr">
        <is>
          <t>zoe@arjunsmith.example</t>
        </is>
      </c>
      <c r="E131" s="11" t="n">
        <v>46012</v>
      </c>
      <c r="F131" t="inlineStr">
        <is>
          <t>C0115</t>
        </is>
      </c>
      <c r="G131" t="inlineStr">
        <is>
          <t>Arjun Smith</t>
        </is>
      </c>
      <c r="H131" t="inlineStr">
        <is>
          <t>M2</t>
        </is>
      </c>
      <c r="I131" t="n">
        <v>1</v>
      </c>
      <c r="J131" t="inlineStr">
        <is>
          <t>Same name after removing suffixes and punctuation</t>
        </is>
      </c>
      <c r="K131" t="inlineStr">
        <is>
          <t>C0115</t>
        </is>
      </c>
      <c r="L131" t="inlineStr">
        <is>
          <t>Merge into master</t>
        </is>
      </c>
      <c r="M131">
        <f>COUNTIF('Invoice Lines'!$E$5:$E$2542,A131)</f>
        <v>4</v>
      </c>
      <c r="N131" s="9">
        <f>SUMIFS('Invoice Lines'!$K$5:$K$2542,'Invoice Lines'!$E$5:$E$2542,A131,'Invoice Lines'!$M$5:$M$2542,1)</f>
        <v>2531.8</v>
      </c>
      <c r="O131" t="str">
        <f>IF(COUNTIF('Contacts'!$A$5:$A$157,F131)=0,"MISSING",IF(INDEX('Contacts'!$F$5:$F$157,MATCH(F131,'Contacts'!$A$5:$A$157,0))=F131,"OK","CHAIN"))</f>
        <v>OK</v>
      </c>
    </row>
    <row r="132">
      <c r="A132" t="inlineStr">
        <is>
          <t>C0128</t>
        </is>
      </c>
      <c r="B132" t="inlineStr">
        <is>
          <t xml:space="preserve">Arjun  Smith </t>
        </is>
      </c>
      <c r="C132" t="inlineStr"/>
      <c r="D132" t="inlineStr">
        <is>
          <t>zoe@arjunsmith.example</t>
        </is>
      </c>
      <c r="E132" s="11" t="n">
        <v>45763</v>
      </c>
      <c r="F132" t="inlineStr">
        <is>
          <t>C0115</t>
        </is>
      </c>
      <c r="G132" t="inlineStr">
        <is>
          <t>Arjun Smith</t>
        </is>
      </c>
      <c r="H132" t="inlineStr">
        <is>
          <t>M2</t>
        </is>
      </c>
      <c r="I132" t="n">
        <v>1</v>
      </c>
      <c r="J132" t="inlineStr">
        <is>
          <t>Same name after removing suffixes and punctuation</t>
        </is>
      </c>
      <c r="K132" t="inlineStr">
        <is>
          <t>C0115</t>
        </is>
      </c>
      <c r="L132" t="inlineStr">
        <is>
          <t>Merge into master</t>
        </is>
      </c>
      <c r="M132">
        <f>COUNTIF('Invoice Lines'!$E$5:$E$2542,A132)</f>
        <v>5</v>
      </c>
      <c r="N132" s="9">
        <f>SUMIFS('Invoice Lines'!$K$5:$K$2542,'Invoice Lines'!$E$5:$E$2542,A132,'Invoice Lines'!$M$5:$M$2542,1)</f>
        <v>2822.62</v>
      </c>
      <c r="O132" t="str">
        <f>IF(COUNTIF('Contacts'!$A$5:$A$157,F132)=0,"MISSING",IF(INDEX('Contacts'!$F$5:$F$157,MATCH(F132,'Contacts'!$A$5:$A$157,0))=F132,"OK","CHAIN"))</f>
        <v>OK</v>
      </c>
    </row>
    <row r="133">
      <c r="A133" t="inlineStr">
        <is>
          <t>C0129</t>
        </is>
      </c>
      <c r="B133" t="inlineStr">
        <is>
          <t>Juniper Developments Pty Ltd - Accounts</t>
        </is>
      </c>
      <c r="C133" t="inlineStr">
        <is>
          <t>96 600 576 893</t>
        </is>
      </c>
      <c r="D133" t="inlineStr">
        <is>
          <t>accounts@juniperdevelopment.example</t>
        </is>
      </c>
      <c r="E133" s="11" t="n">
        <v>45887</v>
      </c>
      <c r="F133" t="inlineStr">
        <is>
          <t>C0016</t>
        </is>
      </c>
      <c r="G133" t="inlineStr">
        <is>
          <t>Juniper Developments Pty Ltd</t>
        </is>
      </c>
      <c r="H133" t="inlineStr">
        <is>
          <t>M1</t>
        </is>
      </c>
      <c r="I133" t="n">
        <v>1</v>
      </c>
      <c r="J133" t="inlineStr">
        <is>
          <t>Same tax number</t>
        </is>
      </c>
      <c r="K133" t="inlineStr">
        <is>
          <t>C0016</t>
        </is>
      </c>
      <c r="L133" t="inlineStr">
        <is>
          <t>Merge into master</t>
        </is>
      </c>
      <c r="M133">
        <f>COUNTIF('Invoice Lines'!$E$5:$E$2542,A133)</f>
        <v>2</v>
      </c>
      <c r="N133" s="9">
        <f>SUMIFS('Invoice Lines'!$K$5:$K$2542,'Invoice Lines'!$E$5:$E$2542,A133,'Invoice Lines'!$M$5:$M$2542,1)</f>
        <v>865</v>
      </c>
      <c r="O133" t="str">
        <f>IF(COUNTIF('Contacts'!$A$5:$A$157,F133)=0,"MISSING",IF(INDEX('Contacts'!$F$5:$F$157,MATCH(F133,'Contacts'!$A$5:$A$157,0))=F133,"OK","CHAIN"))</f>
        <v>OK</v>
      </c>
    </row>
    <row r="134">
      <c r="A134" t="inlineStr">
        <is>
          <t>C0130</t>
        </is>
      </c>
      <c r="B134" t="inlineStr">
        <is>
          <t>Kestrel Events Pty Ltd - Accounts</t>
        </is>
      </c>
      <c r="C134" t="inlineStr"/>
      <c r="D134" t="inlineStr">
        <is>
          <t>ap@kestrelevents.example</t>
        </is>
      </c>
      <c r="E134" s="11" t="n">
        <v>45903</v>
      </c>
      <c r="F134" t="inlineStr">
        <is>
          <t>C0079</t>
        </is>
      </c>
      <c r="G134" t="inlineStr">
        <is>
          <t>Kestrel Events Pty Ltd</t>
        </is>
      </c>
      <c r="H134" t="inlineStr">
        <is>
          <t>M2</t>
        </is>
      </c>
      <c r="I134" t="n">
        <v>1</v>
      </c>
      <c r="J134" t="inlineStr">
        <is>
          <t>Same name after removing suffixes and punctuation</t>
        </is>
      </c>
      <c r="K134" t="inlineStr">
        <is>
          <t>C0079</t>
        </is>
      </c>
      <c r="L134" t="inlineStr">
        <is>
          <t>Merge into master</t>
        </is>
      </c>
      <c r="M134">
        <f>COUNTIF('Invoice Lines'!$E$5:$E$2542,A134)</f>
        <v>2</v>
      </c>
      <c r="N134" s="9">
        <f>SUMIFS('Invoice Lines'!$K$5:$K$2542,'Invoice Lines'!$E$5:$E$2542,A134,'Invoice Lines'!$M$5:$M$2542,1)</f>
        <v>413.6</v>
      </c>
      <c r="O134" t="str">
        <f>IF(COUNTIF('Contacts'!$A$5:$A$157,F134)=0,"MISSING",IF(INDEX('Contacts'!$F$5:$F$157,MATCH(F134,'Contacts'!$A$5:$A$157,0))=F134,"OK","CHAIN"))</f>
        <v>OK</v>
      </c>
    </row>
    <row r="135">
      <c r="A135" t="inlineStr">
        <is>
          <t>C0131</t>
        </is>
      </c>
      <c r="B135" t="inlineStr">
        <is>
          <t>Southbank Body Corporate P/L</t>
        </is>
      </c>
      <c r="C135" t="inlineStr"/>
      <c r="D135" t="inlineStr">
        <is>
          <t>ap@southbankbodycorpo.example</t>
        </is>
      </c>
      <c r="E135" s="11" t="n">
        <v>45959</v>
      </c>
      <c r="F135" t="inlineStr">
        <is>
          <t>C0050</t>
        </is>
      </c>
      <c r="G135" t="inlineStr">
        <is>
          <t>Southbank Body Corporate Pty Ltd</t>
        </is>
      </c>
      <c r="H135" t="inlineStr">
        <is>
          <t>M2</t>
        </is>
      </c>
      <c r="I135" t="n">
        <v>1</v>
      </c>
      <c r="J135" t="inlineStr">
        <is>
          <t>Same name after removing suffixes and punctuation</t>
        </is>
      </c>
      <c r="K135" t="inlineStr">
        <is>
          <t>C0050</t>
        </is>
      </c>
      <c r="L135" t="inlineStr">
        <is>
          <t>Merge into master</t>
        </is>
      </c>
      <c r="M135">
        <f>COUNTIF('Invoice Lines'!$E$5:$E$2542,A135)</f>
        <v>5</v>
      </c>
      <c r="N135" s="9">
        <f>SUMIFS('Invoice Lines'!$K$5:$K$2542,'Invoice Lines'!$E$5:$E$2542,A135,'Invoice Lines'!$M$5:$M$2542,1)</f>
        <v>2330.22</v>
      </c>
      <c r="O135" t="str">
        <f>IF(COUNTIF('Contacts'!$A$5:$A$157,F135)=0,"MISSING",IF(INDEX('Contacts'!$F$5:$F$157,MATCH(F135,'Contacts'!$A$5:$A$157,0))=F135,"OK","CHAIN"))</f>
        <v>OK</v>
      </c>
    </row>
    <row r="136">
      <c r="A136" t="inlineStr">
        <is>
          <t>C0132</t>
        </is>
      </c>
      <c r="B136" t="inlineStr">
        <is>
          <t>Bluegum Body Corporate Pty Ltd - Accounts</t>
        </is>
      </c>
      <c r="C136" t="inlineStr"/>
      <c r="D136" t="inlineStr">
        <is>
          <t>accounts@bluegumbodycorpora.example</t>
        </is>
      </c>
      <c r="E136" s="11" t="n">
        <v>45793</v>
      </c>
      <c r="F136" t="inlineStr">
        <is>
          <t>C0052</t>
        </is>
      </c>
      <c r="G136" t="inlineStr">
        <is>
          <t>Bluegum Body Corporate Pty Ltd</t>
        </is>
      </c>
      <c r="H136" t="inlineStr">
        <is>
          <t>M2</t>
        </is>
      </c>
      <c r="I136" t="n">
        <v>1</v>
      </c>
      <c r="J136" t="inlineStr">
        <is>
          <t>Same name after removing suffixes and punctuation</t>
        </is>
      </c>
      <c r="K136" t="inlineStr">
        <is>
          <t>C0052</t>
        </is>
      </c>
      <c r="L136" t="inlineStr">
        <is>
          <t>Merge into master</t>
        </is>
      </c>
      <c r="M136">
        <f>COUNTIF('Invoice Lines'!$E$5:$E$2542,A136)</f>
        <v>4</v>
      </c>
      <c r="N136" s="9">
        <f>SUMIFS('Invoice Lines'!$K$5:$K$2542,'Invoice Lines'!$E$5:$E$2542,A136,'Invoice Lines'!$M$5:$M$2542,1)</f>
        <v>1705</v>
      </c>
      <c r="O136" t="str">
        <f>IF(COUNTIF('Contacts'!$A$5:$A$157,F136)=0,"MISSING",IF(INDEX('Contacts'!$F$5:$F$157,MATCH(F136,'Contacts'!$A$5:$A$157,0))=F136,"OK","CHAIN"))</f>
        <v>OK</v>
      </c>
    </row>
    <row r="137">
      <c r="A137" t="inlineStr">
        <is>
          <t>C0133</t>
        </is>
      </c>
      <c r="B137" t="inlineStr">
        <is>
          <t>Riverbend Homes Pty. Ltd.</t>
        </is>
      </c>
      <c r="C137" t="inlineStr">
        <is>
          <t>93 545 254 903</t>
        </is>
      </c>
      <c r="D137" t="inlineStr">
        <is>
          <t>accounts@riverbendhomes.example</t>
        </is>
      </c>
      <c r="E137" s="11" t="n">
        <v>46036</v>
      </c>
      <c r="F137" t="inlineStr">
        <is>
          <t>C0014</t>
        </is>
      </c>
      <c r="G137" t="inlineStr">
        <is>
          <t>Riverbend Homes Pty Ltd</t>
        </is>
      </c>
      <c r="H137" t="inlineStr">
        <is>
          <t>M1</t>
        </is>
      </c>
      <c r="I137" t="n">
        <v>1</v>
      </c>
      <c r="J137" t="inlineStr">
        <is>
          <t>Same tax number</t>
        </is>
      </c>
      <c r="K137" t="inlineStr">
        <is>
          <t>C0014</t>
        </is>
      </c>
      <c r="L137" t="inlineStr">
        <is>
          <t>Merge into master</t>
        </is>
      </c>
      <c r="M137">
        <f>COUNTIF('Invoice Lines'!$E$5:$E$2542,A137)</f>
        <v>24</v>
      </c>
      <c r="N137" s="9">
        <f>SUMIFS('Invoice Lines'!$K$5:$K$2542,'Invoice Lines'!$E$5:$E$2542,A137,'Invoice Lines'!$M$5:$M$2542,1)</f>
        <v>9464.03</v>
      </c>
      <c r="O137" t="str">
        <f>IF(COUNTIF('Contacts'!$A$5:$A$157,F137)=0,"MISSING",IF(INDEX('Contacts'!$F$5:$F$157,MATCH(F137,'Contacts'!$A$5:$A$157,0))=F137,"OK","CHAIN"))</f>
        <v>OK</v>
      </c>
    </row>
    <row r="138">
      <c r="A138" t="inlineStr">
        <is>
          <t>C0134</t>
        </is>
      </c>
      <c r="B138" t="inlineStr">
        <is>
          <t>ISLA BROWN</t>
        </is>
      </c>
      <c r="C138" t="inlineStr"/>
      <c r="D138" t="inlineStr">
        <is>
          <t>chloe@islabrown.example</t>
        </is>
      </c>
      <c r="E138" s="11" t="n">
        <v>45768</v>
      </c>
      <c r="F138" t="inlineStr">
        <is>
          <t>C0113</t>
        </is>
      </c>
      <c r="G138" t="inlineStr">
        <is>
          <t>Isla Brown</t>
        </is>
      </c>
      <c r="H138" t="inlineStr">
        <is>
          <t>M2</t>
        </is>
      </c>
      <c r="I138" t="n">
        <v>1</v>
      </c>
      <c r="J138" t="inlineStr">
        <is>
          <t>Same name after removing suffixes and punctuation</t>
        </is>
      </c>
      <c r="K138" t="inlineStr">
        <is>
          <t>C0113</t>
        </is>
      </c>
      <c r="L138" t="inlineStr">
        <is>
          <t>Merge into master</t>
        </is>
      </c>
      <c r="M138">
        <f>COUNTIF('Invoice Lines'!$E$5:$E$2542,A138)</f>
        <v>1</v>
      </c>
      <c r="N138" s="9">
        <f>SUMIFS('Invoice Lines'!$K$5:$K$2542,'Invoice Lines'!$E$5:$E$2542,A138,'Invoice Lines'!$M$5:$M$2542,1)</f>
        <v>1520</v>
      </c>
      <c r="O138" t="str">
        <f>IF(COUNTIF('Contacts'!$A$5:$A$157,F138)=0,"MISSING",IF(INDEX('Contacts'!$F$5:$F$157,MATCH(F138,'Contacts'!$A$5:$A$157,0))=F138,"OK","CHAIN"))</f>
        <v>OK</v>
      </c>
    </row>
    <row r="139">
      <c r="A139" t="inlineStr">
        <is>
          <t>C0135</t>
        </is>
      </c>
      <c r="B139" t="inlineStr">
        <is>
          <t>Westside Productions.</t>
        </is>
      </c>
      <c r="C139" t="inlineStr">
        <is>
          <t>95 406 383 464</t>
        </is>
      </c>
      <c r="D139" t="inlineStr">
        <is>
          <t>accounts@westsideproduction.example</t>
        </is>
      </c>
      <c r="E139" s="11" t="n">
        <v>45897</v>
      </c>
      <c r="F139" t="inlineStr">
        <is>
          <t>C0076</t>
        </is>
      </c>
      <c r="G139" t="inlineStr">
        <is>
          <t>Westside Productions</t>
        </is>
      </c>
      <c r="H139" t="inlineStr">
        <is>
          <t>M1</t>
        </is>
      </c>
      <c r="I139" t="n">
        <v>1</v>
      </c>
      <c r="J139" t="inlineStr">
        <is>
          <t>Same tax number</t>
        </is>
      </c>
      <c r="K139" t="inlineStr">
        <is>
          <t>C0076</t>
        </is>
      </c>
      <c r="L139" t="inlineStr">
        <is>
          <t>Merge into master</t>
        </is>
      </c>
      <c r="M139">
        <f>COUNTIF('Invoice Lines'!$E$5:$E$2542,A139)</f>
        <v>2</v>
      </c>
      <c r="N139" s="9">
        <f>SUMIFS('Invoice Lines'!$K$5:$K$2542,'Invoice Lines'!$E$5:$E$2542,A139,'Invoice Lines'!$M$5:$M$2542,1)</f>
        <v>2160</v>
      </c>
      <c r="O139" t="str">
        <f>IF(COUNTIF('Contacts'!$A$5:$A$157,F139)=0,"MISSING",IF(INDEX('Contacts'!$F$5:$F$157,MATCH(F139,'Contacts'!$A$5:$A$157,0))=F139,"OK","CHAIN"))</f>
        <v>OK</v>
      </c>
    </row>
    <row r="140">
      <c r="A140" t="inlineStr">
        <is>
          <t>C0136</t>
        </is>
      </c>
      <c r="B140" t="inlineStr">
        <is>
          <t>Summit Homes Pty. Ltd.</t>
        </is>
      </c>
      <c r="C140" t="inlineStr">
        <is>
          <t>98 579 583 912</t>
        </is>
      </c>
      <c r="D140" t="inlineStr">
        <is>
          <t>accounts@summithomes.example</t>
        </is>
      </c>
      <c r="E140" s="11" t="n">
        <v>45862</v>
      </c>
      <c r="F140" t="inlineStr">
        <is>
          <t>C0036</t>
        </is>
      </c>
      <c r="G140" t="inlineStr">
        <is>
          <t>Summit Homes Pty Ltd</t>
        </is>
      </c>
      <c r="H140" t="inlineStr">
        <is>
          <t>M1</t>
        </is>
      </c>
      <c r="I140" t="n">
        <v>1</v>
      </c>
      <c r="J140" t="inlineStr">
        <is>
          <t>Same tax number</t>
        </is>
      </c>
      <c r="K140" t="inlineStr">
        <is>
          <t>C0036</t>
        </is>
      </c>
      <c r="L140" t="inlineStr">
        <is>
          <t>Merge into master</t>
        </is>
      </c>
      <c r="M140">
        <f>COUNTIF('Invoice Lines'!$E$5:$E$2542,A140)</f>
        <v>28</v>
      </c>
      <c r="N140" s="9">
        <f>SUMIFS('Invoice Lines'!$K$5:$K$2542,'Invoice Lines'!$E$5:$E$2542,A140,'Invoice Lines'!$M$5:$M$2542,1)</f>
        <v>7886</v>
      </c>
      <c r="O140" t="str">
        <f>IF(COUNTIF('Contacts'!$A$5:$A$157,F140)=0,"MISSING",IF(INDEX('Contacts'!$F$5:$F$157,MATCH(F140,'Contacts'!$A$5:$A$157,0))=F140,"OK","CHAIN"))</f>
        <v>OK</v>
      </c>
    </row>
    <row r="141">
      <c r="A141" t="inlineStr">
        <is>
          <t>C0137</t>
        </is>
      </c>
      <c r="B141" t="inlineStr">
        <is>
          <t>Wattle Isnurance Repairs Pty Ltd</t>
        </is>
      </c>
      <c r="C141" t="inlineStr"/>
      <c r="D141" t="inlineStr">
        <is>
          <t>accounts@wattleinsurancerep.example</t>
        </is>
      </c>
      <c r="E141" s="11" t="n">
        <v>45864</v>
      </c>
      <c r="F141" t="inlineStr">
        <is>
          <t>C0062</t>
        </is>
      </c>
      <c r="G141" t="inlineStr">
        <is>
          <t>Wattle Insurance Repairs Pty Ltd</t>
        </is>
      </c>
      <c r="H141" t="inlineStr">
        <is>
          <t>M3</t>
        </is>
      </c>
      <c r="I141" t="n">
        <v>0.958</v>
      </c>
      <c r="J141" t="inlineStr">
        <is>
          <t>Near-identical name and same email domain</t>
        </is>
      </c>
      <c r="K141" t="inlineStr">
        <is>
          <t>C0062</t>
        </is>
      </c>
      <c r="L141" t="inlineStr">
        <is>
          <t>Merge into master</t>
        </is>
      </c>
      <c r="M141">
        <f>COUNTIF('Invoice Lines'!$E$5:$E$2542,A141)</f>
        <v>20</v>
      </c>
      <c r="N141" s="9">
        <f>SUMIFS('Invoice Lines'!$K$5:$K$2542,'Invoice Lines'!$E$5:$E$2542,A141,'Invoice Lines'!$M$5:$M$2542,1)</f>
        <v>17776.2</v>
      </c>
      <c r="O141" t="str">
        <f>IF(COUNTIF('Contacts'!$A$5:$A$157,F141)=0,"MISSING",IF(INDEX('Contacts'!$F$5:$F$157,MATCH(F141,'Contacts'!$A$5:$A$157,0))=F141,"OK","CHAIN"))</f>
        <v>OK</v>
      </c>
    </row>
    <row r="142">
      <c r="A142" t="inlineStr">
        <is>
          <t>C0138</t>
        </is>
      </c>
      <c r="B142" t="inlineStr">
        <is>
          <t xml:space="preserve">Noah  Kelly </t>
        </is>
      </c>
      <c r="C142" t="inlineStr"/>
      <c r="D142" t="inlineStr">
        <is>
          <t>isla@noahkelly.example</t>
        </is>
      </c>
      <c r="E142" s="11" t="n">
        <v>45982</v>
      </c>
      <c r="F142" t="inlineStr">
        <is>
          <t>C0111</t>
        </is>
      </c>
      <c r="G142" t="inlineStr">
        <is>
          <t>Noah Kelly</t>
        </is>
      </c>
      <c r="H142" t="inlineStr">
        <is>
          <t>M2</t>
        </is>
      </c>
      <c r="I142" t="n">
        <v>1</v>
      </c>
      <c r="J142" t="inlineStr">
        <is>
          <t>Same name after removing suffixes and punctuation</t>
        </is>
      </c>
      <c r="K142" t="inlineStr">
        <is>
          <t>C0111</t>
        </is>
      </c>
      <c r="L142" t="inlineStr">
        <is>
          <t>Merge into master</t>
        </is>
      </c>
      <c r="M142">
        <f>COUNTIF('Invoice Lines'!$E$5:$E$2542,A142)</f>
        <v>4</v>
      </c>
      <c r="N142" s="9">
        <f>SUMIFS('Invoice Lines'!$K$5:$K$2542,'Invoice Lines'!$E$5:$E$2542,A142,'Invoice Lines'!$M$5:$M$2542,1)</f>
        <v>1439.8</v>
      </c>
      <c r="O142" t="str">
        <f>IF(COUNTIF('Contacts'!$A$5:$A$157,F142)=0,"MISSING",IF(INDEX('Contacts'!$F$5:$F$157,MATCH(F142,'Contacts'!$A$5:$A$157,0))=F142,"OK","CHAIN"))</f>
        <v>OK</v>
      </c>
    </row>
    <row r="143">
      <c r="A143" t="inlineStr">
        <is>
          <t>C0139</t>
        </is>
      </c>
      <c r="B143" t="inlineStr">
        <is>
          <t>ELLA WILSON</t>
        </is>
      </c>
      <c r="C143" t="inlineStr"/>
      <c r="D143" t="inlineStr">
        <is>
          <t>leo@ellawilson.example</t>
        </is>
      </c>
      <c r="E143" s="11" t="n">
        <v>45984</v>
      </c>
      <c r="F143" t="inlineStr">
        <is>
          <t>C0106</t>
        </is>
      </c>
      <c r="G143" t="inlineStr">
        <is>
          <t>Ella Wilson</t>
        </is>
      </c>
      <c r="H143" t="inlineStr">
        <is>
          <t>M2</t>
        </is>
      </c>
      <c r="I143" t="n">
        <v>1</v>
      </c>
      <c r="J143" t="inlineStr">
        <is>
          <t>Same name after removing suffixes and punctuation</t>
        </is>
      </c>
      <c r="K143" t="inlineStr">
        <is>
          <t>C0106</t>
        </is>
      </c>
      <c r="L143" t="inlineStr">
        <is>
          <t>Merge into master</t>
        </is>
      </c>
      <c r="M143">
        <f>COUNTIF('Invoice Lines'!$E$5:$E$2542,A143)</f>
        <v>6</v>
      </c>
      <c r="N143" s="9">
        <f>SUMIFS('Invoice Lines'!$K$5:$K$2542,'Invoice Lines'!$E$5:$E$2542,A143,'Invoice Lines'!$M$5:$M$2542,1)</f>
        <v>3443.8</v>
      </c>
      <c r="O143" t="str">
        <f>IF(COUNTIF('Contacts'!$A$5:$A$157,F143)=0,"MISSING",IF(INDEX('Contacts'!$F$5:$F$157,MATCH(F143,'Contacts'!$A$5:$A$157,0))=F143,"OK","CHAIN"))</f>
        <v>OK</v>
      </c>
    </row>
    <row r="144">
      <c r="A144" t="inlineStr">
        <is>
          <t>C0140</t>
        </is>
      </c>
      <c r="B144" t="inlineStr">
        <is>
          <t xml:space="preserve">Ella  Wilson </t>
        </is>
      </c>
      <c r="C144" t="inlineStr"/>
      <c r="D144" t="inlineStr">
        <is>
          <t>leo@ellawilson.example</t>
        </is>
      </c>
      <c r="E144" s="11" t="n">
        <v>45913</v>
      </c>
      <c r="F144" t="inlineStr">
        <is>
          <t>C0106</t>
        </is>
      </c>
      <c r="G144" t="inlineStr">
        <is>
          <t>Ella Wilson</t>
        </is>
      </c>
      <c r="H144" t="inlineStr">
        <is>
          <t>M2</t>
        </is>
      </c>
      <c r="I144" t="n">
        <v>1</v>
      </c>
      <c r="J144" t="inlineStr">
        <is>
          <t>Same name after removing suffixes and punctuation</t>
        </is>
      </c>
      <c r="K144" t="inlineStr">
        <is>
          <t>C0106</t>
        </is>
      </c>
      <c r="L144" t="inlineStr">
        <is>
          <t>Merge into master</t>
        </is>
      </c>
      <c r="M144">
        <f>COUNTIF('Invoice Lines'!$E$5:$E$2542,A144)</f>
        <v>6</v>
      </c>
      <c r="N144" s="9">
        <f>SUMIFS('Invoice Lines'!$K$5:$K$2542,'Invoice Lines'!$E$5:$E$2542,A144,'Invoice Lines'!$M$5:$M$2542,1)</f>
        <v>5157</v>
      </c>
      <c r="O144" t="str">
        <f>IF(COUNTIF('Contacts'!$A$5:$A$157,F144)=0,"MISSING",IF(INDEX('Contacts'!$F$5:$F$157,MATCH(F144,'Contacts'!$A$5:$A$157,0))=F144,"OK","CHAIN"))</f>
        <v>OK</v>
      </c>
    </row>
    <row r="145">
      <c r="A145" t="inlineStr">
        <is>
          <t>C0141</t>
        </is>
      </c>
      <c r="B145" t="inlineStr">
        <is>
          <t>BANKSIA HOMES</t>
        </is>
      </c>
      <c r="C145" t="inlineStr">
        <is>
          <t>97 510 430 436</t>
        </is>
      </c>
      <c r="D145" t="inlineStr">
        <is>
          <t>accounts@banksiahomes.example</t>
        </is>
      </c>
      <c r="E145" s="11" t="n">
        <v>45968</v>
      </c>
      <c r="F145" t="inlineStr">
        <is>
          <t>C0028</t>
        </is>
      </c>
      <c r="G145" t="inlineStr">
        <is>
          <t>Banksia Homes</t>
        </is>
      </c>
      <c r="H145" t="inlineStr">
        <is>
          <t>M1</t>
        </is>
      </c>
      <c r="I145" t="n">
        <v>1</v>
      </c>
      <c r="J145" t="inlineStr">
        <is>
          <t>Same tax number</t>
        </is>
      </c>
      <c r="K145" t="inlineStr">
        <is>
          <t>C0028</t>
        </is>
      </c>
      <c r="L145" t="inlineStr">
        <is>
          <t>Merge into master</t>
        </is>
      </c>
      <c r="M145">
        <f>COUNTIF('Invoice Lines'!$E$5:$E$2542,A145)</f>
        <v>12</v>
      </c>
      <c r="N145" s="9">
        <f>SUMIFS('Invoice Lines'!$K$5:$K$2542,'Invoice Lines'!$E$5:$E$2542,A145,'Invoice Lines'!$M$5:$M$2542,1)</f>
        <v>7689.55</v>
      </c>
      <c r="O145" t="str">
        <f>IF(COUNTIF('Contacts'!$A$5:$A$157,F145)=0,"MISSING",IF(INDEX('Contacts'!$F$5:$F$157,MATCH(F145,'Contacts'!$A$5:$A$157,0))=F145,"OK","CHAIN"))</f>
        <v>OK</v>
      </c>
    </row>
    <row r="146">
      <c r="A146" t="inlineStr">
        <is>
          <t>C0142</t>
        </is>
      </c>
      <c r="B146" t="inlineStr">
        <is>
          <t>Coastline Developments P/L</t>
        </is>
      </c>
      <c r="C146" t="inlineStr">
        <is>
          <t>91 391 218 631</t>
        </is>
      </c>
      <c r="D146" t="inlineStr">
        <is>
          <t>ap@coastlinedevelopme.example</t>
        </is>
      </c>
      <c r="E146" s="11" t="n">
        <v>45889</v>
      </c>
      <c r="F146" t="inlineStr">
        <is>
          <t>C0039</t>
        </is>
      </c>
      <c r="G146" t="inlineStr">
        <is>
          <t>Coastline Developments Pty Ltd</t>
        </is>
      </c>
      <c r="H146" t="inlineStr">
        <is>
          <t>M1</t>
        </is>
      </c>
      <c r="I146" t="n">
        <v>1</v>
      </c>
      <c r="J146" t="inlineStr">
        <is>
          <t>Same tax number</t>
        </is>
      </c>
      <c r="K146" t="inlineStr">
        <is>
          <t>C0039</t>
        </is>
      </c>
      <c r="L146" t="inlineStr">
        <is>
          <t>Merge into master</t>
        </is>
      </c>
      <c r="M146">
        <f>COUNTIF('Invoice Lines'!$E$5:$E$2542,A146)</f>
        <v>10</v>
      </c>
      <c r="N146" s="9">
        <f>SUMIFS('Invoice Lines'!$K$5:$K$2542,'Invoice Lines'!$E$5:$E$2542,A146,'Invoice Lines'!$M$5:$M$2542,1)</f>
        <v>6475.25</v>
      </c>
      <c r="O146" t="str">
        <f>IF(COUNTIF('Contacts'!$A$5:$A$157,F146)=0,"MISSING",IF(INDEX('Contacts'!$F$5:$F$157,MATCH(F146,'Contacts'!$A$5:$A$157,0))=F146,"OK","CHAIN"))</f>
        <v>OK</v>
      </c>
    </row>
    <row r="147">
      <c r="A147" t="inlineStr">
        <is>
          <t>C0143</t>
        </is>
      </c>
      <c r="B147" t="inlineStr">
        <is>
          <t>Banksia Projects Pty. Ltd.</t>
        </is>
      </c>
      <c r="C147" t="inlineStr"/>
      <c r="D147" t="inlineStr">
        <is>
          <t>accounts@banksiaprojects.example</t>
        </is>
      </c>
      <c r="E147" s="11" t="n">
        <v>45851</v>
      </c>
      <c r="F147" t="inlineStr">
        <is>
          <t>C0043</t>
        </is>
      </c>
      <c r="G147" t="inlineStr">
        <is>
          <t>Banksia Projects Pty Ltd</t>
        </is>
      </c>
      <c r="H147" t="inlineStr">
        <is>
          <t>M2</t>
        </is>
      </c>
      <c r="I147" t="n">
        <v>1</v>
      </c>
      <c r="J147" t="inlineStr">
        <is>
          <t>Same name after removing suffixes and punctuation</t>
        </is>
      </c>
      <c r="K147" t="inlineStr">
        <is>
          <t>C0043</t>
        </is>
      </c>
      <c r="L147" t="inlineStr">
        <is>
          <t>Merge into master</t>
        </is>
      </c>
      <c r="M147">
        <f>COUNTIF('Invoice Lines'!$E$5:$E$2542,A147)</f>
        <v>15</v>
      </c>
      <c r="N147" s="9">
        <f>SUMIFS('Invoice Lines'!$K$5:$K$2542,'Invoice Lines'!$E$5:$E$2542,A147,'Invoice Lines'!$M$5:$M$2542,1)</f>
        <v>21437.4</v>
      </c>
      <c r="O147" t="str">
        <f>IF(COUNTIF('Contacts'!$A$5:$A$157,F147)=0,"MISSING",IF(INDEX('Contacts'!$F$5:$F$157,MATCH(F147,'Contacts'!$A$5:$A$157,0))=F147,"OK","CHAIN"))</f>
        <v>OK</v>
      </c>
    </row>
    <row r="148">
      <c r="A148" t="inlineStr">
        <is>
          <t>C0144</t>
        </is>
      </c>
      <c r="B148" t="inlineStr">
        <is>
          <t>Parkview Projects Pty Ltd - Accounts</t>
        </is>
      </c>
      <c r="C148" t="inlineStr">
        <is>
          <t>97 771 735 822</t>
        </is>
      </c>
      <c r="D148" t="inlineStr">
        <is>
          <t>accounts@parkviewprojects.example</t>
        </is>
      </c>
      <c r="E148" s="11" t="n">
        <v>45867</v>
      </c>
      <c r="F148" t="inlineStr">
        <is>
          <t>C0001</t>
        </is>
      </c>
      <c r="G148" t="inlineStr">
        <is>
          <t>Parkview Projects Pty Ltd</t>
        </is>
      </c>
      <c r="H148" t="inlineStr">
        <is>
          <t>M1</t>
        </is>
      </c>
      <c r="I148" t="n">
        <v>1</v>
      </c>
      <c r="J148" t="inlineStr">
        <is>
          <t>Same tax number</t>
        </is>
      </c>
      <c r="K148" t="inlineStr">
        <is>
          <t>C0001</t>
        </is>
      </c>
      <c r="L148" t="inlineStr">
        <is>
          <t>Merge into master</t>
        </is>
      </c>
      <c r="M148">
        <f>COUNTIF('Invoice Lines'!$E$5:$E$2542,A148)</f>
        <v>13</v>
      </c>
      <c r="N148" s="9">
        <f>SUMIFS('Invoice Lines'!$K$5:$K$2542,'Invoice Lines'!$E$5:$E$2542,A148,'Invoice Lines'!$M$5:$M$2542,1)</f>
        <v>7698.93</v>
      </c>
      <c r="O148" t="str">
        <f>IF(COUNTIF('Contacts'!$A$5:$A$157,F148)=0,"MISSING",IF(INDEX('Contacts'!$F$5:$F$157,MATCH(F148,'Contacts'!$A$5:$A$157,0))=F148,"OK","CHAIN"))</f>
        <v>OK</v>
      </c>
    </row>
    <row r="149">
      <c r="A149" t="inlineStr">
        <is>
          <t>C0145</t>
        </is>
      </c>
      <c r="B149" t="inlineStr">
        <is>
          <t xml:space="preserve">Mia  Chen </t>
        </is>
      </c>
      <c r="C149" t="inlineStr"/>
      <c r="D149" t="inlineStr">
        <is>
          <t>ella@miachen.example</t>
        </is>
      </c>
      <c r="E149" s="11" t="n">
        <v>45865</v>
      </c>
      <c r="F149" t="inlineStr">
        <is>
          <t>C0081</t>
        </is>
      </c>
      <c r="G149" t="inlineStr">
        <is>
          <t>Mia Chen</t>
        </is>
      </c>
      <c r="H149" t="inlineStr">
        <is>
          <t>M2</t>
        </is>
      </c>
      <c r="I149" t="n">
        <v>1</v>
      </c>
      <c r="J149" t="inlineStr">
        <is>
          <t>Same name after removing suffixes and punctuation</t>
        </is>
      </c>
      <c r="K149" t="inlineStr">
        <is>
          <t>C0081</t>
        </is>
      </c>
      <c r="L149" t="inlineStr">
        <is>
          <t>Merge into master</t>
        </is>
      </c>
      <c r="M149">
        <f>COUNTIF('Invoice Lines'!$E$5:$E$2542,A149)</f>
        <v>0</v>
      </c>
      <c r="N149" s="9">
        <f>SUMIFS('Invoice Lines'!$K$5:$K$2542,'Invoice Lines'!$E$5:$E$2542,A149,'Invoice Lines'!$M$5:$M$2542,1)</f>
        <v>0</v>
      </c>
      <c r="O149" t="str">
        <f>IF(COUNTIF('Contacts'!$A$5:$A$157,F149)=0,"MISSING",IF(INDEX('Contacts'!$F$5:$F$157,MATCH(F149,'Contacts'!$A$5:$A$157,0))=F149,"OK","CHAIN"))</f>
        <v>OK</v>
      </c>
    </row>
    <row r="150">
      <c r="A150" t="inlineStr">
        <is>
          <t>C0146</t>
        </is>
      </c>
      <c r="B150" t="inlineStr">
        <is>
          <t>WESTSIDE OWNERS CORPORATION SERVICES PTY LTD</t>
        </is>
      </c>
      <c r="C150" t="inlineStr">
        <is>
          <t>94 835 671 124</t>
        </is>
      </c>
      <c r="D150" t="inlineStr">
        <is>
          <t>accounts@westsideownerscorp.example</t>
        </is>
      </c>
      <c r="E150" s="11" t="n">
        <v>45977</v>
      </c>
      <c r="F150" t="inlineStr">
        <is>
          <t>C0045</t>
        </is>
      </c>
      <c r="G150" t="inlineStr">
        <is>
          <t>Westside Owners Corporation Services Pty Ltd</t>
        </is>
      </c>
      <c r="H150" t="inlineStr">
        <is>
          <t>M1</t>
        </is>
      </c>
      <c r="I150" t="n">
        <v>1</v>
      </c>
      <c r="J150" t="inlineStr">
        <is>
          <t>Same tax number</t>
        </is>
      </c>
      <c r="K150" t="inlineStr">
        <is>
          <t>C0045</t>
        </is>
      </c>
      <c r="L150" t="inlineStr">
        <is>
          <t>Merge into master</t>
        </is>
      </c>
      <c r="M150">
        <f>COUNTIF('Invoice Lines'!$E$5:$E$2542,A150)</f>
        <v>0</v>
      </c>
      <c r="N150" s="9">
        <f>SUMIFS('Invoice Lines'!$K$5:$K$2542,'Invoice Lines'!$E$5:$E$2542,A150,'Invoice Lines'!$M$5:$M$2542,1)</f>
        <v>0</v>
      </c>
      <c r="O150" t="str">
        <f>IF(COUNTIF('Contacts'!$A$5:$A$157,F150)=0,"MISSING",IF(INDEX('Contacts'!$F$5:$F$157,MATCH(F150,'Contacts'!$A$5:$A$157,0))=F150,"OK","CHAIN"))</f>
        <v>OK</v>
      </c>
    </row>
    <row r="151">
      <c r="A151" t="inlineStr">
        <is>
          <t>C0147</t>
        </is>
      </c>
      <c r="B151" t="inlineStr">
        <is>
          <t>Banksia Claims Services</t>
        </is>
      </c>
      <c r="C151" t="inlineStr">
        <is>
          <t>94 180 093 547</t>
        </is>
      </c>
      <c r="D151" t="inlineStr">
        <is>
          <t>office@banksiaclaimsservi.example</t>
        </is>
      </c>
      <c r="E151" s="11" t="n">
        <v>45954</v>
      </c>
      <c r="F151" t="inlineStr">
        <is>
          <t>C0067</t>
        </is>
      </c>
      <c r="G151" t="inlineStr">
        <is>
          <t>Banksia Claims Services Pty Ltd</t>
        </is>
      </c>
      <c r="H151" t="inlineStr">
        <is>
          <t>M1</t>
        </is>
      </c>
      <c r="I151" t="n">
        <v>1</v>
      </c>
      <c r="J151" t="inlineStr">
        <is>
          <t>Same tax number</t>
        </is>
      </c>
      <c r="K151" t="inlineStr">
        <is>
          <t>C0067</t>
        </is>
      </c>
      <c r="L151" t="inlineStr">
        <is>
          <t>Merge into master</t>
        </is>
      </c>
      <c r="M151">
        <f>COUNTIF('Invoice Lines'!$E$5:$E$2542,A151)</f>
        <v>16</v>
      </c>
      <c r="N151" s="9">
        <f>SUMIFS('Invoice Lines'!$K$5:$K$2542,'Invoice Lines'!$E$5:$E$2542,A151,'Invoice Lines'!$M$5:$M$2542,1)</f>
        <v>7603.48</v>
      </c>
      <c r="O151" t="str">
        <f>IF(COUNTIF('Contacts'!$A$5:$A$157,F151)=0,"MISSING",IF(INDEX('Contacts'!$F$5:$F$157,MATCH(F151,'Contacts'!$A$5:$A$157,0))=F151,"OK","CHAIN"))</f>
        <v>OK</v>
      </c>
    </row>
    <row r="152">
      <c r="A152" t="inlineStr">
        <is>
          <t>C0148</t>
        </is>
      </c>
      <c r="B152" t="inlineStr">
        <is>
          <t>Lakeside Constructions Pty. Ltd.</t>
        </is>
      </c>
      <c r="C152" t="inlineStr"/>
      <c r="D152" t="inlineStr">
        <is>
          <t>accounts@lakesideconstructi.example</t>
        </is>
      </c>
      <c r="E152" s="11" t="n">
        <v>45855</v>
      </c>
      <c r="F152" t="inlineStr">
        <is>
          <t>C0042</t>
        </is>
      </c>
      <c r="G152" t="inlineStr">
        <is>
          <t>Lakeside Constructions Pty Ltd</t>
        </is>
      </c>
      <c r="H152" t="inlineStr">
        <is>
          <t>M2</t>
        </is>
      </c>
      <c r="I152" t="n">
        <v>1</v>
      </c>
      <c r="J152" t="inlineStr">
        <is>
          <t>Same name after removing suffixes and punctuation</t>
        </is>
      </c>
      <c r="K152" t="inlineStr">
        <is>
          <t>C0042</t>
        </is>
      </c>
      <c r="L152" t="inlineStr">
        <is>
          <t>Merge into master</t>
        </is>
      </c>
      <c r="M152">
        <f>COUNTIF('Invoice Lines'!$E$5:$E$2542,A152)</f>
        <v>26</v>
      </c>
      <c r="N152" s="9">
        <f>SUMIFS('Invoice Lines'!$K$5:$K$2542,'Invoice Lines'!$E$5:$E$2542,A152,'Invoice Lines'!$M$5:$M$2542,1)</f>
        <v>19929.6</v>
      </c>
      <c r="O152" t="str">
        <f>IF(COUNTIF('Contacts'!$A$5:$A$157,F152)=0,"MISSING",IF(INDEX('Contacts'!$F$5:$F$157,MATCH(F152,'Contacts'!$A$5:$A$157,0))=F152,"OK","CHAIN"))</f>
        <v>OK</v>
      </c>
    </row>
    <row r="153">
      <c r="A153" t="inlineStr">
        <is>
          <t>C0149</t>
        </is>
      </c>
      <c r="B153" t="inlineStr">
        <is>
          <t>Lakeside Builders Pty. Ltd.</t>
        </is>
      </c>
      <c r="C153" t="inlineStr"/>
      <c r="D153" t="inlineStr">
        <is>
          <t>office@lakesidebuilders.example</t>
        </is>
      </c>
      <c r="E153" s="11" t="n">
        <v>45681</v>
      </c>
      <c r="F153" t="inlineStr">
        <is>
          <t>C0004</t>
        </is>
      </c>
      <c r="G153" t="inlineStr">
        <is>
          <t>Lakeside Builders Pty Ltd</t>
        </is>
      </c>
      <c r="H153" t="inlineStr">
        <is>
          <t>M2</t>
        </is>
      </c>
      <c r="I153" t="n">
        <v>1</v>
      </c>
      <c r="J153" t="inlineStr">
        <is>
          <t>Same name after removing suffixes and punctuation</t>
        </is>
      </c>
      <c r="K153" t="inlineStr">
        <is>
          <t>C0004</t>
        </is>
      </c>
      <c r="L153" t="inlineStr">
        <is>
          <t>Merge into master</t>
        </is>
      </c>
      <c r="M153">
        <f>COUNTIF('Invoice Lines'!$E$5:$E$2542,A153)</f>
        <v>4</v>
      </c>
      <c r="N153" s="9">
        <f>SUMIFS('Invoice Lines'!$K$5:$K$2542,'Invoice Lines'!$E$5:$E$2542,A153,'Invoice Lines'!$M$5:$M$2542,1)</f>
        <v>973.8</v>
      </c>
      <c r="O153" t="str">
        <f>IF(COUNTIF('Contacts'!$A$5:$A$157,F153)=0,"MISSING",IF(INDEX('Contacts'!$F$5:$F$157,MATCH(F153,'Contacts'!$A$5:$A$157,0))=F153,"OK","CHAIN"))</f>
        <v>OK</v>
      </c>
    </row>
    <row r="154">
      <c r="A154" t="inlineStr">
        <is>
          <t>C0150</t>
        </is>
      </c>
      <c r="B154" t="inlineStr">
        <is>
          <t xml:space="preserve">Lakeside  Builders Pty Ltd </t>
        </is>
      </c>
      <c r="C154" t="inlineStr"/>
      <c r="D154" t="inlineStr">
        <is>
          <t>admin@lakesidebuilders.example</t>
        </is>
      </c>
      <c r="E154" s="11" t="n">
        <v>45929</v>
      </c>
      <c r="F154" t="inlineStr">
        <is>
          <t>C0004</t>
        </is>
      </c>
      <c r="G154" t="inlineStr">
        <is>
          <t>Lakeside Builders Pty Ltd</t>
        </is>
      </c>
      <c r="H154" t="inlineStr">
        <is>
          <t>M2</t>
        </is>
      </c>
      <c r="I154" t="n">
        <v>1</v>
      </c>
      <c r="J154" t="inlineStr">
        <is>
          <t>Same name after removing suffixes and punctuation</t>
        </is>
      </c>
      <c r="K154" t="inlineStr">
        <is>
          <t>C0004</t>
        </is>
      </c>
      <c r="L154" t="inlineStr">
        <is>
          <t>Merge into master</t>
        </is>
      </c>
      <c r="M154">
        <f>COUNTIF('Invoice Lines'!$E$5:$E$2542,A154)</f>
        <v>1</v>
      </c>
      <c r="N154" s="9">
        <f>SUMIFS('Invoice Lines'!$K$5:$K$2542,'Invoice Lines'!$E$5:$E$2542,A154,'Invoice Lines'!$M$5:$M$2542,1)</f>
        <v>165</v>
      </c>
      <c r="O154" t="str">
        <f>IF(COUNTIF('Contacts'!$A$5:$A$157,F154)=0,"MISSING",IF(INDEX('Contacts'!$F$5:$F$157,MATCH(F154,'Contacts'!$A$5:$A$157,0))=F154,"OK","CHAIN"))</f>
        <v>OK</v>
      </c>
    </row>
    <row r="155">
      <c r="A155" t="inlineStr">
        <is>
          <t>C0151</t>
        </is>
      </c>
      <c r="B155" t="inlineStr">
        <is>
          <t>Coastline Projetcs Pty Ltd</t>
        </is>
      </c>
      <c r="C155" t="inlineStr"/>
      <c r="D155" t="inlineStr">
        <is>
          <t>accounts@coastlineprojects.example</t>
        </is>
      </c>
      <c r="E155" s="11" t="n">
        <v>45817</v>
      </c>
      <c r="F155" t="inlineStr">
        <is>
          <t>C0040</t>
        </is>
      </c>
      <c r="G155" t="inlineStr">
        <is>
          <t>Coastline Projects Pty Ltd</t>
        </is>
      </c>
      <c r="H155" t="inlineStr">
        <is>
          <t>M3</t>
        </is>
      </c>
      <c r="I155" t="n">
        <v>0.944</v>
      </c>
      <c r="J155" t="inlineStr">
        <is>
          <t>Near-identical name and same email domain</t>
        </is>
      </c>
      <c r="K155" t="inlineStr">
        <is>
          <t>C0040</t>
        </is>
      </c>
      <c r="L155" t="inlineStr">
        <is>
          <t>Merge into master</t>
        </is>
      </c>
      <c r="M155">
        <f>COUNTIF('Invoice Lines'!$E$5:$E$2542,A155)</f>
        <v>20</v>
      </c>
      <c r="N155" s="9">
        <f>SUMIFS('Invoice Lines'!$K$5:$K$2542,'Invoice Lines'!$E$5:$E$2542,A155,'Invoice Lines'!$M$5:$M$2542,1)</f>
        <v>7705.52</v>
      </c>
      <c r="O155" t="str">
        <f>IF(COUNTIF('Contacts'!$A$5:$A$157,F155)=0,"MISSING",IF(INDEX('Contacts'!$F$5:$F$157,MATCH(F155,'Contacts'!$A$5:$A$157,0))=F155,"OK","CHAIN"))</f>
        <v>OK</v>
      </c>
    </row>
    <row r="156">
      <c r="A156" t="inlineStr">
        <is>
          <t>C0152</t>
        </is>
      </c>
      <c r="B156" t="inlineStr">
        <is>
          <t>Northgate Strata Management.</t>
        </is>
      </c>
      <c r="C156" t="inlineStr"/>
      <c r="D156" t="inlineStr">
        <is>
          <t>accounts@northgatestrataman.example</t>
        </is>
      </c>
      <c r="E156" s="11" t="n">
        <v>45801</v>
      </c>
      <c r="F156" t="inlineStr">
        <is>
          <t>C0056</t>
        </is>
      </c>
      <c r="G156" t="inlineStr">
        <is>
          <t>Northgate Strata Management</t>
        </is>
      </c>
      <c r="H156" t="inlineStr">
        <is>
          <t>M2</t>
        </is>
      </c>
      <c r="I156" t="n">
        <v>1</v>
      </c>
      <c r="J156" t="inlineStr">
        <is>
          <t>Same name after removing suffixes and punctuation</t>
        </is>
      </c>
      <c r="K156" t="inlineStr">
        <is>
          <t>C0056</t>
        </is>
      </c>
      <c r="L156" t="inlineStr">
        <is>
          <t>Merge into master</t>
        </is>
      </c>
      <c r="M156">
        <f>COUNTIF('Invoice Lines'!$E$5:$E$2542,A156)</f>
        <v>4</v>
      </c>
      <c r="N156" s="9">
        <f>SUMIFS('Invoice Lines'!$K$5:$K$2542,'Invoice Lines'!$E$5:$E$2542,A156,'Invoice Lines'!$M$5:$M$2542,1)</f>
        <v>2770.98</v>
      </c>
      <c r="O156" t="str">
        <f>IF(COUNTIF('Contacts'!$A$5:$A$157,F156)=0,"MISSING",IF(INDEX('Contacts'!$F$5:$F$157,MATCH(F156,'Contacts'!$A$5:$A$157,0))=F156,"OK","CHAIN"))</f>
        <v>OK</v>
      </c>
    </row>
    <row r="157">
      <c r="A157" t="inlineStr">
        <is>
          <t>C0153</t>
        </is>
      </c>
      <c r="B157" t="inlineStr">
        <is>
          <t>Ethan Walker.</t>
        </is>
      </c>
      <c r="C157" t="inlineStr"/>
      <c r="D157" t="inlineStr">
        <is>
          <t>oscar@ethanwalker.example</t>
        </is>
      </c>
      <c r="E157" s="11" t="n">
        <v>45713</v>
      </c>
      <c r="F157" t="inlineStr">
        <is>
          <t>C0098</t>
        </is>
      </c>
      <c r="G157" t="inlineStr">
        <is>
          <t>Ethan Walker</t>
        </is>
      </c>
      <c r="H157" t="inlineStr">
        <is>
          <t>M2</t>
        </is>
      </c>
      <c r="I157" t="n">
        <v>1</v>
      </c>
      <c r="J157" t="inlineStr">
        <is>
          <t>Same name after removing suffixes and punctuation</t>
        </is>
      </c>
      <c r="K157" t="inlineStr">
        <is>
          <t>C0098</t>
        </is>
      </c>
      <c r="L157" t="inlineStr">
        <is>
          <t>Merge into master</t>
        </is>
      </c>
      <c r="M157">
        <f>COUNTIF('Invoice Lines'!$E$5:$E$2542,A157)</f>
        <v>11</v>
      </c>
      <c r="N157" s="9">
        <f>SUMIFS('Invoice Lines'!$K$5:$K$2542,'Invoice Lines'!$E$5:$E$2542,A157,'Invoice Lines'!$M$5:$M$2542,1)</f>
        <v>9821.8</v>
      </c>
      <c r="O157" t="str">
        <f>IF(COUNTIF('Contacts'!$A$5:$A$157,F157)=0,"MISSING",IF(INDEX('Contacts'!$F$5:$F$157,MATCH(F157,'Contacts'!$A$5:$A$157,0))=F157,"OK","CHAIN"))</f>
        <v>OK</v>
      </c>
    </row>
  </sheetData>
  <autoFilter ref="A4:O157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12" customWidth="1" min="3" max="3"/>
    <col width="34" customWidth="1" min="4" max="4"/>
    <col width="64" customWidth="1" min="5" max="5"/>
    <col width="14" customWidth="1" min="6" max="6"/>
  </cols>
  <sheetData>
    <row r="1">
      <c r="A1" s="6" t="inlineStr">
        <is>
          <t>Chart of accounts fix map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Action</t>
        </is>
      </c>
      <c r="B4" s="7" t="inlineStr">
        <is>
          <t>From</t>
        </is>
      </c>
      <c r="C4" s="7" t="inlineStr">
        <is>
          <t>To</t>
        </is>
      </c>
      <c r="D4" s="7" t="inlineStr">
        <is>
          <t>Name</t>
        </is>
      </c>
      <c r="E4" s="7" t="inlineStr">
        <is>
          <t>Detail</t>
        </is>
      </c>
      <c r="F4" s="7" t="inlineStr">
        <is>
          <t>Balance moved</t>
        </is>
      </c>
    </row>
    <row r="5">
      <c r="A5" t="inlineStr">
        <is>
          <t>Create</t>
        </is>
      </c>
      <c r="B5" t="inlineStr"/>
      <c r="C5" t="n">
        <v>4010</v>
      </c>
      <c r="D5" t="inlineStr">
        <is>
          <t>Hire income</t>
        </is>
      </c>
      <c r="E5" t="inlineStr">
        <is>
          <t>Fencing, barrier, scaffold and tarp kit hire</t>
        </is>
      </c>
      <c r="F5" s="9" t="inlineStr"/>
    </row>
    <row r="6">
      <c r="A6" t="inlineStr">
        <is>
          <t>Create</t>
        </is>
      </c>
      <c r="B6" t="inlineStr"/>
      <c r="C6" t="n">
        <v>4020</v>
      </c>
      <c r="D6" t="inlineStr">
        <is>
          <t>Labour and call-outs</t>
        </is>
      </c>
      <c r="E6" t="inlineStr">
        <is>
          <t>Delivery, install, erect, dismantle, make-safe and roof labour</t>
        </is>
      </c>
      <c r="F6" s="9" t="inlineStr"/>
    </row>
    <row r="7">
      <c r="A7" t="inlineStr">
        <is>
          <t>Create</t>
        </is>
      </c>
      <c r="B7" t="inlineStr"/>
      <c r="C7" t="n">
        <v>4030</v>
      </c>
      <c r="D7" t="inlineStr">
        <is>
          <t>Materials and waste</t>
        </is>
      </c>
      <c r="E7" t="inlineStr">
        <is>
          <t>Roofing materials, waste removal and tip fees</t>
        </is>
      </c>
      <c r="F7" s="9" t="inlineStr"/>
    </row>
    <row r="8">
      <c r="A8" t="inlineStr">
        <is>
          <t>Create</t>
        </is>
      </c>
      <c r="B8" t="inlineStr"/>
      <c r="C8" t="n">
        <v>4040</v>
      </c>
      <c r="D8" t="inlineStr">
        <is>
          <t>Lost and damaged equipment</t>
        </is>
      </c>
      <c r="E8" t="inlineStr">
        <is>
          <t>Charges for hire equipment not returned</t>
        </is>
      </c>
      <c r="F8" s="9" t="inlineStr"/>
    </row>
    <row r="9">
      <c r="A9" t="inlineStr">
        <is>
          <t>Create</t>
        </is>
      </c>
      <c r="B9" t="inlineStr"/>
      <c r="C9" t="n">
        <v>835</v>
      </c>
      <c r="D9" t="inlineStr">
        <is>
          <t>Customer deposits held</t>
        </is>
      </c>
      <c r="E9" t="inlineStr">
        <is>
          <t>Refundable deposits are a liability, BAS Excluded</t>
        </is>
      </c>
      <c r="F9" s="9" t="inlineStr"/>
    </row>
    <row r="10">
      <c r="A10" t="inlineStr">
        <is>
          <t>Create tracking</t>
        </is>
      </c>
      <c r="B10" t="inlineStr"/>
      <c r="C10" t="inlineStr">
        <is>
          <t>Service line</t>
        </is>
      </c>
      <c r="D10" t="inlineStr">
        <is>
          <t>Fencing / Scaffolding / Make-safe / Roofing</t>
        </is>
      </c>
      <c r="E10" t="inlineStr">
        <is>
          <t>One tracking category on every income line and on direct costs</t>
        </is>
      </c>
      <c r="F10" s="9" t="inlineStr"/>
    </row>
    <row r="11">
      <c r="A11" t="inlineStr">
        <is>
          <t>Reclass</t>
        </is>
      </c>
      <c r="B11" t="n">
        <v>200</v>
      </c>
      <c r="C11" t="inlineStr">
        <is>
          <t>4010-4040</t>
        </is>
      </c>
      <c r="D11" t="inlineStr">
        <is>
          <t>Sales</t>
        </is>
      </c>
      <c r="E11" t="inlineStr">
        <is>
          <t>Monthly recode journals (Recode Journals tab)</t>
        </is>
      </c>
      <c r="F11" s="9">
        <f>SUMIFS('Recode Journals'!$E$5:$E$366,'Recode Journals'!$C$5:$C$366,200)-SUMIFS('Recode Journals'!$F$5:$F$366,'Recode Journals'!$C$5:$C$366,200)</f>
        <v>1564011.03</v>
      </c>
    </row>
    <row r="12">
      <c r="A12" t="inlineStr">
        <is>
          <t>Reclass</t>
        </is>
      </c>
      <c r="B12" t="n">
        <v>260</v>
      </c>
      <c r="C12" t="inlineStr">
        <is>
          <t>4010-4040</t>
        </is>
      </c>
      <c r="D12" t="inlineStr">
        <is>
          <t>Other Revenue</t>
        </is>
      </c>
      <c r="E12" t="inlineStr">
        <is>
          <t>Monthly recode journals (Recode Journals tab)</t>
        </is>
      </c>
      <c r="F12" s="9">
        <f>SUMIFS('Recode Journals'!$E$5:$E$366,'Recode Journals'!$C$5:$C$366,260)-SUMIFS('Recode Journals'!$F$5:$F$366,'Recode Journals'!$C$5:$C$366,260)</f>
        <v>95442.01</v>
      </c>
    </row>
    <row r="13">
      <c r="A13" t="inlineStr">
        <is>
          <t>Change default tax</t>
        </is>
      </c>
      <c r="B13" t="n">
        <v>200</v>
      </c>
      <c r="C13" t="n">
        <v>200</v>
      </c>
      <c r="D13" t="inlineStr">
        <is>
          <t>Sales</t>
        </is>
      </c>
      <c r="E13" t="inlineStr">
        <is>
          <t>GST Free Income -&gt; GST on Income (the cause of most tax errors)</t>
        </is>
      </c>
      <c r="F13" s="9" t="inlineStr"/>
    </row>
    <row r="14">
      <c r="A14" t="inlineStr">
        <is>
          <t>Merge</t>
        </is>
      </c>
      <c r="B14" t="n">
        <v>312</v>
      </c>
      <c r="C14" t="n">
        <v>311</v>
      </c>
      <c r="D14" t="inlineStr">
        <is>
          <t>Sub-Contractors</t>
        </is>
      </c>
      <c r="E14" t="inlineStr">
        <is>
          <t>Move the balance with a journal, then archive 312</t>
        </is>
      </c>
      <c r="F14" s="9">
        <f>INDEX('Chart of Accounts'!$F$5:$F$53,MATCH(312,'Chart of Accounts'!$A$5:$A$53,0))</f>
        <v>96410.2</v>
      </c>
    </row>
    <row r="15">
      <c r="A15" t="inlineStr">
        <is>
          <t>Merge</t>
        </is>
      </c>
      <c r="B15" t="n">
        <v>314</v>
      </c>
      <c r="C15" t="n">
        <v>313</v>
      </c>
      <c r="D15" t="inlineStr">
        <is>
          <t>Roofing materials</t>
        </is>
      </c>
      <c r="E15" t="inlineStr">
        <is>
          <t>Move the balance, tag Roofing in tracking, archive 314</t>
        </is>
      </c>
      <c r="F15" s="9">
        <f>INDEX('Chart of Accounts'!$F$5:$F$53,MATCH(314,'Chart of Accounts'!$A$5:$A$53,0))</f>
        <v>61220.45</v>
      </c>
    </row>
    <row r="16">
      <c r="A16" t="inlineStr">
        <is>
          <t>Merge</t>
        </is>
      </c>
      <c r="B16" t="n">
        <v>451</v>
      </c>
      <c r="C16" t="n">
        <v>449</v>
      </c>
      <c r="D16" t="inlineStr">
        <is>
          <t>Truck repairs</t>
        </is>
      </c>
      <c r="E16" t="inlineStr">
        <is>
          <t>Move the balance, archive 451</t>
        </is>
      </c>
      <c r="F16" s="9">
        <f>INDEX('Chart of Accounts'!$F$5:$F$53,MATCH(451,'Chart of Accounts'!$A$5:$A$53,0))</f>
        <v>12440.6</v>
      </c>
    </row>
    <row r="17">
      <c r="A17" t="inlineStr">
        <is>
          <t>Rename</t>
        </is>
      </c>
      <c r="B17" t="n">
        <v>474</v>
      </c>
      <c r="C17" t="n">
        <v>474</v>
      </c>
      <c r="D17" t="inlineStr">
        <is>
          <t>Hire fleet repairs</t>
        </is>
      </c>
      <c r="E17" t="inlineStr">
        <is>
          <t>Clearer name, same account</t>
        </is>
      </c>
      <c r="F17" s="9" t="inlineStr"/>
    </row>
    <row r="18">
      <c r="A18" t="inlineStr">
        <is>
          <t>Archive</t>
        </is>
      </c>
      <c r="B18" t="n">
        <v>408</v>
      </c>
      <c r="C18" t="inlineStr"/>
      <c r="D18" t="inlineStr">
        <is>
          <t>Cleaning</t>
        </is>
      </c>
      <c r="E18" t="inlineStr">
        <is>
          <t>Zero balance, no activity</t>
        </is>
      </c>
      <c r="F18" s="9">
        <f>INDEX('Chart of Accounts'!$F$5:$F$53,MATCH(408,'Chart of Accounts'!$A$5:$A$53,0))</f>
        <v>0</v>
      </c>
    </row>
    <row r="19">
      <c r="A19" t="inlineStr">
        <is>
          <t>Archive</t>
        </is>
      </c>
      <c r="B19" t="n">
        <v>494</v>
      </c>
      <c r="C19" t="inlineStr"/>
      <c r="D19" t="inlineStr">
        <is>
          <t>Travel - International</t>
        </is>
      </c>
      <c r="E19" t="inlineStr">
        <is>
          <t>Zero balance, no activity</t>
        </is>
      </c>
      <c r="F19" s="9">
        <f>INDEX('Chart of Accounts'!$F$5:$F$53,MATCH(494,'Chart of Accounts'!$A$5:$A$53,0))</f>
        <v>0</v>
      </c>
    </row>
    <row r="20">
      <c r="A20" t="inlineStr">
        <is>
          <t>Archive</t>
        </is>
      </c>
      <c r="B20" t="n">
        <v>497</v>
      </c>
      <c r="C20" t="inlineStr"/>
      <c r="D20" t="inlineStr">
        <is>
          <t>Bank Revaluations</t>
        </is>
      </c>
      <c r="E20" t="inlineStr">
        <is>
          <t>Zero balance, no foreign currency</t>
        </is>
      </c>
      <c r="F20" s="9">
        <f>INDEX('Chart of Accounts'!$F$5:$F$53,MATCH(497,'Chart of Accounts'!$A$5:$A$53,0))</f>
        <v>0</v>
      </c>
    </row>
    <row r="21">
      <c r="A21" t="inlineStr">
        <is>
          <t>Investigate</t>
        </is>
      </c>
      <c r="B21" t="n">
        <v>999</v>
      </c>
      <c r="C21" t="inlineStr"/>
      <c r="D21" t="inlineStr">
        <is>
          <t>Suspense - ask accountant</t>
        </is>
      </c>
      <c r="E21" t="inlineStr">
        <is>
          <t>Exception: identify each item before clearing</t>
        </is>
      </c>
      <c r="F21" s="9">
        <f>INDEX('Chart of Accounts'!$F$5:$F$53,MATCH(999,'Chart of Accounts'!$A$5:$A$53,0))</f>
        <v>6342.18</v>
      </c>
    </row>
  </sheetData>
  <autoFilter ref="A4:F21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5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40" customWidth="1" min="2" max="2"/>
    <col width="12" customWidth="1" min="3" max="3"/>
    <col width="17" customWidth="1" min="4" max="4"/>
    <col width="8" customWidth="1" min="5" max="5"/>
    <col width="13" customWidth="1" min="6" max="6"/>
    <col width="20" customWidth="1" min="7" max="7"/>
    <col width="60" customWidth="1" min="8" max="8"/>
  </cols>
  <sheetData>
    <row r="1">
      <c r="A1" s="6" t="inlineStr">
        <is>
          <t>Chart of accounts (Xero export) with the proposed action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Code</t>
        </is>
      </c>
      <c r="B4" s="7" t="inlineStr">
        <is>
          <t>Name</t>
        </is>
      </c>
      <c r="C4" s="7" t="inlineStr">
        <is>
          <t>Type</t>
        </is>
      </c>
      <c r="D4" s="7" t="inlineStr">
        <is>
          <t>Default tax</t>
        </is>
      </c>
      <c r="E4" s="7" t="inlineStr">
        <is>
          <t>Status</t>
        </is>
      </c>
      <c r="F4" s="7" t="inlineStr">
        <is>
          <t>FY26 balance</t>
        </is>
      </c>
      <c r="G4" s="7" t="inlineStr">
        <is>
          <t>Action</t>
        </is>
      </c>
      <c r="H4" s="7" t="inlineStr">
        <is>
          <t>Why</t>
        </is>
      </c>
    </row>
    <row r="5">
      <c r="A5" t="n">
        <v>90</v>
      </c>
      <c r="B5" t="inlineStr">
        <is>
          <t>Business Bank Account</t>
        </is>
      </c>
      <c r="C5" t="inlineStr">
        <is>
          <t>BANK</t>
        </is>
      </c>
      <c r="D5" t="inlineStr"/>
      <c r="E5" t="inlineStr">
        <is>
          <t>ACTIVE</t>
        </is>
      </c>
      <c r="F5" s="9" t="inlineStr"/>
      <c r="G5" t="inlineStr">
        <is>
          <t>Keep</t>
        </is>
      </c>
      <c r="H5" t="inlineStr"/>
    </row>
    <row r="6">
      <c r="A6" t="n">
        <v>200</v>
      </c>
      <c r="B6" t="inlineStr">
        <is>
          <t>Sales</t>
        </is>
      </c>
      <c r="C6" t="inlineStr">
        <is>
          <t>REVENUE</t>
        </is>
      </c>
      <c r="D6" t="inlineStr">
        <is>
          <t>GST Free Income</t>
        </is>
      </c>
      <c r="E6" t="inlineStr">
        <is>
          <t>ACTIVE</t>
        </is>
      </c>
      <c r="F6" s="9">
        <f>SUMIFS('Invoice Lines'!$K$5:$K$2542,'Invoice Lines'!$N$5:$N$2542,A6,'Invoice Lines'!$M$5:$M$2542,1)</f>
        <v>1655272.89</v>
      </c>
      <c r="G6" t="inlineStr">
        <is>
          <t>Keep, lock</t>
        </is>
      </c>
      <c r="H6" t="inlineStr">
        <is>
          <t>Default tax GST Free Income -&gt; GST on Income; new sales go to 4010-4040</t>
        </is>
      </c>
    </row>
    <row r="7">
      <c r="A7" t="n">
        <v>260</v>
      </c>
      <c r="B7" t="inlineStr">
        <is>
          <t>Other Revenue</t>
        </is>
      </c>
      <c r="C7" t="inlineStr">
        <is>
          <t>REVENUE</t>
        </is>
      </c>
      <c r="D7" t="inlineStr">
        <is>
          <t>GST on Income</t>
        </is>
      </c>
      <c r="E7" t="inlineStr">
        <is>
          <t>ACTIVE</t>
        </is>
      </c>
      <c r="F7" s="9">
        <f>SUMIFS('Invoice Lines'!$K$5:$K$2542,'Invoice Lines'!$N$5:$N$2542,A7,'Invoice Lines'!$M$5:$M$2542,1)</f>
        <v>103121.26</v>
      </c>
      <c r="G7" t="inlineStr">
        <is>
          <t>Archive after reclass</t>
        </is>
      </c>
      <c r="H7" t="inlineStr">
        <is>
          <t>Income moved to 4010-4040</t>
        </is>
      </c>
    </row>
    <row r="8">
      <c r="A8" t="n">
        <v>270</v>
      </c>
      <c r="B8" t="inlineStr">
        <is>
          <t>Interest Income</t>
        </is>
      </c>
      <c r="C8" t="inlineStr">
        <is>
          <t>REVENUE</t>
        </is>
      </c>
      <c r="D8" t="inlineStr">
        <is>
          <t>GST Free Income</t>
        </is>
      </c>
      <c r="E8" t="inlineStr">
        <is>
          <t>ACTIVE</t>
        </is>
      </c>
      <c r="F8" s="9" t="inlineStr"/>
      <c r="G8" t="inlineStr">
        <is>
          <t>Keep</t>
        </is>
      </c>
      <c r="H8" t="inlineStr"/>
    </row>
    <row r="9">
      <c r="A9" t="n">
        <v>310</v>
      </c>
      <c r="B9" t="inlineStr">
        <is>
          <t>Cost of Goods Sold</t>
        </is>
      </c>
      <c r="C9" t="inlineStr">
        <is>
          <t>DIRECTCOSTS</t>
        </is>
      </c>
      <c r="D9" t="inlineStr">
        <is>
          <t>GST on Expenses</t>
        </is>
      </c>
      <c r="E9" t="inlineStr">
        <is>
          <t>ACTIVE</t>
        </is>
      </c>
      <c r="F9" s="9" t="inlineStr"/>
      <c r="G9" t="inlineStr">
        <is>
          <t>Keep</t>
        </is>
      </c>
      <c r="H9" t="inlineStr"/>
    </row>
    <row r="10">
      <c r="A10" t="n">
        <v>311</v>
      </c>
      <c r="B10" t="inlineStr">
        <is>
          <t>Subcontractors</t>
        </is>
      </c>
      <c r="C10" t="inlineStr">
        <is>
          <t>DIRECTCOSTS</t>
        </is>
      </c>
      <c r="D10" t="inlineStr">
        <is>
          <t>GST on Expenses</t>
        </is>
      </c>
      <c r="E10" t="inlineStr">
        <is>
          <t>ACTIVE</t>
        </is>
      </c>
      <c r="F10" s="9" t="n">
        <v>182340.55</v>
      </c>
      <c r="G10" t="inlineStr">
        <is>
          <t>Keep</t>
        </is>
      </c>
      <c r="H10" t="inlineStr"/>
    </row>
    <row r="11">
      <c r="A11" t="n">
        <v>312</v>
      </c>
      <c r="B11" t="inlineStr">
        <is>
          <t>Sub-Contractors</t>
        </is>
      </c>
      <c r="C11" t="inlineStr">
        <is>
          <t>EXPENSE</t>
        </is>
      </c>
      <c r="D11" t="inlineStr">
        <is>
          <t>GST on Expenses</t>
        </is>
      </c>
      <c r="E11" t="inlineStr">
        <is>
          <t>ACTIVE</t>
        </is>
      </c>
      <c r="F11" s="9" t="n">
        <v>96410.2</v>
      </c>
      <c r="G11" t="inlineStr">
        <is>
          <t>Merge into 311</t>
        </is>
      </c>
      <c r="H11" t="inlineStr">
        <is>
          <t>Same thing as 311 (Subcontractors), split by who keyed it</t>
        </is>
      </c>
    </row>
    <row r="12">
      <c r="A12" t="n">
        <v>313</v>
      </c>
      <c r="B12" t="inlineStr">
        <is>
          <t>Materials</t>
        </is>
      </c>
      <c r="C12" t="inlineStr">
        <is>
          <t>DIRECTCOSTS</t>
        </is>
      </c>
      <c r="D12" t="inlineStr">
        <is>
          <t>GST on Expenses</t>
        </is>
      </c>
      <c r="E12" t="inlineStr">
        <is>
          <t>ACTIVE</t>
        </is>
      </c>
      <c r="F12" s="9" t="n">
        <v>142880.1</v>
      </c>
      <c r="G12" t="inlineStr">
        <is>
          <t>Keep</t>
        </is>
      </c>
      <c r="H12" t="inlineStr"/>
    </row>
    <row r="13">
      <c r="A13" t="n">
        <v>314</v>
      </c>
      <c r="B13" t="inlineStr">
        <is>
          <t>Roofing materials</t>
        </is>
      </c>
      <c r="C13" t="inlineStr">
        <is>
          <t>EXPENSE</t>
        </is>
      </c>
      <c r="D13" t="inlineStr">
        <is>
          <t>GST on Expenses</t>
        </is>
      </c>
      <c r="E13" t="inlineStr">
        <is>
          <t>ACTIVE</t>
        </is>
      </c>
      <c r="F13" s="9" t="n">
        <v>61220.45</v>
      </c>
      <c r="G13" t="inlineStr">
        <is>
          <t>Merge into 313</t>
        </is>
      </c>
      <c r="H13" t="inlineStr">
        <is>
          <t>Roofing materials are materials; service line comes from tracking</t>
        </is>
      </c>
    </row>
    <row r="14">
      <c r="A14" t="n">
        <v>315</v>
      </c>
      <c r="B14" t="inlineStr">
        <is>
          <t>Tip fees</t>
        </is>
      </c>
      <c r="C14" t="inlineStr">
        <is>
          <t>DIRECTCOSTS</t>
        </is>
      </c>
      <c r="D14" t="inlineStr">
        <is>
          <t>GST on Expenses</t>
        </is>
      </c>
      <c r="E14" t="inlineStr">
        <is>
          <t>ACTIVE</t>
        </is>
      </c>
      <c r="F14" s="9" t="n">
        <v>18930</v>
      </c>
      <c r="G14" t="inlineStr">
        <is>
          <t>Keep</t>
        </is>
      </c>
      <c r="H14" t="inlineStr"/>
    </row>
    <row r="15">
      <c r="A15" t="n">
        <v>400</v>
      </c>
      <c r="B15" t="inlineStr">
        <is>
          <t>Advertising</t>
        </is>
      </c>
      <c r="C15" t="inlineStr">
        <is>
          <t>EXPENSE</t>
        </is>
      </c>
      <c r="D15" t="inlineStr">
        <is>
          <t>GST on Expenses</t>
        </is>
      </c>
      <c r="E15" t="inlineStr">
        <is>
          <t>ACTIVE</t>
        </is>
      </c>
      <c r="F15" s="9" t="n">
        <v>8420</v>
      </c>
      <c r="G15" t="inlineStr">
        <is>
          <t>Keep</t>
        </is>
      </c>
      <c r="H15" t="inlineStr"/>
    </row>
    <row r="16">
      <c r="A16" t="n">
        <v>404</v>
      </c>
      <c r="B16" t="inlineStr">
        <is>
          <t>Bank Fees</t>
        </is>
      </c>
      <c r="C16" t="inlineStr">
        <is>
          <t>EXPENSE</t>
        </is>
      </c>
      <c r="D16" t="inlineStr">
        <is>
          <t>GST Free Expenses</t>
        </is>
      </c>
      <c r="E16" t="inlineStr">
        <is>
          <t>ACTIVE</t>
        </is>
      </c>
      <c r="F16" s="9" t="n">
        <v>1260.4</v>
      </c>
      <c r="G16" t="inlineStr">
        <is>
          <t>Keep</t>
        </is>
      </c>
      <c r="H16" t="inlineStr"/>
    </row>
    <row r="17">
      <c r="A17" t="n">
        <v>408</v>
      </c>
      <c r="B17" t="inlineStr">
        <is>
          <t>Cleaning</t>
        </is>
      </c>
      <c r="C17" t="inlineStr">
        <is>
          <t>EXPENSE</t>
        </is>
      </c>
      <c r="D17" t="inlineStr">
        <is>
          <t>GST on Expenses</t>
        </is>
      </c>
      <c r="E17" t="inlineStr">
        <is>
          <t>ACTIVE</t>
        </is>
      </c>
      <c r="F17" s="9" t="n">
        <v>0</v>
      </c>
      <c r="G17" t="inlineStr">
        <is>
          <t>Archive</t>
        </is>
      </c>
      <c r="H17" t="inlineStr">
        <is>
          <t>No FY26 activity</t>
        </is>
      </c>
    </row>
    <row r="18">
      <c r="A18" t="n">
        <v>412</v>
      </c>
      <c r="B18" t="inlineStr">
        <is>
          <t>Consulting &amp; Accounting</t>
        </is>
      </c>
      <c r="C18" t="inlineStr">
        <is>
          <t>EXPENSE</t>
        </is>
      </c>
      <c r="D18" t="inlineStr">
        <is>
          <t>GST on Expenses</t>
        </is>
      </c>
      <c r="E18" t="inlineStr">
        <is>
          <t>ACTIVE</t>
        </is>
      </c>
      <c r="F18" s="9" t="inlineStr"/>
      <c r="G18" t="inlineStr">
        <is>
          <t>Keep</t>
        </is>
      </c>
      <c r="H18" t="inlineStr"/>
    </row>
    <row r="19">
      <c r="A19" t="n">
        <v>416</v>
      </c>
      <c r="B19" t="inlineStr">
        <is>
          <t>Depreciation</t>
        </is>
      </c>
      <c r="C19" t="inlineStr">
        <is>
          <t>EXPENSE</t>
        </is>
      </c>
      <c r="D19" t="inlineStr">
        <is>
          <t>BAS Excluded</t>
        </is>
      </c>
      <c r="E19" t="inlineStr">
        <is>
          <t>ACTIVE</t>
        </is>
      </c>
      <c r="F19" s="9" t="inlineStr"/>
      <c r="G19" t="inlineStr">
        <is>
          <t>Keep</t>
        </is>
      </c>
      <c r="H19" t="inlineStr"/>
    </row>
    <row r="20">
      <c r="A20" t="n">
        <v>420</v>
      </c>
      <c r="B20" t="inlineStr">
        <is>
          <t>Entertainment</t>
        </is>
      </c>
      <c r="C20" t="inlineStr">
        <is>
          <t>EXPENSE</t>
        </is>
      </c>
      <c r="D20" t="inlineStr">
        <is>
          <t>GST on Expenses</t>
        </is>
      </c>
      <c r="E20" t="inlineStr">
        <is>
          <t>ACTIVE</t>
        </is>
      </c>
      <c r="F20" s="9" t="n">
        <v>1980</v>
      </c>
      <c r="G20" t="inlineStr">
        <is>
          <t>Keep</t>
        </is>
      </c>
      <c r="H20" t="inlineStr"/>
    </row>
    <row r="21">
      <c r="A21" t="n">
        <v>425</v>
      </c>
      <c r="B21" t="inlineStr">
        <is>
          <t>Freight &amp; Courier</t>
        </is>
      </c>
      <c r="C21" t="inlineStr">
        <is>
          <t>EXPENSE</t>
        </is>
      </c>
      <c r="D21" t="inlineStr">
        <is>
          <t>GST on Expenses</t>
        </is>
      </c>
      <c r="E21" t="inlineStr">
        <is>
          <t>ACTIVE</t>
        </is>
      </c>
      <c r="F21" s="9" t="inlineStr"/>
      <c r="G21" t="inlineStr">
        <is>
          <t>Keep</t>
        </is>
      </c>
      <c r="H21" t="inlineStr"/>
    </row>
    <row r="22">
      <c r="A22" t="n">
        <v>429</v>
      </c>
      <c r="B22" t="inlineStr">
        <is>
          <t>General Expenses</t>
        </is>
      </c>
      <c r="C22" t="inlineStr">
        <is>
          <t>EXPENSE</t>
        </is>
      </c>
      <c r="D22" t="inlineStr">
        <is>
          <t>GST on Expenses</t>
        </is>
      </c>
      <c r="E22" t="inlineStr">
        <is>
          <t>ACTIVE</t>
        </is>
      </c>
      <c r="F22" s="9" t="inlineStr"/>
      <c r="G22" t="inlineStr">
        <is>
          <t>Keep</t>
        </is>
      </c>
      <c r="H22" t="inlineStr"/>
    </row>
    <row r="23">
      <c r="A23" t="n">
        <v>433</v>
      </c>
      <c r="B23" t="inlineStr">
        <is>
          <t>Insurance</t>
        </is>
      </c>
      <c r="C23" t="inlineStr">
        <is>
          <t>EXPENSE</t>
        </is>
      </c>
      <c r="D23" t="inlineStr">
        <is>
          <t>GST on Expenses</t>
        </is>
      </c>
      <c r="E23" t="inlineStr">
        <is>
          <t>ACTIVE</t>
        </is>
      </c>
      <c r="F23" s="9" t="inlineStr"/>
      <c r="G23" t="inlineStr">
        <is>
          <t>Keep</t>
        </is>
      </c>
      <c r="H23" t="inlineStr"/>
    </row>
    <row r="24">
      <c r="A24" t="n">
        <v>445</v>
      </c>
      <c r="B24" t="inlineStr">
        <is>
          <t>Light, Power, Heating</t>
        </is>
      </c>
      <c r="C24" t="inlineStr">
        <is>
          <t>EXPENSE</t>
        </is>
      </c>
      <c r="D24" t="inlineStr">
        <is>
          <t>GST on Expenses</t>
        </is>
      </c>
      <c r="E24" t="inlineStr">
        <is>
          <t>ACTIVE</t>
        </is>
      </c>
      <c r="F24" s="9" t="inlineStr"/>
      <c r="G24" t="inlineStr">
        <is>
          <t>Keep</t>
        </is>
      </c>
      <c r="H24" t="inlineStr"/>
    </row>
    <row r="25">
      <c r="A25" t="n">
        <v>449</v>
      </c>
      <c r="B25" t="inlineStr">
        <is>
          <t>Motor Vehicle Expenses</t>
        </is>
      </c>
      <c r="C25" t="inlineStr">
        <is>
          <t>EXPENSE</t>
        </is>
      </c>
      <c r="D25" t="inlineStr">
        <is>
          <t>GST on Expenses</t>
        </is>
      </c>
      <c r="E25" t="inlineStr">
        <is>
          <t>ACTIVE</t>
        </is>
      </c>
      <c r="F25" s="9" t="n">
        <v>23310.9</v>
      </c>
      <c r="G25" t="inlineStr">
        <is>
          <t>Keep</t>
        </is>
      </c>
      <c r="H25" t="inlineStr"/>
    </row>
    <row r="26">
      <c r="A26" t="n">
        <v>450</v>
      </c>
      <c r="B26" t="inlineStr">
        <is>
          <t>Fuel</t>
        </is>
      </c>
      <c r="C26" t="inlineStr">
        <is>
          <t>EXPENSE</t>
        </is>
      </c>
      <c r="D26" t="inlineStr">
        <is>
          <t>GST on Expenses</t>
        </is>
      </c>
      <c r="E26" t="inlineStr">
        <is>
          <t>ACTIVE</t>
        </is>
      </c>
      <c r="F26" s="9" t="n">
        <v>41870.35</v>
      </c>
      <c r="G26" t="inlineStr">
        <is>
          <t>Keep</t>
        </is>
      </c>
      <c r="H26" t="inlineStr"/>
    </row>
    <row r="27">
      <c r="A27" t="n">
        <v>451</v>
      </c>
      <c r="B27" t="inlineStr">
        <is>
          <t>Truck repairs</t>
        </is>
      </c>
      <c r="C27" t="inlineStr">
        <is>
          <t>EXPENSE</t>
        </is>
      </c>
      <c r="D27" t="inlineStr">
        <is>
          <t>GST on Expenses</t>
        </is>
      </c>
      <c r="E27" t="inlineStr">
        <is>
          <t>ACTIVE</t>
        </is>
      </c>
      <c r="F27" s="9" t="n">
        <v>12440.6</v>
      </c>
      <c r="G27" t="inlineStr">
        <is>
          <t>Merge into 449</t>
        </is>
      </c>
      <c r="H27" t="inlineStr">
        <is>
          <t>Truck repairs are motor vehicle expenses</t>
        </is>
      </c>
    </row>
    <row r="28">
      <c r="A28" t="n">
        <v>461</v>
      </c>
      <c r="B28" t="inlineStr">
        <is>
          <t>Printing &amp; Stationery</t>
        </is>
      </c>
      <c r="C28" t="inlineStr">
        <is>
          <t>EXPENSE</t>
        </is>
      </c>
      <c r="D28" t="inlineStr">
        <is>
          <t>GST on Expenses</t>
        </is>
      </c>
      <c r="E28" t="inlineStr">
        <is>
          <t>ACTIVE</t>
        </is>
      </c>
      <c r="F28" s="9" t="inlineStr"/>
      <c r="G28" t="inlineStr">
        <is>
          <t>Keep</t>
        </is>
      </c>
      <c r="H28" t="inlineStr"/>
    </row>
    <row r="29">
      <c r="A29" t="n">
        <v>469</v>
      </c>
      <c r="B29" t="inlineStr">
        <is>
          <t>Rent</t>
        </is>
      </c>
      <c r="C29" t="inlineStr">
        <is>
          <t>EXPENSE</t>
        </is>
      </c>
      <c r="D29" t="inlineStr">
        <is>
          <t>GST on Expenses</t>
        </is>
      </c>
      <c r="E29" t="inlineStr">
        <is>
          <t>ACTIVE</t>
        </is>
      </c>
      <c r="F29" s="9" t="inlineStr"/>
      <c r="G29" t="inlineStr">
        <is>
          <t>Keep</t>
        </is>
      </c>
      <c r="H29" t="inlineStr"/>
    </row>
    <row r="30">
      <c r="A30" t="n">
        <v>473</v>
      </c>
      <c r="B30" t="inlineStr">
        <is>
          <t>Repairs and Maintenance</t>
        </is>
      </c>
      <c r="C30" t="inlineStr">
        <is>
          <t>EXPENSE</t>
        </is>
      </c>
      <c r="D30" t="inlineStr">
        <is>
          <t>GST on Expenses</t>
        </is>
      </c>
      <c r="E30" t="inlineStr">
        <is>
          <t>ACTIVE</t>
        </is>
      </c>
      <c r="F30" s="9" t="n">
        <v>9870.25</v>
      </c>
      <c r="G30" t="inlineStr">
        <is>
          <t>Keep</t>
        </is>
      </c>
      <c r="H30" t="inlineStr"/>
    </row>
    <row r="31">
      <c r="A31" t="n">
        <v>474</v>
      </c>
      <c r="B31" t="inlineStr">
        <is>
          <t>Equipment repairs</t>
        </is>
      </c>
      <c r="C31" t="inlineStr">
        <is>
          <t>EXPENSE</t>
        </is>
      </c>
      <c r="D31" t="inlineStr">
        <is>
          <t>GST on Expenses</t>
        </is>
      </c>
      <c r="E31" t="inlineStr">
        <is>
          <t>ACTIVE</t>
        </is>
      </c>
      <c r="F31" s="9" t="n">
        <v>27650.8</v>
      </c>
      <c r="G31" t="inlineStr">
        <is>
          <t>Rename</t>
        </is>
      </c>
      <c r="H31" t="inlineStr">
        <is>
          <t>Hire fleet repairs (fencing and scaffold)</t>
        </is>
      </c>
    </row>
    <row r="32">
      <c r="A32" t="n">
        <v>477</v>
      </c>
      <c r="B32" t="inlineStr">
        <is>
          <t>Wages and Salaries</t>
        </is>
      </c>
      <c r="C32" t="inlineStr">
        <is>
          <t>EXPENSE</t>
        </is>
      </c>
      <c r="D32" t="inlineStr">
        <is>
          <t>BAS Excluded</t>
        </is>
      </c>
      <c r="E32" t="inlineStr">
        <is>
          <t>ACTIVE</t>
        </is>
      </c>
      <c r="F32" s="9" t="inlineStr"/>
      <c r="G32" t="inlineStr">
        <is>
          <t>Keep</t>
        </is>
      </c>
      <c r="H32" t="inlineStr"/>
    </row>
    <row r="33">
      <c r="A33" t="n">
        <v>478</v>
      </c>
      <c r="B33" t="inlineStr">
        <is>
          <t>Superannuation</t>
        </is>
      </c>
      <c r="C33" t="inlineStr">
        <is>
          <t>EXPENSE</t>
        </is>
      </c>
      <c r="D33" t="inlineStr">
        <is>
          <t>BAS Excluded</t>
        </is>
      </c>
      <c r="E33" t="inlineStr">
        <is>
          <t>ACTIVE</t>
        </is>
      </c>
      <c r="F33" s="9" t="inlineStr"/>
      <c r="G33" t="inlineStr">
        <is>
          <t>Keep</t>
        </is>
      </c>
      <c r="H33" t="inlineStr"/>
    </row>
    <row r="34">
      <c r="A34" t="n">
        <v>485</v>
      </c>
      <c r="B34" t="inlineStr">
        <is>
          <t>Subscriptions</t>
        </is>
      </c>
      <c r="C34" t="inlineStr">
        <is>
          <t>EXPENSE</t>
        </is>
      </c>
      <c r="D34" t="inlineStr">
        <is>
          <t>GST on Expenses</t>
        </is>
      </c>
      <c r="E34" t="inlineStr">
        <is>
          <t>ACTIVE</t>
        </is>
      </c>
      <c r="F34" s="9" t="inlineStr"/>
      <c r="G34" t="inlineStr">
        <is>
          <t>Keep</t>
        </is>
      </c>
      <c r="H34" t="inlineStr"/>
    </row>
    <row r="35">
      <c r="A35" t="n">
        <v>489</v>
      </c>
      <c r="B35" t="inlineStr">
        <is>
          <t>Telephone &amp; Internet</t>
        </is>
      </c>
      <c r="C35" t="inlineStr">
        <is>
          <t>EXPENSE</t>
        </is>
      </c>
      <c r="D35" t="inlineStr">
        <is>
          <t>GST on Expenses</t>
        </is>
      </c>
      <c r="E35" t="inlineStr">
        <is>
          <t>ACTIVE</t>
        </is>
      </c>
      <c r="F35" s="9" t="inlineStr"/>
      <c r="G35" t="inlineStr">
        <is>
          <t>Keep</t>
        </is>
      </c>
      <c r="H35" t="inlineStr"/>
    </row>
    <row r="36">
      <c r="A36" t="n">
        <v>493</v>
      </c>
      <c r="B36" t="inlineStr">
        <is>
          <t>Travel - National</t>
        </is>
      </c>
      <c r="C36" t="inlineStr">
        <is>
          <t>EXPENSE</t>
        </is>
      </c>
      <c r="D36" t="inlineStr">
        <is>
          <t>GST on Expenses</t>
        </is>
      </c>
      <c r="E36" t="inlineStr">
        <is>
          <t>ACTIVE</t>
        </is>
      </c>
      <c r="F36" s="9" t="inlineStr"/>
      <c r="G36" t="inlineStr">
        <is>
          <t>Keep</t>
        </is>
      </c>
      <c r="H36" t="inlineStr"/>
    </row>
    <row r="37">
      <c r="A37" t="n">
        <v>494</v>
      </c>
      <c r="B37" t="inlineStr">
        <is>
          <t>Travel - International</t>
        </is>
      </c>
      <c r="C37" t="inlineStr">
        <is>
          <t>EXPENSE</t>
        </is>
      </c>
      <c r="D37" t="inlineStr">
        <is>
          <t>GST Free Expenses</t>
        </is>
      </c>
      <c r="E37" t="inlineStr">
        <is>
          <t>ACTIVE</t>
        </is>
      </c>
      <c r="F37" s="9" t="n">
        <v>0</v>
      </c>
      <c r="G37" t="inlineStr">
        <is>
          <t>Archive</t>
        </is>
      </c>
      <c r="H37" t="inlineStr">
        <is>
          <t>No FY26 activity</t>
        </is>
      </c>
    </row>
    <row r="38">
      <c r="A38" t="n">
        <v>497</v>
      </c>
      <c r="B38" t="inlineStr">
        <is>
          <t>Bank Revaluations</t>
        </is>
      </c>
      <c r="C38" t="inlineStr">
        <is>
          <t>EXPENSE</t>
        </is>
      </c>
      <c r="D38" t="inlineStr">
        <is>
          <t>BAS Excluded</t>
        </is>
      </c>
      <c r="E38" t="inlineStr">
        <is>
          <t>ACTIVE</t>
        </is>
      </c>
      <c r="F38" s="9" t="n">
        <v>0</v>
      </c>
      <c r="G38" t="inlineStr">
        <is>
          <t>Archive</t>
        </is>
      </c>
      <c r="H38" t="inlineStr">
        <is>
          <t>No FY26 activity; no foreign currency</t>
        </is>
      </c>
    </row>
    <row r="39">
      <c r="A39" t="n">
        <v>610</v>
      </c>
      <c r="B39" t="inlineStr">
        <is>
          <t>Accounts Receivable</t>
        </is>
      </c>
      <c r="C39" t="inlineStr">
        <is>
          <t>CURRENT</t>
        </is>
      </c>
      <c r="D39" t="inlineStr"/>
      <c r="E39" t="inlineStr">
        <is>
          <t>ACTIVE</t>
        </is>
      </c>
      <c r="F39" s="9" t="inlineStr"/>
      <c r="G39" t="inlineStr">
        <is>
          <t>Keep</t>
        </is>
      </c>
      <c r="H39" t="inlineStr"/>
    </row>
    <row r="40">
      <c r="A40" t="n">
        <v>620</v>
      </c>
      <c r="B40" t="inlineStr">
        <is>
          <t>Prepayments</t>
        </is>
      </c>
      <c r="C40" t="inlineStr">
        <is>
          <t>CURRENT</t>
        </is>
      </c>
      <c r="D40" t="inlineStr">
        <is>
          <t>BAS Excluded</t>
        </is>
      </c>
      <c r="E40" t="inlineStr">
        <is>
          <t>ACTIVE</t>
        </is>
      </c>
      <c r="F40" s="9" t="inlineStr"/>
      <c r="G40" t="inlineStr">
        <is>
          <t>Keep</t>
        </is>
      </c>
      <c r="H40" t="inlineStr"/>
    </row>
    <row r="41">
      <c r="A41" t="n">
        <v>710</v>
      </c>
      <c r="B41" t="inlineStr">
        <is>
          <t>Office Equipment</t>
        </is>
      </c>
      <c r="C41" t="inlineStr">
        <is>
          <t>FIXED</t>
        </is>
      </c>
      <c r="D41" t="inlineStr">
        <is>
          <t>GST on Capital</t>
        </is>
      </c>
      <c r="E41" t="inlineStr">
        <is>
          <t>ACTIVE</t>
        </is>
      </c>
      <c r="F41" s="9" t="inlineStr"/>
      <c r="G41" t="inlineStr">
        <is>
          <t>Keep</t>
        </is>
      </c>
      <c r="H41" t="inlineStr"/>
    </row>
    <row r="42">
      <c r="A42" t="n">
        <v>720</v>
      </c>
      <c r="B42" t="inlineStr">
        <is>
          <t>Hire fleet - fencing and scaffold</t>
        </is>
      </c>
      <c r="C42" t="inlineStr">
        <is>
          <t>FIXED</t>
        </is>
      </c>
      <c r="D42" t="inlineStr">
        <is>
          <t>GST on Capital</t>
        </is>
      </c>
      <c r="E42" t="inlineStr">
        <is>
          <t>ACTIVE</t>
        </is>
      </c>
      <c r="F42" s="9" t="inlineStr"/>
      <c r="G42" t="inlineStr">
        <is>
          <t>Keep</t>
        </is>
      </c>
      <c r="H42" t="inlineStr"/>
    </row>
    <row r="43">
      <c r="A43" t="n">
        <v>721</v>
      </c>
      <c r="B43" t="inlineStr">
        <is>
          <t>Less Accumulated Depreciation on Hire fleet</t>
        </is>
      </c>
      <c r="C43" t="inlineStr">
        <is>
          <t>FIXED</t>
        </is>
      </c>
      <c r="D43" t="inlineStr">
        <is>
          <t>BAS Excluded</t>
        </is>
      </c>
      <c r="E43" t="inlineStr">
        <is>
          <t>ACTIVE</t>
        </is>
      </c>
      <c r="F43" s="9" t="inlineStr"/>
      <c r="G43" t="inlineStr">
        <is>
          <t>Keep</t>
        </is>
      </c>
      <c r="H43" t="inlineStr"/>
    </row>
    <row r="44">
      <c r="A44" t="n">
        <v>730</v>
      </c>
      <c r="B44" t="inlineStr">
        <is>
          <t>Motor Vehicles</t>
        </is>
      </c>
      <c r="C44" t="inlineStr">
        <is>
          <t>FIXED</t>
        </is>
      </c>
      <c r="D44" t="inlineStr">
        <is>
          <t>GST on Capital</t>
        </is>
      </c>
      <c r="E44" t="inlineStr">
        <is>
          <t>ACTIVE</t>
        </is>
      </c>
      <c r="F44" s="9" t="inlineStr"/>
      <c r="G44" t="inlineStr">
        <is>
          <t>Keep</t>
        </is>
      </c>
      <c r="H44" t="inlineStr"/>
    </row>
    <row r="45">
      <c r="A45" t="n">
        <v>800</v>
      </c>
      <c r="B45" t="inlineStr">
        <is>
          <t>Accounts Payable</t>
        </is>
      </c>
      <c r="C45" t="inlineStr">
        <is>
          <t>CURRLIAB</t>
        </is>
      </c>
      <c r="D45" t="inlineStr"/>
      <c r="E45" t="inlineStr">
        <is>
          <t>ACTIVE</t>
        </is>
      </c>
      <c r="F45" s="9" t="inlineStr"/>
      <c r="G45" t="inlineStr">
        <is>
          <t>Keep</t>
        </is>
      </c>
      <c r="H45" t="inlineStr"/>
    </row>
    <row r="46">
      <c r="A46" t="n">
        <v>820</v>
      </c>
      <c r="B46" t="inlineStr">
        <is>
          <t>GST</t>
        </is>
      </c>
      <c r="C46" t="inlineStr">
        <is>
          <t>CURRLIAB</t>
        </is>
      </c>
      <c r="D46" t="inlineStr"/>
      <c r="E46" t="inlineStr">
        <is>
          <t>ACTIVE</t>
        </is>
      </c>
      <c r="F46" s="9" t="inlineStr"/>
      <c r="G46" t="inlineStr">
        <is>
          <t>Keep</t>
        </is>
      </c>
      <c r="H46" t="inlineStr"/>
    </row>
    <row r="47">
      <c r="A47" t="n">
        <v>825</v>
      </c>
      <c r="B47" t="inlineStr">
        <is>
          <t>PAYG Withholdings Payable</t>
        </is>
      </c>
      <c r="C47" t="inlineStr">
        <is>
          <t>CURRLIAB</t>
        </is>
      </c>
      <c r="D47" t="inlineStr"/>
      <c r="E47" t="inlineStr">
        <is>
          <t>ACTIVE</t>
        </is>
      </c>
      <c r="F47" s="9" t="inlineStr"/>
      <c r="G47" t="inlineStr">
        <is>
          <t>Keep</t>
        </is>
      </c>
      <c r="H47" t="inlineStr"/>
    </row>
    <row r="48">
      <c r="A48" t="n">
        <v>826</v>
      </c>
      <c r="B48" t="inlineStr">
        <is>
          <t>Superannuation Payable</t>
        </is>
      </c>
      <c r="C48" t="inlineStr">
        <is>
          <t>CURRLIAB</t>
        </is>
      </c>
      <c r="D48" t="inlineStr"/>
      <c r="E48" t="inlineStr">
        <is>
          <t>ACTIVE</t>
        </is>
      </c>
      <c r="F48" s="9" t="inlineStr"/>
      <c r="G48" t="inlineStr">
        <is>
          <t>Keep</t>
        </is>
      </c>
      <c r="H48" t="inlineStr"/>
    </row>
    <row r="49">
      <c r="A49" t="n">
        <v>877</v>
      </c>
      <c r="B49" t="inlineStr">
        <is>
          <t>Tracking Transfers</t>
        </is>
      </c>
      <c r="C49" t="inlineStr">
        <is>
          <t>CURRLIAB</t>
        </is>
      </c>
      <c r="D49" t="inlineStr"/>
      <c r="E49" t="inlineStr">
        <is>
          <t>ACTIVE</t>
        </is>
      </c>
      <c r="F49" s="9" t="inlineStr"/>
      <c r="G49" t="inlineStr">
        <is>
          <t>Archive</t>
        </is>
      </c>
      <c r="H49" t="inlineStr">
        <is>
          <t>Not needed once tracking is set up</t>
        </is>
      </c>
    </row>
    <row r="50">
      <c r="A50" t="n">
        <v>880</v>
      </c>
      <c r="B50" t="inlineStr">
        <is>
          <t>Owner A Drawings</t>
        </is>
      </c>
      <c r="C50" t="inlineStr">
        <is>
          <t>EQUITY</t>
        </is>
      </c>
      <c r="D50" t="inlineStr"/>
      <c r="E50" t="inlineStr">
        <is>
          <t>ACTIVE</t>
        </is>
      </c>
      <c r="F50" s="9" t="inlineStr"/>
      <c r="G50" t="inlineStr">
        <is>
          <t>Keep</t>
        </is>
      </c>
      <c r="H50" t="inlineStr"/>
    </row>
    <row r="51">
      <c r="A51" t="n">
        <v>881</v>
      </c>
      <c r="B51" t="inlineStr">
        <is>
          <t>Owner A Funds Introduced</t>
        </is>
      </c>
      <c r="C51" t="inlineStr">
        <is>
          <t>EQUITY</t>
        </is>
      </c>
      <c r="D51" t="inlineStr"/>
      <c r="E51" t="inlineStr">
        <is>
          <t>ACTIVE</t>
        </is>
      </c>
      <c r="F51" s="9" t="inlineStr"/>
      <c r="G51" t="inlineStr">
        <is>
          <t>Keep</t>
        </is>
      </c>
      <c r="H51" t="inlineStr"/>
    </row>
    <row r="52">
      <c r="A52" t="n">
        <v>960</v>
      </c>
      <c r="B52" t="inlineStr">
        <is>
          <t>Retained Earnings</t>
        </is>
      </c>
      <c r="C52" t="inlineStr">
        <is>
          <t>EQUITY</t>
        </is>
      </c>
      <c r="D52" t="inlineStr"/>
      <c r="E52" t="inlineStr">
        <is>
          <t>ACTIVE</t>
        </is>
      </c>
      <c r="F52" s="9" t="inlineStr"/>
      <c r="G52" t="inlineStr">
        <is>
          <t>Keep</t>
        </is>
      </c>
      <c r="H52" t="inlineStr"/>
    </row>
    <row r="53">
      <c r="A53" t="n">
        <v>999</v>
      </c>
      <c r="B53" t="inlineStr">
        <is>
          <t>Suspense - ask accountant</t>
        </is>
      </c>
      <c r="C53" t="inlineStr">
        <is>
          <t>CURRLIAB</t>
        </is>
      </c>
      <c r="D53" t="inlineStr"/>
      <c r="E53" t="inlineStr">
        <is>
          <t>ACTIVE</t>
        </is>
      </c>
      <c r="F53" s="9" t="n">
        <v>6342.18</v>
      </c>
      <c r="G53" t="inlineStr">
        <is>
          <t>Clear and archive</t>
        </is>
      </c>
      <c r="H53" t="inlineStr">
        <is>
          <t>Suspense balance needs a person to identify it</t>
        </is>
      </c>
    </row>
  </sheetData>
  <autoFilter ref="A4:H53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137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6" customWidth="1" min="3" max="3"/>
    <col width="8" customWidth="1" min="4" max="4"/>
    <col width="6" customWidth="1" min="5" max="5"/>
    <col width="6" customWidth="1" min="6" max="6"/>
    <col width="9" customWidth="1" min="7" max="7"/>
    <col width="9" customWidth="1" min="8" max="8"/>
    <col width="7" customWidth="1" min="9" max="9"/>
    <col width="9" customWidth="1" min="10" max="10"/>
    <col width="44" customWidth="1" min="11" max="11"/>
    <col width="9" customWidth="1" min="12" max="12"/>
    <col width="8" customWidth="1" min="13" max="13"/>
  </cols>
  <sheetData>
    <row r="1">
      <c r="A1" s="6" t="inlineStr">
        <is>
          <t>Asset movement log after clean-up (from 1 Apr 2025)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Docket</t>
        </is>
      </c>
      <c r="B4" s="7" t="inlineStr">
        <is>
          <t>Date</t>
        </is>
      </c>
      <c r="C4" s="7" t="inlineStr">
        <is>
          <t>Site as written</t>
        </is>
      </c>
      <c r="D4" s="7" t="inlineStr">
        <is>
          <t>Site</t>
        </is>
      </c>
      <c r="E4" s="7" t="inlineStr">
        <is>
          <t>Asset</t>
        </is>
      </c>
      <c r="F4" s="7" t="inlineStr">
        <is>
          <t>Qty</t>
        </is>
      </c>
      <c r="G4" s="7" t="inlineStr">
        <is>
          <t>Direction</t>
        </is>
      </c>
      <c r="H4" s="7" t="inlineStr">
        <is>
          <t>Signed qty</t>
        </is>
      </c>
      <c r="I4" s="7" t="inlineStr">
        <is>
          <t>In FY26</t>
        </is>
      </c>
      <c r="J4" s="7" t="inlineStr">
        <is>
          <t>To 30 Jun 26</t>
        </is>
      </c>
      <c r="K4" s="7" t="inlineStr">
        <is>
          <t>Fix applied</t>
        </is>
      </c>
      <c r="L4" s="7" t="inlineStr">
        <is>
          <t>Entered by</t>
        </is>
      </c>
      <c r="M4" s="7" t="inlineStr">
        <is>
          <t>Docket count</t>
        </is>
      </c>
    </row>
    <row r="5">
      <c r="A5" t="inlineStr">
        <is>
          <t>D71690</t>
        </is>
      </c>
      <c r="B5" s="11" t="n">
        <v>45771</v>
      </c>
      <c r="C5" t="inlineStr">
        <is>
          <t>S0178</t>
        </is>
      </c>
      <c r="D5" t="inlineStr">
        <is>
          <t>S0178</t>
        </is>
      </c>
      <c r="E5" t="inlineStr">
        <is>
          <t>FP</t>
        </is>
      </c>
      <c r="F5" t="n">
        <v>148</v>
      </c>
      <c r="G5" t="inlineStr">
        <is>
          <t>OUT</t>
        </is>
      </c>
      <c r="H5">
        <f>IF(G5="OUT",F5,-F5)</f>
        <v>148</v>
      </c>
      <c r="I5">
        <f>IF(AND(B5&gt;=DATE(2025,7,1),B5&lt;=DATE(2026,6,30)),1,0)</f>
        <v>0</v>
      </c>
      <c r="J5">
        <f>IF(B5&lt;=DATE(2026,6,30),1,0)</f>
        <v>1</v>
      </c>
      <c r="K5" t="inlineStr"/>
      <c r="L5" t="inlineStr">
        <is>
          <t>Office</t>
        </is>
      </c>
      <c r="M5">
        <f>COUNTIFS('Asset Log'!$A$5:$A$1379,A5,'Asset Log'!$E$5:$E$1379,E5,'Asset Log'!$G$5:$G$1379,G5)</f>
        <v>1</v>
      </c>
    </row>
    <row r="6">
      <c r="A6" t="inlineStr">
        <is>
          <t>D71692</t>
        </is>
      </c>
      <c r="B6" s="11" t="n">
        <v>45771</v>
      </c>
      <c r="C6" t="inlineStr">
        <is>
          <t>178</t>
        </is>
      </c>
      <c r="D6" t="inlineStr">
        <is>
          <t>S0178</t>
        </is>
      </c>
      <c r="E6" t="inlineStr">
        <is>
          <t>FB</t>
        </is>
      </c>
      <c r="F6" t="n">
        <v>162</v>
      </c>
      <c r="G6" t="inlineStr">
        <is>
          <t>OUT</t>
        </is>
      </c>
      <c r="H6">
        <f>IF(G6="OUT",F6,-F6)</f>
        <v>162</v>
      </c>
      <c r="I6">
        <f>IF(AND(B6&gt;=DATE(2025,7,1),B6&lt;=DATE(2026,6,30)),1,0)</f>
        <v>0</v>
      </c>
      <c r="J6">
        <f>IF(B6&lt;=DATE(2026,6,30),1,0)</f>
        <v>1</v>
      </c>
      <c r="K6" t="inlineStr">
        <is>
          <t>Site text normalised</t>
        </is>
      </c>
      <c r="L6" t="inlineStr">
        <is>
          <t>Office</t>
        </is>
      </c>
      <c r="M6">
        <f>COUNTIFS('Asset Log'!$A$5:$A$1379,A6,'Asset Log'!$E$5:$E$1379,E6,'Asset Log'!$G$5:$G$1379,G6)</f>
        <v>1</v>
      </c>
    </row>
    <row r="7">
      <c r="A7" t="inlineStr">
        <is>
          <t>D70130</t>
        </is>
      </c>
      <c r="B7" s="11" t="n">
        <v>45773</v>
      </c>
      <c r="C7" t="inlineStr">
        <is>
          <t>S0015</t>
        </is>
      </c>
      <c r="D7" t="inlineStr">
        <is>
          <t>S0015</t>
        </is>
      </c>
      <c r="E7" t="inlineStr">
        <is>
          <t>FP</t>
        </is>
      </c>
      <c r="F7" t="n">
        <v>14</v>
      </c>
      <c r="G7" t="inlineStr">
        <is>
          <t>OUT</t>
        </is>
      </c>
      <c r="H7">
        <f>IF(G7="OUT",F7,-F7)</f>
        <v>14</v>
      </c>
      <c r="I7">
        <f>IF(AND(B7&gt;=DATE(2025,7,1),B7&lt;=DATE(2026,6,30)),1,0)</f>
        <v>0</v>
      </c>
      <c r="J7">
        <f>IF(B7&lt;=DATE(2026,6,30),1,0)</f>
        <v>1</v>
      </c>
      <c r="K7" t="inlineStr"/>
      <c r="L7" t="inlineStr">
        <is>
          <t>Yard</t>
        </is>
      </c>
      <c r="M7">
        <f>COUNTIFS('Asset Log'!$A$5:$A$1379,A7,'Asset Log'!$E$5:$E$1379,E7,'Asset Log'!$G$5:$G$1379,G7)</f>
        <v>1</v>
      </c>
    </row>
    <row r="8">
      <c r="A8" t="inlineStr">
        <is>
          <t>D70133</t>
        </is>
      </c>
      <c r="B8" s="11" t="n">
        <v>45773</v>
      </c>
      <c r="C8" t="inlineStr">
        <is>
          <t>S0015</t>
        </is>
      </c>
      <c r="D8" t="inlineStr">
        <is>
          <t>S0015</t>
        </is>
      </c>
      <c r="E8" t="inlineStr">
        <is>
          <t>FB</t>
        </is>
      </c>
      <c r="F8" t="n">
        <v>15</v>
      </c>
      <c r="G8" t="inlineStr">
        <is>
          <t>OUT</t>
        </is>
      </c>
      <c r="H8">
        <f>IF(G8="OUT",F8,-F8)</f>
        <v>15</v>
      </c>
      <c r="I8">
        <f>IF(AND(B8&gt;=DATE(2025,7,1),B8&lt;=DATE(2026,6,30)),1,0)</f>
        <v>0</v>
      </c>
      <c r="J8">
        <f>IF(B8&lt;=DATE(2026,6,30),1,0)</f>
        <v>1</v>
      </c>
      <c r="K8" t="inlineStr"/>
      <c r="L8" t="inlineStr">
        <is>
          <t>Yard</t>
        </is>
      </c>
      <c r="M8">
        <f>COUNTIFS('Asset Log'!$A$5:$A$1379,A8,'Asset Log'!$E$5:$E$1379,E8,'Asset Log'!$G$5:$G$1379,G8)</f>
        <v>1</v>
      </c>
    </row>
    <row r="9">
      <c r="A9" t="inlineStr">
        <is>
          <t>D72015</t>
        </is>
      </c>
      <c r="B9" s="11" t="n">
        <v>45773</v>
      </c>
      <c r="C9" t="inlineStr">
        <is>
          <t>S0213</t>
        </is>
      </c>
      <c r="D9" t="inlineStr">
        <is>
          <t>S0213</t>
        </is>
      </c>
      <c r="E9" t="inlineStr">
        <is>
          <t>FP</t>
        </is>
      </c>
      <c r="F9" t="n">
        <v>72</v>
      </c>
      <c r="G9" t="inlineStr">
        <is>
          <t>OUT</t>
        </is>
      </c>
      <c r="H9">
        <f>IF(G9="OUT",F9,-F9)</f>
        <v>72</v>
      </c>
      <c r="I9">
        <f>IF(AND(B9&gt;=DATE(2025,7,1),B9&lt;=DATE(2026,6,30)),1,0)</f>
        <v>0</v>
      </c>
      <c r="J9">
        <f>IF(B9&lt;=DATE(2026,6,30),1,0)</f>
        <v>1</v>
      </c>
      <c r="K9" t="inlineStr"/>
      <c r="L9" t="inlineStr">
        <is>
          <t>Driver</t>
        </is>
      </c>
      <c r="M9">
        <f>COUNTIFS('Asset Log'!$A$5:$A$1379,A9,'Asset Log'!$E$5:$E$1379,E9,'Asset Log'!$G$5:$G$1379,G9)</f>
        <v>1</v>
      </c>
    </row>
    <row r="10">
      <c r="A10" t="inlineStr">
        <is>
          <t>D72020</t>
        </is>
      </c>
      <c r="B10" s="11" t="n">
        <v>45773</v>
      </c>
      <c r="C10" t="inlineStr">
        <is>
          <t>S0213</t>
        </is>
      </c>
      <c r="D10" t="inlineStr">
        <is>
          <t>S0213</t>
        </is>
      </c>
      <c r="E10" t="inlineStr">
        <is>
          <t>FB</t>
        </is>
      </c>
      <c r="F10" t="n">
        <v>79</v>
      </c>
      <c r="G10" t="inlineStr">
        <is>
          <t>OUT</t>
        </is>
      </c>
      <c r="H10">
        <f>IF(G10="OUT",F10,-F10)</f>
        <v>79</v>
      </c>
      <c r="I10">
        <f>IF(AND(B10&gt;=DATE(2025,7,1),B10&lt;=DATE(2026,6,30)),1,0)</f>
        <v>0</v>
      </c>
      <c r="J10">
        <f>IF(B10&lt;=DATE(2026,6,30),1,0)</f>
        <v>1</v>
      </c>
      <c r="K10" t="inlineStr"/>
      <c r="L10" t="inlineStr">
        <is>
          <t>Office</t>
        </is>
      </c>
      <c r="M10">
        <f>COUNTIFS('Asset Log'!$A$5:$A$1379,A10,'Asset Log'!$E$5:$E$1379,E10,'Asset Log'!$G$5:$G$1379,G10)</f>
        <v>1</v>
      </c>
    </row>
    <row r="11">
      <c r="A11" t="inlineStr">
        <is>
          <t>D72023</t>
        </is>
      </c>
      <c r="B11" s="11" t="n">
        <v>45773</v>
      </c>
      <c r="C11" t="inlineStr">
        <is>
          <t>s213</t>
        </is>
      </c>
      <c r="D11" t="inlineStr">
        <is>
          <t>S0213</t>
        </is>
      </c>
      <c r="E11" t="inlineStr">
        <is>
          <t>BR</t>
        </is>
      </c>
      <c r="F11" t="n">
        <v>21</v>
      </c>
      <c r="G11" t="inlineStr">
        <is>
          <t>OUT</t>
        </is>
      </c>
      <c r="H11">
        <f>IF(G11="OUT",F11,-F11)</f>
        <v>21</v>
      </c>
      <c r="I11">
        <f>IF(AND(B11&gt;=DATE(2025,7,1),B11&lt;=DATE(2026,6,30)),1,0)</f>
        <v>0</v>
      </c>
      <c r="J11">
        <f>IF(B11&lt;=DATE(2026,6,30),1,0)</f>
        <v>1</v>
      </c>
      <c r="K11" t="inlineStr">
        <is>
          <t>Site text normalised</t>
        </is>
      </c>
      <c r="L11" t="inlineStr">
        <is>
          <t>Yard</t>
        </is>
      </c>
      <c r="M11">
        <f>COUNTIFS('Asset Log'!$A$5:$A$1379,A11,'Asset Log'!$E$5:$E$1379,E11,'Asset Log'!$G$5:$G$1379,G11)</f>
        <v>1</v>
      </c>
    </row>
    <row r="12">
      <c r="A12" t="inlineStr">
        <is>
          <t>D71230</t>
        </is>
      </c>
      <c r="B12" s="11" t="n">
        <v>45775</v>
      </c>
      <c r="C12" t="inlineStr">
        <is>
          <t>S0128</t>
        </is>
      </c>
      <c r="D12" t="inlineStr">
        <is>
          <t>S0128</t>
        </is>
      </c>
      <c r="E12" t="inlineStr">
        <is>
          <t>FP</t>
        </is>
      </c>
      <c r="F12" t="n">
        <v>12</v>
      </c>
      <c r="G12" t="inlineStr">
        <is>
          <t>OUT</t>
        </is>
      </c>
      <c r="H12">
        <f>IF(G12="OUT",F12,-F12)</f>
        <v>12</v>
      </c>
      <c r="I12">
        <f>IF(AND(B12&gt;=DATE(2025,7,1),B12&lt;=DATE(2026,6,30)),1,0)</f>
        <v>0</v>
      </c>
      <c r="J12">
        <f>IF(B12&lt;=DATE(2026,6,30),1,0)</f>
        <v>1</v>
      </c>
      <c r="K12" t="inlineStr"/>
      <c r="L12" t="inlineStr">
        <is>
          <t>Office</t>
        </is>
      </c>
      <c r="M12">
        <f>COUNTIFS('Asset Log'!$A$5:$A$1379,A12,'Asset Log'!$E$5:$E$1379,E12,'Asset Log'!$G$5:$G$1379,G12)</f>
        <v>1</v>
      </c>
    </row>
    <row r="13">
      <c r="A13" t="inlineStr">
        <is>
          <t>D71234</t>
        </is>
      </c>
      <c r="B13" s="11" t="n">
        <v>45775</v>
      </c>
      <c r="C13" t="inlineStr">
        <is>
          <t>s128</t>
        </is>
      </c>
      <c r="D13" t="inlineStr">
        <is>
          <t>S0128</t>
        </is>
      </c>
      <c r="E13" t="inlineStr">
        <is>
          <t>FB</t>
        </is>
      </c>
      <c r="F13" t="n">
        <v>13</v>
      </c>
      <c r="G13" t="inlineStr">
        <is>
          <t>OUT</t>
        </is>
      </c>
      <c r="H13">
        <f>IF(G13="OUT",F13,-F13)</f>
        <v>13</v>
      </c>
      <c r="I13">
        <f>IF(AND(B13&gt;=DATE(2025,7,1),B13&lt;=DATE(2026,6,30)),1,0)</f>
        <v>0</v>
      </c>
      <c r="J13">
        <f>IF(B13&lt;=DATE(2026,6,30),1,0)</f>
        <v>1</v>
      </c>
      <c r="K13" t="inlineStr">
        <is>
          <t>Site text normalised</t>
        </is>
      </c>
      <c r="L13" t="inlineStr">
        <is>
          <t>Yard</t>
        </is>
      </c>
      <c r="M13">
        <f>COUNTIFS('Asset Log'!$A$5:$A$1379,A13,'Asset Log'!$E$5:$E$1379,E13,'Asset Log'!$G$5:$G$1379,G13)</f>
        <v>1</v>
      </c>
    </row>
    <row r="14">
      <c r="A14" t="inlineStr">
        <is>
          <t>D71333</t>
        </is>
      </c>
      <c r="B14" s="11" t="n">
        <v>45777</v>
      </c>
      <c r="C14" t="inlineStr">
        <is>
          <t>S0141</t>
        </is>
      </c>
      <c r="D14" t="inlineStr">
        <is>
          <t>S0141</t>
        </is>
      </c>
      <c r="E14" t="inlineStr">
        <is>
          <t>FP</t>
        </is>
      </c>
      <c r="F14" t="n">
        <v>52</v>
      </c>
      <c r="G14" t="inlineStr">
        <is>
          <t>OUT</t>
        </is>
      </c>
      <c r="H14">
        <f>IF(G14="OUT",F14,-F14)</f>
        <v>52</v>
      </c>
      <c r="I14">
        <f>IF(AND(B14&gt;=DATE(2025,7,1),B14&lt;=DATE(2026,6,30)),1,0)</f>
        <v>0</v>
      </c>
      <c r="J14">
        <f>IF(B14&lt;=DATE(2026,6,30),1,0)</f>
        <v>1</v>
      </c>
      <c r="K14" t="inlineStr"/>
      <c r="L14" t="inlineStr">
        <is>
          <t>Office</t>
        </is>
      </c>
      <c r="M14">
        <f>COUNTIFS('Asset Log'!$A$5:$A$1379,A14,'Asset Log'!$E$5:$E$1379,E14,'Asset Log'!$G$5:$G$1379,G14)</f>
        <v>1</v>
      </c>
    </row>
    <row r="15">
      <c r="A15" t="inlineStr">
        <is>
          <t>D71337</t>
        </is>
      </c>
      <c r="B15" s="11" t="n">
        <v>45777</v>
      </c>
      <c r="C15" t="inlineStr">
        <is>
          <t>S0141</t>
        </is>
      </c>
      <c r="D15" t="inlineStr">
        <is>
          <t>S0141</t>
        </is>
      </c>
      <c r="E15" t="inlineStr">
        <is>
          <t>FB</t>
        </is>
      </c>
      <c r="F15" t="n">
        <v>57</v>
      </c>
      <c r="G15" t="inlineStr">
        <is>
          <t>OUT</t>
        </is>
      </c>
      <c r="H15">
        <f>IF(G15="OUT",F15,-F15)</f>
        <v>57</v>
      </c>
      <c r="I15">
        <f>IF(AND(B15&gt;=DATE(2025,7,1),B15&lt;=DATE(2026,6,30)),1,0)</f>
        <v>0</v>
      </c>
      <c r="J15">
        <f>IF(B15&lt;=DATE(2026,6,30),1,0)</f>
        <v>1</v>
      </c>
      <c r="K15" t="inlineStr"/>
      <c r="L15" t="inlineStr">
        <is>
          <t>Office</t>
        </is>
      </c>
      <c r="M15">
        <f>COUNTIFS('Asset Log'!$A$5:$A$1379,A15,'Asset Log'!$E$5:$E$1379,E15,'Asset Log'!$G$5:$G$1379,G15)</f>
        <v>1</v>
      </c>
    </row>
    <row r="16">
      <c r="A16" t="inlineStr">
        <is>
          <t>D71339</t>
        </is>
      </c>
      <c r="B16" s="11" t="n">
        <v>45780</v>
      </c>
      <c r="C16" t="inlineStr">
        <is>
          <t>S0142</t>
        </is>
      </c>
      <c r="D16" t="inlineStr">
        <is>
          <t>S0142</t>
        </is>
      </c>
      <c r="E16" t="inlineStr">
        <is>
          <t>FP</t>
        </is>
      </c>
      <c r="F16" t="n">
        <v>100</v>
      </c>
      <c r="G16" t="inlineStr">
        <is>
          <t>OUT</t>
        </is>
      </c>
      <c r="H16">
        <f>IF(G16="OUT",F16,-F16)</f>
        <v>100</v>
      </c>
      <c r="I16">
        <f>IF(AND(B16&gt;=DATE(2025,7,1),B16&lt;=DATE(2026,6,30)),1,0)</f>
        <v>0</v>
      </c>
      <c r="J16">
        <f>IF(B16&lt;=DATE(2026,6,30),1,0)</f>
        <v>1</v>
      </c>
      <c r="K16" t="inlineStr"/>
      <c r="L16" t="inlineStr">
        <is>
          <t>Yard</t>
        </is>
      </c>
      <c r="M16">
        <f>COUNTIFS('Asset Log'!$A$5:$A$1379,A16,'Asset Log'!$E$5:$E$1379,E16,'Asset Log'!$G$5:$G$1379,G16)</f>
        <v>1</v>
      </c>
    </row>
    <row r="17">
      <c r="A17" t="inlineStr">
        <is>
          <t>D71344</t>
        </is>
      </c>
      <c r="B17" s="11" t="n">
        <v>45780</v>
      </c>
      <c r="C17" t="inlineStr">
        <is>
          <t>S0142</t>
        </is>
      </c>
      <c r="D17" t="inlineStr">
        <is>
          <t>S0142</t>
        </is>
      </c>
      <c r="E17" t="inlineStr">
        <is>
          <t>FB</t>
        </is>
      </c>
      <c r="F17" t="n">
        <v>110</v>
      </c>
      <c r="G17" t="inlineStr">
        <is>
          <t>OUT</t>
        </is>
      </c>
      <c r="H17">
        <f>IF(G17="OUT",F17,-F17)</f>
        <v>110</v>
      </c>
      <c r="I17">
        <f>IF(AND(B17&gt;=DATE(2025,7,1),B17&lt;=DATE(2026,6,30)),1,0)</f>
        <v>0</v>
      </c>
      <c r="J17">
        <f>IF(B17&lt;=DATE(2026,6,30),1,0)</f>
        <v>1</v>
      </c>
      <c r="K17" t="inlineStr"/>
      <c r="L17" t="inlineStr">
        <is>
          <t>Driver</t>
        </is>
      </c>
      <c r="M17">
        <f>COUNTIFS('Asset Log'!$A$5:$A$1379,A17,'Asset Log'!$E$5:$E$1379,E17,'Asset Log'!$G$5:$G$1379,G17)</f>
        <v>1</v>
      </c>
    </row>
    <row r="18">
      <c r="A18" t="inlineStr">
        <is>
          <t>D72018</t>
        </is>
      </c>
      <c r="B18" s="11" t="n">
        <v>45780</v>
      </c>
      <c r="C18" t="inlineStr">
        <is>
          <t>213</t>
        </is>
      </c>
      <c r="D18" t="inlineStr">
        <is>
          <t>S0213</t>
        </is>
      </c>
      <c r="E18" t="inlineStr">
        <is>
          <t>FP</t>
        </is>
      </c>
      <c r="F18" t="n">
        <v>66</v>
      </c>
      <c r="G18" t="inlineStr">
        <is>
          <t>IN</t>
        </is>
      </c>
      <c r="H18">
        <f>IF(G18="OUT",F18,-F18)</f>
        <v>-66</v>
      </c>
      <c r="I18">
        <f>IF(AND(B18&gt;=DATE(2025,7,1),B18&lt;=DATE(2026,6,30)),1,0)</f>
        <v>0</v>
      </c>
      <c r="J18">
        <f>IF(B18&lt;=DATE(2026,6,30),1,0)</f>
        <v>1</v>
      </c>
      <c r="K18" t="inlineStr">
        <is>
          <t>Site text normalised</t>
        </is>
      </c>
      <c r="L18" t="inlineStr">
        <is>
          <t>Office</t>
        </is>
      </c>
      <c r="M18">
        <f>COUNTIFS('Asset Log'!$A$5:$A$1379,A18,'Asset Log'!$E$5:$E$1379,E18,'Asset Log'!$G$5:$G$1379,G18)</f>
        <v>1</v>
      </c>
    </row>
    <row r="19">
      <c r="A19" t="inlineStr">
        <is>
          <t>D72022</t>
        </is>
      </c>
      <c r="B19" s="11" t="n">
        <v>45780</v>
      </c>
      <c r="C19" t="inlineStr">
        <is>
          <t>S0213</t>
        </is>
      </c>
      <c r="D19" t="inlineStr">
        <is>
          <t>S0213</t>
        </is>
      </c>
      <c r="E19" t="inlineStr">
        <is>
          <t>FB</t>
        </is>
      </c>
      <c r="F19" t="n">
        <v>79</v>
      </c>
      <c r="G19" t="inlineStr">
        <is>
          <t>IN</t>
        </is>
      </c>
      <c r="H19">
        <f>IF(G19="OUT",F19,-F19)</f>
        <v>-79</v>
      </c>
      <c r="I19">
        <f>IF(AND(B19&gt;=DATE(2025,7,1),B19&lt;=DATE(2026,6,30)),1,0)</f>
        <v>0</v>
      </c>
      <c r="J19">
        <f>IF(B19&lt;=DATE(2026,6,30),1,0)</f>
        <v>1</v>
      </c>
      <c r="K19" t="inlineStr"/>
      <c r="L19" t="inlineStr">
        <is>
          <t>Office</t>
        </is>
      </c>
      <c r="M19">
        <f>COUNTIFS('Asset Log'!$A$5:$A$1379,A19,'Asset Log'!$E$5:$E$1379,E19,'Asset Log'!$G$5:$G$1379,G19)</f>
        <v>1</v>
      </c>
    </row>
    <row r="20">
      <c r="A20" t="inlineStr">
        <is>
          <t>D72024</t>
        </is>
      </c>
      <c r="B20" s="11" t="n">
        <v>45780</v>
      </c>
      <c r="C20" t="inlineStr">
        <is>
          <t>s213</t>
        </is>
      </c>
      <c r="D20" t="inlineStr">
        <is>
          <t>S0213</t>
        </is>
      </c>
      <c r="E20" t="inlineStr">
        <is>
          <t>BR</t>
        </is>
      </c>
      <c r="F20" t="n">
        <v>21</v>
      </c>
      <c r="G20" t="inlineStr">
        <is>
          <t>IN</t>
        </is>
      </c>
      <c r="H20">
        <f>IF(G20="OUT",F20,-F20)</f>
        <v>-21</v>
      </c>
      <c r="I20">
        <f>IF(AND(B20&gt;=DATE(2025,7,1),B20&lt;=DATE(2026,6,30)),1,0)</f>
        <v>0</v>
      </c>
      <c r="J20">
        <f>IF(B20&lt;=DATE(2026,6,30),1,0)</f>
        <v>1</v>
      </c>
      <c r="K20" t="inlineStr">
        <is>
          <t>Site text normalised</t>
        </is>
      </c>
      <c r="L20" t="inlineStr">
        <is>
          <t>Office</t>
        </is>
      </c>
      <c r="M20">
        <f>COUNTIFS('Asset Log'!$A$5:$A$1379,A20,'Asset Log'!$E$5:$E$1379,E20,'Asset Log'!$G$5:$G$1379,G20)</f>
        <v>1</v>
      </c>
    </row>
    <row r="21">
      <c r="A21" t="inlineStr">
        <is>
          <t>D72026</t>
        </is>
      </c>
      <c r="B21" s="11" t="n">
        <v>45780</v>
      </c>
      <c r="C21" t="inlineStr">
        <is>
          <t>S0213</t>
        </is>
      </c>
      <c r="D21" t="inlineStr">
        <is>
          <t>S0213</t>
        </is>
      </c>
      <c r="E21" t="inlineStr">
        <is>
          <t>FP</t>
        </is>
      </c>
      <c r="F21" t="n">
        <v>6</v>
      </c>
      <c r="G21" t="inlineStr">
        <is>
          <t>LOST</t>
        </is>
      </c>
      <c r="H21">
        <f>IF(G21="OUT",F21,-F21)</f>
        <v>-6</v>
      </c>
      <c r="I21">
        <f>IF(AND(B21&gt;=DATE(2025,7,1),B21&lt;=DATE(2026,6,30)),1,0)</f>
        <v>0</v>
      </c>
      <c r="J21">
        <f>IF(B21&lt;=DATE(2026,6,30),1,0)</f>
        <v>1</v>
      </c>
      <c r="K21" t="inlineStr"/>
      <c r="L21" t="inlineStr">
        <is>
          <t>Driver</t>
        </is>
      </c>
      <c r="M21">
        <f>COUNTIFS('Asset Log'!$A$5:$A$1379,A21,'Asset Log'!$E$5:$E$1379,E21,'Asset Log'!$G$5:$G$1379,G21)</f>
        <v>1</v>
      </c>
    </row>
    <row r="22">
      <c r="A22" t="inlineStr">
        <is>
          <t>D70234</t>
        </is>
      </c>
      <c r="B22" s="11" t="n">
        <v>45781</v>
      </c>
      <c r="C22" t="inlineStr">
        <is>
          <t>S0025</t>
        </is>
      </c>
      <c r="D22" t="inlineStr">
        <is>
          <t>S0025</t>
        </is>
      </c>
      <c r="E22" t="inlineStr">
        <is>
          <t>FP</t>
        </is>
      </c>
      <c r="F22" t="n">
        <v>76</v>
      </c>
      <c r="G22" t="inlineStr">
        <is>
          <t>OUT</t>
        </is>
      </c>
      <c r="H22">
        <f>IF(G22="OUT",F22,-F22)</f>
        <v>76</v>
      </c>
      <c r="I22">
        <f>IF(AND(B22&gt;=DATE(2025,7,1),B22&lt;=DATE(2026,6,30)),1,0)</f>
        <v>0</v>
      </c>
      <c r="J22">
        <f>IF(B22&lt;=DATE(2026,6,30),1,0)</f>
        <v>1</v>
      </c>
      <c r="K22" t="inlineStr"/>
      <c r="L22" t="inlineStr">
        <is>
          <t>Office</t>
        </is>
      </c>
      <c r="M22">
        <f>COUNTIFS('Asset Log'!$A$5:$A$1379,A22,'Asset Log'!$E$5:$E$1379,E22,'Asset Log'!$G$5:$G$1379,G22)</f>
        <v>1</v>
      </c>
    </row>
    <row r="23">
      <c r="A23" t="inlineStr">
        <is>
          <t>D70238</t>
        </is>
      </c>
      <c r="B23" s="11" t="n">
        <v>45781</v>
      </c>
      <c r="C23" t="inlineStr">
        <is>
          <t>S0025</t>
        </is>
      </c>
      <c r="D23" t="inlineStr">
        <is>
          <t>S0025</t>
        </is>
      </c>
      <c r="E23" t="inlineStr">
        <is>
          <t>FB</t>
        </is>
      </c>
      <c r="F23" t="n">
        <v>83</v>
      </c>
      <c r="G23" t="inlineStr">
        <is>
          <t>OUT</t>
        </is>
      </c>
      <c r="H23">
        <f>IF(G23="OUT",F23,-F23)</f>
        <v>83</v>
      </c>
      <c r="I23">
        <f>IF(AND(B23&gt;=DATE(2025,7,1),B23&lt;=DATE(2026,6,30)),1,0)</f>
        <v>0</v>
      </c>
      <c r="J23">
        <f>IF(B23&lt;=DATE(2026,6,30),1,0)</f>
        <v>1</v>
      </c>
      <c r="K23" t="inlineStr"/>
      <c r="L23" t="inlineStr">
        <is>
          <t>Office</t>
        </is>
      </c>
      <c r="M23">
        <f>COUNTIFS('Asset Log'!$A$5:$A$1379,A23,'Asset Log'!$E$5:$E$1379,E23,'Asset Log'!$G$5:$G$1379,G23)</f>
        <v>1</v>
      </c>
    </row>
    <row r="24">
      <c r="A24" t="inlineStr">
        <is>
          <t>D71141</t>
        </is>
      </c>
      <c r="B24" s="11" t="n">
        <v>45781</v>
      </c>
      <c r="C24" t="inlineStr">
        <is>
          <t>s121</t>
        </is>
      </c>
      <c r="D24" t="inlineStr">
        <is>
          <t>S0121</t>
        </is>
      </c>
      <c r="E24" t="inlineStr">
        <is>
          <t>FP</t>
        </is>
      </c>
      <c r="F24" t="n">
        <v>48</v>
      </c>
      <c r="G24" t="inlineStr">
        <is>
          <t>OUT</t>
        </is>
      </c>
      <c r="H24">
        <f>IF(G24="OUT",F24,-F24)</f>
        <v>48</v>
      </c>
      <c r="I24">
        <f>IF(AND(B24&gt;=DATE(2025,7,1),B24&lt;=DATE(2026,6,30)),1,0)</f>
        <v>0</v>
      </c>
      <c r="J24">
        <f>IF(B24&lt;=DATE(2026,6,30),1,0)</f>
        <v>1</v>
      </c>
      <c r="K24" t="inlineStr">
        <is>
          <t>Site text normalised</t>
        </is>
      </c>
      <c r="L24" t="inlineStr">
        <is>
          <t>Office</t>
        </is>
      </c>
      <c r="M24">
        <f>COUNTIFS('Asset Log'!$A$5:$A$1379,A24,'Asset Log'!$E$5:$E$1379,E24,'Asset Log'!$G$5:$G$1379,G24)</f>
        <v>1</v>
      </c>
    </row>
    <row r="25">
      <c r="A25" t="inlineStr">
        <is>
          <t>D71149</t>
        </is>
      </c>
      <c r="B25" s="11" t="n">
        <v>45781</v>
      </c>
      <c r="C25" t="inlineStr">
        <is>
          <t>S0121</t>
        </is>
      </c>
      <c r="D25" t="inlineStr">
        <is>
          <t>S0121</t>
        </is>
      </c>
      <c r="E25" t="inlineStr">
        <is>
          <t>FB</t>
        </is>
      </c>
      <c r="F25" t="n">
        <v>52</v>
      </c>
      <c r="G25" t="inlineStr">
        <is>
          <t>OUT</t>
        </is>
      </c>
      <c r="H25">
        <f>IF(G25="OUT",F25,-F25)</f>
        <v>52</v>
      </c>
      <c r="I25">
        <f>IF(AND(B25&gt;=DATE(2025,7,1),B25&lt;=DATE(2026,6,30)),1,0)</f>
        <v>0</v>
      </c>
      <c r="J25">
        <f>IF(B25&lt;=DATE(2026,6,30),1,0)</f>
        <v>1</v>
      </c>
      <c r="K25" t="inlineStr"/>
      <c r="L25" t="inlineStr">
        <is>
          <t>Driver</t>
        </is>
      </c>
      <c r="M25">
        <f>COUNTIFS('Asset Log'!$A$5:$A$1379,A25,'Asset Log'!$E$5:$E$1379,E25,'Asset Log'!$G$5:$G$1379,G25)</f>
        <v>1</v>
      </c>
    </row>
    <row r="26">
      <c r="A26" t="inlineStr">
        <is>
          <t>D70294</t>
        </is>
      </c>
      <c r="B26" s="11" t="n">
        <v>45782</v>
      </c>
      <c r="C26" t="inlineStr">
        <is>
          <t>S0032</t>
        </is>
      </c>
      <c r="D26" t="inlineStr">
        <is>
          <t>S0032</t>
        </is>
      </c>
      <c r="E26" t="inlineStr">
        <is>
          <t>FP</t>
        </is>
      </c>
      <c r="F26" t="n">
        <v>50</v>
      </c>
      <c r="G26" t="inlineStr">
        <is>
          <t>OUT</t>
        </is>
      </c>
      <c r="H26">
        <f>IF(G26="OUT",F26,-F26)</f>
        <v>50</v>
      </c>
      <c r="I26">
        <f>IF(AND(B26&gt;=DATE(2025,7,1),B26&lt;=DATE(2026,6,30)),1,0)</f>
        <v>0</v>
      </c>
      <c r="J26">
        <f>IF(B26&lt;=DATE(2026,6,30),1,0)</f>
        <v>1</v>
      </c>
      <c r="K26" t="inlineStr"/>
      <c r="L26" t="inlineStr">
        <is>
          <t>Office</t>
        </is>
      </c>
      <c r="M26">
        <f>COUNTIFS('Asset Log'!$A$5:$A$1379,A26,'Asset Log'!$E$5:$E$1379,E26,'Asset Log'!$G$5:$G$1379,G26)</f>
        <v>1</v>
      </c>
    </row>
    <row r="27">
      <c r="A27" t="inlineStr">
        <is>
          <t>D70299</t>
        </is>
      </c>
      <c r="B27" s="11" t="n">
        <v>45782</v>
      </c>
      <c r="C27" t="inlineStr">
        <is>
          <t>S0032</t>
        </is>
      </c>
      <c r="D27" t="inlineStr">
        <is>
          <t>S0032</t>
        </is>
      </c>
      <c r="E27" t="inlineStr">
        <is>
          <t>FB</t>
        </is>
      </c>
      <c r="F27" t="n">
        <v>55</v>
      </c>
      <c r="G27" t="inlineStr">
        <is>
          <t>OUT</t>
        </is>
      </c>
      <c r="H27">
        <f>IF(G27="OUT",F27,-F27)</f>
        <v>55</v>
      </c>
      <c r="I27">
        <f>IF(AND(B27&gt;=DATE(2025,7,1),B27&lt;=DATE(2026,6,30)),1,0)</f>
        <v>0</v>
      </c>
      <c r="J27">
        <f>IF(B27&lt;=DATE(2026,6,30),1,0)</f>
        <v>1</v>
      </c>
      <c r="K27" t="inlineStr"/>
      <c r="L27" t="inlineStr">
        <is>
          <t>Yard</t>
        </is>
      </c>
      <c r="M27">
        <f>COUNTIFS('Asset Log'!$A$5:$A$1379,A27,'Asset Log'!$E$5:$E$1379,E27,'Asset Log'!$G$5:$G$1379,G27)</f>
        <v>1</v>
      </c>
    </row>
    <row r="28">
      <c r="A28" t="inlineStr">
        <is>
          <t>D70683</t>
        </is>
      </c>
      <c r="B28" s="11" t="n">
        <v>45782</v>
      </c>
      <c r="C28" t="inlineStr">
        <is>
          <t>S0074</t>
        </is>
      </c>
      <c r="D28" t="inlineStr">
        <is>
          <t>S0074</t>
        </is>
      </c>
      <c r="E28" t="inlineStr">
        <is>
          <t>FP</t>
        </is>
      </c>
      <c r="F28" t="n">
        <v>98</v>
      </c>
      <c r="G28" t="inlineStr">
        <is>
          <t>OUT</t>
        </is>
      </c>
      <c r="H28">
        <f>IF(G28="OUT",F28,-F28)</f>
        <v>98</v>
      </c>
      <c r="I28">
        <f>IF(AND(B28&gt;=DATE(2025,7,1),B28&lt;=DATE(2026,6,30)),1,0)</f>
        <v>0</v>
      </c>
      <c r="J28">
        <f>IF(B28&lt;=DATE(2026,6,30),1,0)</f>
        <v>1</v>
      </c>
      <c r="K28" t="inlineStr"/>
      <c r="L28" t="inlineStr">
        <is>
          <t>Driver</t>
        </is>
      </c>
      <c r="M28">
        <f>COUNTIFS('Asset Log'!$A$5:$A$1379,A28,'Asset Log'!$E$5:$E$1379,E28,'Asset Log'!$G$5:$G$1379,G28)</f>
        <v>1</v>
      </c>
    </row>
    <row r="29">
      <c r="A29" t="inlineStr">
        <is>
          <t>D70689</t>
        </is>
      </c>
      <c r="B29" s="11" t="n">
        <v>45782</v>
      </c>
      <c r="C29" t="inlineStr">
        <is>
          <t>S0074</t>
        </is>
      </c>
      <c r="D29" t="inlineStr">
        <is>
          <t>S0074</t>
        </is>
      </c>
      <c r="E29" t="inlineStr">
        <is>
          <t>FB</t>
        </is>
      </c>
      <c r="F29" t="n">
        <v>107</v>
      </c>
      <c r="G29" t="inlineStr">
        <is>
          <t>OUT</t>
        </is>
      </c>
      <c r="H29">
        <f>IF(G29="OUT",F29,-F29)</f>
        <v>107</v>
      </c>
      <c r="I29">
        <f>IF(AND(B29&gt;=DATE(2025,7,1),B29&lt;=DATE(2026,6,30)),1,0)</f>
        <v>0</v>
      </c>
      <c r="J29">
        <f>IF(B29&lt;=DATE(2026,6,30),1,0)</f>
        <v>1</v>
      </c>
      <c r="K29" t="inlineStr"/>
      <c r="L29" t="inlineStr">
        <is>
          <t>Office</t>
        </is>
      </c>
      <c r="M29">
        <f>COUNTIFS('Asset Log'!$A$5:$A$1379,A29,'Asset Log'!$E$5:$E$1379,E29,'Asset Log'!$G$5:$G$1379,G29)</f>
        <v>1</v>
      </c>
    </row>
    <row r="30">
      <c r="A30" t="inlineStr">
        <is>
          <t>D70754</t>
        </is>
      </c>
      <c r="B30" s="11" t="n">
        <v>45782</v>
      </c>
      <c r="C30" t="inlineStr">
        <is>
          <t>S0080</t>
        </is>
      </c>
      <c r="D30" t="inlineStr">
        <is>
          <t>S0080</t>
        </is>
      </c>
      <c r="E30" t="inlineStr">
        <is>
          <t>FP</t>
        </is>
      </c>
      <c r="F30" t="n">
        <v>72</v>
      </c>
      <c r="G30" t="inlineStr">
        <is>
          <t>OUT</t>
        </is>
      </c>
      <c r="H30">
        <f>IF(G30="OUT",F30,-F30)</f>
        <v>72</v>
      </c>
      <c r="I30">
        <f>IF(AND(B30&gt;=DATE(2025,7,1),B30&lt;=DATE(2026,6,30)),1,0)</f>
        <v>0</v>
      </c>
      <c r="J30">
        <f>IF(B30&lt;=DATE(2026,6,30),1,0)</f>
        <v>1</v>
      </c>
      <c r="K30" t="inlineStr"/>
      <c r="L30" t="inlineStr">
        <is>
          <t>Office</t>
        </is>
      </c>
      <c r="M30">
        <f>COUNTIFS('Asset Log'!$A$5:$A$1379,A30,'Asset Log'!$E$5:$E$1379,E30,'Asset Log'!$G$5:$G$1379,G30)</f>
        <v>1</v>
      </c>
    </row>
    <row r="31">
      <c r="A31" t="inlineStr">
        <is>
          <t>D70759</t>
        </is>
      </c>
      <c r="B31" s="11" t="n">
        <v>45782</v>
      </c>
      <c r="C31" t="inlineStr">
        <is>
          <t>S0080</t>
        </is>
      </c>
      <c r="D31" t="inlineStr">
        <is>
          <t>S0080</t>
        </is>
      </c>
      <c r="E31" t="inlineStr">
        <is>
          <t>FB</t>
        </is>
      </c>
      <c r="F31" t="n">
        <v>79</v>
      </c>
      <c r="G31" t="inlineStr">
        <is>
          <t>OUT</t>
        </is>
      </c>
      <c r="H31">
        <f>IF(G31="OUT",F31,-F31)</f>
        <v>79</v>
      </c>
      <c r="I31">
        <f>IF(AND(B31&gt;=DATE(2025,7,1),B31&lt;=DATE(2026,6,30)),1,0)</f>
        <v>0</v>
      </c>
      <c r="J31">
        <f>IF(B31&lt;=DATE(2026,6,30),1,0)</f>
        <v>1</v>
      </c>
      <c r="K31" t="inlineStr"/>
      <c r="L31" t="inlineStr">
        <is>
          <t>Driver</t>
        </is>
      </c>
      <c r="M31">
        <f>COUNTIFS('Asset Log'!$A$5:$A$1379,A31,'Asset Log'!$E$5:$E$1379,E31,'Asset Log'!$G$5:$G$1379,G31)</f>
        <v>1</v>
      </c>
    </row>
    <row r="32">
      <c r="A32" t="inlineStr">
        <is>
          <t>D71298</t>
        </is>
      </c>
      <c r="B32" s="11" t="n">
        <v>45782</v>
      </c>
      <c r="C32" t="inlineStr">
        <is>
          <t>S0137</t>
        </is>
      </c>
      <c r="D32" t="inlineStr">
        <is>
          <t>S0137</t>
        </is>
      </c>
      <c r="E32" t="inlineStr">
        <is>
          <t>FP</t>
        </is>
      </c>
      <c r="F32" t="n">
        <v>69</v>
      </c>
      <c r="G32" t="inlineStr">
        <is>
          <t>OUT</t>
        </is>
      </c>
      <c r="H32">
        <f>IF(G32="OUT",F32,-F32)</f>
        <v>69</v>
      </c>
      <c r="I32">
        <f>IF(AND(B32&gt;=DATE(2025,7,1),B32&lt;=DATE(2026,6,30)),1,0)</f>
        <v>0</v>
      </c>
      <c r="J32">
        <f>IF(B32&lt;=DATE(2026,6,30),1,0)</f>
        <v>1</v>
      </c>
      <c r="K32" t="inlineStr"/>
      <c r="L32" t="inlineStr">
        <is>
          <t>Office</t>
        </is>
      </c>
      <c r="M32">
        <f>COUNTIFS('Asset Log'!$A$5:$A$1379,A32,'Asset Log'!$E$5:$E$1379,E32,'Asset Log'!$G$5:$G$1379,G32)</f>
        <v>1</v>
      </c>
    </row>
    <row r="33">
      <c r="A33" t="inlineStr">
        <is>
          <t>D71302</t>
        </is>
      </c>
      <c r="B33" s="11" t="n">
        <v>45782</v>
      </c>
      <c r="C33" t="inlineStr">
        <is>
          <t>S0137</t>
        </is>
      </c>
      <c r="D33" t="inlineStr">
        <is>
          <t>S0137</t>
        </is>
      </c>
      <c r="E33" t="inlineStr">
        <is>
          <t>FB</t>
        </is>
      </c>
      <c r="F33" t="n">
        <v>75</v>
      </c>
      <c r="G33" t="inlineStr">
        <is>
          <t>OUT</t>
        </is>
      </c>
      <c r="H33">
        <f>IF(G33="OUT",F33,-F33)</f>
        <v>75</v>
      </c>
      <c r="I33">
        <f>IF(AND(B33&gt;=DATE(2025,7,1),B33&lt;=DATE(2026,6,30)),1,0)</f>
        <v>0</v>
      </c>
      <c r="J33">
        <f>IF(B33&lt;=DATE(2026,6,30),1,0)</f>
        <v>1</v>
      </c>
      <c r="K33" t="inlineStr"/>
      <c r="L33" t="inlineStr">
        <is>
          <t>Office</t>
        </is>
      </c>
      <c r="M33">
        <f>COUNTIFS('Asset Log'!$A$5:$A$1379,A33,'Asset Log'!$E$5:$E$1379,E33,'Asset Log'!$G$5:$G$1379,G33)</f>
        <v>1</v>
      </c>
    </row>
    <row r="34">
      <c r="A34" t="inlineStr">
        <is>
          <t>D71785</t>
        </is>
      </c>
      <c r="B34" s="11" t="n">
        <v>45784</v>
      </c>
      <c r="C34" t="inlineStr">
        <is>
          <t>S0189</t>
        </is>
      </c>
      <c r="D34" t="inlineStr">
        <is>
          <t>S0189</t>
        </is>
      </c>
      <c r="E34" t="inlineStr">
        <is>
          <t>FP</t>
        </is>
      </c>
      <c r="F34" t="n">
        <v>79</v>
      </c>
      <c r="G34" t="inlineStr">
        <is>
          <t>OUT</t>
        </is>
      </c>
      <c r="H34">
        <f>IF(G34="OUT",F34,-F34)</f>
        <v>79</v>
      </c>
      <c r="I34">
        <f>IF(AND(B34&gt;=DATE(2025,7,1),B34&lt;=DATE(2026,6,30)),1,0)</f>
        <v>0</v>
      </c>
      <c r="J34">
        <f>IF(B34&lt;=DATE(2026,6,30),1,0)</f>
        <v>1</v>
      </c>
      <c r="K34" t="inlineStr"/>
      <c r="L34" t="inlineStr">
        <is>
          <t>Driver</t>
        </is>
      </c>
      <c r="M34">
        <f>COUNTIFS('Asset Log'!$A$5:$A$1379,A34,'Asset Log'!$E$5:$E$1379,E34,'Asset Log'!$G$5:$G$1379,G34)</f>
        <v>1</v>
      </c>
    </row>
    <row r="35">
      <c r="A35" t="inlineStr">
        <is>
          <t>D71790</t>
        </is>
      </c>
      <c r="B35" s="11" t="n">
        <v>45784</v>
      </c>
      <c r="C35" t="inlineStr">
        <is>
          <t>S0189</t>
        </is>
      </c>
      <c r="D35" t="inlineStr">
        <is>
          <t>S0189</t>
        </is>
      </c>
      <c r="E35" t="inlineStr">
        <is>
          <t>FB</t>
        </is>
      </c>
      <c r="F35" t="n">
        <v>86</v>
      </c>
      <c r="G35" t="inlineStr">
        <is>
          <t>OUT</t>
        </is>
      </c>
      <c r="H35">
        <f>IF(G35="OUT",F35,-F35)</f>
        <v>86</v>
      </c>
      <c r="I35">
        <f>IF(AND(B35&gt;=DATE(2025,7,1),B35&lt;=DATE(2026,6,30)),1,0)</f>
        <v>0</v>
      </c>
      <c r="J35">
        <f>IF(B35&lt;=DATE(2026,6,30),1,0)</f>
        <v>1</v>
      </c>
      <c r="K35" t="inlineStr"/>
      <c r="L35" t="inlineStr">
        <is>
          <t>Yard</t>
        </is>
      </c>
      <c r="M35">
        <f>COUNTIFS('Asset Log'!$A$5:$A$1379,A35,'Asset Log'!$E$5:$E$1379,E35,'Asset Log'!$G$5:$G$1379,G35)</f>
        <v>1</v>
      </c>
    </row>
    <row r="36">
      <c r="A36" t="inlineStr">
        <is>
          <t>D71097</t>
        </is>
      </c>
      <c r="B36" s="11" t="n">
        <v>45786</v>
      </c>
      <c r="C36" t="inlineStr">
        <is>
          <t>S0117</t>
        </is>
      </c>
      <c r="D36" t="inlineStr">
        <is>
          <t>S0117</t>
        </is>
      </c>
      <c r="E36" t="inlineStr">
        <is>
          <t>FP</t>
        </is>
      </c>
      <c r="F36" t="n">
        <v>126</v>
      </c>
      <c r="G36" t="inlineStr">
        <is>
          <t>OUT</t>
        </is>
      </c>
      <c r="H36">
        <f>IF(G36="OUT",F36,-F36)</f>
        <v>126</v>
      </c>
      <c r="I36">
        <f>IF(AND(B36&gt;=DATE(2025,7,1),B36&lt;=DATE(2026,6,30)),1,0)</f>
        <v>0</v>
      </c>
      <c r="J36">
        <f>IF(B36&lt;=DATE(2026,6,30),1,0)</f>
        <v>1</v>
      </c>
      <c r="K36" t="inlineStr"/>
      <c r="L36" t="inlineStr">
        <is>
          <t>Yard</t>
        </is>
      </c>
      <c r="M36">
        <f>COUNTIFS('Asset Log'!$A$5:$A$1379,A36,'Asset Log'!$E$5:$E$1379,E36,'Asset Log'!$G$5:$G$1379,G36)</f>
        <v>1</v>
      </c>
    </row>
    <row r="37">
      <c r="A37" t="inlineStr">
        <is>
          <t>D71099</t>
        </is>
      </c>
      <c r="B37" s="11" t="n">
        <v>45786</v>
      </c>
      <c r="C37" t="inlineStr">
        <is>
          <t>S0117</t>
        </is>
      </c>
      <c r="D37" t="inlineStr">
        <is>
          <t>S0117</t>
        </is>
      </c>
      <c r="E37" t="inlineStr">
        <is>
          <t>FB</t>
        </is>
      </c>
      <c r="F37" t="n">
        <v>138</v>
      </c>
      <c r="G37" t="inlineStr">
        <is>
          <t>OUT</t>
        </is>
      </c>
      <c r="H37">
        <f>IF(G37="OUT",F37,-F37)</f>
        <v>138</v>
      </c>
      <c r="I37">
        <f>IF(AND(B37&gt;=DATE(2025,7,1),B37&lt;=DATE(2026,6,30)),1,0)</f>
        <v>0</v>
      </c>
      <c r="J37">
        <f>IF(B37&lt;=DATE(2026,6,30),1,0)</f>
        <v>1</v>
      </c>
      <c r="K37" t="inlineStr"/>
      <c r="L37" t="inlineStr">
        <is>
          <t>Yard</t>
        </is>
      </c>
      <c r="M37">
        <f>COUNTIFS('Asset Log'!$A$5:$A$1379,A37,'Asset Log'!$E$5:$E$1379,E37,'Asset Log'!$G$5:$G$1379,G37)</f>
        <v>1</v>
      </c>
    </row>
    <row r="38">
      <c r="A38" t="inlineStr">
        <is>
          <t>D71104</t>
        </is>
      </c>
      <c r="B38" s="11" t="n">
        <v>45786</v>
      </c>
      <c r="C38" t="inlineStr">
        <is>
          <t>s117</t>
        </is>
      </c>
      <c r="D38" t="inlineStr">
        <is>
          <t>S0117</t>
        </is>
      </c>
      <c r="E38" t="inlineStr">
        <is>
          <t>BR</t>
        </is>
      </c>
      <c r="F38" t="n">
        <v>24</v>
      </c>
      <c r="G38" t="inlineStr">
        <is>
          <t>OUT</t>
        </is>
      </c>
      <c r="H38">
        <f>IF(G38="OUT",F38,-F38)</f>
        <v>24</v>
      </c>
      <c r="I38">
        <f>IF(AND(B38&gt;=DATE(2025,7,1),B38&lt;=DATE(2026,6,30)),1,0)</f>
        <v>0</v>
      </c>
      <c r="J38">
        <f>IF(B38&lt;=DATE(2026,6,30),1,0)</f>
        <v>1</v>
      </c>
      <c r="K38" t="inlineStr">
        <is>
          <t>Site text normalised</t>
        </is>
      </c>
      <c r="L38" t="inlineStr">
        <is>
          <t>Yard</t>
        </is>
      </c>
      <c r="M38">
        <f>COUNTIFS('Asset Log'!$A$5:$A$1379,A38,'Asset Log'!$E$5:$E$1379,E38,'Asset Log'!$G$5:$G$1379,G38)</f>
        <v>1</v>
      </c>
    </row>
    <row r="39">
      <c r="A39" t="inlineStr">
        <is>
          <t>D70474</t>
        </is>
      </c>
      <c r="B39" s="11" t="n">
        <v>45789</v>
      </c>
      <c r="C39" t="inlineStr">
        <is>
          <t>S0051</t>
        </is>
      </c>
      <c r="D39" t="inlineStr">
        <is>
          <t>S0051</t>
        </is>
      </c>
      <c r="E39" t="inlineStr">
        <is>
          <t>FP</t>
        </is>
      </c>
      <c r="F39" t="n">
        <v>38</v>
      </c>
      <c r="G39" t="inlineStr">
        <is>
          <t>OUT</t>
        </is>
      </c>
      <c r="H39">
        <f>IF(G39="OUT",F39,-F39)</f>
        <v>38</v>
      </c>
      <c r="I39">
        <f>IF(AND(B39&gt;=DATE(2025,7,1),B39&lt;=DATE(2026,6,30)),1,0)</f>
        <v>0</v>
      </c>
      <c r="J39">
        <f>IF(B39&lt;=DATE(2026,6,30),1,0)</f>
        <v>1</v>
      </c>
      <c r="K39" t="inlineStr"/>
      <c r="L39" t="inlineStr">
        <is>
          <t>Driver</t>
        </is>
      </c>
      <c r="M39">
        <f>COUNTIFS('Asset Log'!$A$5:$A$1379,A39,'Asset Log'!$E$5:$E$1379,E39,'Asset Log'!$G$5:$G$1379,G39)</f>
        <v>1</v>
      </c>
    </row>
    <row r="40">
      <c r="A40" t="inlineStr">
        <is>
          <t>D70476</t>
        </is>
      </c>
      <c r="B40" s="11" t="n">
        <v>45789</v>
      </c>
      <c r="C40" t="inlineStr">
        <is>
          <t>S0051</t>
        </is>
      </c>
      <c r="D40" t="inlineStr">
        <is>
          <t>S0051</t>
        </is>
      </c>
      <c r="E40" t="inlineStr">
        <is>
          <t>FB</t>
        </is>
      </c>
      <c r="F40" t="n">
        <v>41</v>
      </c>
      <c r="G40" t="inlineStr">
        <is>
          <t>OUT</t>
        </is>
      </c>
      <c r="H40">
        <f>IF(G40="OUT",F40,-F40)</f>
        <v>41</v>
      </c>
      <c r="I40">
        <f>IF(AND(B40&gt;=DATE(2025,7,1),B40&lt;=DATE(2026,6,30)),1,0)</f>
        <v>0</v>
      </c>
      <c r="J40">
        <f>IF(B40&lt;=DATE(2026,6,30),1,0)</f>
        <v>1</v>
      </c>
      <c r="K40" t="inlineStr"/>
      <c r="L40" t="inlineStr">
        <is>
          <t>Yard</t>
        </is>
      </c>
      <c r="M40">
        <f>COUNTIFS('Asset Log'!$A$5:$A$1379,A40,'Asset Log'!$E$5:$E$1379,E40,'Asset Log'!$G$5:$G$1379,G40)</f>
        <v>1</v>
      </c>
    </row>
    <row r="41">
      <c r="A41" t="inlineStr">
        <is>
          <t>D71980</t>
        </is>
      </c>
      <c r="B41" s="11" t="n">
        <v>45790</v>
      </c>
      <c r="C41" t="inlineStr">
        <is>
          <t>S0210</t>
        </is>
      </c>
      <c r="D41" t="inlineStr">
        <is>
          <t>S0210</t>
        </is>
      </c>
      <c r="E41" t="inlineStr">
        <is>
          <t>FP</t>
        </is>
      </c>
      <c r="F41" t="n">
        <v>49</v>
      </c>
      <c r="G41" t="inlineStr">
        <is>
          <t>OUT</t>
        </is>
      </c>
      <c r="H41">
        <f>IF(G41="OUT",F41,-F41)</f>
        <v>49</v>
      </c>
      <c r="I41">
        <f>IF(AND(B41&gt;=DATE(2025,7,1),B41&lt;=DATE(2026,6,30)),1,0)</f>
        <v>0</v>
      </c>
      <c r="J41">
        <f>IF(B41&lt;=DATE(2026,6,30),1,0)</f>
        <v>1</v>
      </c>
      <c r="K41" t="inlineStr"/>
      <c r="L41" t="inlineStr">
        <is>
          <t>Office</t>
        </is>
      </c>
      <c r="M41">
        <f>COUNTIFS('Asset Log'!$A$5:$A$1379,A41,'Asset Log'!$E$5:$E$1379,E41,'Asset Log'!$G$5:$G$1379,G41)</f>
        <v>1</v>
      </c>
    </row>
    <row r="42">
      <c r="A42" t="inlineStr">
        <is>
          <t>D71985</t>
        </is>
      </c>
      <c r="B42" s="11" t="n">
        <v>45790</v>
      </c>
      <c r="C42" t="inlineStr">
        <is>
          <t>S0210</t>
        </is>
      </c>
      <c r="D42" t="inlineStr">
        <is>
          <t>S0210</t>
        </is>
      </c>
      <c r="E42" t="inlineStr">
        <is>
          <t>FB</t>
        </is>
      </c>
      <c r="F42" t="n">
        <v>53</v>
      </c>
      <c r="G42" t="inlineStr">
        <is>
          <t>OUT</t>
        </is>
      </c>
      <c r="H42">
        <f>IF(G42="OUT",F42,-F42)</f>
        <v>53</v>
      </c>
      <c r="I42">
        <f>IF(AND(B42&gt;=DATE(2025,7,1),B42&lt;=DATE(2026,6,30)),1,0)</f>
        <v>0</v>
      </c>
      <c r="J42">
        <f>IF(B42&lt;=DATE(2026,6,30),1,0)</f>
        <v>1</v>
      </c>
      <c r="K42" t="inlineStr"/>
      <c r="L42" t="inlineStr">
        <is>
          <t>Driver</t>
        </is>
      </c>
      <c r="M42">
        <f>COUNTIFS('Asset Log'!$A$5:$A$1379,A42,'Asset Log'!$E$5:$E$1379,E42,'Asset Log'!$G$5:$G$1379,G42)</f>
        <v>1</v>
      </c>
    </row>
    <row r="43">
      <c r="A43" t="inlineStr">
        <is>
          <t>D72046</t>
        </is>
      </c>
      <c r="B43" s="11" t="n">
        <v>45790</v>
      </c>
      <c r="C43" t="inlineStr">
        <is>
          <t>S0216</t>
        </is>
      </c>
      <c r="D43" t="inlineStr">
        <is>
          <t>S0216</t>
        </is>
      </c>
      <c r="E43" t="inlineStr">
        <is>
          <t>FP</t>
        </is>
      </c>
      <c r="F43" t="n">
        <v>102</v>
      </c>
      <c r="G43" t="inlineStr">
        <is>
          <t>OUT</t>
        </is>
      </c>
      <c r="H43">
        <f>IF(G43="OUT",F43,-F43)</f>
        <v>102</v>
      </c>
      <c r="I43">
        <f>IF(AND(B43&gt;=DATE(2025,7,1),B43&lt;=DATE(2026,6,30)),1,0)</f>
        <v>0</v>
      </c>
      <c r="J43">
        <f>IF(B43&lt;=DATE(2026,6,30),1,0)</f>
        <v>1</v>
      </c>
      <c r="K43" t="inlineStr"/>
      <c r="L43" t="inlineStr">
        <is>
          <t>Office</t>
        </is>
      </c>
      <c r="M43">
        <f>COUNTIFS('Asset Log'!$A$5:$A$1379,A43,'Asset Log'!$E$5:$E$1379,E43,'Asset Log'!$G$5:$G$1379,G43)</f>
        <v>1</v>
      </c>
    </row>
    <row r="44">
      <c r="A44" t="inlineStr">
        <is>
          <t>D72049</t>
        </is>
      </c>
      <c r="B44" s="11" t="n">
        <v>45790</v>
      </c>
      <c r="C44" t="inlineStr">
        <is>
          <t>216</t>
        </is>
      </c>
      <c r="D44" t="inlineStr">
        <is>
          <t>S0216</t>
        </is>
      </c>
      <c r="E44" t="inlineStr">
        <is>
          <t>FB</t>
        </is>
      </c>
      <c r="F44" t="n">
        <v>112</v>
      </c>
      <c r="G44" t="inlineStr">
        <is>
          <t>OUT</t>
        </is>
      </c>
      <c r="H44">
        <f>IF(G44="OUT",F44,-F44)</f>
        <v>112</v>
      </c>
      <c r="I44">
        <f>IF(AND(B44&gt;=DATE(2025,7,1),B44&lt;=DATE(2026,6,30)),1,0)</f>
        <v>0</v>
      </c>
      <c r="J44">
        <f>IF(B44&lt;=DATE(2026,6,30),1,0)</f>
        <v>1</v>
      </c>
      <c r="K44" t="inlineStr">
        <is>
          <t>Site text normalised</t>
        </is>
      </c>
      <c r="L44" t="inlineStr">
        <is>
          <t>Office</t>
        </is>
      </c>
      <c r="M44">
        <f>COUNTIFS('Asset Log'!$A$5:$A$1379,A44,'Asset Log'!$E$5:$E$1379,E44,'Asset Log'!$G$5:$G$1379,G44)</f>
        <v>1</v>
      </c>
    </row>
    <row r="45">
      <c r="A45" t="inlineStr">
        <is>
          <t>D71691</t>
        </is>
      </c>
      <c r="B45" s="11" t="n">
        <v>45791</v>
      </c>
      <c r="C45" t="inlineStr">
        <is>
          <t>S0178</t>
        </is>
      </c>
      <c r="D45" t="inlineStr">
        <is>
          <t>S0178</t>
        </is>
      </c>
      <c r="E45" t="inlineStr">
        <is>
          <t>FP</t>
        </is>
      </c>
      <c r="F45" t="n">
        <v>148</v>
      </c>
      <c r="G45" t="inlineStr">
        <is>
          <t>IN</t>
        </is>
      </c>
      <c r="H45">
        <f>IF(G45="OUT",F45,-F45)</f>
        <v>-148</v>
      </c>
      <c r="I45">
        <f>IF(AND(B45&gt;=DATE(2025,7,1),B45&lt;=DATE(2026,6,30)),1,0)</f>
        <v>0</v>
      </c>
      <c r="J45">
        <f>IF(B45&lt;=DATE(2026,6,30),1,0)</f>
        <v>1</v>
      </c>
      <c r="K45" t="inlineStr"/>
      <c r="L45" t="inlineStr">
        <is>
          <t>Yard</t>
        </is>
      </c>
      <c r="M45">
        <f>COUNTIFS('Asset Log'!$A$5:$A$1379,A45,'Asset Log'!$E$5:$E$1379,E45,'Asset Log'!$G$5:$G$1379,G45)</f>
        <v>1</v>
      </c>
    </row>
    <row r="46">
      <c r="A46" t="inlineStr">
        <is>
          <t>D71694</t>
        </is>
      </c>
      <c r="B46" s="11" t="n">
        <v>45791</v>
      </c>
      <c r="C46" t="inlineStr">
        <is>
          <t>S0178</t>
        </is>
      </c>
      <c r="D46" t="inlineStr">
        <is>
          <t>S0178</t>
        </is>
      </c>
      <c r="E46" t="inlineStr">
        <is>
          <t>FB</t>
        </is>
      </c>
      <c r="F46" t="n">
        <v>162</v>
      </c>
      <c r="G46" t="inlineStr">
        <is>
          <t>IN</t>
        </is>
      </c>
      <c r="H46">
        <f>IF(G46="OUT",F46,-F46)</f>
        <v>-162</v>
      </c>
      <c r="I46">
        <f>IF(AND(B46&gt;=DATE(2025,7,1),B46&lt;=DATE(2026,6,30)),1,0)</f>
        <v>0</v>
      </c>
      <c r="J46">
        <f>IF(B46&lt;=DATE(2026,6,30),1,0)</f>
        <v>1</v>
      </c>
      <c r="K46" t="inlineStr"/>
      <c r="L46" t="inlineStr">
        <is>
          <t>Driver</t>
        </is>
      </c>
      <c r="M46">
        <f>COUNTIFS('Asset Log'!$A$5:$A$1379,A46,'Asset Log'!$E$5:$E$1379,E46,'Asset Log'!$G$5:$G$1379,G46)</f>
        <v>1</v>
      </c>
    </row>
    <row r="47">
      <c r="A47" t="inlineStr">
        <is>
          <t>D70303</t>
        </is>
      </c>
      <c r="B47" s="11" t="n">
        <v>45792</v>
      </c>
      <c r="C47" t="inlineStr">
        <is>
          <t>S0033</t>
        </is>
      </c>
      <c r="D47" t="inlineStr">
        <is>
          <t>S0033</t>
        </is>
      </c>
      <c r="E47" t="inlineStr">
        <is>
          <t>FP</t>
        </is>
      </c>
      <c r="F47" t="n">
        <v>105</v>
      </c>
      <c r="G47" t="inlineStr">
        <is>
          <t>OUT</t>
        </is>
      </c>
      <c r="H47">
        <f>IF(G47="OUT",F47,-F47)</f>
        <v>105</v>
      </c>
      <c r="I47">
        <f>IF(AND(B47&gt;=DATE(2025,7,1),B47&lt;=DATE(2026,6,30)),1,0)</f>
        <v>0</v>
      </c>
      <c r="J47">
        <f>IF(B47&lt;=DATE(2026,6,30),1,0)</f>
        <v>1</v>
      </c>
      <c r="K47" t="inlineStr"/>
      <c r="L47" t="inlineStr">
        <is>
          <t>Office</t>
        </is>
      </c>
      <c r="M47">
        <f>COUNTIFS('Asset Log'!$A$5:$A$1379,A47,'Asset Log'!$E$5:$E$1379,E47,'Asset Log'!$G$5:$G$1379,G47)</f>
        <v>1</v>
      </c>
    </row>
    <row r="48">
      <c r="A48" t="inlineStr">
        <is>
          <t>D70307</t>
        </is>
      </c>
      <c r="B48" s="11" t="n">
        <v>45792</v>
      </c>
      <c r="C48" t="inlineStr">
        <is>
          <t>S0033</t>
        </is>
      </c>
      <c r="D48" t="inlineStr">
        <is>
          <t>S0033</t>
        </is>
      </c>
      <c r="E48" t="inlineStr">
        <is>
          <t>FB</t>
        </is>
      </c>
      <c r="F48" t="n">
        <v>115</v>
      </c>
      <c r="G48" t="inlineStr">
        <is>
          <t>OUT</t>
        </is>
      </c>
      <c r="H48">
        <f>IF(G48="OUT",F48,-F48)</f>
        <v>115</v>
      </c>
      <c r="I48">
        <f>IF(AND(B48&gt;=DATE(2025,7,1),B48&lt;=DATE(2026,6,30)),1,0)</f>
        <v>0</v>
      </c>
      <c r="J48">
        <f>IF(B48&lt;=DATE(2026,6,30),1,0)</f>
        <v>1</v>
      </c>
      <c r="K48" t="inlineStr"/>
      <c r="L48" t="inlineStr">
        <is>
          <t>Yard</t>
        </is>
      </c>
      <c r="M48">
        <f>COUNTIFS('Asset Log'!$A$5:$A$1379,A48,'Asset Log'!$E$5:$E$1379,E48,'Asset Log'!$G$5:$G$1379,G48)</f>
        <v>1</v>
      </c>
    </row>
    <row r="49">
      <c r="A49" t="inlineStr">
        <is>
          <t>D71098</t>
        </is>
      </c>
      <c r="B49" s="11" t="n">
        <v>45797</v>
      </c>
      <c r="C49" t="inlineStr">
        <is>
          <t>S0117</t>
        </is>
      </c>
      <c r="D49" t="inlineStr">
        <is>
          <t>S0117</t>
        </is>
      </c>
      <c r="E49" t="inlineStr">
        <is>
          <t>FP</t>
        </is>
      </c>
      <c r="F49" t="n">
        <v>126</v>
      </c>
      <c r="G49" t="inlineStr">
        <is>
          <t>IN</t>
        </is>
      </c>
      <c r="H49">
        <f>IF(G49="OUT",F49,-F49)</f>
        <v>-126</v>
      </c>
      <c r="I49">
        <f>IF(AND(B49&gt;=DATE(2025,7,1),B49&lt;=DATE(2026,6,30)),1,0)</f>
        <v>0</v>
      </c>
      <c r="J49">
        <f>IF(B49&lt;=DATE(2026,6,30),1,0)</f>
        <v>1</v>
      </c>
      <c r="K49" t="inlineStr"/>
      <c r="L49" t="inlineStr">
        <is>
          <t>Office</t>
        </is>
      </c>
      <c r="M49">
        <f>COUNTIFS('Asset Log'!$A$5:$A$1379,A49,'Asset Log'!$E$5:$E$1379,E49,'Asset Log'!$G$5:$G$1379,G49)</f>
        <v>1</v>
      </c>
    </row>
    <row r="50">
      <c r="A50" t="inlineStr">
        <is>
          <t>D71101</t>
        </is>
      </c>
      <c r="B50" s="11" t="n">
        <v>45797</v>
      </c>
      <c r="C50" t="inlineStr">
        <is>
          <t>S0117 Collingwood</t>
        </is>
      </c>
      <c r="D50" t="inlineStr">
        <is>
          <t>S0117</t>
        </is>
      </c>
      <c r="E50" t="inlineStr">
        <is>
          <t>FB</t>
        </is>
      </c>
      <c r="F50" t="n">
        <v>138</v>
      </c>
      <c r="G50" t="inlineStr">
        <is>
          <t>IN</t>
        </is>
      </c>
      <c r="H50">
        <f>IF(G50="OUT",F50,-F50)</f>
        <v>-138</v>
      </c>
      <c r="I50">
        <f>IF(AND(B50&gt;=DATE(2025,7,1),B50&lt;=DATE(2026,6,30)),1,0)</f>
        <v>0</v>
      </c>
      <c r="J50">
        <f>IF(B50&lt;=DATE(2026,6,30),1,0)</f>
        <v>1</v>
      </c>
      <c r="K50" t="inlineStr">
        <is>
          <t>Site text normalised</t>
        </is>
      </c>
      <c r="L50" t="inlineStr">
        <is>
          <t>Office</t>
        </is>
      </c>
      <c r="M50">
        <f>COUNTIFS('Asset Log'!$A$5:$A$1379,A50,'Asset Log'!$E$5:$E$1379,E50,'Asset Log'!$G$5:$G$1379,G50)</f>
        <v>1</v>
      </c>
    </row>
    <row r="51">
      <c r="A51" t="inlineStr">
        <is>
          <t>D71106</t>
        </is>
      </c>
      <c r="B51" s="11" t="n">
        <v>45797</v>
      </c>
      <c r="C51" t="inlineStr">
        <is>
          <t>S0117</t>
        </is>
      </c>
      <c r="D51" t="inlineStr">
        <is>
          <t>S0117</t>
        </is>
      </c>
      <c r="E51" t="inlineStr">
        <is>
          <t>BR</t>
        </is>
      </c>
      <c r="F51" t="n">
        <v>24</v>
      </c>
      <c r="G51" t="inlineStr">
        <is>
          <t>IN</t>
        </is>
      </c>
      <c r="H51">
        <f>IF(G51="OUT",F51,-F51)</f>
        <v>-24</v>
      </c>
      <c r="I51">
        <f>IF(AND(B51&gt;=DATE(2025,7,1),B51&lt;=DATE(2026,6,30)),1,0)</f>
        <v>0</v>
      </c>
      <c r="J51">
        <f>IF(B51&lt;=DATE(2026,6,30),1,0)</f>
        <v>1</v>
      </c>
      <c r="K51" t="inlineStr"/>
      <c r="L51" t="inlineStr">
        <is>
          <t>Yard</t>
        </is>
      </c>
      <c r="M51">
        <f>COUNTIFS('Asset Log'!$A$5:$A$1379,A51,'Asset Log'!$E$5:$E$1379,E51,'Asset Log'!$G$5:$G$1379,G51)</f>
        <v>1</v>
      </c>
    </row>
    <row r="52">
      <c r="A52" t="inlineStr">
        <is>
          <t>D71796</t>
        </is>
      </c>
      <c r="B52" s="11" t="n">
        <v>45799</v>
      </c>
      <c r="C52" t="inlineStr">
        <is>
          <t>s190</t>
        </is>
      </c>
      <c r="D52" t="inlineStr">
        <is>
          <t>S0190</t>
        </is>
      </c>
      <c r="E52" t="inlineStr">
        <is>
          <t>FP</t>
        </is>
      </c>
      <c r="F52" t="n">
        <v>72</v>
      </c>
      <c r="G52" t="inlineStr">
        <is>
          <t>OUT</t>
        </is>
      </c>
      <c r="H52">
        <f>IF(G52="OUT",F52,-F52)</f>
        <v>72</v>
      </c>
      <c r="I52">
        <f>IF(AND(B52&gt;=DATE(2025,7,1),B52&lt;=DATE(2026,6,30)),1,0)</f>
        <v>0</v>
      </c>
      <c r="J52">
        <f>IF(B52&lt;=DATE(2026,6,30),1,0)</f>
        <v>1</v>
      </c>
      <c r="K52" t="inlineStr">
        <is>
          <t>Site text normalised</t>
        </is>
      </c>
      <c r="L52" t="inlineStr">
        <is>
          <t>Driver</t>
        </is>
      </c>
      <c r="M52">
        <f>COUNTIFS('Asset Log'!$A$5:$A$1379,A52,'Asset Log'!$E$5:$E$1379,E52,'Asset Log'!$G$5:$G$1379,G52)</f>
        <v>1</v>
      </c>
    </row>
    <row r="53">
      <c r="A53" t="inlineStr">
        <is>
          <t>D71800</t>
        </is>
      </c>
      <c r="B53" s="11" t="n">
        <v>45799</v>
      </c>
      <c r="C53" t="inlineStr">
        <is>
          <t>S0190</t>
        </is>
      </c>
      <c r="D53" t="inlineStr">
        <is>
          <t>S0190</t>
        </is>
      </c>
      <c r="E53" t="inlineStr">
        <is>
          <t>FB</t>
        </is>
      </c>
      <c r="F53" t="n">
        <v>79</v>
      </c>
      <c r="G53" t="inlineStr">
        <is>
          <t>OUT</t>
        </is>
      </c>
      <c r="H53">
        <f>IF(G53="OUT",F53,-F53)</f>
        <v>79</v>
      </c>
      <c r="I53">
        <f>IF(AND(B53&gt;=DATE(2025,7,1),B53&lt;=DATE(2026,6,30)),1,0)</f>
        <v>0</v>
      </c>
      <c r="J53">
        <f>IF(B53&lt;=DATE(2026,6,30),1,0)</f>
        <v>1</v>
      </c>
      <c r="K53" t="inlineStr"/>
      <c r="L53" t="inlineStr">
        <is>
          <t>Driver</t>
        </is>
      </c>
      <c r="M53">
        <f>COUNTIFS('Asset Log'!$A$5:$A$1379,A53,'Asset Log'!$E$5:$E$1379,E53,'Asset Log'!$G$5:$G$1379,G53)</f>
        <v>1</v>
      </c>
    </row>
    <row r="54">
      <c r="A54" t="inlineStr">
        <is>
          <t>D71762</t>
        </is>
      </c>
      <c r="B54" s="11" t="n">
        <v>45800</v>
      </c>
      <c r="C54" t="inlineStr">
        <is>
          <t>S0186</t>
        </is>
      </c>
      <c r="D54" t="inlineStr">
        <is>
          <t>S0186</t>
        </is>
      </c>
      <c r="E54" t="inlineStr">
        <is>
          <t>FP</t>
        </is>
      </c>
      <c r="F54" t="n">
        <v>142</v>
      </c>
      <c r="G54" t="inlineStr">
        <is>
          <t>OUT</t>
        </is>
      </c>
      <c r="H54">
        <f>IF(G54="OUT",F54,-F54)</f>
        <v>142</v>
      </c>
      <c r="I54">
        <f>IF(AND(B54&gt;=DATE(2025,7,1),B54&lt;=DATE(2026,6,30)),1,0)</f>
        <v>0</v>
      </c>
      <c r="J54">
        <f>IF(B54&lt;=DATE(2026,6,30),1,0)</f>
        <v>1</v>
      </c>
      <c r="K54" t="inlineStr"/>
      <c r="L54" t="inlineStr">
        <is>
          <t>Office</t>
        </is>
      </c>
      <c r="M54">
        <f>COUNTIFS('Asset Log'!$A$5:$A$1379,A54,'Asset Log'!$E$5:$E$1379,E54,'Asset Log'!$G$5:$G$1379,G54)</f>
        <v>1</v>
      </c>
    </row>
    <row r="55">
      <c r="A55" t="inlineStr">
        <is>
          <t>D71766</t>
        </is>
      </c>
      <c r="B55" s="11" t="n">
        <v>45800</v>
      </c>
      <c r="C55" t="inlineStr">
        <is>
          <t>S0186</t>
        </is>
      </c>
      <c r="D55" t="inlineStr">
        <is>
          <t>S0186</t>
        </is>
      </c>
      <c r="E55" t="inlineStr">
        <is>
          <t>FB</t>
        </is>
      </c>
      <c r="F55" t="n">
        <v>156</v>
      </c>
      <c r="G55" t="inlineStr">
        <is>
          <t>OUT</t>
        </is>
      </c>
      <c r="H55">
        <f>IF(G55="OUT",F55,-F55)</f>
        <v>156</v>
      </c>
      <c r="I55">
        <f>IF(AND(B55&gt;=DATE(2025,7,1),B55&lt;=DATE(2026,6,30)),1,0)</f>
        <v>0</v>
      </c>
      <c r="J55">
        <f>IF(B55&lt;=DATE(2026,6,30),1,0)</f>
        <v>1</v>
      </c>
      <c r="K55" t="inlineStr"/>
      <c r="L55" t="inlineStr">
        <is>
          <t>Office</t>
        </is>
      </c>
      <c r="M55">
        <f>COUNTIFS('Asset Log'!$A$5:$A$1379,A55,'Asset Log'!$E$5:$E$1379,E55,'Asset Log'!$G$5:$G$1379,G55)</f>
        <v>1</v>
      </c>
    </row>
    <row r="56">
      <c r="A56" t="inlineStr">
        <is>
          <t>D71116</t>
        </is>
      </c>
      <c r="B56" s="11" t="n">
        <v>45804</v>
      </c>
      <c r="C56" t="inlineStr">
        <is>
          <t>S0119</t>
        </is>
      </c>
      <c r="D56" t="inlineStr">
        <is>
          <t>S0119</t>
        </is>
      </c>
      <c r="E56" t="inlineStr">
        <is>
          <t>FP</t>
        </is>
      </c>
      <c r="F56" t="n">
        <v>86</v>
      </c>
      <c r="G56" t="inlineStr">
        <is>
          <t>OUT</t>
        </is>
      </c>
      <c r="H56">
        <f>IF(G56="OUT",F56,-F56)</f>
        <v>86</v>
      </c>
      <c r="I56">
        <f>IF(AND(B56&gt;=DATE(2025,7,1),B56&lt;=DATE(2026,6,30)),1,0)</f>
        <v>0</v>
      </c>
      <c r="J56">
        <f>IF(B56&lt;=DATE(2026,6,30),1,0)</f>
        <v>1</v>
      </c>
      <c r="K56" t="inlineStr"/>
      <c r="L56" t="inlineStr">
        <is>
          <t>Driver</t>
        </is>
      </c>
      <c r="M56">
        <f>COUNTIFS('Asset Log'!$A$5:$A$1379,A56,'Asset Log'!$E$5:$E$1379,E56,'Asset Log'!$G$5:$G$1379,G56)</f>
        <v>1</v>
      </c>
    </row>
    <row r="57">
      <c r="A57" t="inlineStr">
        <is>
          <t>D71120</t>
        </is>
      </c>
      <c r="B57" s="11" t="n">
        <v>45804</v>
      </c>
      <c r="C57" t="inlineStr">
        <is>
          <t>S0119</t>
        </is>
      </c>
      <c r="D57" t="inlineStr">
        <is>
          <t>S0119</t>
        </is>
      </c>
      <c r="E57" t="inlineStr">
        <is>
          <t>FB</t>
        </is>
      </c>
      <c r="F57" t="n">
        <v>94</v>
      </c>
      <c r="G57" t="inlineStr">
        <is>
          <t>OUT</t>
        </is>
      </c>
      <c r="H57">
        <f>IF(G57="OUT",F57,-F57)</f>
        <v>94</v>
      </c>
      <c r="I57">
        <f>IF(AND(B57&gt;=DATE(2025,7,1),B57&lt;=DATE(2026,6,30)),1,0)</f>
        <v>0</v>
      </c>
      <c r="J57">
        <f>IF(B57&lt;=DATE(2026,6,30),1,0)</f>
        <v>1</v>
      </c>
      <c r="K57" t="inlineStr"/>
      <c r="L57" t="inlineStr">
        <is>
          <t>Yard</t>
        </is>
      </c>
      <c r="M57">
        <f>COUNTIFS('Asset Log'!$A$5:$A$1379,A57,'Asset Log'!$E$5:$E$1379,E57,'Asset Log'!$G$5:$G$1379,G57)</f>
        <v>1</v>
      </c>
    </row>
    <row r="58">
      <c r="A58" t="inlineStr">
        <is>
          <t>D71123</t>
        </is>
      </c>
      <c r="B58" s="11" t="n">
        <v>45804</v>
      </c>
      <c r="C58" t="inlineStr">
        <is>
          <t>119</t>
        </is>
      </c>
      <c r="D58" t="inlineStr">
        <is>
          <t>S0119</t>
        </is>
      </c>
      <c r="E58" t="inlineStr">
        <is>
          <t>BR</t>
        </is>
      </c>
      <c r="F58" t="n">
        <v>14</v>
      </c>
      <c r="G58" t="inlineStr">
        <is>
          <t>OUT</t>
        </is>
      </c>
      <c r="H58">
        <f>IF(G58="OUT",F58,-F58)</f>
        <v>14</v>
      </c>
      <c r="I58">
        <f>IF(AND(B58&gt;=DATE(2025,7,1),B58&lt;=DATE(2026,6,30)),1,0)</f>
        <v>0</v>
      </c>
      <c r="J58">
        <f>IF(B58&lt;=DATE(2026,6,30),1,0)</f>
        <v>1</v>
      </c>
      <c r="K58" t="inlineStr">
        <is>
          <t>Site text normalised</t>
        </is>
      </c>
      <c r="L58" t="inlineStr">
        <is>
          <t>Driver</t>
        </is>
      </c>
      <c r="M58">
        <f>COUNTIFS('Asset Log'!$A$5:$A$1379,A58,'Asset Log'!$E$5:$E$1379,E58,'Asset Log'!$G$5:$G$1379,G58)</f>
        <v>1</v>
      </c>
    </row>
    <row r="59">
      <c r="A59" t="inlineStr">
        <is>
          <t>D71232</t>
        </is>
      </c>
      <c r="B59" s="11" t="n">
        <v>45804</v>
      </c>
      <c r="C59" t="inlineStr">
        <is>
          <t>S0128</t>
        </is>
      </c>
      <c r="D59" t="inlineStr">
        <is>
          <t>S0128</t>
        </is>
      </c>
      <c r="E59" t="inlineStr">
        <is>
          <t>FP</t>
        </is>
      </c>
      <c r="F59" t="n">
        <v>12</v>
      </c>
      <c r="G59" t="inlineStr">
        <is>
          <t>IN</t>
        </is>
      </c>
      <c r="H59">
        <f>IF(G59="OUT",F59,-F59)</f>
        <v>-12</v>
      </c>
      <c r="I59">
        <f>IF(AND(B59&gt;=DATE(2025,7,1),B59&lt;=DATE(2026,6,30)),1,0)</f>
        <v>0</v>
      </c>
      <c r="J59">
        <f>IF(B59&lt;=DATE(2026,6,30),1,0)</f>
        <v>1</v>
      </c>
      <c r="K59" t="inlineStr"/>
      <c r="L59" t="inlineStr">
        <is>
          <t>Office</t>
        </is>
      </c>
      <c r="M59">
        <f>COUNTIFS('Asset Log'!$A$5:$A$1379,A59,'Asset Log'!$E$5:$E$1379,E59,'Asset Log'!$G$5:$G$1379,G59)</f>
        <v>1</v>
      </c>
    </row>
    <row r="60">
      <c r="A60" t="inlineStr">
        <is>
          <t>D71235</t>
        </is>
      </c>
      <c r="B60" s="11" t="n">
        <v>45804</v>
      </c>
      <c r="C60" t="inlineStr">
        <is>
          <t>s128</t>
        </is>
      </c>
      <c r="D60" t="inlineStr">
        <is>
          <t>S0128</t>
        </is>
      </c>
      <c r="E60" t="inlineStr">
        <is>
          <t>FB</t>
        </is>
      </c>
      <c r="F60" t="n">
        <v>13</v>
      </c>
      <c r="G60" t="inlineStr">
        <is>
          <t>IN</t>
        </is>
      </c>
      <c r="H60">
        <f>IF(G60="OUT",F60,-F60)</f>
        <v>-13</v>
      </c>
      <c r="I60">
        <f>IF(AND(B60&gt;=DATE(2025,7,1),B60&lt;=DATE(2026,6,30)),1,0)</f>
        <v>0</v>
      </c>
      <c r="J60">
        <f>IF(B60&lt;=DATE(2026,6,30),1,0)</f>
        <v>1</v>
      </c>
      <c r="K60" t="inlineStr">
        <is>
          <t>Site text normalised</t>
        </is>
      </c>
      <c r="L60" t="inlineStr">
        <is>
          <t>Yard</t>
        </is>
      </c>
      <c r="M60">
        <f>COUNTIFS('Asset Log'!$A$5:$A$1379,A60,'Asset Log'!$E$5:$E$1379,E60,'Asset Log'!$G$5:$G$1379,G60)</f>
        <v>1</v>
      </c>
    </row>
    <row r="61">
      <c r="A61" t="inlineStr">
        <is>
          <t>D72380</t>
        </is>
      </c>
      <c r="B61" s="11" t="n">
        <v>45804</v>
      </c>
      <c r="C61" t="inlineStr">
        <is>
          <t>s277</t>
        </is>
      </c>
      <c r="D61" t="inlineStr">
        <is>
          <t>S0277</t>
        </is>
      </c>
      <c r="E61" t="inlineStr">
        <is>
          <t>ST</t>
        </is>
      </c>
      <c r="F61" t="n">
        <v>1</v>
      </c>
      <c r="G61" t="inlineStr">
        <is>
          <t>OUT</t>
        </is>
      </c>
      <c r="H61">
        <f>IF(G61="OUT",F61,-F61)</f>
        <v>1</v>
      </c>
      <c r="I61">
        <f>IF(AND(B61&gt;=DATE(2025,7,1),B61&lt;=DATE(2026,6,30)),1,0)</f>
        <v>0</v>
      </c>
      <c r="J61">
        <f>IF(B61&lt;=DATE(2026,6,30),1,0)</f>
        <v>1</v>
      </c>
      <c r="K61" t="inlineStr">
        <is>
          <t>Site text normalised</t>
        </is>
      </c>
      <c r="L61" t="inlineStr">
        <is>
          <t>Yard</t>
        </is>
      </c>
      <c r="M61">
        <f>COUNTIFS('Asset Log'!$A$5:$A$1379,A61,'Asset Log'!$E$5:$E$1379,E61,'Asset Log'!$G$5:$G$1379,G61)</f>
        <v>1</v>
      </c>
    </row>
    <row r="62">
      <c r="A62" t="inlineStr">
        <is>
          <t>D71471</t>
        </is>
      </c>
      <c r="B62" s="11" t="n">
        <v>45806</v>
      </c>
      <c r="C62" t="inlineStr">
        <is>
          <t>154</t>
        </is>
      </c>
      <c r="D62" t="inlineStr">
        <is>
          <t>S0154</t>
        </is>
      </c>
      <c r="E62" t="inlineStr">
        <is>
          <t>FP</t>
        </is>
      </c>
      <c r="F62" t="n">
        <v>57</v>
      </c>
      <c r="G62" t="inlineStr">
        <is>
          <t>OUT</t>
        </is>
      </c>
      <c r="H62">
        <f>IF(G62="OUT",F62,-F62)</f>
        <v>57</v>
      </c>
      <c r="I62">
        <f>IF(AND(B62&gt;=DATE(2025,7,1),B62&lt;=DATE(2026,6,30)),1,0)</f>
        <v>0</v>
      </c>
      <c r="J62">
        <f>IF(B62&lt;=DATE(2026,6,30),1,0)</f>
        <v>1</v>
      </c>
      <c r="K62" t="inlineStr">
        <is>
          <t>Site text normalised</t>
        </is>
      </c>
      <c r="L62" t="inlineStr">
        <is>
          <t>Office</t>
        </is>
      </c>
      <c r="M62">
        <f>COUNTIFS('Asset Log'!$A$5:$A$1379,A62,'Asset Log'!$E$5:$E$1379,E62,'Asset Log'!$G$5:$G$1379,G62)</f>
        <v>1</v>
      </c>
    </row>
    <row r="63">
      <c r="A63" t="inlineStr">
        <is>
          <t>D71478</t>
        </is>
      </c>
      <c r="B63" s="11" t="n">
        <v>45806</v>
      </c>
      <c r="C63" t="inlineStr">
        <is>
          <t>s154</t>
        </is>
      </c>
      <c r="D63" t="inlineStr">
        <is>
          <t>S0154</t>
        </is>
      </c>
      <c r="E63" t="inlineStr">
        <is>
          <t>FB</t>
        </is>
      </c>
      <c r="F63" t="n">
        <v>62</v>
      </c>
      <c r="G63" t="inlineStr">
        <is>
          <t>OUT</t>
        </is>
      </c>
      <c r="H63">
        <f>IF(G63="OUT",F63,-F63)</f>
        <v>62</v>
      </c>
      <c r="I63">
        <f>IF(AND(B63&gt;=DATE(2025,7,1),B63&lt;=DATE(2026,6,30)),1,0)</f>
        <v>0</v>
      </c>
      <c r="J63">
        <f>IF(B63&lt;=DATE(2026,6,30),1,0)</f>
        <v>1</v>
      </c>
      <c r="K63" t="inlineStr">
        <is>
          <t>Site text normalised</t>
        </is>
      </c>
      <c r="L63" t="inlineStr">
        <is>
          <t>Office</t>
        </is>
      </c>
      <c r="M63">
        <f>COUNTIFS('Asset Log'!$A$5:$A$1379,A63,'Asset Log'!$E$5:$E$1379,E63,'Asset Log'!$G$5:$G$1379,G63)</f>
        <v>1</v>
      </c>
    </row>
    <row r="64">
      <c r="A64" t="inlineStr">
        <is>
          <t>D71787</t>
        </is>
      </c>
      <c r="B64" s="11" t="n">
        <v>45806</v>
      </c>
      <c r="C64" t="inlineStr">
        <is>
          <t>S0189</t>
        </is>
      </c>
      <c r="D64" t="inlineStr">
        <is>
          <t>S0189</t>
        </is>
      </c>
      <c r="E64" t="inlineStr">
        <is>
          <t>FP</t>
        </is>
      </c>
      <c r="F64" t="n">
        <v>73</v>
      </c>
      <c r="G64" t="inlineStr">
        <is>
          <t>IN</t>
        </is>
      </c>
      <c r="H64">
        <f>IF(G64="OUT",F64,-F64)</f>
        <v>-73</v>
      </c>
      <c r="I64">
        <f>IF(AND(B64&gt;=DATE(2025,7,1),B64&lt;=DATE(2026,6,30)),1,0)</f>
        <v>0</v>
      </c>
      <c r="J64">
        <f>IF(B64&lt;=DATE(2026,6,30),1,0)</f>
        <v>1</v>
      </c>
      <c r="K64" t="inlineStr"/>
      <c r="L64" t="inlineStr">
        <is>
          <t>Office</t>
        </is>
      </c>
      <c r="M64">
        <f>COUNTIFS('Asset Log'!$A$5:$A$1379,A64,'Asset Log'!$E$5:$E$1379,E64,'Asset Log'!$G$5:$G$1379,G64)</f>
        <v>1</v>
      </c>
    </row>
    <row r="65">
      <c r="A65" t="inlineStr">
        <is>
          <t>D71793</t>
        </is>
      </c>
      <c r="B65" s="11" t="n">
        <v>45806</v>
      </c>
      <c r="C65" t="inlineStr">
        <is>
          <t>S0189</t>
        </is>
      </c>
      <c r="D65" t="inlineStr">
        <is>
          <t>S0189</t>
        </is>
      </c>
      <c r="E65" t="inlineStr">
        <is>
          <t>FB</t>
        </is>
      </c>
      <c r="F65" t="n">
        <v>86</v>
      </c>
      <c r="G65" t="inlineStr">
        <is>
          <t>IN</t>
        </is>
      </c>
      <c r="H65">
        <f>IF(G65="OUT",F65,-F65)</f>
        <v>-86</v>
      </c>
      <c r="I65">
        <f>IF(AND(B65&gt;=DATE(2025,7,1),B65&lt;=DATE(2026,6,30)),1,0)</f>
        <v>0</v>
      </c>
      <c r="J65">
        <f>IF(B65&lt;=DATE(2026,6,30),1,0)</f>
        <v>1</v>
      </c>
      <c r="K65" t="inlineStr"/>
      <c r="L65" t="inlineStr">
        <is>
          <t>Office</t>
        </is>
      </c>
      <c r="M65">
        <f>COUNTIFS('Asset Log'!$A$5:$A$1379,A65,'Asset Log'!$E$5:$E$1379,E65,'Asset Log'!$G$5:$G$1379,G65)</f>
        <v>1</v>
      </c>
    </row>
    <row r="66">
      <c r="A66" t="inlineStr">
        <is>
          <t>D71794</t>
        </is>
      </c>
      <c r="B66" s="11" t="n">
        <v>45806</v>
      </c>
      <c r="C66" t="inlineStr">
        <is>
          <t>S0189</t>
        </is>
      </c>
      <c r="D66" t="inlineStr">
        <is>
          <t>S0189</t>
        </is>
      </c>
      <c r="E66" t="inlineStr">
        <is>
          <t>FP</t>
        </is>
      </c>
      <c r="F66" t="n">
        <v>6</v>
      </c>
      <c r="G66" t="inlineStr">
        <is>
          <t>LOST</t>
        </is>
      </c>
      <c r="H66">
        <f>IF(G66="OUT",F66,-F66)</f>
        <v>-6</v>
      </c>
      <c r="I66">
        <f>IF(AND(B66&gt;=DATE(2025,7,1),B66&lt;=DATE(2026,6,30)),1,0)</f>
        <v>0</v>
      </c>
      <c r="J66">
        <f>IF(B66&lt;=DATE(2026,6,30),1,0)</f>
        <v>1</v>
      </c>
      <c r="K66" t="inlineStr"/>
      <c r="L66" t="inlineStr">
        <is>
          <t>Office</t>
        </is>
      </c>
      <c r="M66">
        <f>COUNTIFS('Asset Log'!$A$5:$A$1379,A66,'Asset Log'!$E$5:$E$1379,E66,'Asset Log'!$G$5:$G$1379,G66)</f>
        <v>1</v>
      </c>
    </row>
    <row r="67">
      <c r="A67" t="inlineStr">
        <is>
          <t>D70296</t>
        </is>
      </c>
      <c r="B67" s="11" t="n">
        <v>45807</v>
      </c>
      <c r="C67" t="inlineStr">
        <is>
          <t>s032</t>
        </is>
      </c>
      <c r="D67" t="inlineStr">
        <is>
          <t>S0032</t>
        </is>
      </c>
      <c r="E67" t="inlineStr">
        <is>
          <t>FP</t>
        </is>
      </c>
      <c r="F67" t="n">
        <v>50</v>
      </c>
      <c r="G67" t="inlineStr">
        <is>
          <t>IN</t>
        </is>
      </c>
      <c r="H67">
        <f>IF(G67="OUT",F67,-F67)</f>
        <v>-50</v>
      </c>
      <c r="I67">
        <f>IF(AND(B67&gt;=DATE(2025,7,1),B67&lt;=DATE(2026,6,30)),1,0)</f>
        <v>0</v>
      </c>
      <c r="J67">
        <f>IF(B67&lt;=DATE(2026,6,30),1,0)</f>
        <v>1</v>
      </c>
      <c r="K67" t="inlineStr">
        <is>
          <t>Site text normalised</t>
        </is>
      </c>
      <c r="L67" t="inlineStr">
        <is>
          <t>Office</t>
        </is>
      </c>
      <c r="M67">
        <f>COUNTIFS('Asset Log'!$A$5:$A$1379,A67,'Asset Log'!$E$5:$E$1379,E67,'Asset Log'!$G$5:$G$1379,G67)</f>
        <v>1</v>
      </c>
    </row>
    <row r="68">
      <c r="A68" t="inlineStr">
        <is>
          <t>D70302</t>
        </is>
      </c>
      <c r="B68" s="11" t="n">
        <v>45807</v>
      </c>
      <c r="C68" t="inlineStr">
        <is>
          <t>S0032</t>
        </is>
      </c>
      <c r="D68" t="inlineStr">
        <is>
          <t>S0032</t>
        </is>
      </c>
      <c r="E68" t="inlineStr">
        <is>
          <t>FB</t>
        </is>
      </c>
      <c r="F68" t="n">
        <v>55</v>
      </c>
      <c r="G68" t="inlineStr">
        <is>
          <t>IN</t>
        </is>
      </c>
      <c r="H68">
        <f>IF(G68="OUT",F68,-F68)</f>
        <v>-55</v>
      </c>
      <c r="I68">
        <f>IF(AND(B68&gt;=DATE(2025,7,1),B68&lt;=DATE(2026,6,30)),1,0)</f>
        <v>0</v>
      </c>
      <c r="J68">
        <f>IF(B68&lt;=DATE(2026,6,30),1,0)</f>
        <v>1</v>
      </c>
      <c r="K68" t="inlineStr"/>
      <c r="L68" t="inlineStr">
        <is>
          <t>Driver</t>
        </is>
      </c>
      <c r="M68">
        <f>COUNTIFS('Asset Log'!$A$5:$A$1379,A68,'Asset Log'!$E$5:$E$1379,E68,'Asset Log'!$G$5:$G$1379,G68)</f>
        <v>1</v>
      </c>
    </row>
    <row r="69">
      <c r="A69" t="inlineStr">
        <is>
          <t>D72140</t>
        </is>
      </c>
      <c r="B69" s="11" t="n">
        <v>45809</v>
      </c>
      <c r="C69" t="inlineStr">
        <is>
          <t>S0227 Craigieburn</t>
        </is>
      </c>
      <c r="D69" t="inlineStr">
        <is>
          <t>S0227</t>
        </is>
      </c>
      <c r="E69" t="inlineStr">
        <is>
          <t>FP</t>
        </is>
      </c>
      <c r="F69" t="n">
        <v>62</v>
      </c>
      <c r="G69" t="inlineStr">
        <is>
          <t>OUT</t>
        </is>
      </c>
      <c r="H69">
        <f>IF(G69="OUT",F69,-F69)</f>
        <v>62</v>
      </c>
      <c r="I69">
        <f>IF(AND(B69&gt;=DATE(2025,7,1),B69&lt;=DATE(2026,6,30)),1,0)</f>
        <v>0</v>
      </c>
      <c r="J69">
        <f>IF(B69&lt;=DATE(2026,6,30),1,0)</f>
        <v>1</v>
      </c>
      <c r="K69" t="inlineStr">
        <is>
          <t>Site text normalised</t>
        </is>
      </c>
      <c r="L69" t="inlineStr">
        <is>
          <t>Office</t>
        </is>
      </c>
      <c r="M69">
        <f>COUNTIFS('Asset Log'!$A$5:$A$1379,A69,'Asset Log'!$E$5:$E$1379,E69,'Asset Log'!$G$5:$G$1379,G69)</f>
        <v>1</v>
      </c>
    </row>
    <row r="70">
      <c r="A70" t="inlineStr">
        <is>
          <t>D72146</t>
        </is>
      </c>
      <c r="B70" s="11" t="n">
        <v>45809</v>
      </c>
      <c r="C70" t="inlineStr">
        <is>
          <t>S0227</t>
        </is>
      </c>
      <c r="D70" t="inlineStr">
        <is>
          <t>S0227</t>
        </is>
      </c>
      <c r="E70" t="inlineStr">
        <is>
          <t>FB</t>
        </is>
      </c>
      <c r="F70" t="n">
        <v>68</v>
      </c>
      <c r="G70" t="inlineStr">
        <is>
          <t>OUT</t>
        </is>
      </c>
      <c r="H70">
        <f>IF(G70="OUT",F70,-F70)</f>
        <v>68</v>
      </c>
      <c r="I70">
        <f>IF(AND(B70&gt;=DATE(2025,7,1),B70&lt;=DATE(2026,6,30)),1,0)</f>
        <v>0</v>
      </c>
      <c r="J70">
        <f>IF(B70&lt;=DATE(2026,6,30),1,0)</f>
        <v>1</v>
      </c>
      <c r="K70" t="inlineStr"/>
      <c r="L70" t="inlineStr">
        <is>
          <t>Office</t>
        </is>
      </c>
      <c r="M70">
        <f>COUNTIFS('Asset Log'!$A$5:$A$1379,A70,'Asset Log'!$E$5:$E$1379,E70,'Asset Log'!$G$5:$G$1379,G70)</f>
        <v>1</v>
      </c>
    </row>
    <row r="71">
      <c r="A71" t="inlineStr">
        <is>
          <t>D70131</t>
        </is>
      </c>
      <c r="B71" s="11" t="n">
        <v>45812</v>
      </c>
      <c r="C71" t="inlineStr">
        <is>
          <t>S0015</t>
        </is>
      </c>
      <c r="D71" t="inlineStr">
        <is>
          <t>S0015</t>
        </is>
      </c>
      <c r="E71" t="inlineStr">
        <is>
          <t>FP</t>
        </is>
      </c>
      <c r="F71" t="n">
        <v>14</v>
      </c>
      <c r="G71" t="inlineStr">
        <is>
          <t>IN</t>
        </is>
      </c>
      <c r="H71">
        <f>IF(G71="OUT",F71,-F71)</f>
        <v>-14</v>
      </c>
      <c r="I71">
        <f>IF(AND(B71&gt;=DATE(2025,7,1),B71&lt;=DATE(2026,6,30)),1,0)</f>
        <v>0</v>
      </c>
      <c r="J71">
        <f>IF(B71&lt;=DATE(2026,6,30),1,0)</f>
        <v>1</v>
      </c>
      <c r="K71" t="inlineStr"/>
      <c r="L71" t="inlineStr">
        <is>
          <t>Office</t>
        </is>
      </c>
      <c r="M71">
        <f>COUNTIFS('Asset Log'!$A$5:$A$1379,A71,'Asset Log'!$E$5:$E$1379,E71,'Asset Log'!$G$5:$G$1379,G71)</f>
        <v>1</v>
      </c>
    </row>
    <row r="72">
      <c r="A72" t="inlineStr">
        <is>
          <t>D70135</t>
        </is>
      </c>
      <c r="B72" s="11" t="n">
        <v>45812</v>
      </c>
      <c r="C72" t="inlineStr">
        <is>
          <t>S0015</t>
        </is>
      </c>
      <c r="D72" t="inlineStr">
        <is>
          <t>S0015</t>
        </is>
      </c>
      <c r="E72" t="inlineStr">
        <is>
          <t>FB</t>
        </is>
      </c>
      <c r="F72" t="n">
        <v>15</v>
      </c>
      <c r="G72" t="inlineStr">
        <is>
          <t>IN</t>
        </is>
      </c>
      <c r="H72">
        <f>IF(G72="OUT",F72,-F72)</f>
        <v>-15</v>
      </c>
      <c r="I72">
        <f>IF(AND(B72&gt;=DATE(2025,7,1),B72&lt;=DATE(2026,6,30)),1,0)</f>
        <v>0</v>
      </c>
      <c r="J72">
        <f>IF(B72&lt;=DATE(2026,6,30),1,0)</f>
        <v>1</v>
      </c>
      <c r="K72" t="inlineStr"/>
      <c r="L72" t="inlineStr">
        <is>
          <t>Office</t>
        </is>
      </c>
      <c r="M72">
        <f>COUNTIFS('Asset Log'!$A$5:$A$1379,A72,'Asset Log'!$E$5:$E$1379,E72,'Asset Log'!$G$5:$G$1379,G72)</f>
        <v>1</v>
      </c>
    </row>
    <row r="73">
      <c r="A73" t="inlineStr">
        <is>
          <t>D70142</t>
        </is>
      </c>
      <c r="B73" s="11" t="n">
        <v>45813</v>
      </c>
      <c r="C73" t="inlineStr">
        <is>
          <t>S0017</t>
        </is>
      </c>
      <c r="D73" t="inlineStr">
        <is>
          <t>S0017</t>
        </is>
      </c>
      <c r="E73" t="inlineStr">
        <is>
          <t>FP</t>
        </is>
      </c>
      <c r="F73" t="n">
        <v>107</v>
      </c>
      <c r="G73" t="inlineStr">
        <is>
          <t>OUT</t>
        </is>
      </c>
      <c r="H73">
        <f>IF(G73="OUT",F73,-F73)</f>
        <v>107</v>
      </c>
      <c r="I73">
        <f>IF(AND(B73&gt;=DATE(2025,7,1),B73&lt;=DATE(2026,6,30)),1,0)</f>
        <v>0</v>
      </c>
      <c r="J73">
        <f>IF(B73&lt;=DATE(2026,6,30),1,0)</f>
        <v>1</v>
      </c>
      <c r="K73" t="inlineStr"/>
      <c r="L73" t="inlineStr">
        <is>
          <t>Office</t>
        </is>
      </c>
      <c r="M73">
        <f>COUNTIFS('Asset Log'!$A$5:$A$1379,A73,'Asset Log'!$E$5:$E$1379,E73,'Asset Log'!$G$5:$G$1379,G73)</f>
        <v>1</v>
      </c>
    </row>
    <row r="74">
      <c r="A74" t="inlineStr">
        <is>
          <t>D70146</t>
        </is>
      </c>
      <c r="B74" s="11" t="n">
        <v>45813</v>
      </c>
      <c r="C74" t="inlineStr">
        <is>
          <t>S0017</t>
        </is>
      </c>
      <c r="D74" t="inlineStr">
        <is>
          <t>S0017</t>
        </is>
      </c>
      <c r="E74" t="inlineStr">
        <is>
          <t>FB</t>
        </is>
      </c>
      <c r="F74" t="n">
        <v>117</v>
      </c>
      <c r="G74" t="inlineStr">
        <is>
          <t>OUT</t>
        </is>
      </c>
      <c r="H74">
        <f>IF(G74="OUT",F74,-F74)</f>
        <v>117</v>
      </c>
      <c r="I74">
        <f>IF(AND(B74&gt;=DATE(2025,7,1),B74&lt;=DATE(2026,6,30)),1,0)</f>
        <v>0</v>
      </c>
      <c r="J74">
        <f>IF(B74&lt;=DATE(2026,6,30),1,0)</f>
        <v>1</v>
      </c>
      <c r="K74" t="inlineStr"/>
      <c r="L74" t="inlineStr">
        <is>
          <t>Driver</t>
        </is>
      </c>
      <c r="M74">
        <f>COUNTIFS('Asset Log'!$A$5:$A$1379,A74,'Asset Log'!$E$5:$E$1379,E74,'Asset Log'!$G$5:$G$1379,G74)</f>
        <v>1</v>
      </c>
    </row>
    <row r="75">
      <c r="A75" t="inlineStr">
        <is>
          <t>D70345</t>
        </is>
      </c>
      <c r="B75" s="11" t="n">
        <v>45814</v>
      </c>
      <c r="C75" t="inlineStr">
        <is>
          <t>S0037</t>
        </is>
      </c>
      <c r="D75" t="inlineStr">
        <is>
          <t>S0037</t>
        </is>
      </c>
      <c r="E75" t="inlineStr">
        <is>
          <t>FP</t>
        </is>
      </c>
      <c r="F75" t="n">
        <v>132</v>
      </c>
      <c r="G75" t="inlineStr">
        <is>
          <t>OUT</t>
        </is>
      </c>
      <c r="H75">
        <f>IF(G75="OUT",F75,-F75)</f>
        <v>132</v>
      </c>
      <c r="I75">
        <f>IF(AND(B75&gt;=DATE(2025,7,1),B75&lt;=DATE(2026,6,30)),1,0)</f>
        <v>0</v>
      </c>
      <c r="J75">
        <f>IF(B75&lt;=DATE(2026,6,30),1,0)</f>
        <v>1</v>
      </c>
      <c r="K75" t="inlineStr"/>
      <c r="L75" t="inlineStr">
        <is>
          <t>Office</t>
        </is>
      </c>
      <c r="M75">
        <f>COUNTIFS('Asset Log'!$A$5:$A$1379,A75,'Asset Log'!$E$5:$E$1379,E75,'Asset Log'!$G$5:$G$1379,G75)</f>
        <v>1</v>
      </c>
    </row>
    <row r="76">
      <c r="A76" t="inlineStr">
        <is>
          <t>D70348</t>
        </is>
      </c>
      <c r="B76" s="11" t="n">
        <v>45814</v>
      </c>
      <c r="C76" t="inlineStr">
        <is>
          <t>S0037</t>
        </is>
      </c>
      <c r="D76" t="inlineStr">
        <is>
          <t>S0037</t>
        </is>
      </c>
      <c r="E76" t="inlineStr">
        <is>
          <t>FB</t>
        </is>
      </c>
      <c r="F76" t="n">
        <v>145</v>
      </c>
      <c r="G76" t="inlineStr">
        <is>
          <t>OUT</t>
        </is>
      </c>
      <c r="H76">
        <f>IF(G76="OUT",F76,-F76)</f>
        <v>145</v>
      </c>
      <c r="I76">
        <f>IF(AND(B76&gt;=DATE(2025,7,1),B76&lt;=DATE(2026,6,30)),1,0)</f>
        <v>0</v>
      </c>
      <c r="J76">
        <f>IF(B76&lt;=DATE(2026,6,30),1,0)</f>
        <v>1</v>
      </c>
      <c r="K76" t="inlineStr"/>
      <c r="L76" t="inlineStr">
        <is>
          <t>Driver</t>
        </is>
      </c>
      <c r="M76">
        <f>COUNTIFS('Asset Log'!$A$5:$A$1379,A76,'Asset Log'!$E$5:$E$1379,E76,'Asset Log'!$G$5:$G$1379,G76)</f>
        <v>1</v>
      </c>
    </row>
    <row r="77">
      <c r="A77" t="inlineStr">
        <is>
          <t>D71427</t>
        </is>
      </c>
      <c r="B77" s="11" t="n">
        <v>45816</v>
      </c>
      <c r="C77" t="inlineStr">
        <is>
          <t>150</t>
        </is>
      </c>
      <c r="D77" t="inlineStr">
        <is>
          <t>S0150</t>
        </is>
      </c>
      <c r="E77" t="inlineStr">
        <is>
          <t>FP</t>
        </is>
      </c>
      <c r="F77" t="n">
        <v>23</v>
      </c>
      <c r="G77" t="inlineStr">
        <is>
          <t>OUT</t>
        </is>
      </c>
      <c r="H77">
        <f>IF(G77="OUT",F77,-F77)</f>
        <v>23</v>
      </c>
      <c r="I77">
        <f>IF(AND(B77&gt;=DATE(2025,7,1),B77&lt;=DATE(2026,6,30)),1,0)</f>
        <v>0</v>
      </c>
      <c r="J77">
        <f>IF(B77&lt;=DATE(2026,6,30),1,0)</f>
        <v>1</v>
      </c>
      <c r="K77" t="inlineStr">
        <is>
          <t>Site text normalised</t>
        </is>
      </c>
      <c r="L77" t="inlineStr">
        <is>
          <t>Office</t>
        </is>
      </c>
      <c r="M77">
        <f>COUNTIFS('Asset Log'!$A$5:$A$1379,A77,'Asset Log'!$E$5:$E$1379,E77,'Asset Log'!$G$5:$G$1379,G77)</f>
        <v>1</v>
      </c>
    </row>
    <row r="78">
      <c r="A78" t="inlineStr">
        <is>
          <t>D71432</t>
        </is>
      </c>
      <c r="B78" s="11" t="n">
        <v>45816</v>
      </c>
      <c r="C78" t="inlineStr">
        <is>
          <t>S0150</t>
        </is>
      </c>
      <c r="D78" t="inlineStr">
        <is>
          <t>S0150</t>
        </is>
      </c>
      <c r="E78" t="inlineStr">
        <is>
          <t>FB</t>
        </is>
      </c>
      <c r="F78" t="n">
        <v>25</v>
      </c>
      <c r="G78" t="inlineStr">
        <is>
          <t>OUT</t>
        </is>
      </c>
      <c r="H78">
        <f>IF(G78="OUT",F78,-F78)</f>
        <v>25</v>
      </c>
      <c r="I78">
        <f>IF(AND(B78&gt;=DATE(2025,7,1),B78&lt;=DATE(2026,6,30)),1,0)</f>
        <v>0</v>
      </c>
      <c r="J78">
        <f>IF(B78&lt;=DATE(2026,6,30),1,0)</f>
        <v>1</v>
      </c>
      <c r="K78" t="inlineStr"/>
      <c r="L78" t="inlineStr">
        <is>
          <t>Office</t>
        </is>
      </c>
      <c r="M78">
        <f>COUNTIFS('Asset Log'!$A$5:$A$1379,A78,'Asset Log'!$E$5:$E$1379,E78,'Asset Log'!$G$5:$G$1379,G78)</f>
        <v>1</v>
      </c>
    </row>
    <row r="79">
      <c r="A79" t="inlineStr">
        <is>
          <t>D71434</t>
        </is>
      </c>
      <c r="B79" s="11" t="n">
        <v>45816</v>
      </c>
      <c r="C79" t="inlineStr">
        <is>
          <t>s150</t>
        </is>
      </c>
      <c r="D79" t="inlineStr">
        <is>
          <t>S0150</t>
        </is>
      </c>
      <c r="E79" t="inlineStr">
        <is>
          <t>BR</t>
        </is>
      </c>
      <c r="F79" t="n">
        <v>10</v>
      </c>
      <c r="G79" t="inlineStr">
        <is>
          <t>OUT</t>
        </is>
      </c>
      <c r="H79">
        <f>IF(G79="OUT",F79,-F79)</f>
        <v>10</v>
      </c>
      <c r="I79">
        <f>IF(AND(B79&gt;=DATE(2025,7,1),B79&lt;=DATE(2026,6,30)),1,0)</f>
        <v>0</v>
      </c>
      <c r="J79">
        <f>IF(B79&lt;=DATE(2026,6,30),1,0)</f>
        <v>1</v>
      </c>
      <c r="K79" t="inlineStr">
        <is>
          <t>Site text normalised</t>
        </is>
      </c>
      <c r="L79" t="inlineStr">
        <is>
          <t>Driver</t>
        </is>
      </c>
      <c r="M79">
        <f>COUNTIFS('Asset Log'!$A$5:$A$1379,A79,'Asset Log'!$E$5:$E$1379,E79,'Asset Log'!$G$5:$G$1379,G79)</f>
        <v>1</v>
      </c>
    </row>
    <row r="80">
      <c r="A80" t="inlineStr">
        <is>
          <t>D71678</t>
        </is>
      </c>
      <c r="B80" s="11" t="n">
        <v>45816</v>
      </c>
      <c r="C80" t="inlineStr">
        <is>
          <t>s177</t>
        </is>
      </c>
      <c r="D80" t="inlineStr">
        <is>
          <t>S0177</t>
        </is>
      </c>
      <c r="E80" t="inlineStr">
        <is>
          <t>FP</t>
        </is>
      </c>
      <c r="F80" t="n">
        <v>81</v>
      </c>
      <c r="G80" t="inlineStr">
        <is>
          <t>OUT</t>
        </is>
      </c>
      <c r="H80">
        <f>IF(G80="OUT",F80,-F80)</f>
        <v>81</v>
      </c>
      <c r="I80">
        <f>IF(AND(B80&gt;=DATE(2025,7,1),B80&lt;=DATE(2026,6,30)),1,0)</f>
        <v>0</v>
      </c>
      <c r="J80">
        <f>IF(B80&lt;=DATE(2026,6,30),1,0)</f>
        <v>1</v>
      </c>
      <c r="K80" t="inlineStr">
        <is>
          <t>Site text normalised</t>
        </is>
      </c>
      <c r="L80" t="inlineStr">
        <is>
          <t>Office</t>
        </is>
      </c>
      <c r="M80">
        <f>COUNTIFS('Asset Log'!$A$5:$A$1379,A80,'Asset Log'!$E$5:$E$1379,E80,'Asset Log'!$G$5:$G$1379,G80)</f>
        <v>1</v>
      </c>
    </row>
    <row r="81">
      <c r="A81" t="inlineStr">
        <is>
          <t>D71683</t>
        </is>
      </c>
      <c r="B81" s="11" t="n">
        <v>45816</v>
      </c>
      <c r="C81" t="inlineStr">
        <is>
          <t>S0177</t>
        </is>
      </c>
      <c r="D81" t="inlineStr">
        <is>
          <t>S0177</t>
        </is>
      </c>
      <c r="E81" t="inlineStr">
        <is>
          <t>FB</t>
        </is>
      </c>
      <c r="F81" t="n">
        <v>89</v>
      </c>
      <c r="G81" t="inlineStr">
        <is>
          <t>OUT</t>
        </is>
      </c>
      <c r="H81">
        <f>IF(G81="OUT",F81,-F81)</f>
        <v>89</v>
      </c>
      <c r="I81">
        <f>IF(AND(B81&gt;=DATE(2025,7,1),B81&lt;=DATE(2026,6,30)),1,0)</f>
        <v>0</v>
      </c>
      <c r="J81">
        <f>IF(B81&lt;=DATE(2026,6,30),1,0)</f>
        <v>1</v>
      </c>
      <c r="K81" t="inlineStr"/>
      <c r="L81" t="inlineStr">
        <is>
          <t>Office</t>
        </is>
      </c>
      <c r="M81">
        <f>COUNTIFS('Asset Log'!$A$5:$A$1379,A81,'Asset Log'!$E$5:$E$1379,E81,'Asset Log'!$G$5:$G$1379,G81)</f>
        <v>1</v>
      </c>
    </row>
    <row r="82">
      <c r="A82" t="inlineStr">
        <is>
          <t>D71687</t>
        </is>
      </c>
      <c r="B82" s="11" t="n">
        <v>45816</v>
      </c>
      <c r="C82" t="inlineStr">
        <is>
          <t>S0177 Cheltenham</t>
        </is>
      </c>
      <c r="D82" t="inlineStr">
        <is>
          <t>S0177</t>
        </is>
      </c>
      <c r="E82" t="inlineStr">
        <is>
          <t>BR</t>
        </is>
      </c>
      <c r="F82" t="n">
        <v>13</v>
      </c>
      <c r="G82" t="inlineStr">
        <is>
          <t>OUT</t>
        </is>
      </c>
      <c r="H82">
        <f>IF(G82="OUT",F82,-F82)</f>
        <v>13</v>
      </c>
      <c r="I82">
        <f>IF(AND(B82&gt;=DATE(2025,7,1),B82&lt;=DATE(2026,6,30)),1,0)</f>
        <v>0</v>
      </c>
      <c r="J82">
        <f>IF(B82&lt;=DATE(2026,6,30),1,0)</f>
        <v>1</v>
      </c>
      <c r="K82" t="inlineStr">
        <is>
          <t>Site text normalised</t>
        </is>
      </c>
      <c r="L82" t="inlineStr">
        <is>
          <t>Office</t>
        </is>
      </c>
      <c r="M82">
        <f>COUNTIFS('Asset Log'!$A$5:$A$1379,A82,'Asset Log'!$E$5:$E$1379,E82,'Asset Log'!$G$5:$G$1379,G82)</f>
        <v>1</v>
      </c>
    </row>
    <row r="83">
      <c r="A83" t="inlineStr">
        <is>
          <t>D72381</t>
        </is>
      </c>
      <c r="B83" s="11" t="n">
        <v>45818</v>
      </c>
      <c r="C83" t="inlineStr">
        <is>
          <t>S0277</t>
        </is>
      </c>
      <c r="D83" t="inlineStr">
        <is>
          <t>S0277</t>
        </is>
      </c>
      <c r="E83" t="inlineStr">
        <is>
          <t>ST</t>
        </is>
      </c>
      <c r="F83" t="n">
        <v>1</v>
      </c>
      <c r="G83" t="inlineStr">
        <is>
          <t>IN</t>
        </is>
      </c>
      <c r="H83">
        <f>IF(G83="OUT",F83,-F83)</f>
        <v>-1</v>
      </c>
      <c r="I83">
        <f>IF(AND(B83&gt;=DATE(2025,7,1),B83&lt;=DATE(2026,6,30)),1,0)</f>
        <v>0</v>
      </c>
      <c r="J83">
        <f>IF(B83&lt;=DATE(2026,6,30),1,0)</f>
        <v>1</v>
      </c>
      <c r="K83" t="inlineStr"/>
      <c r="L83" t="inlineStr">
        <is>
          <t>Office</t>
        </is>
      </c>
      <c r="M83">
        <f>COUNTIFS('Asset Log'!$A$5:$A$1379,A83,'Asset Log'!$E$5:$E$1379,E83,'Asset Log'!$G$5:$G$1379,G83)</f>
        <v>1</v>
      </c>
    </row>
    <row r="84">
      <c r="A84" t="inlineStr">
        <is>
          <t>D70421</t>
        </is>
      </c>
      <c r="B84" s="11" t="n">
        <v>45819</v>
      </c>
      <c r="C84" t="inlineStr">
        <is>
          <t>s045</t>
        </is>
      </c>
      <c r="D84" t="inlineStr">
        <is>
          <t>S0045</t>
        </is>
      </c>
      <c r="E84" t="inlineStr">
        <is>
          <t>FP</t>
        </is>
      </c>
      <c r="F84" t="n">
        <v>114</v>
      </c>
      <c r="G84" t="inlineStr">
        <is>
          <t>OUT</t>
        </is>
      </c>
      <c r="H84">
        <f>IF(G84="OUT",F84,-F84)</f>
        <v>114</v>
      </c>
      <c r="I84">
        <f>IF(AND(B84&gt;=DATE(2025,7,1),B84&lt;=DATE(2026,6,30)),1,0)</f>
        <v>0</v>
      </c>
      <c r="J84">
        <f>IF(B84&lt;=DATE(2026,6,30),1,0)</f>
        <v>1</v>
      </c>
      <c r="K84" t="inlineStr">
        <is>
          <t>Site text normalised</t>
        </is>
      </c>
      <c r="L84" t="inlineStr">
        <is>
          <t>Driver</t>
        </is>
      </c>
      <c r="M84">
        <f>COUNTIFS('Asset Log'!$A$5:$A$1379,A84,'Asset Log'!$E$5:$E$1379,E84,'Asset Log'!$G$5:$G$1379,G84)</f>
        <v>1</v>
      </c>
    </row>
    <row r="85">
      <c r="A85" t="inlineStr">
        <is>
          <t>D70425</t>
        </is>
      </c>
      <c r="B85" s="11" t="n">
        <v>45819</v>
      </c>
      <c r="C85" t="inlineStr">
        <is>
          <t>S0045</t>
        </is>
      </c>
      <c r="D85" t="inlineStr">
        <is>
          <t>S0045</t>
        </is>
      </c>
      <c r="E85" t="inlineStr">
        <is>
          <t>FB</t>
        </is>
      </c>
      <c r="F85" t="n">
        <v>125</v>
      </c>
      <c r="G85" t="inlineStr">
        <is>
          <t>OUT</t>
        </is>
      </c>
      <c r="H85">
        <f>IF(G85="OUT",F85,-F85)</f>
        <v>125</v>
      </c>
      <c r="I85">
        <f>IF(AND(B85&gt;=DATE(2025,7,1),B85&lt;=DATE(2026,6,30)),1,0)</f>
        <v>0</v>
      </c>
      <c r="J85">
        <f>IF(B85&lt;=DATE(2026,6,30),1,0)</f>
        <v>1</v>
      </c>
      <c r="K85" t="inlineStr"/>
      <c r="L85" t="inlineStr">
        <is>
          <t>Office</t>
        </is>
      </c>
      <c r="M85">
        <f>COUNTIFS('Asset Log'!$A$5:$A$1379,A85,'Asset Log'!$E$5:$E$1379,E85,'Asset Log'!$G$5:$G$1379,G85)</f>
        <v>1</v>
      </c>
    </row>
    <row r="86">
      <c r="A86" t="inlineStr">
        <is>
          <t>D71128</t>
        </is>
      </c>
      <c r="B86" s="11" t="n">
        <v>45819</v>
      </c>
      <c r="C86" t="inlineStr">
        <is>
          <t>S0120</t>
        </is>
      </c>
      <c r="D86" t="inlineStr">
        <is>
          <t>S0120</t>
        </is>
      </c>
      <c r="E86" t="inlineStr">
        <is>
          <t>FP</t>
        </is>
      </c>
      <c r="F86" t="n">
        <v>85</v>
      </c>
      <c r="G86" t="inlineStr">
        <is>
          <t>OUT</t>
        </is>
      </c>
      <c r="H86">
        <f>IF(G86="OUT",F86,-F86)</f>
        <v>85</v>
      </c>
      <c r="I86">
        <f>IF(AND(B86&gt;=DATE(2025,7,1),B86&lt;=DATE(2026,6,30)),1,0)</f>
        <v>0</v>
      </c>
      <c r="J86">
        <f>IF(B86&lt;=DATE(2026,6,30),1,0)</f>
        <v>1</v>
      </c>
      <c r="K86" t="inlineStr"/>
      <c r="L86" t="inlineStr">
        <is>
          <t>Office</t>
        </is>
      </c>
      <c r="M86">
        <f>COUNTIFS('Asset Log'!$A$5:$A$1379,A86,'Asset Log'!$E$5:$E$1379,E86,'Asset Log'!$G$5:$G$1379,G86)</f>
        <v>1</v>
      </c>
    </row>
    <row r="87">
      <c r="A87" t="inlineStr">
        <is>
          <t>D71134</t>
        </is>
      </c>
      <c r="B87" s="11" t="n">
        <v>45819</v>
      </c>
      <c r="C87" t="inlineStr">
        <is>
          <t>S0120</t>
        </is>
      </c>
      <c r="D87" t="inlineStr">
        <is>
          <t>S0120</t>
        </is>
      </c>
      <c r="E87" t="inlineStr">
        <is>
          <t>FB</t>
        </is>
      </c>
      <c r="F87" t="n">
        <v>93</v>
      </c>
      <c r="G87" t="inlineStr">
        <is>
          <t>OUT</t>
        </is>
      </c>
      <c r="H87">
        <f>IF(G87="OUT",F87,-F87)</f>
        <v>93</v>
      </c>
      <c r="I87">
        <f>IF(AND(B87&gt;=DATE(2025,7,1),B87&lt;=DATE(2026,6,30)),1,0)</f>
        <v>0</v>
      </c>
      <c r="J87">
        <f>IF(B87&lt;=DATE(2026,6,30),1,0)</f>
        <v>1</v>
      </c>
      <c r="K87" t="inlineStr"/>
      <c r="L87" t="inlineStr">
        <is>
          <t>Yard</t>
        </is>
      </c>
      <c r="M87">
        <f>COUNTIFS('Asset Log'!$A$5:$A$1379,A87,'Asset Log'!$E$5:$E$1379,E87,'Asset Log'!$G$5:$G$1379,G87)</f>
        <v>1</v>
      </c>
    </row>
    <row r="88">
      <c r="A88" t="inlineStr">
        <is>
          <t>D71137</t>
        </is>
      </c>
      <c r="B88" s="11" t="n">
        <v>45819</v>
      </c>
      <c r="C88" t="inlineStr">
        <is>
          <t>S0120</t>
        </is>
      </c>
      <c r="D88" t="inlineStr">
        <is>
          <t>S0120</t>
        </is>
      </c>
      <c r="E88" t="inlineStr">
        <is>
          <t>BR</t>
        </is>
      </c>
      <c r="F88" t="n">
        <v>15</v>
      </c>
      <c r="G88" t="inlineStr">
        <is>
          <t>OUT</t>
        </is>
      </c>
      <c r="H88">
        <f>IF(G88="OUT",F88,-F88)</f>
        <v>15</v>
      </c>
      <c r="I88">
        <f>IF(AND(B88&gt;=DATE(2025,7,1),B88&lt;=DATE(2026,6,30)),1,0)</f>
        <v>0</v>
      </c>
      <c r="J88">
        <f>IF(B88&lt;=DATE(2026,6,30),1,0)</f>
        <v>1</v>
      </c>
      <c r="K88" t="inlineStr"/>
      <c r="L88" t="inlineStr">
        <is>
          <t>Office</t>
        </is>
      </c>
      <c r="M88">
        <f>COUNTIFS('Asset Log'!$A$5:$A$1379,A88,'Asset Log'!$E$5:$E$1379,E88,'Asset Log'!$G$5:$G$1379,G88)</f>
        <v>1</v>
      </c>
    </row>
    <row r="89">
      <c r="A89" t="inlineStr">
        <is>
          <t>D71336</t>
        </is>
      </c>
      <c r="B89" s="11" t="n">
        <v>45819</v>
      </c>
      <c r="C89" t="inlineStr">
        <is>
          <t>s141</t>
        </is>
      </c>
      <c r="D89" t="inlineStr">
        <is>
          <t>S0141</t>
        </is>
      </c>
      <c r="E89" t="inlineStr">
        <is>
          <t>FP</t>
        </is>
      </c>
      <c r="F89" t="n">
        <v>52</v>
      </c>
      <c r="G89" t="inlineStr">
        <is>
          <t>IN</t>
        </is>
      </c>
      <c r="H89">
        <f>IF(G89="OUT",F89,-F89)</f>
        <v>-52</v>
      </c>
      <c r="I89">
        <f>IF(AND(B89&gt;=DATE(2025,7,1),B89&lt;=DATE(2026,6,30)),1,0)</f>
        <v>0</v>
      </c>
      <c r="J89">
        <f>IF(B89&lt;=DATE(2026,6,30),1,0)</f>
        <v>1</v>
      </c>
      <c r="K89" t="inlineStr">
        <is>
          <t>Site text normalised</t>
        </is>
      </c>
      <c r="L89" t="inlineStr">
        <is>
          <t>Driver</t>
        </is>
      </c>
      <c r="M89">
        <f>COUNTIFS('Asset Log'!$A$5:$A$1379,A89,'Asset Log'!$E$5:$E$1379,E89,'Asset Log'!$G$5:$G$1379,G89)</f>
        <v>1</v>
      </c>
    </row>
    <row r="90">
      <c r="A90" t="inlineStr">
        <is>
          <t>D71338</t>
        </is>
      </c>
      <c r="B90" s="11" t="n">
        <v>45819</v>
      </c>
      <c r="C90" t="inlineStr">
        <is>
          <t>S0141</t>
        </is>
      </c>
      <c r="D90" t="inlineStr">
        <is>
          <t>S0141</t>
        </is>
      </c>
      <c r="E90" t="inlineStr">
        <is>
          <t>FB</t>
        </is>
      </c>
      <c r="F90" t="n">
        <v>57</v>
      </c>
      <c r="G90" t="inlineStr">
        <is>
          <t>IN</t>
        </is>
      </c>
      <c r="H90">
        <f>IF(G90="OUT",F90,-F90)</f>
        <v>-57</v>
      </c>
      <c r="I90">
        <f>IF(AND(B90&gt;=DATE(2025,7,1),B90&lt;=DATE(2026,6,30)),1,0)</f>
        <v>0</v>
      </c>
      <c r="J90">
        <f>IF(B90&lt;=DATE(2026,6,30),1,0)</f>
        <v>1</v>
      </c>
      <c r="K90" t="inlineStr"/>
      <c r="L90" t="inlineStr">
        <is>
          <t>Driver</t>
        </is>
      </c>
      <c r="M90">
        <f>COUNTIFS('Asset Log'!$A$5:$A$1379,A90,'Asset Log'!$E$5:$E$1379,E90,'Asset Log'!$G$5:$G$1379,G90)</f>
        <v>1</v>
      </c>
    </row>
    <row r="91">
      <c r="A91" t="inlineStr">
        <is>
          <t>D71798</t>
        </is>
      </c>
      <c r="B91" s="11" t="n">
        <v>45819</v>
      </c>
      <c r="C91" t="inlineStr">
        <is>
          <t>S0190</t>
        </is>
      </c>
      <c r="D91" t="inlineStr">
        <is>
          <t>S0190</t>
        </is>
      </c>
      <c r="E91" t="inlineStr">
        <is>
          <t>FP</t>
        </is>
      </c>
      <c r="F91" t="n">
        <v>72</v>
      </c>
      <c r="G91" t="inlineStr">
        <is>
          <t>IN</t>
        </is>
      </c>
      <c r="H91">
        <f>IF(G91="OUT",F91,-F91)</f>
        <v>-72</v>
      </c>
      <c r="I91">
        <f>IF(AND(B91&gt;=DATE(2025,7,1),B91&lt;=DATE(2026,6,30)),1,0)</f>
        <v>0</v>
      </c>
      <c r="J91">
        <f>IF(B91&lt;=DATE(2026,6,30),1,0)</f>
        <v>1</v>
      </c>
      <c r="K91" t="inlineStr"/>
      <c r="L91" t="inlineStr">
        <is>
          <t>Office</t>
        </is>
      </c>
      <c r="M91">
        <f>COUNTIFS('Asset Log'!$A$5:$A$1379,A91,'Asset Log'!$E$5:$E$1379,E91,'Asset Log'!$G$5:$G$1379,G91)</f>
        <v>1</v>
      </c>
    </row>
    <row r="92">
      <c r="A92" t="inlineStr">
        <is>
          <t>D71801</t>
        </is>
      </c>
      <c r="B92" s="11" t="n">
        <v>45819</v>
      </c>
      <c r="C92" t="inlineStr">
        <is>
          <t>S0190</t>
        </is>
      </c>
      <c r="D92" t="inlineStr">
        <is>
          <t>S0190</t>
        </is>
      </c>
      <c r="E92" t="inlineStr">
        <is>
          <t>FB</t>
        </is>
      </c>
      <c r="F92" t="n">
        <v>79</v>
      </c>
      <c r="G92" t="inlineStr">
        <is>
          <t>IN</t>
        </is>
      </c>
      <c r="H92">
        <f>IF(G92="OUT",F92,-F92)</f>
        <v>-79</v>
      </c>
      <c r="I92">
        <f>IF(AND(B92&gt;=DATE(2025,7,1),B92&lt;=DATE(2026,6,30)),1,0)</f>
        <v>0</v>
      </c>
      <c r="J92">
        <f>IF(B92&lt;=DATE(2026,6,30),1,0)</f>
        <v>1</v>
      </c>
      <c r="K92" t="inlineStr"/>
      <c r="L92" t="inlineStr">
        <is>
          <t>Office</t>
        </is>
      </c>
      <c r="M92">
        <f>COUNTIFS('Asset Log'!$A$5:$A$1379,A92,'Asset Log'!$E$5:$E$1379,E92,'Asset Log'!$G$5:$G$1379,G92)</f>
        <v>1</v>
      </c>
    </row>
    <row r="93">
      <c r="A93" t="inlineStr">
        <is>
          <t>D71341</t>
        </is>
      </c>
      <c r="B93" s="11" t="n">
        <v>45821</v>
      </c>
      <c r="C93" t="inlineStr">
        <is>
          <t>S0142</t>
        </is>
      </c>
      <c r="D93" t="inlineStr">
        <is>
          <t>S0142</t>
        </is>
      </c>
      <c r="E93" t="inlineStr">
        <is>
          <t>FP</t>
        </is>
      </c>
      <c r="F93" t="n">
        <v>97</v>
      </c>
      <c r="G93" t="inlineStr">
        <is>
          <t>IN</t>
        </is>
      </c>
      <c r="H93">
        <f>IF(G93="OUT",F93,-F93)</f>
        <v>-97</v>
      </c>
      <c r="I93">
        <f>IF(AND(B93&gt;=DATE(2025,7,1),B93&lt;=DATE(2026,6,30)),1,0)</f>
        <v>0</v>
      </c>
      <c r="J93">
        <f>IF(B93&lt;=DATE(2026,6,30),1,0)</f>
        <v>1</v>
      </c>
      <c r="K93" t="inlineStr"/>
      <c r="L93" t="inlineStr">
        <is>
          <t>Office</t>
        </is>
      </c>
      <c r="M93">
        <f>COUNTIFS('Asset Log'!$A$5:$A$1379,A93,'Asset Log'!$E$5:$E$1379,E93,'Asset Log'!$G$5:$G$1379,G93)</f>
        <v>1</v>
      </c>
    </row>
    <row r="94">
      <c r="A94" t="inlineStr">
        <is>
          <t>D71345</t>
        </is>
      </c>
      <c r="B94" s="11" t="n">
        <v>45821</v>
      </c>
      <c r="C94" t="inlineStr">
        <is>
          <t>s142</t>
        </is>
      </c>
      <c r="D94" t="inlineStr">
        <is>
          <t>S0142</t>
        </is>
      </c>
      <c r="E94" t="inlineStr">
        <is>
          <t>FB</t>
        </is>
      </c>
      <c r="F94" t="n">
        <v>110</v>
      </c>
      <c r="G94" t="inlineStr">
        <is>
          <t>IN</t>
        </is>
      </c>
      <c r="H94">
        <f>IF(G94="OUT",F94,-F94)</f>
        <v>-110</v>
      </c>
      <c r="I94">
        <f>IF(AND(B94&gt;=DATE(2025,7,1),B94&lt;=DATE(2026,6,30)),1,0)</f>
        <v>0</v>
      </c>
      <c r="J94">
        <f>IF(B94&lt;=DATE(2026,6,30),1,0)</f>
        <v>1</v>
      </c>
      <c r="K94" t="inlineStr">
        <is>
          <t>Site text normalised</t>
        </is>
      </c>
      <c r="L94" t="inlineStr">
        <is>
          <t>Driver</t>
        </is>
      </c>
      <c r="M94">
        <f>COUNTIFS('Asset Log'!$A$5:$A$1379,A94,'Asset Log'!$E$5:$E$1379,E94,'Asset Log'!$G$5:$G$1379,G94)</f>
        <v>1</v>
      </c>
    </row>
    <row r="95">
      <c r="A95" t="inlineStr">
        <is>
          <t>D70151</t>
        </is>
      </c>
      <c r="B95" s="11" t="n">
        <v>45822</v>
      </c>
      <c r="C95" t="inlineStr">
        <is>
          <t>s018</t>
        </is>
      </c>
      <c r="D95" t="inlineStr">
        <is>
          <t>S0018</t>
        </is>
      </c>
      <c r="E95" t="inlineStr">
        <is>
          <t>FP</t>
        </is>
      </c>
      <c r="F95" t="n">
        <v>80</v>
      </c>
      <c r="G95" t="inlineStr">
        <is>
          <t>OUT</t>
        </is>
      </c>
      <c r="H95">
        <f>IF(G95="OUT",F95,-F95)</f>
        <v>80</v>
      </c>
      <c r="I95">
        <f>IF(AND(B95&gt;=DATE(2025,7,1),B95&lt;=DATE(2026,6,30)),1,0)</f>
        <v>0</v>
      </c>
      <c r="J95">
        <f>IF(B95&lt;=DATE(2026,6,30),1,0)</f>
        <v>1</v>
      </c>
      <c r="K95" t="inlineStr">
        <is>
          <t>Site text normalised</t>
        </is>
      </c>
      <c r="L95" t="inlineStr">
        <is>
          <t>Yard</t>
        </is>
      </c>
      <c r="M95">
        <f>COUNTIFS('Asset Log'!$A$5:$A$1379,A95,'Asset Log'!$E$5:$E$1379,E95,'Asset Log'!$G$5:$G$1379,G95)</f>
        <v>1</v>
      </c>
    </row>
    <row r="96">
      <c r="A96" t="inlineStr">
        <is>
          <t>D70156</t>
        </is>
      </c>
      <c r="B96" s="11" t="n">
        <v>45822</v>
      </c>
      <c r="C96" t="inlineStr">
        <is>
          <t>S0018</t>
        </is>
      </c>
      <c r="D96" t="inlineStr">
        <is>
          <t>S0018</t>
        </is>
      </c>
      <c r="E96" t="inlineStr">
        <is>
          <t>FB</t>
        </is>
      </c>
      <c r="F96" t="n">
        <v>88</v>
      </c>
      <c r="G96" t="inlineStr">
        <is>
          <t>OUT</t>
        </is>
      </c>
      <c r="H96">
        <f>IF(G96="OUT",F96,-F96)</f>
        <v>88</v>
      </c>
      <c r="I96">
        <f>IF(AND(B96&gt;=DATE(2025,7,1),B96&lt;=DATE(2026,6,30)),1,0)</f>
        <v>0</v>
      </c>
      <c r="J96">
        <f>IF(B96&lt;=DATE(2026,6,30),1,0)</f>
        <v>1</v>
      </c>
      <c r="K96" t="inlineStr"/>
      <c r="L96" t="inlineStr">
        <is>
          <t>Office</t>
        </is>
      </c>
      <c r="M96">
        <f>COUNTIFS('Asset Log'!$A$5:$A$1379,A96,'Asset Log'!$E$5:$E$1379,E96,'Asset Log'!$G$5:$G$1379,G96)</f>
        <v>1</v>
      </c>
    </row>
    <row r="97">
      <c r="A97" t="inlineStr">
        <is>
          <t>D70918</t>
        </is>
      </c>
      <c r="B97" s="11" t="n">
        <v>45824</v>
      </c>
      <c r="C97" t="inlineStr">
        <is>
          <t>S0098</t>
        </is>
      </c>
      <c r="D97" t="inlineStr">
        <is>
          <t>S0098</t>
        </is>
      </c>
      <c r="E97" t="inlineStr">
        <is>
          <t>FP</t>
        </is>
      </c>
      <c r="F97" t="n">
        <v>101</v>
      </c>
      <c r="G97" t="inlineStr">
        <is>
          <t>OUT</t>
        </is>
      </c>
      <c r="H97">
        <f>IF(G97="OUT",F97,-F97)</f>
        <v>101</v>
      </c>
      <c r="I97">
        <f>IF(AND(B97&gt;=DATE(2025,7,1),B97&lt;=DATE(2026,6,30)),1,0)</f>
        <v>0</v>
      </c>
      <c r="J97">
        <f>IF(B97&lt;=DATE(2026,6,30),1,0)</f>
        <v>1</v>
      </c>
      <c r="K97" t="inlineStr"/>
      <c r="L97" t="inlineStr">
        <is>
          <t>Yard</t>
        </is>
      </c>
      <c r="M97">
        <f>COUNTIFS('Asset Log'!$A$5:$A$1379,A97,'Asset Log'!$E$5:$E$1379,E97,'Asset Log'!$G$5:$G$1379,G97)</f>
        <v>1</v>
      </c>
    </row>
    <row r="98">
      <c r="A98" t="inlineStr">
        <is>
          <t>D70920</t>
        </is>
      </c>
      <c r="B98" s="11" t="n">
        <v>45824</v>
      </c>
      <c r="C98" t="inlineStr">
        <is>
          <t>S0098</t>
        </is>
      </c>
      <c r="D98" t="inlineStr">
        <is>
          <t>S0098</t>
        </is>
      </c>
      <c r="E98" t="inlineStr">
        <is>
          <t>FB</t>
        </is>
      </c>
      <c r="F98" t="n">
        <v>111</v>
      </c>
      <c r="G98" t="inlineStr">
        <is>
          <t>OUT</t>
        </is>
      </c>
      <c r="H98">
        <f>IF(G98="OUT",F98,-F98)</f>
        <v>111</v>
      </c>
      <c r="I98">
        <f>IF(AND(B98&gt;=DATE(2025,7,1),B98&lt;=DATE(2026,6,30)),1,0)</f>
        <v>0</v>
      </c>
      <c r="J98">
        <f>IF(B98&lt;=DATE(2026,6,30),1,0)</f>
        <v>1</v>
      </c>
      <c r="K98" t="inlineStr"/>
      <c r="L98" t="inlineStr">
        <is>
          <t>Office</t>
        </is>
      </c>
      <c r="M98">
        <f>COUNTIFS('Asset Log'!$A$5:$A$1379,A98,'Asset Log'!$E$5:$E$1379,E98,'Asset Log'!$G$5:$G$1379,G98)</f>
        <v>1</v>
      </c>
    </row>
    <row r="99">
      <c r="A99" t="inlineStr">
        <is>
          <t>D70924</t>
        </is>
      </c>
      <c r="B99" s="11" t="n">
        <v>45824</v>
      </c>
      <c r="C99" t="inlineStr">
        <is>
          <t>S0098</t>
        </is>
      </c>
      <c r="D99" t="inlineStr">
        <is>
          <t>S0098</t>
        </is>
      </c>
      <c r="E99" t="inlineStr">
        <is>
          <t>BR</t>
        </is>
      </c>
      <c r="F99" t="n">
        <v>16</v>
      </c>
      <c r="G99" t="inlineStr">
        <is>
          <t>OUT</t>
        </is>
      </c>
      <c r="H99">
        <f>IF(G99="OUT",F99,-F99)</f>
        <v>16</v>
      </c>
      <c r="I99">
        <f>IF(AND(B99&gt;=DATE(2025,7,1),B99&lt;=DATE(2026,6,30)),1,0)</f>
        <v>0</v>
      </c>
      <c r="J99">
        <f>IF(B99&lt;=DATE(2026,6,30),1,0)</f>
        <v>1</v>
      </c>
      <c r="K99" t="inlineStr"/>
      <c r="L99" t="inlineStr">
        <is>
          <t>Office</t>
        </is>
      </c>
      <c r="M99">
        <f>COUNTIFS('Asset Log'!$A$5:$A$1379,A99,'Asset Log'!$E$5:$E$1379,E99,'Asset Log'!$G$5:$G$1379,G99)</f>
        <v>1</v>
      </c>
    </row>
    <row r="100">
      <c r="A100" t="inlineStr">
        <is>
          <t>D70429</t>
        </is>
      </c>
      <c r="B100" s="11" t="n">
        <v>45825</v>
      </c>
      <c r="C100" t="inlineStr">
        <is>
          <t>S0046</t>
        </is>
      </c>
      <c r="D100" t="inlineStr">
        <is>
          <t>S0046</t>
        </is>
      </c>
      <c r="E100" t="inlineStr">
        <is>
          <t>FP</t>
        </is>
      </c>
      <c r="F100" t="n">
        <v>58</v>
      </c>
      <c r="G100" t="inlineStr">
        <is>
          <t>OUT</t>
        </is>
      </c>
      <c r="H100">
        <f>IF(G100="OUT",F100,-F100)</f>
        <v>58</v>
      </c>
      <c r="I100">
        <f>IF(AND(B100&gt;=DATE(2025,7,1),B100&lt;=DATE(2026,6,30)),1,0)</f>
        <v>0</v>
      </c>
      <c r="J100">
        <f>IF(B100&lt;=DATE(2026,6,30),1,0)</f>
        <v>1</v>
      </c>
      <c r="K100" t="inlineStr"/>
      <c r="L100" t="inlineStr">
        <is>
          <t>Driver</t>
        </is>
      </c>
      <c r="M100">
        <f>COUNTIFS('Asset Log'!$A$5:$A$1379,A100,'Asset Log'!$E$5:$E$1379,E100,'Asset Log'!$G$5:$G$1379,G100)</f>
        <v>1</v>
      </c>
    </row>
    <row r="101">
      <c r="A101" t="inlineStr">
        <is>
          <t>D70432</t>
        </is>
      </c>
      <c r="B101" s="11" t="n">
        <v>45825</v>
      </c>
      <c r="C101" t="inlineStr">
        <is>
          <t>S0046</t>
        </is>
      </c>
      <c r="D101" t="inlineStr">
        <is>
          <t>S0046</t>
        </is>
      </c>
      <c r="E101" t="inlineStr">
        <is>
          <t>FB</t>
        </is>
      </c>
      <c r="F101" t="n">
        <v>63</v>
      </c>
      <c r="G101" t="inlineStr">
        <is>
          <t>OUT</t>
        </is>
      </c>
      <c r="H101">
        <f>IF(G101="OUT",F101,-F101)</f>
        <v>63</v>
      </c>
      <c r="I101">
        <f>IF(AND(B101&gt;=DATE(2025,7,1),B101&lt;=DATE(2026,6,30)),1,0)</f>
        <v>0</v>
      </c>
      <c r="J101">
        <f>IF(B101&lt;=DATE(2026,6,30),1,0)</f>
        <v>1</v>
      </c>
      <c r="K101" t="inlineStr"/>
      <c r="L101" t="inlineStr">
        <is>
          <t>Office</t>
        </is>
      </c>
      <c r="M101">
        <f>COUNTIFS('Asset Log'!$A$5:$A$1379,A101,'Asset Log'!$E$5:$E$1379,E101,'Asset Log'!$G$5:$G$1379,G101)</f>
        <v>1</v>
      </c>
    </row>
    <row r="102">
      <c r="A102" t="inlineStr">
        <is>
          <t>D70424</t>
        </is>
      </c>
      <c r="B102" s="11" t="n">
        <v>45829</v>
      </c>
      <c r="C102" t="inlineStr">
        <is>
          <t>S0045</t>
        </is>
      </c>
      <c r="D102" t="inlineStr">
        <is>
          <t>S0045</t>
        </is>
      </c>
      <c r="E102" t="inlineStr">
        <is>
          <t>FP</t>
        </is>
      </c>
      <c r="F102" t="n">
        <v>114</v>
      </c>
      <c r="G102" t="inlineStr">
        <is>
          <t>IN</t>
        </is>
      </c>
      <c r="H102">
        <f>IF(G102="OUT",F102,-F102)</f>
        <v>-114</v>
      </c>
      <c r="I102">
        <f>IF(AND(B102&gt;=DATE(2025,7,1),B102&lt;=DATE(2026,6,30)),1,0)</f>
        <v>0</v>
      </c>
      <c r="J102">
        <f>IF(B102&lt;=DATE(2026,6,30),1,0)</f>
        <v>1</v>
      </c>
      <c r="K102" t="inlineStr"/>
      <c r="L102" t="inlineStr">
        <is>
          <t>Yard</t>
        </is>
      </c>
      <c r="M102">
        <f>COUNTIFS('Asset Log'!$A$5:$A$1379,A102,'Asset Log'!$E$5:$E$1379,E102,'Asset Log'!$G$5:$G$1379,G102)</f>
        <v>1</v>
      </c>
    </row>
    <row r="103">
      <c r="A103" t="inlineStr">
        <is>
          <t>D70428</t>
        </is>
      </c>
      <c r="B103" s="11" t="n">
        <v>45829</v>
      </c>
      <c r="C103" t="inlineStr">
        <is>
          <t>S0045</t>
        </is>
      </c>
      <c r="D103" t="inlineStr">
        <is>
          <t>S0045</t>
        </is>
      </c>
      <c r="E103" t="inlineStr">
        <is>
          <t>FB</t>
        </is>
      </c>
      <c r="F103" t="n">
        <v>125</v>
      </c>
      <c r="G103" t="inlineStr">
        <is>
          <t>IN</t>
        </is>
      </c>
      <c r="H103">
        <f>IF(G103="OUT",F103,-F103)</f>
        <v>-125</v>
      </c>
      <c r="I103">
        <f>IF(AND(B103&gt;=DATE(2025,7,1),B103&lt;=DATE(2026,6,30)),1,0)</f>
        <v>0</v>
      </c>
      <c r="J103">
        <f>IF(B103&lt;=DATE(2026,6,30),1,0)</f>
        <v>1</v>
      </c>
      <c r="K103" t="inlineStr"/>
      <c r="L103" t="inlineStr">
        <is>
          <t>Driver</t>
        </is>
      </c>
      <c r="M103">
        <f>COUNTIFS('Asset Log'!$A$5:$A$1379,A103,'Asset Log'!$E$5:$E$1379,E103,'Asset Log'!$G$5:$G$1379,G103)</f>
        <v>1</v>
      </c>
    </row>
    <row r="104">
      <c r="A104" t="inlineStr">
        <is>
          <t>D72429</t>
        </is>
      </c>
      <c r="B104" s="11" t="n">
        <v>45829</v>
      </c>
      <c r="C104" t="inlineStr">
        <is>
          <t>S0289</t>
        </is>
      </c>
      <c r="D104" t="inlineStr">
        <is>
          <t>S0289</t>
        </is>
      </c>
      <c r="E104" t="inlineStr">
        <is>
          <t>ST</t>
        </is>
      </c>
      <c r="F104" t="n">
        <v>1</v>
      </c>
      <c r="G104" t="inlineStr">
        <is>
          <t>OUT</t>
        </is>
      </c>
      <c r="H104">
        <f>IF(G104="OUT",F104,-F104)</f>
        <v>1</v>
      </c>
      <c r="I104">
        <f>IF(AND(B104&gt;=DATE(2025,7,1),B104&lt;=DATE(2026,6,30)),1,0)</f>
        <v>0</v>
      </c>
      <c r="J104">
        <f>IF(B104&lt;=DATE(2026,6,30),1,0)</f>
        <v>1</v>
      </c>
      <c r="K104" t="inlineStr"/>
      <c r="L104" t="inlineStr">
        <is>
          <t>Yard</t>
        </is>
      </c>
      <c r="M104">
        <f>COUNTIFS('Asset Log'!$A$5:$A$1379,A104,'Asset Log'!$E$5:$E$1379,E104,'Asset Log'!$G$5:$G$1379,G104)</f>
        <v>1</v>
      </c>
    </row>
    <row r="105">
      <c r="A105" t="inlineStr">
        <is>
          <t>D71803</t>
        </is>
      </c>
      <c r="B105" s="11" t="n">
        <v>45830</v>
      </c>
      <c r="C105" t="inlineStr">
        <is>
          <t>S0191</t>
        </is>
      </c>
      <c r="D105" t="inlineStr">
        <is>
          <t>S0191</t>
        </is>
      </c>
      <c r="E105" t="inlineStr">
        <is>
          <t>FP</t>
        </is>
      </c>
      <c r="F105" t="n">
        <v>114</v>
      </c>
      <c r="G105" t="inlineStr">
        <is>
          <t>OUT</t>
        </is>
      </c>
      <c r="H105">
        <f>IF(G105="OUT",F105,-F105)</f>
        <v>114</v>
      </c>
      <c r="I105">
        <f>IF(AND(B105&gt;=DATE(2025,7,1),B105&lt;=DATE(2026,6,30)),1,0)</f>
        <v>0</v>
      </c>
      <c r="J105">
        <f>IF(B105&lt;=DATE(2026,6,30),1,0)</f>
        <v>1</v>
      </c>
      <c r="K105" t="inlineStr"/>
      <c r="L105" t="inlineStr">
        <is>
          <t>Yard</t>
        </is>
      </c>
      <c r="M105">
        <f>COUNTIFS('Asset Log'!$A$5:$A$1379,A105,'Asset Log'!$E$5:$E$1379,E105,'Asset Log'!$G$5:$G$1379,G105)</f>
        <v>1</v>
      </c>
    </row>
    <row r="106">
      <c r="A106" t="inlineStr">
        <is>
          <t>D71808</t>
        </is>
      </c>
      <c r="B106" s="11" t="n">
        <v>45830</v>
      </c>
      <c r="C106" t="inlineStr">
        <is>
          <t>S0191</t>
        </is>
      </c>
      <c r="D106" t="inlineStr">
        <is>
          <t>S0191</t>
        </is>
      </c>
      <c r="E106" t="inlineStr">
        <is>
          <t>FB</t>
        </is>
      </c>
      <c r="F106" t="n">
        <v>125</v>
      </c>
      <c r="G106" t="inlineStr">
        <is>
          <t>OUT</t>
        </is>
      </c>
      <c r="H106">
        <f>IF(G106="OUT",F106,-F106)</f>
        <v>125</v>
      </c>
      <c r="I106">
        <f>IF(AND(B106&gt;=DATE(2025,7,1),B106&lt;=DATE(2026,6,30)),1,0)</f>
        <v>0</v>
      </c>
      <c r="J106">
        <f>IF(B106&lt;=DATE(2026,6,30),1,0)</f>
        <v>1</v>
      </c>
      <c r="K106" t="inlineStr"/>
      <c r="L106" t="inlineStr">
        <is>
          <t>Office</t>
        </is>
      </c>
      <c r="M106">
        <f>COUNTIFS('Asset Log'!$A$5:$A$1379,A106,'Asset Log'!$E$5:$E$1379,E106,'Asset Log'!$G$5:$G$1379,G106)</f>
        <v>1</v>
      </c>
    </row>
    <row r="107">
      <c r="A107" t="inlineStr">
        <is>
          <t>D70919</t>
        </is>
      </c>
      <c r="B107" s="11" t="n">
        <v>45831</v>
      </c>
      <c r="C107" t="inlineStr">
        <is>
          <t>S0089</t>
        </is>
      </c>
      <c r="D107" t="inlineStr">
        <is>
          <t>S0098</t>
        </is>
      </c>
      <c r="E107" t="inlineStr">
        <is>
          <t>FP</t>
        </is>
      </c>
      <c r="F107" t="n">
        <v>101</v>
      </c>
      <c r="G107" t="inlineStr">
        <is>
          <t>IN</t>
        </is>
      </c>
      <c r="H107">
        <f>IF(G107="OUT",F107,-F107)</f>
        <v>-101</v>
      </c>
      <c r="I107">
        <f>IF(AND(B107&gt;=DATE(2025,7,1),B107&lt;=DATE(2026,6,30)),1,0)</f>
        <v>0</v>
      </c>
      <c r="J107">
        <f>IF(B107&lt;=DATE(2026,6,30),1,0)</f>
        <v>1</v>
      </c>
      <c r="K107" t="inlineStr">
        <is>
          <t>Site corrected from S0089 (return before the job started)</t>
        </is>
      </c>
      <c r="L107" t="inlineStr">
        <is>
          <t>Yard</t>
        </is>
      </c>
      <c r="M107">
        <f>COUNTIFS('Asset Log'!$A$5:$A$1379,A107,'Asset Log'!$E$5:$E$1379,E107,'Asset Log'!$G$5:$G$1379,G107)</f>
        <v>1</v>
      </c>
    </row>
    <row r="108">
      <c r="A108" t="inlineStr">
        <is>
          <t>D70923</t>
        </is>
      </c>
      <c r="B108" s="11" t="n">
        <v>45831</v>
      </c>
      <c r="C108" t="inlineStr">
        <is>
          <t>S0098</t>
        </is>
      </c>
      <c r="D108" t="inlineStr">
        <is>
          <t>S0098</t>
        </is>
      </c>
      <c r="E108" t="inlineStr">
        <is>
          <t>FB</t>
        </is>
      </c>
      <c r="F108" t="n">
        <v>111</v>
      </c>
      <c r="G108" t="inlineStr">
        <is>
          <t>IN</t>
        </is>
      </c>
      <c r="H108">
        <f>IF(G108="OUT",F108,-F108)</f>
        <v>-111</v>
      </c>
      <c r="I108">
        <f>IF(AND(B108&gt;=DATE(2025,7,1),B108&lt;=DATE(2026,6,30)),1,0)</f>
        <v>0</v>
      </c>
      <c r="J108">
        <f>IF(B108&lt;=DATE(2026,6,30),1,0)</f>
        <v>1</v>
      </c>
      <c r="K108" t="inlineStr"/>
      <c r="L108" t="inlineStr">
        <is>
          <t>Yard</t>
        </is>
      </c>
      <c r="M108">
        <f>COUNTIFS('Asset Log'!$A$5:$A$1379,A108,'Asset Log'!$E$5:$E$1379,E108,'Asset Log'!$G$5:$G$1379,G108)</f>
        <v>1</v>
      </c>
    </row>
    <row r="109">
      <c r="A109" t="inlineStr">
        <is>
          <t>D70926</t>
        </is>
      </c>
      <c r="B109" s="11" t="n">
        <v>45831</v>
      </c>
      <c r="C109" t="inlineStr">
        <is>
          <t>98</t>
        </is>
      </c>
      <c r="D109" t="inlineStr">
        <is>
          <t>S0098</t>
        </is>
      </c>
      <c r="E109" t="inlineStr">
        <is>
          <t>BR</t>
        </is>
      </c>
      <c r="F109" t="n">
        <v>16</v>
      </c>
      <c r="G109" t="inlineStr">
        <is>
          <t>IN</t>
        </is>
      </c>
      <c r="H109">
        <f>IF(G109="OUT",F109,-F109)</f>
        <v>-16</v>
      </c>
      <c r="I109">
        <f>IF(AND(B109&gt;=DATE(2025,7,1),B109&lt;=DATE(2026,6,30)),1,0)</f>
        <v>0</v>
      </c>
      <c r="J109">
        <f>IF(B109&lt;=DATE(2026,6,30),1,0)</f>
        <v>1</v>
      </c>
      <c r="K109" t="inlineStr">
        <is>
          <t>Site text normalised</t>
        </is>
      </c>
      <c r="L109" t="inlineStr">
        <is>
          <t>Office</t>
        </is>
      </c>
      <c r="M109">
        <f>COUNTIFS('Asset Log'!$A$5:$A$1379,A109,'Asset Log'!$E$5:$E$1379,E109,'Asset Log'!$G$5:$G$1379,G109)</f>
        <v>1</v>
      </c>
    </row>
    <row r="110">
      <c r="A110" t="inlineStr">
        <is>
          <t>D70947</t>
        </is>
      </c>
      <c r="B110" s="11" t="n">
        <v>45831</v>
      </c>
      <c r="C110" t="inlineStr">
        <is>
          <t>S0102</t>
        </is>
      </c>
      <c r="D110" t="inlineStr">
        <is>
          <t>S0102</t>
        </is>
      </c>
      <c r="E110" t="inlineStr">
        <is>
          <t>FP</t>
        </is>
      </c>
      <c r="F110" t="n">
        <v>34</v>
      </c>
      <c r="G110" t="inlineStr">
        <is>
          <t>OUT</t>
        </is>
      </c>
      <c r="H110">
        <f>IF(G110="OUT",F110,-F110)</f>
        <v>34</v>
      </c>
      <c r="I110">
        <f>IF(AND(B110&gt;=DATE(2025,7,1),B110&lt;=DATE(2026,6,30)),1,0)</f>
        <v>0</v>
      </c>
      <c r="J110">
        <f>IF(B110&lt;=DATE(2026,6,30),1,0)</f>
        <v>1</v>
      </c>
      <c r="K110" t="inlineStr"/>
      <c r="L110" t="inlineStr">
        <is>
          <t>Office</t>
        </is>
      </c>
      <c r="M110">
        <f>COUNTIFS('Asset Log'!$A$5:$A$1379,A110,'Asset Log'!$E$5:$E$1379,E110,'Asset Log'!$G$5:$G$1379,G110)</f>
        <v>1</v>
      </c>
    </row>
    <row r="111">
      <c r="A111" t="inlineStr">
        <is>
          <t>D70951</t>
        </is>
      </c>
      <c r="B111" s="11" t="n">
        <v>45831</v>
      </c>
      <c r="C111" t="inlineStr">
        <is>
          <t>S0102</t>
        </is>
      </c>
      <c r="D111" t="inlineStr">
        <is>
          <t>S0102</t>
        </is>
      </c>
      <c r="E111" t="inlineStr">
        <is>
          <t>FB</t>
        </is>
      </c>
      <c r="F111" t="n">
        <v>37</v>
      </c>
      <c r="G111" t="inlineStr">
        <is>
          <t>OUT</t>
        </is>
      </c>
      <c r="H111">
        <f>IF(G111="OUT",F111,-F111)</f>
        <v>37</v>
      </c>
      <c r="I111">
        <f>IF(AND(B111&gt;=DATE(2025,7,1),B111&lt;=DATE(2026,6,30)),1,0)</f>
        <v>0</v>
      </c>
      <c r="J111">
        <f>IF(B111&lt;=DATE(2026,6,30),1,0)</f>
        <v>1</v>
      </c>
      <c r="K111" t="inlineStr"/>
      <c r="L111" t="inlineStr">
        <is>
          <t>Yard</t>
        </is>
      </c>
      <c r="M111">
        <f>COUNTIFS('Asset Log'!$A$5:$A$1379,A111,'Asset Log'!$E$5:$E$1379,E111,'Asset Log'!$G$5:$G$1379,G111)</f>
        <v>1</v>
      </c>
    </row>
    <row r="112">
      <c r="A112" t="inlineStr">
        <is>
          <t>D71117</t>
        </is>
      </c>
      <c r="B112" s="11" t="n">
        <v>45831</v>
      </c>
      <c r="C112" t="inlineStr">
        <is>
          <t>S0119</t>
        </is>
      </c>
      <c r="D112" t="inlineStr">
        <is>
          <t>S0119</t>
        </is>
      </c>
      <c r="E112" t="inlineStr">
        <is>
          <t>FP</t>
        </is>
      </c>
      <c r="F112" t="n">
        <v>86</v>
      </c>
      <c r="G112" t="inlineStr">
        <is>
          <t>IN</t>
        </is>
      </c>
      <c r="H112">
        <f>IF(G112="OUT",F112,-F112)</f>
        <v>-86</v>
      </c>
      <c r="I112">
        <f>IF(AND(B112&gt;=DATE(2025,7,1),B112&lt;=DATE(2026,6,30)),1,0)</f>
        <v>0</v>
      </c>
      <c r="J112">
        <f>IF(B112&lt;=DATE(2026,6,30),1,0)</f>
        <v>1</v>
      </c>
      <c r="K112" t="inlineStr"/>
      <c r="L112" t="inlineStr">
        <is>
          <t>Office</t>
        </is>
      </c>
      <c r="M112">
        <f>COUNTIFS('Asset Log'!$A$5:$A$1379,A112,'Asset Log'!$E$5:$E$1379,E112,'Asset Log'!$G$5:$G$1379,G112)</f>
        <v>1</v>
      </c>
    </row>
    <row r="113">
      <c r="A113" t="inlineStr">
        <is>
          <t>D71122</t>
        </is>
      </c>
      <c r="B113" s="11" t="n">
        <v>45831</v>
      </c>
      <c r="C113" t="inlineStr">
        <is>
          <t>S0119</t>
        </is>
      </c>
      <c r="D113" t="inlineStr">
        <is>
          <t>S0119</t>
        </is>
      </c>
      <c r="E113" t="inlineStr">
        <is>
          <t>FB</t>
        </is>
      </c>
      <c r="F113" t="n">
        <v>94</v>
      </c>
      <c r="G113" t="inlineStr">
        <is>
          <t>IN</t>
        </is>
      </c>
      <c r="H113">
        <f>IF(G113="OUT",F113,-F113)</f>
        <v>-94</v>
      </c>
      <c r="I113">
        <f>IF(AND(B113&gt;=DATE(2025,7,1),B113&lt;=DATE(2026,6,30)),1,0)</f>
        <v>0</v>
      </c>
      <c r="J113">
        <f>IF(B113&lt;=DATE(2026,6,30),1,0)</f>
        <v>1</v>
      </c>
      <c r="K113" t="inlineStr"/>
      <c r="L113" t="inlineStr">
        <is>
          <t>Driver</t>
        </is>
      </c>
      <c r="M113">
        <f>COUNTIFS('Asset Log'!$A$5:$A$1379,A113,'Asset Log'!$E$5:$E$1379,E113,'Asset Log'!$G$5:$G$1379,G113)</f>
        <v>1</v>
      </c>
    </row>
    <row r="114">
      <c r="A114" t="inlineStr">
        <is>
          <t>D71126</t>
        </is>
      </c>
      <c r="B114" s="11" t="n">
        <v>45831</v>
      </c>
      <c r="C114" t="inlineStr">
        <is>
          <t>S0119</t>
        </is>
      </c>
      <c r="D114" t="inlineStr">
        <is>
          <t>S0119</t>
        </is>
      </c>
      <c r="E114" t="inlineStr">
        <is>
          <t>BR</t>
        </is>
      </c>
      <c r="F114" t="n">
        <v>14</v>
      </c>
      <c r="G114" t="inlineStr">
        <is>
          <t>IN</t>
        </is>
      </c>
      <c r="H114">
        <f>IF(G114="OUT",F114,-F114)</f>
        <v>-14</v>
      </c>
      <c r="I114">
        <f>IF(AND(B114&gt;=DATE(2025,7,1),B114&lt;=DATE(2026,6,30)),1,0)</f>
        <v>0</v>
      </c>
      <c r="J114">
        <f>IF(B114&lt;=DATE(2026,6,30),1,0)</f>
        <v>1</v>
      </c>
      <c r="K114" t="inlineStr"/>
      <c r="L114" t="inlineStr">
        <is>
          <t>Driver</t>
        </is>
      </c>
      <c r="M114">
        <f>COUNTIFS('Asset Log'!$A$5:$A$1379,A114,'Asset Log'!$E$5:$E$1379,E114,'Asset Log'!$G$5:$G$1379,G114)</f>
        <v>1</v>
      </c>
    </row>
    <row r="115">
      <c r="A115" t="inlineStr">
        <is>
          <t>D70304</t>
        </is>
      </c>
      <c r="B115" s="11" t="n">
        <v>45832</v>
      </c>
      <c r="C115" t="inlineStr">
        <is>
          <t>S0033</t>
        </is>
      </c>
      <c r="D115" t="inlineStr">
        <is>
          <t>S0033</t>
        </is>
      </c>
      <c r="E115" t="inlineStr">
        <is>
          <t>FP</t>
        </is>
      </c>
      <c r="F115" t="n">
        <v>105</v>
      </c>
      <c r="G115" t="inlineStr">
        <is>
          <t>IN</t>
        </is>
      </c>
      <c r="H115">
        <f>IF(G115="OUT",F115,-F115)</f>
        <v>-105</v>
      </c>
      <c r="I115">
        <f>IF(AND(B115&gt;=DATE(2025,7,1),B115&lt;=DATE(2026,6,30)),1,0)</f>
        <v>0</v>
      </c>
      <c r="J115">
        <f>IF(B115&lt;=DATE(2026,6,30),1,0)</f>
        <v>1</v>
      </c>
      <c r="K115" t="inlineStr"/>
      <c r="L115" t="inlineStr">
        <is>
          <t>Driver</t>
        </is>
      </c>
      <c r="M115">
        <f>COUNTIFS('Asset Log'!$A$5:$A$1379,A115,'Asset Log'!$E$5:$E$1379,E115,'Asset Log'!$G$5:$G$1379,G115)</f>
        <v>1</v>
      </c>
    </row>
    <row r="116">
      <c r="A116" t="inlineStr">
        <is>
          <t>D70310</t>
        </is>
      </c>
      <c r="B116" s="11" t="n">
        <v>45832</v>
      </c>
      <c r="C116" t="inlineStr">
        <is>
          <t>S0033</t>
        </is>
      </c>
      <c r="D116" t="inlineStr">
        <is>
          <t>S0033</t>
        </is>
      </c>
      <c r="E116" t="inlineStr">
        <is>
          <t>FB</t>
        </is>
      </c>
      <c r="F116" t="n">
        <v>115</v>
      </c>
      <c r="G116" t="inlineStr">
        <is>
          <t>IN</t>
        </is>
      </c>
      <c r="H116">
        <f>IF(G116="OUT",F116,-F116)</f>
        <v>-115</v>
      </c>
      <c r="I116">
        <f>IF(AND(B116&gt;=DATE(2025,7,1),B116&lt;=DATE(2026,6,30)),1,0)</f>
        <v>0</v>
      </c>
      <c r="J116">
        <f>IF(B116&lt;=DATE(2026,6,30),1,0)</f>
        <v>1</v>
      </c>
      <c r="K116" t="inlineStr"/>
      <c r="L116" t="inlineStr">
        <is>
          <t>Driver</t>
        </is>
      </c>
      <c r="M116">
        <f>COUNTIFS('Asset Log'!$A$5:$A$1379,A116,'Asset Log'!$E$5:$E$1379,E116,'Asset Log'!$G$5:$G$1379,G116)</f>
        <v>1</v>
      </c>
    </row>
    <row r="117">
      <c r="A117" t="inlineStr">
        <is>
          <t>D70509</t>
        </is>
      </c>
      <c r="B117" s="11" t="n">
        <v>45832</v>
      </c>
      <c r="C117" t="inlineStr">
        <is>
          <t>S0055</t>
        </is>
      </c>
      <c r="D117" t="inlineStr">
        <is>
          <t>S0055</t>
        </is>
      </c>
      <c r="E117" t="inlineStr">
        <is>
          <t>FP</t>
        </is>
      </c>
      <c r="F117" t="n">
        <v>91</v>
      </c>
      <c r="G117" t="inlineStr">
        <is>
          <t>OUT</t>
        </is>
      </c>
      <c r="H117">
        <f>IF(G117="OUT",F117,-F117)</f>
        <v>91</v>
      </c>
      <c r="I117">
        <f>IF(AND(B117&gt;=DATE(2025,7,1),B117&lt;=DATE(2026,6,30)),1,0)</f>
        <v>0</v>
      </c>
      <c r="J117">
        <f>IF(B117&lt;=DATE(2026,6,30),1,0)</f>
        <v>1</v>
      </c>
      <c r="K117" t="inlineStr"/>
      <c r="L117" t="inlineStr">
        <is>
          <t>Driver</t>
        </is>
      </c>
      <c r="M117">
        <f>COUNTIFS('Asset Log'!$A$5:$A$1379,A117,'Asset Log'!$E$5:$E$1379,E117,'Asset Log'!$G$5:$G$1379,G117)</f>
        <v>1</v>
      </c>
    </row>
    <row r="118">
      <c r="A118" t="inlineStr">
        <is>
          <t>D70513</t>
        </is>
      </c>
      <c r="B118" s="11" t="n">
        <v>45832</v>
      </c>
      <c r="C118" t="inlineStr">
        <is>
          <t>S0055</t>
        </is>
      </c>
      <c r="D118" t="inlineStr">
        <is>
          <t>S0055</t>
        </is>
      </c>
      <c r="E118" t="inlineStr">
        <is>
          <t>FB</t>
        </is>
      </c>
      <c r="F118" t="n">
        <v>100</v>
      </c>
      <c r="G118" t="inlineStr">
        <is>
          <t>OUT</t>
        </is>
      </c>
      <c r="H118">
        <f>IF(G118="OUT",F118,-F118)</f>
        <v>100</v>
      </c>
      <c r="I118">
        <f>IF(AND(B118&gt;=DATE(2025,7,1),B118&lt;=DATE(2026,6,30)),1,0)</f>
        <v>0</v>
      </c>
      <c r="J118">
        <f>IF(B118&lt;=DATE(2026,6,30),1,0)</f>
        <v>1</v>
      </c>
      <c r="K118" t="inlineStr"/>
      <c r="L118" t="inlineStr">
        <is>
          <t>Driver</t>
        </is>
      </c>
      <c r="M118">
        <f>COUNTIFS('Asset Log'!$A$5:$A$1379,A118,'Asset Log'!$E$5:$E$1379,E118,'Asset Log'!$G$5:$G$1379,G118)</f>
        <v>1</v>
      </c>
    </row>
    <row r="119">
      <c r="A119" t="inlineStr">
        <is>
          <t>D70516</t>
        </is>
      </c>
      <c r="B119" s="11" t="n">
        <v>45832</v>
      </c>
      <c r="C119" t="inlineStr">
        <is>
          <t>S0055</t>
        </is>
      </c>
      <c r="D119" t="inlineStr">
        <is>
          <t>S0055</t>
        </is>
      </c>
      <c r="E119" t="inlineStr">
        <is>
          <t>BR</t>
        </is>
      </c>
      <c r="F119" t="n">
        <v>22</v>
      </c>
      <c r="G119" t="inlineStr">
        <is>
          <t>OUT</t>
        </is>
      </c>
      <c r="H119">
        <f>IF(G119="OUT",F119,-F119)</f>
        <v>22</v>
      </c>
      <c r="I119">
        <f>IF(AND(B119&gt;=DATE(2025,7,1),B119&lt;=DATE(2026,6,30)),1,0)</f>
        <v>0</v>
      </c>
      <c r="J119">
        <f>IF(B119&lt;=DATE(2026,6,30),1,0)</f>
        <v>1</v>
      </c>
      <c r="K119" t="inlineStr"/>
      <c r="L119" t="inlineStr">
        <is>
          <t>Office</t>
        </is>
      </c>
      <c r="M119">
        <f>COUNTIFS('Asset Log'!$A$5:$A$1379,A119,'Asset Log'!$E$5:$E$1379,E119,'Asset Log'!$G$5:$G$1379,G119)</f>
        <v>1</v>
      </c>
    </row>
    <row r="120">
      <c r="A120" t="inlineStr">
        <is>
          <t>D71952</t>
        </is>
      </c>
      <c r="B120" s="11" t="n">
        <v>45833</v>
      </c>
      <c r="C120" t="inlineStr">
        <is>
          <t>S0207</t>
        </is>
      </c>
      <c r="D120" t="inlineStr">
        <is>
          <t>S0207</t>
        </is>
      </c>
      <c r="E120" t="inlineStr">
        <is>
          <t>FP</t>
        </is>
      </c>
      <c r="F120" t="n">
        <v>98</v>
      </c>
      <c r="G120" t="inlineStr">
        <is>
          <t>OUT</t>
        </is>
      </c>
      <c r="H120">
        <f>IF(G120="OUT",F120,-F120)</f>
        <v>98</v>
      </c>
      <c r="I120">
        <f>IF(AND(B120&gt;=DATE(2025,7,1),B120&lt;=DATE(2026,6,30)),1,0)</f>
        <v>0</v>
      </c>
      <c r="J120">
        <f>IF(B120&lt;=DATE(2026,6,30),1,0)</f>
        <v>1</v>
      </c>
      <c r="K120" t="inlineStr"/>
      <c r="L120" t="inlineStr">
        <is>
          <t>Yard</t>
        </is>
      </c>
      <c r="M120">
        <f>COUNTIFS('Asset Log'!$A$5:$A$1379,A120,'Asset Log'!$E$5:$E$1379,E120,'Asset Log'!$G$5:$G$1379,G120)</f>
        <v>1</v>
      </c>
    </row>
    <row r="121">
      <c r="A121" t="inlineStr">
        <is>
          <t>D71956</t>
        </is>
      </c>
      <c r="B121" s="11" t="n">
        <v>45833</v>
      </c>
      <c r="C121" t="inlineStr">
        <is>
          <t>S0207</t>
        </is>
      </c>
      <c r="D121" t="inlineStr">
        <is>
          <t>S0207</t>
        </is>
      </c>
      <c r="E121" t="inlineStr">
        <is>
          <t>FB</t>
        </is>
      </c>
      <c r="F121" t="n">
        <v>107</v>
      </c>
      <c r="G121" t="inlineStr">
        <is>
          <t>OUT</t>
        </is>
      </c>
      <c r="H121">
        <f>IF(G121="OUT",F121,-F121)</f>
        <v>107</v>
      </c>
      <c r="I121">
        <f>IF(AND(B121&gt;=DATE(2025,7,1),B121&lt;=DATE(2026,6,30)),1,0)</f>
        <v>0</v>
      </c>
      <c r="J121">
        <f>IF(B121&lt;=DATE(2026,6,30),1,0)</f>
        <v>1</v>
      </c>
      <c r="K121" t="inlineStr"/>
      <c r="L121" t="inlineStr">
        <is>
          <t>Office</t>
        </is>
      </c>
      <c r="M121">
        <f>COUNTIFS('Asset Log'!$A$5:$A$1379,A121,'Asset Log'!$E$5:$E$1379,E121,'Asset Log'!$G$5:$G$1379,G121)</f>
        <v>1</v>
      </c>
    </row>
    <row r="122">
      <c r="A122" t="inlineStr">
        <is>
          <t>D70145</t>
        </is>
      </c>
      <c r="B122" s="11" t="n">
        <v>45834</v>
      </c>
      <c r="C122" t="inlineStr">
        <is>
          <t>S0017</t>
        </is>
      </c>
      <c r="D122" t="inlineStr">
        <is>
          <t>S0017</t>
        </is>
      </c>
      <c r="E122" t="inlineStr">
        <is>
          <t>FP</t>
        </is>
      </c>
      <c r="F122" t="n">
        <v>107</v>
      </c>
      <c r="G122" t="inlineStr">
        <is>
          <t>IN</t>
        </is>
      </c>
      <c r="H122">
        <f>IF(G122="OUT",F122,-F122)</f>
        <v>-107</v>
      </c>
      <c r="I122">
        <f>IF(AND(B122&gt;=DATE(2025,7,1),B122&lt;=DATE(2026,6,30)),1,0)</f>
        <v>0</v>
      </c>
      <c r="J122">
        <f>IF(B122&lt;=DATE(2026,6,30),1,0)</f>
        <v>1</v>
      </c>
      <c r="K122" t="inlineStr"/>
      <c r="L122" t="inlineStr">
        <is>
          <t>Office</t>
        </is>
      </c>
      <c r="M122">
        <f>COUNTIFS('Asset Log'!$A$5:$A$1379,A122,'Asset Log'!$E$5:$E$1379,E122,'Asset Log'!$G$5:$G$1379,G122)</f>
        <v>1</v>
      </c>
    </row>
    <row r="123">
      <c r="A123" t="inlineStr">
        <is>
          <t>D70149</t>
        </is>
      </c>
      <c r="B123" s="11" t="n">
        <v>45834</v>
      </c>
      <c r="C123" t="inlineStr">
        <is>
          <t>S0017</t>
        </is>
      </c>
      <c r="D123" t="inlineStr">
        <is>
          <t>S0017</t>
        </is>
      </c>
      <c r="E123" t="inlineStr">
        <is>
          <t>FB</t>
        </is>
      </c>
      <c r="F123" t="n">
        <v>117</v>
      </c>
      <c r="G123" t="inlineStr">
        <is>
          <t>IN</t>
        </is>
      </c>
      <c r="H123">
        <f>IF(G123="OUT",F123,-F123)</f>
        <v>-117</v>
      </c>
      <c r="I123">
        <f>IF(AND(B123&gt;=DATE(2025,7,1),B123&lt;=DATE(2026,6,30)),1,0)</f>
        <v>0</v>
      </c>
      <c r="J123">
        <f>IF(B123&lt;=DATE(2026,6,30),1,0)</f>
        <v>1</v>
      </c>
      <c r="K123" t="inlineStr"/>
      <c r="L123" t="inlineStr">
        <is>
          <t>Office</t>
        </is>
      </c>
      <c r="M123">
        <f>COUNTIFS('Asset Log'!$A$5:$A$1379,A123,'Asset Log'!$E$5:$E$1379,E123,'Asset Log'!$G$5:$G$1379,G123)</f>
        <v>1</v>
      </c>
    </row>
    <row r="124">
      <c r="A124" t="inlineStr">
        <is>
          <t>D71681</t>
        </is>
      </c>
      <c r="B124" s="11" t="n">
        <v>45837</v>
      </c>
      <c r="C124" t="inlineStr">
        <is>
          <t>S0177</t>
        </is>
      </c>
      <c r="D124" t="inlineStr">
        <is>
          <t>S0177</t>
        </is>
      </c>
      <c r="E124" t="inlineStr">
        <is>
          <t>FP</t>
        </is>
      </c>
      <c r="F124" t="n">
        <v>81</v>
      </c>
      <c r="G124" t="inlineStr">
        <is>
          <t>IN</t>
        </is>
      </c>
      <c r="H124">
        <f>IF(G124="OUT",F124,-F124)</f>
        <v>-81</v>
      </c>
      <c r="I124">
        <f>IF(AND(B124&gt;=DATE(2025,7,1),B124&lt;=DATE(2026,6,30)),1,0)</f>
        <v>0</v>
      </c>
      <c r="J124">
        <f>IF(B124&lt;=DATE(2026,6,30),1,0)</f>
        <v>1</v>
      </c>
      <c r="K124" t="inlineStr"/>
      <c r="L124" t="inlineStr">
        <is>
          <t>Office</t>
        </is>
      </c>
      <c r="M124">
        <f>COUNTIFS('Asset Log'!$A$5:$A$1379,A124,'Asset Log'!$E$5:$E$1379,E124,'Asset Log'!$G$5:$G$1379,G124)</f>
        <v>1</v>
      </c>
    </row>
    <row r="125">
      <c r="A125" t="inlineStr">
        <is>
          <t>D71684</t>
        </is>
      </c>
      <c r="B125" s="11" t="n">
        <v>45837</v>
      </c>
      <c r="C125" t="inlineStr">
        <is>
          <t>S0177</t>
        </is>
      </c>
      <c r="D125" t="inlineStr">
        <is>
          <t>S0177</t>
        </is>
      </c>
      <c r="E125" t="inlineStr">
        <is>
          <t>FB</t>
        </is>
      </c>
      <c r="F125" t="n">
        <v>89</v>
      </c>
      <c r="G125" t="inlineStr">
        <is>
          <t>IN</t>
        </is>
      </c>
      <c r="H125">
        <f>IF(G125="OUT",F125,-F125)</f>
        <v>-89</v>
      </c>
      <c r="I125">
        <f>IF(AND(B125&gt;=DATE(2025,7,1),B125&lt;=DATE(2026,6,30)),1,0)</f>
        <v>0</v>
      </c>
      <c r="J125">
        <f>IF(B125&lt;=DATE(2026,6,30),1,0)</f>
        <v>1</v>
      </c>
      <c r="K125" t="inlineStr"/>
      <c r="L125" t="inlineStr">
        <is>
          <t>Office</t>
        </is>
      </c>
      <c r="M125">
        <f>COUNTIFS('Asset Log'!$A$5:$A$1379,A125,'Asset Log'!$E$5:$E$1379,E125,'Asset Log'!$G$5:$G$1379,G125)</f>
        <v>1</v>
      </c>
    </row>
    <row r="126">
      <c r="A126" t="inlineStr">
        <is>
          <t>D71688</t>
        </is>
      </c>
      <c r="B126" s="11" t="n">
        <v>45837</v>
      </c>
      <c r="C126" t="inlineStr">
        <is>
          <t>S0177</t>
        </is>
      </c>
      <c r="D126" t="inlineStr">
        <is>
          <t>S0177</t>
        </is>
      </c>
      <c r="E126" t="inlineStr">
        <is>
          <t>BR</t>
        </is>
      </c>
      <c r="F126" t="n">
        <v>13</v>
      </c>
      <c r="G126" t="inlineStr">
        <is>
          <t>IN</t>
        </is>
      </c>
      <c r="H126">
        <f>IF(G126="OUT",F126,-F126)</f>
        <v>-13</v>
      </c>
      <c r="I126">
        <f>IF(AND(B126&gt;=DATE(2025,7,1),B126&lt;=DATE(2026,6,30)),1,0)</f>
        <v>0</v>
      </c>
      <c r="J126">
        <f>IF(B126&lt;=DATE(2026,6,30),1,0)</f>
        <v>1</v>
      </c>
      <c r="K126" t="inlineStr"/>
      <c r="L126" t="inlineStr">
        <is>
          <t>Office</t>
        </is>
      </c>
      <c r="M126">
        <f>COUNTIFS('Asset Log'!$A$5:$A$1379,A126,'Asset Log'!$E$5:$E$1379,E126,'Asset Log'!$G$5:$G$1379,G126)</f>
        <v>1</v>
      </c>
    </row>
    <row r="127">
      <c r="A127" t="inlineStr">
        <is>
          <t>D72226</t>
        </is>
      </c>
      <c r="B127" s="11" t="n">
        <v>45837</v>
      </c>
      <c r="C127" t="inlineStr">
        <is>
          <t>S0239</t>
        </is>
      </c>
      <c r="D127" t="inlineStr">
        <is>
          <t>S0239</t>
        </is>
      </c>
      <c r="E127" t="inlineStr">
        <is>
          <t>ST</t>
        </is>
      </c>
      <c r="F127" t="n">
        <v>1</v>
      </c>
      <c r="G127" t="inlineStr">
        <is>
          <t>OUT</t>
        </is>
      </c>
      <c r="H127">
        <f>IF(G127="OUT",F127,-F127)</f>
        <v>1</v>
      </c>
      <c r="I127">
        <f>IF(AND(B127&gt;=DATE(2025,7,1),B127&lt;=DATE(2026,6,30)),1,0)</f>
        <v>0</v>
      </c>
      <c r="J127">
        <f>IF(B127&lt;=DATE(2026,6,30),1,0)</f>
        <v>1</v>
      </c>
      <c r="K127" t="inlineStr"/>
      <c r="L127" t="inlineStr">
        <is>
          <t>Office</t>
        </is>
      </c>
      <c r="M127">
        <f>COUNTIFS('Asset Log'!$A$5:$A$1379,A127,'Asset Log'!$E$5:$E$1379,E127,'Asset Log'!$G$5:$G$1379,G127)</f>
        <v>1</v>
      </c>
    </row>
    <row r="128">
      <c r="A128" t="inlineStr">
        <is>
          <t>D70283</t>
        </is>
      </c>
      <c r="B128" s="11" t="n">
        <v>45838</v>
      </c>
      <c r="C128" t="inlineStr">
        <is>
          <t>31</t>
        </is>
      </c>
      <c r="D128" t="inlineStr">
        <is>
          <t>S0031</t>
        </is>
      </c>
      <c r="E128" t="inlineStr">
        <is>
          <t>FP</t>
        </is>
      </c>
      <c r="F128" t="n">
        <v>147</v>
      </c>
      <c r="G128" t="inlineStr">
        <is>
          <t>OUT</t>
        </is>
      </c>
      <c r="H128">
        <f>IF(G128="OUT",F128,-F128)</f>
        <v>147</v>
      </c>
      <c r="I128">
        <f>IF(AND(B128&gt;=DATE(2025,7,1),B128&lt;=DATE(2026,6,30)),1,0)</f>
        <v>0</v>
      </c>
      <c r="J128">
        <f>IF(B128&lt;=DATE(2026,6,30),1,0)</f>
        <v>1</v>
      </c>
      <c r="K128" t="inlineStr">
        <is>
          <t>Site text normalised</t>
        </is>
      </c>
      <c r="L128" t="inlineStr">
        <is>
          <t>Office</t>
        </is>
      </c>
      <c r="M128">
        <f>COUNTIFS('Asset Log'!$A$5:$A$1379,A128,'Asset Log'!$E$5:$E$1379,E128,'Asset Log'!$G$5:$G$1379,G128)</f>
        <v>1</v>
      </c>
    </row>
    <row r="129">
      <c r="A129" t="inlineStr">
        <is>
          <t>D70288</t>
        </is>
      </c>
      <c r="B129" s="11" t="n">
        <v>45838</v>
      </c>
      <c r="C129" t="inlineStr">
        <is>
          <t>S0031</t>
        </is>
      </c>
      <c r="D129" t="inlineStr">
        <is>
          <t>S0031</t>
        </is>
      </c>
      <c r="E129" t="inlineStr">
        <is>
          <t>FB</t>
        </is>
      </c>
      <c r="F129" t="n">
        <v>161</v>
      </c>
      <c r="G129" t="inlineStr">
        <is>
          <t>OUT</t>
        </is>
      </c>
      <c r="H129">
        <f>IF(G129="OUT",F129,-F129)</f>
        <v>161</v>
      </c>
      <c r="I129">
        <f>IF(AND(B129&gt;=DATE(2025,7,1),B129&lt;=DATE(2026,6,30)),1,0)</f>
        <v>0</v>
      </c>
      <c r="J129">
        <f>IF(B129&lt;=DATE(2026,6,30),1,0)</f>
        <v>1</v>
      </c>
      <c r="K129" t="inlineStr"/>
      <c r="L129" t="inlineStr">
        <is>
          <t>Office</t>
        </is>
      </c>
      <c r="M129">
        <f>COUNTIFS('Asset Log'!$A$5:$A$1379,A129,'Asset Log'!$E$5:$E$1379,E129,'Asset Log'!$G$5:$G$1379,G129)</f>
        <v>1</v>
      </c>
    </row>
    <row r="130">
      <c r="A130" t="inlineStr">
        <is>
          <t>D72233</t>
        </is>
      </c>
      <c r="B130" s="11" t="n">
        <v>45838</v>
      </c>
      <c r="C130" t="inlineStr">
        <is>
          <t>s241</t>
        </is>
      </c>
      <c r="D130" t="inlineStr">
        <is>
          <t>S0241</t>
        </is>
      </c>
      <c r="E130" t="inlineStr">
        <is>
          <t>ST</t>
        </is>
      </c>
      <c r="F130" t="n">
        <v>2</v>
      </c>
      <c r="G130" t="inlineStr">
        <is>
          <t>OUT</t>
        </is>
      </c>
      <c r="H130">
        <f>IF(G130="OUT",F130,-F130)</f>
        <v>2</v>
      </c>
      <c r="I130">
        <f>IF(AND(B130&gt;=DATE(2025,7,1),B130&lt;=DATE(2026,6,30)),1,0)</f>
        <v>0</v>
      </c>
      <c r="J130">
        <f>IF(B130&lt;=DATE(2026,6,30),1,0)</f>
        <v>1</v>
      </c>
      <c r="K130" t="inlineStr">
        <is>
          <t>Site text normalised</t>
        </is>
      </c>
      <c r="L130" t="inlineStr">
        <is>
          <t>Office</t>
        </is>
      </c>
      <c r="M130">
        <f>COUNTIFS('Asset Log'!$A$5:$A$1379,A130,'Asset Log'!$E$5:$E$1379,E130,'Asset Log'!$G$5:$G$1379,G130)</f>
        <v>1</v>
      </c>
    </row>
    <row r="131">
      <c r="A131" t="inlineStr">
        <is>
          <t>D72243</t>
        </is>
      </c>
      <c r="B131" s="11" t="n">
        <v>45838</v>
      </c>
      <c r="C131" t="inlineStr">
        <is>
          <t>S0244</t>
        </is>
      </c>
      <c r="D131" t="inlineStr">
        <is>
          <t>S0244</t>
        </is>
      </c>
      <c r="E131" t="inlineStr">
        <is>
          <t>ST</t>
        </is>
      </c>
      <c r="F131" t="n">
        <v>1</v>
      </c>
      <c r="G131" t="inlineStr">
        <is>
          <t>OUT</t>
        </is>
      </c>
      <c r="H131">
        <f>IF(G131="OUT",F131,-F131)</f>
        <v>1</v>
      </c>
      <c r="I131">
        <f>IF(AND(B131&gt;=DATE(2025,7,1),B131&lt;=DATE(2026,6,30)),1,0)</f>
        <v>0</v>
      </c>
      <c r="J131">
        <f>IF(B131&lt;=DATE(2026,6,30),1,0)</f>
        <v>1</v>
      </c>
      <c r="K131" t="inlineStr"/>
      <c r="L131" t="inlineStr">
        <is>
          <t>Driver</t>
        </is>
      </c>
      <c r="M131">
        <f>COUNTIFS('Asset Log'!$A$5:$A$1379,A131,'Asset Log'!$E$5:$E$1379,E131,'Asset Log'!$G$5:$G$1379,G131)</f>
        <v>1</v>
      </c>
    </row>
    <row r="132">
      <c r="A132" t="inlineStr">
        <is>
          <t>D70430</t>
        </is>
      </c>
      <c r="B132" s="11" t="n">
        <v>45839</v>
      </c>
      <c r="C132" t="inlineStr">
        <is>
          <t>S0046</t>
        </is>
      </c>
      <c r="D132" t="inlineStr">
        <is>
          <t>S0046</t>
        </is>
      </c>
      <c r="E132" t="inlineStr">
        <is>
          <t>FP</t>
        </is>
      </c>
      <c r="F132" t="n">
        <v>55</v>
      </c>
      <c r="G132" t="inlineStr">
        <is>
          <t>IN</t>
        </is>
      </c>
      <c r="H132">
        <f>IF(G132="OUT",F132,-F132)</f>
        <v>-55</v>
      </c>
      <c r="I132">
        <f>IF(AND(B132&gt;=DATE(2025,7,1),B132&lt;=DATE(2026,6,30)),1,0)</f>
        <v>1</v>
      </c>
      <c r="J132">
        <f>IF(B132&lt;=DATE(2026,6,30),1,0)</f>
        <v>1</v>
      </c>
      <c r="K132" t="inlineStr"/>
      <c r="L132" t="inlineStr">
        <is>
          <t>Office</t>
        </is>
      </c>
      <c r="M132">
        <f>COUNTIFS('Asset Log'!$A$5:$A$1379,A132,'Asset Log'!$E$5:$E$1379,E132,'Asset Log'!$G$5:$G$1379,G132)</f>
        <v>1</v>
      </c>
    </row>
    <row r="133">
      <c r="A133" t="inlineStr">
        <is>
          <t>D70435</t>
        </is>
      </c>
      <c r="B133" s="11" t="n">
        <v>45839</v>
      </c>
      <c r="C133" t="inlineStr">
        <is>
          <t>S0046</t>
        </is>
      </c>
      <c r="D133" t="inlineStr">
        <is>
          <t>S0046</t>
        </is>
      </c>
      <c r="E133" t="inlineStr">
        <is>
          <t>FB</t>
        </is>
      </c>
      <c r="F133" t="n">
        <v>63</v>
      </c>
      <c r="G133" t="inlineStr">
        <is>
          <t>IN</t>
        </is>
      </c>
      <c r="H133">
        <f>IF(G133="OUT",F133,-F133)</f>
        <v>-63</v>
      </c>
      <c r="I133">
        <f>IF(AND(B133&gt;=DATE(2025,7,1),B133&lt;=DATE(2026,6,30)),1,0)</f>
        <v>1</v>
      </c>
      <c r="J133">
        <f>IF(B133&lt;=DATE(2026,6,30),1,0)</f>
        <v>1</v>
      </c>
      <c r="K133" t="inlineStr"/>
      <c r="L133" t="inlineStr">
        <is>
          <t>Office</t>
        </is>
      </c>
      <c r="M133">
        <f>COUNTIFS('Asset Log'!$A$5:$A$1379,A133,'Asset Log'!$E$5:$E$1379,E133,'Asset Log'!$G$5:$G$1379,G133)</f>
        <v>1</v>
      </c>
    </row>
    <row r="134">
      <c r="A134" t="inlineStr">
        <is>
          <t>D70438</t>
        </is>
      </c>
      <c r="B134" s="11" t="n">
        <v>45839</v>
      </c>
      <c r="C134" t="inlineStr">
        <is>
          <t>S0046</t>
        </is>
      </c>
      <c r="D134" t="inlineStr">
        <is>
          <t>S0046</t>
        </is>
      </c>
      <c r="E134" t="inlineStr">
        <is>
          <t>FP</t>
        </is>
      </c>
      <c r="F134" t="n">
        <v>3</v>
      </c>
      <c r="G134" t="inlineStr">
        <is>
          <t>LOST</t>
        </is>
      </c>
      <c r="H134">
        <f>IF(G134="OUT",F134,-F134)</f>
        <v>-3</v>
      </c>
      <c r="I134">
        <f>IF(AND(B134&gt;=DATE(2025,7,1),B134&lt;=DATE(2026,6,30)),1,0)</f>
        <v>1</v>
      </c>
      <c r="J134">
        <f>IF(B134&lt;=DATE(2026,6,30),1,0)</f>
        <v>1</v>
      </c>
      <c r="K134" t="inlineStr"/>
      <c r="L134" t="inlineStr">
        <is>
          <t>Yard</t>
        </is>
      </c>
      <c r="M134">
        <f>COUNTIFS('Asset Log'!$A$5:$A$1379,A134,'Asset Log'!$E$5:$E$1379,E134,'Asset Log'!$G$5:$G$1379,G134)</f>
        <v>1</v>
      </c>
    </row>
    <row r="135">
      <c r="A135" t="inlineStr">
        <is>
          <t>D70863</t>
        </is>
      </c>
      <c r="B135" s="11" t="n">
        <v>45839</v>
      </c>
      <c r="C135" t="inlineStr">
        <is>
          <t>S0091</t>
        </is>
      </c>
      <c r="D135" t="inlineStr">
        <is>
          <t>S0091</t>
        </is>
      </c>
      <c r="E135" t="inlineStr">
        <is>
          <t>FP</t>
        </is>
      </c>
      <c r="F135" t="n">
        <v>32</v>
      </c>
      <c r="G135" t="inlineStr">
        <is>
          <t>OUT</t>
        </is>
      </c>
      <c r="H135">
        <f>IF(G135="OUT",F135,-F135)</f>
        <v>32</v>
      </c>
      <c r="I135">
        <f>IF(AND(B135&gt;=DATE(2025,7,1),B135&lt;=DATE(2026,6,30)),1,0)</f>
        <v>1</v>
      </c>
      <c r="J135">
        <f>IF(B135&lt;=DATE(2026,6,30),1,0)</f>
        <v>1</v>
      </c>
      <c r="K135" t="inlineStr"/>
      <c r="L135" t="inlineStr">
        <is>
          <t>Office</t>
        </is>
      </c>
      <c r="M135">
        <f>COUNTIFS('Asset Log'!$A$5:$A$1379,A135,'Asset Log'!$E$5:$E$1379,E135,'Asset Log'!$G$5:$G$1379,G135)</f>
        <v>1</v>
      </c>
    </row>
    <row r="136">
      <c r="A136" t="inlineStr">
        <is>
          <t>D70867</t>
        </is>
      </c>
      <c r="B136" s="11" t="n">
        <v>45839</v>
      </c>
      <c r="C136" t="inlineStr">
        <is>
          <t>S0091</t>
        </is>
      </c>
      <c r="D136" t="inlineStr">
        <is>
          <t>S0091</t>
        </is>
      </c>
      <c r="E136" t="inlineStr">
        <is>
          <t>FB</t>
        </is>
      </c>
      <c r="F136" t="n">
        <v>35</v>
      </c>
      <c r="G136" t="inlineStr">
        <is>
          <t>OUT</t>
        </is>
      </c>
      <c r="H136">
        <f>IF(G136="OUT",F136,-F136)</f>
        <v>35</v>
      </c>
      <c r="I136">
        <f>IF(AND(B136&gt;=DATE(2025,7,1),B136&lt;=DATE(2026,6,30)),1,0)</f>
        <v>1</v>
      </c>
      <c r="J136">
        <f>IF(B136&lt;=DATE(2026,6,30),1,0)</f>
        <v>1</v>
      </c>
      <c r="K136" t="inlineStr"/>
      <c r="L136" t="inlineStr">
        <is>
          <t>Driver</t>
        </is>
      </c>
      <c r="M136">
        <f>COUNTIFS('Asset Log'!$A$5:$A$1379,A136,'Asset Log'!$E$5:$E$1379,E136,'Asset Log'!$G$5:$G$1379,G136)</f>
        <v>1</v>
      </c>
    </row>
    <row r="137">
      <c r="A137" t="inlineStr">
        <is>
          <t>D71131</t>
        </is>
      </c>
      <c r="B137" s="11" t="n">
        <v>45840</v>
      </c>
      <c r="C137" t="inlineStr">
        <is>
          <t>S0120</t>
        </is>
      </c>
      <c r="D137" t="inlineStr">
        <is>
          <t>S0120</t>
        </is>
      </c>
      <c r="E137" t="inlineStr">
        <is>
          <t>FP</t>
        </is>
      </c>
      <c r="F137" t="n">
        <v>85</v>
      </c>
      <c r="G137" t="inlineStr">
        <is>
          <t>IN</t>
        </is>
      </c>
      <c r="H137">
        <f>IF(G137="OUT",F137,-F137)</f>
        <v>-85</v>
      </c>
      <c r="I137">
        <f>IF(AND(B137&gt;=DATE(2025,7,1),B137&lt;=DATE(2026,6,30)),1,0)</f>
        <v>1</v>
      </c>
      <c r="J137">
        <f>IF(B137&lt;=DATE(2026,6,30),1,0)</f>
        <v>1</v>
      </c>
      <c r="K137" t="inlineStr"/>
      <c r="L137" t="inlineStr">
        <is>
          <t>Driver</t>
        </is>
      </c>
      <c r="M137">
        <f>COUNTIFS('Asset Log'!$A$5:$A$1379,A137,'Asset Log'!$E$5:$E$1379,E137,'Asset Log'!$G$5:$G$1379,G137)</f>
        <v>1</v>
      </c>
    </row>
    <row r="138">
      <c r="A138" t="inlineStr">
        <is>
          <t>D71136</t>
        </is>
      </c>
      <c r="B138" s="11" t="n">
        <v>45840</v>
      </c>
      <c r="C138" t="inlineStr">
        <is>
          <t>S0120</t>
        </is>
      </c>
      <c r="D138" t="inlineStr">
        <is>
          <t>S0120</t>
        </is>
      </c>
      <c r="E138" t="inlineStr">
        <is>
          <t>FB</t>
        </is>
      </c>
      <c r="F138" t="n">
        <v>93</v>
      </c>
      <c r="G138" t="inlineStr">
        <is>
          <t>IN</t>
        </is>
      </c>
      <c r="H138">
        <f>IF(G138="OUT",F138,-F138)</f>
        <v>-93</v>
      </c>
      <c r="I138">
        <f>IF(AND(B138&gt;=DATE(2025,7,1),B138&lt;=DATE(2026,6,30)),1,0)</f>
        <v>1</v>
      </c>
      <c r="J138">
        <f>IF(B138&lt;=DATE(2026,6,30),1,0)</f>
        <v>1</v>
      </c>
      <c r="K138" t="inlineStr"/>
      <c r="L138" t="inlineStr">
        <is>
          <t>Yard</t>
        </is>
      </c>
      <c r="M138">
        <f>COUNTIFS('Asset Log'!$A$5:$A$1379,A138,'Asset Log'!$E$5:$E$1379,E138,'Asset Log'!$G$5:$G$1379,G138)</f>
        <v>1</v>
      </c>
    </row>
    <row r="139">
      <c r="A139" t="inlineStr">
        <is>
          <t>D71139</t>
        </is>
      </c>
      <c r="B139" s="11" t="n">
        <v>45840</v>
      </c>
      <c r="C139" t="inlineStr">
        <is>
          <t>S0120</t>
        </is>
      </c>
      <c r="D139" t="inlineStr">
        <is>
          <t>S0120</t>
        </is>
      </c>
      <c r="E139" t="inlineStr">
        <is>
          <t>BR</t>
        </is>
      </c>
      <c r="F139" t="n">
        <v>15</v>
      </c>
      <c r="G139" t="inlineStr">
        <is>
          <t>IN</t>
        </is>
      </c>
      <c r="H139">
        <f>IF(G139="OUT",F139,-F139)</f>
        <v>-15</v>
      </c>
      <c r="I139">
        <f>IF(AND(B139&gt;=DATE(2025,7,1),B139&lt;=DATE(2026,6,30)),1,0)</f>
        <v>1</v>
      </c>
      <c r="J139">
        <f>IF(B139&lt;=DATE(2026,6,30),1,0)</f>
        <v>1</v>
      </c>
      <c r="K139" t="inlineStr"/>
      <c r="L139" t="inlineStr">
        <is>
          <t>Office</t>
        </is>
      </c>
      <c r="M139">
        <f>COUNTIFS('Asset Log'!$A$5:$A$1379,A139,'Asset Log'!$E$5:$E$1379,E139,'Asset Log'!$G$5:$G$1379,G139)</f>
        <v>1</v>
      </c>
    </row>
    <row r="140">
      <c r="A140" t="inlineStr">
        <is>
          <t>D71805</t>
        </is>
      </c>
      <c r="B140" s="11" t="n">
        <v>45840</v>
      </c>
      <c r="C140" t="inlineStr">
        <is>
          <t>S0191</t>
        </is>
      </c>
      <c r="D140" t="inlineStr">
        <is>
          <t>S0191</t>
        </is>
      </c>
      <c r="E140" t="inlineStr">
        <is>
          <t>FP</t>
        </is>
      </c>
      <c r="F140" t="n">
        <v>114</v>
      </c>
      <c r="G140" t="inlineStr">
        <is>
          <t>IN</t>
        </is>
      </c>
      <c r="H140">
        <f>IF(G140="OUT",F140,-F140)</f>
        <v>-114</v>
      </c>
      <c r="I140">
        <f>IF(AND(B140&gt;=DATE(2025,7,1),B140&lt;=DATE(2026,6,30)),1,0)</f>
        <v>1</v>
      </c>
      <c r="J140">
        <f>IF(B140&lt;=DATE(2026,6,30),1,0)</f>
        <v>1</v>
      </c>
      <c r="K140" t="inlineStr"/>
      <c r="L140" t="inlineStr">
        <is>
          <t>Yard</t>
        </is>
      </c>
      <c r="M140">
        <f>COUNTIFS('Asset Log'!$A$5:$A$1379,A140,'Asset Log'!$E$5:$E$1379,E140,'Asset Log'!$G$5:$G$1379,G140)</f>
        <v>1</v>
      </c>
    </row>
    <row r="141">
      <c r="A141" t="inlineStr">
        <is>
          <t>D71809</t>
        </is>
      </c>
      <c r="B141" s="11" t="n">
        <v>45840</v>
      </c>
      <c r="C141" t="inlineStr">
        <is>
          <t>191</t>
        </is>
      </c>
      <c r="D141" t="inlineStr">
        <is>
          <t>S0191</t>
        </is>
      </c>
      <c r="E141" t="inlineStr">
        <is>
          <t>FB</t>
        </is>
      </c>
      <c r="F141" t="n">
        <v>125</v>
      </c>
      <c r="G141" t="inlineStr">
        <is>
          <t>IN</t>
        </is>
      </c>
      <c r="H141">
        <f>IF(G141="OUT",F141,-F141)</f>
        <v>-125</v>
      </c>
      <c r="I141">
        <f>IF(AND(B141&gt;=DATE(2025,7,1),B141&lt;=DATE(2026,6,30)),1,0)</f>
        <v>1</v>
      </c>
      <c r="J141">
        <f>IF(B141&lt;=DATE(2026,6,30),1,0)</f>
        <v>1</v>
      </c>
      <c r="K141" t="inlineStr">
        <is>
          <t>Site text normalised</t>
        </is>
      </c>
      <c r="L141" t="inlineStr">
        <is>
          <t>Office</t>
        </is>
      </c>
      <c r="M141">
        <f>COUNTIFS('Asset Log'!$A$5:$A$1379,A141,'Asset Log'!$E$5:$E$1379,E141,'Asset Log'!$G$5:$G$1379,G141)</f>
        <v>1</v>
      </c>
    </row>
    <row r="142">
      <c r="A142" t="inlineStr">
        <is>
          <t>D70361</t>
        </is>
      </c>
      <c r="B142" s="11" t="n">
        <v>45841</v>
      </c>
      <c r="C142" t="inlineStr">
        <is>
          <t>S0039</t>
        </is>
      </c>
      <c r="D142" t="inlineStr">
        <is>
          <t>S0039</t>
        </is>
      </c>
      <c r="E142" t="inlineStr">
        <is>
          <t>FP</t>
        </is>
      </c>
      <c r="F142" t="n">
        <v>99</v>
      </c>
      <c r="G142" t="inlineStr">
        <is>
          <t>OUT</t>
        </is>
      </c>
      <c r="H142">
        <f>IF(G142="OUT",F142,-F142)</f>
        <v>99</v>
      </c>
      <c r="I142">
        <f>IF(AND(B142&gt;=DATE(2025,7,1),B142&lt;=DATE(2026,6,30)),1,0)</f>
        <v>1</v>
      </c>
      <c r="J142">
        <f>IF(B142&lt;=DATE(2026,6,30),1,0)</f>
        <v>1</v>
      </c>
      <c r="K142" t="inlineStr"/>
      <c r="L142" t="inlineStr">
        <is>
          <t>Office</t>
        </is>
      </c>
      <c r="M142">
        <f>COUNTIFS('Asset Log'!$A$5:$A$1379,A142,'Asset Log'!$E$5:$E$1379,E142,'Asset Log'!$G$5:$G$1379,G142)</f>
        <v>1</v>
      </c>
    </row>
    <row r="143">
      <c r="A143" t="inlineStr">
        <is>
          <t>D70366</t>
        </is>
      </c>
      <c r="B143" s="11" t="n">
        <v>45841</v>
      </c>
      <c r="C143" t="inlineStr">
        <is>
          <t>39</t>
        </is>
      </c>
      <c r="D143" t="inlineStr">
        <is>
          <t>S0039</t>
        </is>
      </c>
      <c r="E143" t="inlineStr">
        <is>
          <t>FB</t>
        </is>
      </c>
      <c r="F143" t="n">
        <v>108</v>
      </c>
      <c r="G143" t="inlineStr">
        <is>
          <t>OUT</t>
        </is>
      </c>
      <c r="H143">
        <f>IF(G143="OUT",F143,-F143)</f>
        <v>108</v>
      </c>
      <c r="I143">
        <f>IF(AND(B143&gt;=DATE(2025,7,1),B143&lt;=DATE(2026,6,30)),1,0)</f>
        <v>1</v>
      </c>
      <c r="J143">
        <f>IF(B143&lt;=DATE(2026,6,30),1,0)</f>
        <v>1</v>
      </c>
      <c r="K143" t="inlineStr">
        <is>
          <t>Site text normalised</t>
        </is>
      </c>
      <c r="L143" t="inlineStr">
        <is>
          <t>Office</t>
        </is>
      </c>
      <c r="M143">
        <f>COUNTIFS('Asset Log'!$A$5:$A$1379,A143,'Asset Log'!$E$5:$E$1379,E143,'Asset Log'!$G$5:$G$1379,G143)</f>
        <v>1</v>
      </c>
    </row>
    <row r="144">
      <c r="A144" t="inlineStr">
        <is>
          <t>D70371</t>
        </is>
      </c>
      <c r="B144" s="11" t="n">
        <v>45841</v>
      </c>
      <c r="C144" t="inlineStr">
        <is>
          <t>s039</t>
        </is>
      </c>
      <c r="D144" t="inlineStr">
        <is>
          <t>S0039</t>
        </is>
      </c>
      <c r="E144" t="inlineStr">
        <is>
          <t>BR</t>
        </is>
      </c>
      <c r="F144" t="n">
        <v>21</v>
      </c>
      <c r="G144" t="inlineStr">
        <is>
          <t>OUT</t>
        </is>
      </c>
      <c r="H144">
        <f>IF(G144="OUT",F144,-F144)</f>
        <v>21</v>
      </c>
      <c r="I144">
        <f>IF(AND(B144&gt;=DATE(2025,7,1),B144&lt;=DATE(2026,6,30)),1,0)</f>
        <v>1</v>
      </c>
      <c r="J144">
        <f>IF(B144&lt;=DATE(2026,6,30),1,0)</f>
        <v>1</v>
      </c>
      <c r="K144" t="inlineStr">
        <is>
          <t>Site text normalised</t>
        </is>
      </c>
      <c r="L144" t="inlineStr">
        <is>
          <t>Office</t>
        </is>
      </c>
      <c r="M144">
        <f>COUNTIFS('Asset Log'!$A$5:$A$1379,A144,'Asset Log'!$E$5:$E$1379,E144,'Asset Log'!$G$5:$G$1379,G144)</f>
        <v>1</v>
      </c>
    </row>
    <row r="145">
      <c r="A145" t="inlineStr">
        <is>
          <t>D71429</t>
        </is>
      </c>
      <c r="B145" s="11" t="n">
        <v>45841</v>
      </c>
      <c r="C145" t="inlineStr">
        <is>
          <t>S0150</t>
        </is>
      </c>
      <c r="D145" t="inlineStr">
        <is>
          <t>S0150</t>
        </is>
      </c>
      <c r="E145" t="inlineStr">
        <is>
          <t>FP</t>
        </is>
      </c>
      <c r="F145" t="n">
        <v>23</v>
      </c>
      <c r="G145" t="inlineStr">
        <is>
          <t>IN</t>
        </is>
      </c>
      <c r="H145">
        <f>IF(G145="OUT",F145,-F145)</f>
        <v>-23</v>
      </c>
      <c r="I145">
        <f>IF(AND(B145&gt;=DATE(2025,7,1),B145&lt;=DATE(2026,6,30)),1,0)</f>
        <v>1</v>
      </c>
      <c r="J145">
        <f>IF(B145&lt;=DATE(2026,6,30),1,0)</f>
        <v>1</v>
      </c>
      <c r="K145" t="inlineStr"/>
      <c r="L145" t="inlineStr">
        <is>
          <t>Office</t>
        </is>
      </c>
      <c r="M145">
        <f>COUNTIFS('Asset Log'!$A$5:$A$1379,A145,'Asset Log'!$E$5:$E$1379,E145,'Asset Log'!$G$5:$G$1379,G145)</f>
        <v>1</v>
      </c>
    </row>
    <row r="146">
      <c r="A146" t="inlineStr">
        <is>
          <t>D71433</t>
        </is>
      </c>
      <c r="B146" s="11" t="n">
        <v>45841</v>
      </c>
      <c r="C146" t="inlineStr">
        <is>
          <t>S0150</t>
        </is>
      </c>
      <c r="D146" t="inlineStr">
        <is>
          <t>S0150</t>
        </is>
      </c>
      <c r="E146" t="inlineStr">
        <is>
          <t>FB</t>
        </is>
      </c>
      <c r="F146" t="n">
        <v>25</v>
      </c>
      <c r="G146" t="inlineStr">
        <is>
          <t>IN</t>
        </is>
      </c>
      <c r="H146">
        <f>IF(G146="OUT",F146,-F146)</f>
        <v>-25</v>
      </c>
      <c r="I146">
        <f>IF(AND(B146&gt;=DATE(2025,7,1),B146&lt;=DATE(2026,6,30)),1,0)</f>
        <v>1</v>
      </c>
      <c r="J146">
        <f>IF(B146&lt;=DATE(2026,6,30),1,0)</f>
        <v>1</v>
      </c>
      <c r="K146" t="inlineStr"/>
      <c r="L146" t="inlineStr">
        <is>
          <t>Driver</t>
        </is>
      </c>
      <c r="M146">
        <f>COUNTIFS('Asset Log'!$A$5:$A$1379,A146,'Asset Log'!$E$5:$E$1379,E146,'Asset Log'!$G$5:$G$1379,G146)</f>
        <v>1</v>
      </c>
    </row>
    <row r="147">
      <c r="A147" t="inlineStr">
        <is>
          <t>D71436</t>
        </is>
      </c>
      <c r="B147" s="11" t="n">
        <v>45841</v>
      </c>
      <c r="C147" t="inlineStr">
        <is>
          <t>s150</t>
        </is>
      </c>
      <c r="D147" t="inlineStr">
        <is>
          <t>S0150</t>
        </is>
      </c>
      <c r="E147" t="inlineStr">
        <is>
          <t>BR</t>
        </is>
      </c>
      <c r="F147" t="n">
        <v>10</v>
      </c>
      <c r="G147" t="inlineStr">
        <is>
          <t>IN</t>
        </is>
      </c>
      <c r="H147">
        <f>IF(G147="OUT",F147,-F147)</f>
        <v>-10</v>
      </c>
      <c r="I147">
        <f>IF(AND(B147&gt;=DATE(2025,7,1),B147&lt;=DATE(2026,6,30)),1,0)</f>
        <v>1</v>
      </c>
      <c r="J147">
        <f>IF(B147&lt;=DATE(2026,6,30),1,0)</f>
        <v>1</v>
      </c>
      <c r="K147" t="inlineStr">
        <is>
          <t>Site text normalised</t>
        </is>
      </c>
      <c r="L147" t="inlineStr">
        <is>
          <t>Driver</t>
        </is>
      </c>
      <c r="M147">
        <f>COUNTIFS('Asset Log'!$A$5:$A$1379,A147,'Asset Log'!$E$5:$E$1379,E147,'Asset Log'!$G$5:$G$1379,G147)</f>
        <v>1</v>
      </c>
    </row>
    <row r="148">
      <c r="A148" t="inlineStr">
        <is>
          <t>D70347</t>
        </is>
      </c>
      <c r="B148" s="11" t="n">
        <v>45842</v>
      </c>
      <c r="C148" t="inlineStr">
        <is>
          <t>S0037</t>
        </is>
      </c>
      <c r="D148" t="inlineStr">
        <is>
          <t>S0037</t>
        </is>
      </c>
      <c r="E148" t="inlineStr">
        <is>
          <t>FP</t>
        </is>
      </c>
      <c r="F148" t="n">
        <v>132</v>
      </c>
      <c r="G148" t="inlineStr">
        <is>
          <t>IN</t>
        </is>
      </c>
      <c r="H148">
        <f>IF(G148="OUT",F148,-F148)</f>
        <v>-132</v>
      </c>
      <c r="I148">
        <f>IF(AND(B148&gt;=DATE(2025,7,1),B148&lt;=DATE(2026,6,30)),1,0)</f>
        <v>1</v>
      </c>
      <c r="J148">
        <f>IF(B148&lt;=DATE(2026,6,30),1,0)</f>
        <v>1</v>
      </c>
      <c r="K148" t="inlineStr"/>
      <c r="L148" t="inlineStr">
        <is>
          <t>Yard</t>
        </is>
      </c>
      <c r="M148">
        <f>COUNTIFS('Asset Log'!$A$5:$A$1379,A148,'Asset Log'!$E$5:$E$1379,E148,'Asset Log'!$G$5:$G$1379,G148)</f>
        <v>1</v>
      </c>
    </row>
    <row r="149">
      <c r="A149" t="inlineStr">
        <is>
          <t>D70349</t>
        </is>
      </c>
      <c r="B149" s="11" t="n">
        <v>45842</v>
      </c>
      <c r="C149" t="inlineStr">
        <is>
          <t>S0037</t>
        </is>
      </c>
      <c r="D149" t="inlineStr">
        <is>
          <t>S0037</t>
        </is>
      </c>
      <c r="E149" t="inlineStr">
        <is>
          <t>FB</t>
        </is>
      </c>
      <c r="F149" t="n">
        <v>145</v>
      </c>
      <c r="G149" t="inlineStr">
        <is>
          <t>IN</t>
        </is>
      </c>
      <c r="H149">
        <f>IF(G149="OUT",F149,-F149)</f>
        <v>-145</v>
      </c>
      <c r="I149">
        <f>IF(AND(B149&gt;=DATE(2025,7,1),B149&lt;=DATE(2026,6,30)),1,0)</f>
        <v>1</v>
      </c>
      <c r="J149">
        <f>IF(B149&lt;=DATE(2026,6,30),1,0)</f>
        <v>1</v>
      </c>
      <c r="K149" t="inlineStr"/>
      <c r="L149" t="inlineStr">
        <is>
          <t>Office</t>
        </is>
      </c>
      <c r="M149">
        <f>COUNTIFS('Asset Log'!$A$5:$A$1379,A149,'Asset Log'!$E$5:$E$1379,E149,'Asset Log'!$G$5:$G$1379,G149)</f>
        <v>1</v>
      </c>
    </row>
    <row r="150">
      <c r="A150" t="inlineStr">
        <is>
          <t>D70794</t>
        </is>
      </c>
      <c r="B150" s="11" t="n">
        <v>45842</v>
      </c>
      <c r="C150" t="inlineStr">
        <is>
          <t>S0085</t>
        </is>
      </c>
      <c r="D150" t="inlineStr">
        <is>
          <t>S0085</t>
        </is>
      </c>
      <c r="E150" t="inlineStr">
        <is>
          <t>FP</t>
        </is>
      </c>
      <c r="F150" t="n">
        <v>141</v>
      </c>
      <c r="G150" t="inlineStr">
        <is>
          <t>OUT</t>
        </is>
      </c>
      <c r="H150">
        <f>IF(G150="OUT",F150,-F150)</f>
        <v>141</v>
      </c>
      <c r="I150">
        <f>IF(AND(B150&gt;=DATE(2025,7,1),B150&lt;=DATE(2026,6,30)),1,0)</f>
        <v>1</v>
      </c>
      <c r="J150">
        <f>IF(B150&lt;=DATE(2026,6,30),1,0)</f>
        <v>1</v>
      </c>
      <c r="K150" t="inlineStr"/>
      <c r="L150" t="inlineStr">
        <is>
          <t>Driver</t>
        </is>
      </c>
      <c r="M150">
        <f>COUNTIFS('Asset Log'!$A$5:$A$1379,A150,'Asset Log'!$E$5:$E$1379,E150,'Asset Log'!$G$5:$G$1379,G150)</f>
        <v>1</v>
      </c>
    </row>
    <row r="151">
      <c r="A151" t="inlineStr">
        <is>
          <t>D70800</t>
        </is>
      </c>
      <c r="B151" s="11" t="n">
        <v>45842</v>
      </c>
      <c r="C151" t="inlineStr">
        <is>
          <t>S0085</t>
        </is>
      </c>
      <c r="D151" t="inlineStr">
        <is>
          <t>S0085</t>
        </is>
      </c>
      <c r="E151" t="inlineStr">
        <is>
          <t>FB</t>
        </is>
      </c>
      <c r="F151" t="n">
        <v>155</v>
      </c>
      <c r="G151" t="inlineStr">
        <is>
          <t>OUT</t>
        </is>
      </c>
      <c r="H151">
        <f>IF(G151="OUT",F151,-F151)</f>
        <v>155</v>
      </c>
      <c r="I151">
        <f>IF(AND(B151&gt;=DATE(2025,7,1),B151&lt;=DATE(2026,6,30)),1,0)</f>
        <v>1</v>
      </c>
      <c r="J151">
        <f>IF(B151&lt;=DATE(2026,6,30),1,0)</f>
        <v>1</v>
      </c>
      <c r="K151" t="inlineStr"/>
      <c r="L151" t="inlineStr">
        <is>
          <t>Office</t>
        </is>
      </c>
      <c r="M151">
        <f>COUNTIFS('Asset Log'!$A$5:$A$1379,A151,'Asset Log'!$E$5:$E$1379,E151,'Asset Log'!$G$5:$G$1379,G151)</f>
        <v>1</v>
      </c>
    </row>
    <row r="152">
      <c r="A152" t="inlineStr">
        <is>
          <t>D70806</t>
        </is>
      </c>
      <c r="B152" s="11" t="n">
        <v>45842</v>
      </c>
      <c r="C152" t="inlineStr">
        <is>
          <t>S0085 St Kilda</t>
        </is>
      </c>
      <c r="D152" t="inlineStr">
        <is>
          <t>S0085</t>
        </is>
      </c>
      <c r="E152" t="inlineStr">
        <is>
          <t>BR</t>
        </is>
      </c>
      <c r="F152" t="n">
        <v>9</v>
      </c>
      <c r="G152" t="inlineStr">
        <is>
          <t>OUT</t>
        </is>
      </c>
      <c r="H152">
        <f>IF(G152="OUT",F152,-F152)</f>
        <v>9</v>
      </c>
      <c r="I152">
        <f>IF(AND(B152&gt;=DATE(2025,7,1),B152&lt;=DATE(2026,6,30)),1,0)</f>
        <v>1</v>
      </c>
      <c r="J152">
        <f>IF(B152&lt;=DATE(2026,6,30),1,0)</f>
        <v>1</v>
      </c>
      <c r="K152" t="inlineStr">
        <is>
          <t>Site text normalised</t>
        </is>
      </c>
      <c r="L152" t="inlineStr">
        <is>
          <t>Office</t>
        </is>
      </c>
      <c r="M152">
        <f>COUNTIFS('Asset Log'!$A$5:$A$1379,A152,'Asset Log'!$E$5:$E$1379,E152,'Asset Log'!$G$5:$G$1379,G152)</f>
        <v>1</v>
      </c>
    </row>
    <row r="153">
      <c r="A153" t="inlineStr">
        <is>
          <t>D71299</t>
        </is>
      </c>
      <c r="B153" s="11" t="n">
        <v>45842</v>
      </c>
      <c r="C153" t="inlineStr">
        <is>
          <t>S0137 Ringwood</t>
        </is>
      </c>
      <c r="D153" t="inlineStr">
        <is>
          <t>S0137</t>
        </is>
      </c>
      <c r="E153" t="inlineStr">
        <is>
          <t>FP</t>
        </is>
      </c>
      <c r="F153" t="n">
        <v>15</v>
      </c>
      <c r="G153" t="inlineStr">
        <is>
          <t>OUT</t>
        </is>
      </c>
      <c r="H153">
        <f>IF(G153="OUT",F153,-F153)</f>
        <v>15</v>
      </c>
      <c r="I153">
        <f>IF(AND(B153&gt;=DATE(2025,7,1),B153&lt;=DATE(2026,6,30)),1,0)</f>
        <v>1</v>
      </c>
      <c r="J153">
        <f>IF(B153&lt;=DATE(2026,6,30),1,0)</f>
        <v>1</v>
      </c>
      <c r="K153" t="inlineStr">
        <is>
          <t>Site text normalised</t>
        </is>
      </c>
      <c r="L153" t="inlineStr">
        <is>
          <t>Driver</t>
        </is>
      </c>
      <c r="M153">
        <f>COUNTIFS('Asset Log'!$A$5:$A$1379,A153,'Asset Log'!$E$5:$E$1379,E153,'Asset Log'!$G$5:$G$1379,G153)</f>
        <v>1</v>
      </c>
    </row>
    <row r="154">
      <c r="A154" t="inlineStr">
        <is>
          <t>D71304</t>
        </is>
      </c>
      <c r="B154" s="11" t="n">
        <v>45842</v>
      </c>
      <c r="C154" t="inlineStr">
        <is>
          <t>S0137</t>
        </is>
      </c>
      <c r="D154" t="inlineStr">
        <is>
          <t>S0137</t>
        </is>
      </c>
      <c r="E154" t="inlineStr">
        <is>
          <t>FB</t>
        </is>
      </c>
      <c r="F154" t="n">
        <v>15</v>
      </c>
      <c r="G154" t="inlineStr">
        <is>
          <t>OUT</t>
        </is>
      </c>
      <c r="H154">
        <f>IF(G154="OUT",F154,-F154)</f>
        <v>15</v>
      </c>
      <c r="I154">
        <f>IF(AND(B154&gt;=DATE(2025,7,1),B154&lt;=DATE(2026,6,30)),1,0)</f>
        <v>1</v>
      </c>
      <c r="J154">
        <f>IF(B154&lt;=DATE(2026,6,30),1,0)</f>
        <v>1</v>
      </c>
      <c r="K154" t="inlineStr"/>
      <c r="L154" t="inlineStr">
        <is>
          <t>Office</t>
        </is>
      </c>
      <c r="M154">
        <f>COUNTIFS('Asset Log'!$A$5:$A$1379,A154,'Asset Log'!$E$5:$E$1379,E154,'Asset Log'!$G$5:$G$1379,G154)</f>
        <v>1</v>
      </c>
    </row>
    <row r="155">
      <c r="A155" t="inlineStr">
        <is>
          <t>D72596</t>
        </is>
      </c>
      <c r="B155" s="11" t="n">
        <v>45842</v>
      </c>
      <c r="C155" t="inlineStr">
        <is>
          <t>S0391</t>
        </is>
      </c>
      <c r="D155" t="inlineStr">
        <is>
          <t>S0391</t>
        </is>
      </c>
      <c r="E155" t="inlineStr">
        <is>
          <t>TK</t>
        </is>
      </c>
      <c r="F155" t="n">
        <v>3</v>
      </c>
      <c r="G155" t="inlineStr">
        <is>
          <t>OUT</t>
        </is>
      </c>
      <c r="H155">
        <f>IF(G155="OUT",F155,-F155)</f>
        <v>3</v>
      </c>
      <c r="I155">
        <f>IF(AND(B155&gt;=DATE(2025,7,1),B155&lt;=DATE(2026,6,30)),1,0)</f>
        <v>1</v>
      </c>
      <c r="J155">
        <f>IF(B155&lt;=DATE(2026,6,30),1,0)</f>
        <v>1</v>
      </c>
      <c r="K155" t="inlineStr"/>
      <c r="L155" t="inlineStr">
        <is>
          <t>Yard</t>
        </is>
      </c>
      <c r="M155">
        <f>COUNTIFS('Asset Log'!$A$5:$A$1379,A155,'Asset Log'!$E$5:$E$1379,E155,'Asset Log'!$G$5:$G$1379,G155)</f>
        <v>1</v>
      </c>
    </row>
    <row r="156">
      <c r="A156" t="inlineStr">
        <is>
          <t>D70876</t>
        </is>
      </c>
      <c r="B156" s="11" t="n">
        <v>45843</v>
      </c>
      <c r="C156" t="inlineStr">
        <is>
          <t>s093</t>
        </is>
      </c>
      <c r="D156" t="inlineStr">
        <is>
          <t>S0093</t>
        </is>
      </c>
      <c r="E156" t="inlineStr">
        <is>
          <t>FP</t>
        </is>
      </c>
      <c r="F156" t="n">
        <v>139</v>
      </c>
      <c r="G156" t="inlineStr">
        <is>
          <t>OUT</t>
        </is>
      </c>
      <c r="H156">
        <f>IF(G156="OUT",F156,-F156)</f>
        <v>139</v>
      </c>
      <c r="I156">
        <f>IF(AND(B156&gt;=DATE(2025,7,1),B156&lt;=DATE(2026,6,30)),1,0)</f>
        <v>1</v>
      </c>
      <c r="J156">
        <f>IF(B156&lt;=DATE(2026,6,30),1,0)</f>
        <v>1</v>
      </c>
      <c r="K156" t="inlineStr">
        <is>
          <t>Site text normalised</t>
        </is>
      </c>
      <c r="L156" t="inlineStr">
        <is>
          <t>Driver</t>
        </is>
      </c>
      <c r="M156">
        <f>COUNTIFS('Asset Log'!$A$5:$A$1379,A156,'Asset Log'!$E$5:$E$1379,E156,'Asset Log'!$G$5:$G$1379,G156)</f>
        <v>1</v>
      </c>
    </row>
    <row r="157">
      <c r="A157" t="inlineStr">
        <is>
          <t>D70878</t>
        </is>
      </c>
      <c r="B157" s="11" t="n">
        <v>45843</v>
      </c>
      <c r="C157" t="inlineStr">
        <is>
          <t>S0093</t>
        </is>
      </c>
      <c r="D157" t="inlineStr">
        <is>
          <t>S0093</t>
        </is>
      </c>
      <c r="E157" t="inlineStr">
        <is>
          <t>FB</t>
        </is>
      </c>
      <c r="F157" t="n">
        <v>152</v>
      </c>
      <c r="G157" t="inlineStr">
        <is>
          <t>OUT</t>
        </is>
      </c>
      <c r="H157">
        <f>IF(G157="OUT",F157,-F157)</f>
        <v>152</v>
      </c>
      <c r="I157">
        <f>IF(AND(B157&gt;=DATE(2025,7,1),B157&lt;=DATE(2026,6,30)),1,0)</f>
        <v>1</v>
      </c>
      <c r="J157">
        <f>IF(B157&lt;=DATE(2026,6,30),1,0)</f>
        <v>1</v>
      </c>
      <c r="K157" t="inlineStr"/>
      <c r="L157" t="inlineStr">
        <is>
          <t>Yard</t>
        </is>
      </c>
      <c r="M157">
        <f>COUNTIFS('Asset Log'!$A$5:$A$1379,A157,'Asset Log'!$E$5:$E$1379,E157,'Asset Log'!$G$5:$G$1379,G157)</f>
        <v>1</v>
      </c>
    </row>
    <row r="158">
      <c r="A158" t="inlineStr">
        <is>
          <t>D71474</t>
        </is>
      </c>
      <c r="B158" s="11" t="n">
        <v>45843</v>
      </c>
      <c r="C158" t="inlineStr">
        <is>
          <t>S0154</t>
        </is>
      </c>
      <c r="D158" t="inlineStr">
        <is>
          <t>S0154</t>
        </is>
      </c>
      <c r="E158" t="inlineStr">
        <is>
          <t>FP</t>
        </is>
      </c>
      <c r="F158" t="n">
        <v>23</v>
      </c>
      <c r="G158" t="inlineStr">
        <is>
          <t>IN</t>
        </is>
      </c>
      <c r="H158">
        <f>IF(G158="OUT",F158,-F158)</f>
        <v>-23</v>
      </c>
      <c r="I158">
        <f>IF(AND(B158&gt;=DATE(2025,7,1),B158&lt;=DATE(2026,6,30)),1,0)</f>
        <v>1</v>
      </c>
      <c r="J158">
        <f>IF(B158&lt;=DATE(2026,6,30),1,0)</f>
        <v>1</v>
      </c>
      <c r="K158" t="inlineStr"/>
      <c r="L158" t="inlineStr">
        <is>
          <t>Office</t>
        </is>
      </c>
      <c r="M158">
        <f>COUNTIFS('Asset Log'!$A$5:$A$1379,A158,'Asset Log'!$E$5:$E$1379,E158,'Asset Log'!$G$5:$G$1379,G158)</f>
        <v>1</v>
      </c>
    </row>
    <row r="159">
      <c r="A159" t="inlineStr">
        <is>
          <t>D71480</t>
        </is>
      </c>
      <c r="B159" s="11" t="n">
        <v>45843</v>
      </c>
      <c r="C159" t="inlineStr">
        <is>
          <t>S0154</t>
        </is>
      </c>
      <c r="D159" t="inlineStr">
        <is>
          <t>S0154</t>
        </is>
      </c>
      <c r="E159" t="inlineStr">
        <is>
          <t>FB</t>
        </is>
      </c>
      <c r="F159" t="n">
        <v>23</v>
      </c>
      <c r="G159" t="inlineStr">
        <is>
          <t>IN</t>
        </is>
      </c>
      <c r="H159">
        <f>IF(G159="OUT",F159,-F159)</f>
        <v>-23</v>
      </c>
      <c r="I159">
        <f>IF(AND(B159&gt;=DATE(2025,7,1),B159&lt;=DATE(2026,6,30)),1,0)</f>
        <v>1</v>
      </c>
      <c r="J159">
        <f>IF(B159&lt;=DATE(2026,6,30),1,0)</f>
        <v>1</v>
      </c>
      <c r="K159" t="inlineStr"/>
      <c r="L159" t="inlineStr">
        <is>
          <t>Office</t>
        </is>
      </c>
      <c r="M159">
        <f>COUNTIFS('Asset Log'!$A$5:$A$1379,A159,'Asset Log'!$E$5:$E$1379,E159,'Asset Log'!$G$5:$G$1379,G159)</f>
        <v>1</v>
      </c>
    </row>
    <row r="160">
      <c r="A160" t="inlineStr">
        <is>
          <t>D71983</t>
        </is>
      </c>
      <c r="B160" s="11" t="n">
        <v>45843</v>
      </c>
      <c r="C160" t="inlineStr">
        <is>
          <t>S0210</t>
        </is>
      </c>
      <c r="D160" t="inlineStr">
        <is>
          <t>S0210</t>
        </is>
      </c>
      <c r="E160" t="inlineStr">
        <is>
          <t>FP</t>
        </is>
      </c>
      <c r="F160" t="n">
        <v>49</v>
      </c>
      <c r="G160" t="inlineStr">
        <is>
          <t>IN</t>
        </is>
      </c>
      <c r="H160">
        <f>IF(G160="OUT",F160,-F160)</f>
        <v>-49</v>
      </c>
      <c r="I160">
        <f>IF(AND(B160&gt;=DATE(2025,7,1),B160&lt;=DATE(2026,6,30)),1,0)</f>
        <v>1</v>
      </c>
      <c r="J160">
        <f>IF(B160&lt;=DATE(2026,6,30),1,0)</f>
        <v>1</v>
      </c>
      <c r="K160" t="inlineStr"/>
      <c r="L160" t="inlineStr">
        <is>
          <t>Driver</t>
        </is>
      </c>
      <c r="M160">
        <f>COUNTIFS('Asset Log'!$A$5:$A$1379,A160,'Asset Log'!$E$5:$E$1379,E160,'Asset Log'!$G$5:$G$1379,G160)</f>
        <v>1</v>
      </c>
    </row>
    <row r="161">
      <c r="A161" t="inlineStr">
        <is>
          <t>D71986</t>
        </is>
      </c>
      <c r="B161" s="11" t="n">
        <v>45843</v>
      </c>
      <c r="C161" t="inlineStr">
        <is>
          <t>S0210</t>
        </is>
      </c>
      <c r="D161" t="inlineStr">
        <is>
          <t>S0210</t>
        </is>
      </c>
      <c r="E161" t="inlineStr">
        <is>
          <t>FB</t>
        </is>
      </c>
      <c r="F161" t="n">
        <v>53</v>
      </c>
      <c r="G161" t="inlineStr">
        <is>
          <t>IN</t>
        </is>
      </c>
      <c r="H161">
        <f>IF(G161="OUT",F161,-F161)</f>
        <v>-53</v>
      </c>
      <c r="I161">
        <f>IF(AND(B161&gt;=DATE(2025,7,1),B161&lt;=DATE(2026,6,30)),1,0)</f>
        <v>1</v>
      </c>
      <c r="J161">
        <f>IF(B161&lt;=DATE(2026,6,30),1,0)</f>
        <v>1</v>
      </c>
      <c r="K161" t="inlineStr"/>
      <c r="L161" t="inlineStr">
        <is>
          <t>Office</t>
        </is>
      </c>
      <c r="M161">
        <f>COUNTIFS('Asset Log'!$A$5:$A$1379,A161,'Asset Log'!$E$5:$E$1379,E161,'Asset Log'!$G$5:$G$1379,G161)</f>
        <v>1</v>
      </c>
    </row>
    <row r="162">
      <c r="A162" t="inlineStr">
        <is>
          <t>D71052</t>
        </is>
      </c>
      <c r="B162" s="11" t="n">
        <v>45844</v>
      </c>
      <c r="C162" t="inlineStr">
        <is>
          <t>S0113</t>
        </is>
      </c>
      <c r="D162" t="inlineStr">
        <is>
          <t>S0113</t>
        </is>
      </c>
      <c r="E162" t="inlineStr">
        <is>
          <t>FP</t>
        </is>
      </c>
      <c r="F162" t="n">
        <v>78</v>
      </c>
      <c r="G162" t="inlineStr">
        <is>
          <t>OUT</t>
        </is>
      </c>
      <c r="H162">
        <f>IF(G162="OUT",F162,-F162)</f>
        <v>78</v>
      </c>
      <c r="I162">
        <f>IF(AND(B162&gt;=DATE(2025,7,1),B162&lt;=DATE(2026,6,30)),1,0)</f>
        <v>1</v>
      </c>
      <c r="J162">
        <f>IF(B162&lt;=DATE(2026,6,30),1,0)</f>
        <v>1</v>
      </c>
      <c r="K162" t="inlineStr"/>
      <c r="L162" t="inlineStr">
        <is>
          <t>Office</t>
        </is>
      </c>
      <c r="M162">
        <f>COUNTIFS('Asset Log'!$A$5:$A$1379,A162,'Asset Log'!$E$5:$E$1379,E162,'Asset Log'!$G$5:$G$1379,G162)</f>
        <v>1</v>
      </c>
    </row>
    <row r="163">
      <c r="A163" t="inlineStr">
        <is>
          <t>D71057</t>
        </is>
      </c>
      <c r="B163" s="11" t="n">
        <v>45844</v>
      </c>
      <c r="C163" t="inlineStr">
        <is>
          <t>S0113</t>
        </is>
      </c>
      <c r="D163" t="inlineStr">
        <is>
          <t>S0113</t>
        </is>
      </c>
      <c r="E163" t="inlineStr">
        <is>
          <t>FB</t>
        </is>
      </c>
      <c r="F163" t="n">
        <v>85</v>
      </c>
      <c r="G163" t="inlineStr">
        <is>
          <t>OUT</t>
        </is>
      </c>
      <c r="H163">
        <f>IF(G163="OUT",F163,-F163)</f>
        <v>85</v>
      </c>
      <c r="I163">
        <f>IF(AND(B163&gt;=DATE(2025,7,1),B163&lt;=DATE(2026,6,30)),1,0)</f>
        <v>1</v>
      </c>
      <c r="J163">
        <f>IF(B163&lt;=DATE(2026,6,30),1,0)</f>
        <v>1</v>
      </c>
      <c r="K163" t="inlineStr"/>
      <c r="L163" t="inlineStr">
        <is>
          <t>Office</t>
        </is>
      </c>
      <c r="M163">
        <f>COUNTIFS('Asset Log'!$A$5:$A$1379,A163,'Asset Log'!$E$5:$E$1379,E163,'Asset Log'!$G$5:$G$1379,G163)</f>
        <v>1</v>
      </c>
    </row>
    <row r="164">
      <c r="A164" t="inlineStr">
        <is>
          <t>D70535</t>
        </is>
      </c>
      <c r="B164" s="11" t="n">
        <v>45845</v>
      </c>
      <c r="C164" t="inlineStr">
        <is>
          <t>S0059</t>
        </is>
      </c>
      <c r="D164" t="inlineStr">
        <is>
          <t>S0059</t>
        </is>
      </c>
      <c r="E164" t="inlineStr">
        <is>
          <t>FP</t>
        </is>
      </c>
      <c r="F164" t="n">
        <v>135</v>
      </c>
      <c r="G164" t="inlineStr">
        <is>
          <t>OUT</t>
        </is>
      </c>
      <c r="H164">
        <f>IF(G164="OUT",F164,-F164)</f>
        <v>135</v>
      </c>
      <c r="I164">
        <f>IF(AND(B164&gt;=DATE(2025,7,1),B164&lt;=DATE(2026,6,30)),1,0)</f>
        <v>1</v>
      </c>
      <c r="J164">
        <f>IF(B164&lt;=DATE(2026,6,30),1,0)</f>
        <v>1</v>
      </c>
      <c r="K164" t="inlineStr"/>
      <c r="L164" t="inlineStr">
        <is>
          <t>Office</t>
        </is>
      </c>
      <c r="M164">
        <f>COUNTIFS('Asset Log'!$A$5:$A$1379,A164,'Asset Log'!$E$5:$E$1379,E164,'Asset Log'!$G$5:$G$1379,G164)</f>
        <v>1</v>
      </c>
    </row>
    <row r="165">
      <c r="A165" t="inlineStr">
        <is>
          <t>D70537</t>
        </is>
      </c>
      <c r="B165" s="11" t="n">
        <v>45845</v>
      </c>
      <c r="C165" t="inlineStr">
        <is>
          <t>S0059</t>
        </is>
      </c>
      <c r="D165" t="inlineStr">
        <is>
          <t>S0059</t>
        </is>
      </c>
      <c r="E165" t="inlineStr">
        <is>
          <t>FB</t>
        </is>
      </c>
      <c r="F165" t="n">
        <v>148</v>
      </c>
      <c r="G165" t="inlineStr">
        <is>
          <t>OUT</t>
        </is>
      </c>
      <c r="H165">
        <f>IF(G165="OUT",F165,-F165)</f>
        <v>148</v>
      </c>
      <c r="I165">
        <f>IF(AND(B165&gt;=DATE(2025,7,1),B165&lt;=DATE(2026,6,30)),1,0)</f>
        <v>1</v>
      </c>
      <c r="J165">
        <f>IF(B165&lt;=DATE(2026,6,30),1,0)</f>
        <v>1</v>
      </c>
      <c r="K165" t="inlineStr"/>
      <c r="L165" t="inlineStr">
        <is>
          <t>Driver</t>
        </is>
      </c>
      <c r="M165">
        <f>COUNTIFS('Asset Log'!$A$5:$A$1379,A165,'Asset Log'!$E$5:$E$1379,E165,'Asset Log'!$G$5:$G$1379,G165)</f>
        <v>1</v>
      </c>
    </row>
    <row r="166">
      <c r="A166" t="inlineStr">
        <is>
          <t>D72712</t>
        </is>
      </c>
      <c r="B166" s="11" t="n">
        <v>45848</v>
      </c>
      <c r="C166" t="inlineStr">
        <is>
          <t>S0459</t>
        </is>
      </c>
      <c r="D166" t="inlineStr">
        <is>
          <t>S0459</t>
        </is>
      </c>
      <c r="E166" t="inlineStr">
        <is>
          <t>TK</t>
        </is>
      </c>
      <c r="F166" t="n">
        <v>3</v>
      </c>
      <c r="G166" t="inlineStr">
        <is>
          <t>OUT</t>
        </is>
      </c>
      <c r="H166">
        <f>IF(G166="OUT",F166,-F166)</f>
        <v>3</v>
      </c>
      <c r="I166">
        <f>IF(AND(B166&gt;=DATE(2025,7,1),B166&lt;=DATE(2026,6,30)),1,0)</f>
        <v>1</v>
      </c>
      <c r="J166">
        <f>IF(B166&lt;=DATE(2026,6,30),1,0)</f>
        <v>1</v>
      </c>
      <c r="K166" t="inlineStr"/>
      <c r="L166" t="inlineStr">
        <is>
          <t>Driver</t>
        </is>
      </c>
      <c r="M166">
        <f>COUNTIFS('Asset Log'!$A$5:$A$1379,A166,'Asset Log'!$E$5:$E$1379,E166,'Asset Log'!$G$5:$G$1379,G166)</f>
        <v>1</v>
      </c>
    </row>
    <row r="167">
      <c r="A167" t="inlineStr">
        <is>
          <t>D70950</t>
        </is>
      </c>
      <c r="B167" s="11" t="n">
        <v>45849</v>
      </c>
      <c r="C167" t="inlineStr">
        <is>
          <t>S0102</t>
        </is>
      </c>
      <c r="D167" t="inlineStr">
        <is>
          <t>S0102</t>
        </is>
      </c>
      <c r="E167" t="inlineStr">
        <is>
          <t>FP</t>
        </is>
      </c>
      <c r="F167" t="n">
        <v>34</v>
      </c>
      <c r="G167" t="inlineStr">
        <is>
          <t>IN</t>
        </is>
      </c>
      <c r="H167">
        <f>IF(G167="OUT",F167,-F167)</f>
        <v>-34</v>
      </c>
      <c r="I167">
        <f>IF(AND(B167&gt;=DATE(2025,7,1),B167&lt;=DATE(2026,6,30)),1,0)</f>
        <v>1</v>
      </c>
      <c r="J167">
        <f>IF(B167&lt;=DATE(2026,6,30),1,0)</f>
        <v>1</v>
      </c>
      <c r="K167" t="inlineStr"/>
      <c r="L167" t="inlineStr">
        <is>
          <t>Yard</t>
        </is>
      </c>
      <c r="M167">
        <f>COUNTIFS('Asset Log'!$A$5:$A$1379,A167,'Asset Log'!$E$5:$E$1379,E167,'Asset Log'!$G$5:$G$1379,G167)</f>
        <v>1</v>
      </c>
    </row>
    <row r="168">
      <c r="A168" t="inlineStr">
        <is>
          <t>D70954</t>
        </is>
      </c>
      <c r="B168" s="11" t="n">
        <v>45849</v>
      </c>
      <c r="C168" t="inlineStr">
        <is>
          <t>S0102</t>
        </is>
      </c>
      <c r="D168" t="inlineStr">
        <is>
          <t>S0102</t>
        </is>
      </c>
      <c r="E168" t="inlineStr">
        <is>
          <t>FB</t>
        </is>
      </c>
      <c r="F168" t="n">
        <v>37</v>
      </c>
      <c r="G168" t="inlineStr">
        <is>
          <t>IN</t>
        </is>
      </c>
      <c r="H168">
        <f>IF(G168="OUT",F168,-F168)</f>
        <v>-37</v>
      </c>
      <c r="I168">
        <f>IF(AND(B168&gt;=DATE(2025,7,1),B168&lt;=DATE(2026,6,30)),1,0)</f>
        <v>1</v>
      </c>
      <c r="J168">
        <f>IF(B168&lt;=DATE(2026,6,30),1,0)</f>
        <v>1</v>
      </c>
      <c r="K168" t="inlineStr"/>
      <c r="L168" t="inlineStr">
        <is>
          <t>Driver</t>
        </is>
      </c>
      <c r="M168">
        <f>COUNTIFS('Asset Log'!$A$5:$A$1379,A168,'Asset Log'!$E$5:$E$1379,E168,'Asset Log'!$G$5:$G$1379,G168)</f>
        <v>1</v>
      </c>
    </row>
    <row r="169">
      <c r="A169" t="inlineStr">
        <is>
          <t>D72356</t>
        </is>
      </c>
      <c r="B169" s="11" t="n">
        <v>45849</v>
      </c>
      <c r="C169" t="inlineStr">
        <is>
          <t>s271</t>
        </is>
      </c>
      <c r="D169" t="inlineStr">
        <is>
          <t>S0271</t>
        </is>
      </c>
      <c r="E169" t="inlineStr">
        <is>
          <t>ST</t>
        </is>
      </c>
      <c r="F169" t="n">
        <v>4</v>
      </c>
      <c r="G169" t="inlineStr">
        <is>
          <t>OUT</t>
        </is>
      </c>
      <c r="H169">
        <f>IF(G169="OUT",F169,-F169)</f>
        <v>4</v>
      </c>
      <c r="I169">
        <f>IF(AND(B169&gt;=DATE(2025,7,1),B169&lt;=DATE(2026,6,30)),1,0)</f>
        <v>1</v>
      </c>
      <c r="J169">
        <f>IF(B169&lt;=DATE(2026,6,30),1,0)</f>
        <v>1</v>
      </c>
      <c r="K169" t="inlineStr">
        <is>
          <t>Site text normalised</t>
        </is>
      </c>
      <c r="L169" t="inlineStr">
        <is>
          <t>Office</t>
        </is>
      </c>
      <c r="M169">
        <f>COUNTIFS('Asset Log'!$A$5:$A$1379,A169,'Asset Log'!$E$5:$E$1379,E169,'Asset Log'!$G$5:$G$1379,G169)</f>
        <v>1</v>
      </c>
    </row>
    <row r="170">
      <c r="A170" t="inlineStr">
        <is>
          <t>D71082</t>
        </is>
      </c>
      <c r="B170" s="11" t="n">
        <v>45850</v>
      </c>
      <c r="C170" t="inlineStr">
        <is>
          <t>S0116</t>
        </is>
      </c>
      <c r="D170" t="inlineStr">
        <is>
          <t>S0116</t>
        </is>
      </c>
      <c r="E170" t="inlineStr">
        <is>
          <t>FP</t>
        </is>
      </c>
      <c r="F170" t="n">
        <v>158</v>
      </c>
      <c r="G170" t="inlineStr">
        <is>
          <t>OUT</t>
        </is>
      </c>
      <c r="H170">
        <f>IF(G170="OUT",F170,-F170)</f>
        <v>158</v>
      </c>
      <c r="I170">
        <f>IF(AND(B170&gt;=DATE(2025,7,1),B170&lt;=DATE(2026,6,30)),1,0)</f>
        <v>1</v>
      </c>
      <c r="J170">
        <f>IF(B170&lt;=DATE(2026,6,30),1,0)</f>
        <v>1</v>
      </c>
      <c r="K170" t="inlineStr"/>
      <c r="L170" t="inlineStr">
        <is>
          <t>Yard</t>
        </is>
      </c>
      <c r="M170">
        <f>COUNTIFS('Asset Log'!$A$5:$A$1379,A170,'Asset Log'!$E$5:$E$1379,E170,'Asset Log'!$G$5:$G$1379,G170)</f>
        <v>1</v>
      </c>
    </row>
    <row r="171">
      <c r="A171" t="inlineStr">
        <is>
          <t>D71090</t>
        </is>
      </c>
      <c r="B171" s="11" t="n">
        <v>45850</v>
      </c>
      <c r="C171" t="inlineStr">
        <is>
          <t>S0116</t>
        </is>
      </c>
      <c r="D171" t="inlineStr">
        <is>
          <t>S0116</t>
        </is>
      </c>
      <c r="E171" t="inlineStr">
        <is>
          <t>FB</t>
        </is>
      </c>
      <c r="F171" t="n">
        <v>173</v>
      </c>
      <c r="G171" t="inlineStr">
        <is>
          <t>OUT</t>
        </is>
      </c>
      <c r="H171">
        <f>IF(G171="OUT",F171,-F171)</f>
        <v>173</v>
      </c>
      <c r="I171">
        <f>IF(AND(B171&gt;=DATE(2025,7,1),B171&lt;=DATE(2026,6,30)),1,0)</f>
        <v>1</v>
      </c>
      <c r="J171">
        <f>IF(B171&lt;=DATE(2026,6,30),1,0)</f>
        <v>1</v>
      </c>
      <c r="K171" t="inlineStr"/>
      <c r="L171" t="inlineStr">
        <is>
          <t>Office</t>
        </is>
      </c>
      <c r="M171">
        <f>COUNTIFS('Asset Log'!$A$5:$A$1379,A171,'Asset Log'!$E$5:$E$1379,E171,'Asset Log'!$G$5:$G$1379,G171)</f>
        <v>1</v>
      </c>
    </row>
    <row r="172">
      <c r="A172" t="inlineStr">
        <is>
          <t>D72261</t>
        </is>
      </c>
      <c r="B172" s="11" t="n">
        <v>45850</v>
      </c>
      <c r="C172" t="inlineStr">
        <is>
          <t>S0248</t>
        </is>
      </c>
      <c r="D172" t="inlineStr">
        <is>
          <t>S0248</t>
        </is>
      </c>
      <c r="E172" t="inlineStr">
        <is>
          <t>ST</t>
        </is>
      </c>
      <c r="F172" t="n">
        <v>2</v>
      </c>
      <c r="G172" t="inlineStr">
        <is>
          <t>OUT</t>
        </is>
      </c>
      <c r="H172">
        <f>IF(G172="OUT",F172,-F172)</f>
        <v>2</v>
      </c>
      <c r="I172">
        <f>IF(AND(B172&gt;=DATE(2025,7,1),B172&lt;=DATE(2026,6,30)),1,0)</f>
        <v>1</v>
      </c>
      <c r="J172">
        <f>IF(B172&lt;=DATE(2026,6,30),1,0)</f>
        <v>1</v>
      </c>
      <c r="K172" t="inlineStr"/>
      <c r="L172" t="inlineStr">
        <is>
          <t>Yard</t>
        </is>
      </c>
      <c r="M172">
        <f>COUNTIFS('Asset Log'!$A$5:$A$1379,A172,'Asset Log'!$E$5:$E$1379,E172,'Asset Log'!$G$5:$G$1379,G172)</f>
        <v>1</v>
      </c>
    </row>
    <row r="173">
      <c r="A173" t="inlineStr">
        <is>
          <t>D72276</t>
        </is>
      </c>
      <c r="B173" s="11" t="n">
        <v>45850</v>
      </c>
      <c r="C173" t="inlineStr">
        <is>
          <t>S0252</t>
        </is>
      </c>
      <c r="D173" t="inlineStr">
        <is>
          <t>S0252</t>
        </is>
      </c>
      <c r="E173" t="inlineStr">
        <is>
          <t>ST</t>
        </is>
      </c>
      <c r="F173" t="n">
        <v>3</v>
      </c>
      <c r="G173" t="inlineStr">
        <is>
          <t>OUT</t>
        </is>
      </c>
      <c r="H173">
        <f>IF(G173="OUT",F173,-F173)</f>
        <v>3</v>
      </c>
      <c r="I173">
        <f>IF(AND(B173&gt;=DATE(2025,7,1),B173&lt;=DATE(2026,6,30)),1,0)</f>
        <v>1</v>
      </c>
      <c r="J173">
        <f>IF(B173&lt;=DATE(2026,6,30),1,0)</f>
        <v>1</v>
      </c>
      <c r="K173" t="inlineStr"/>
      <c r="L173" t="inlineStr">
        <is>
          <t>Yard</t>
        </is>
      </c>
      <c r="M173">
        <f>COUNTIFS('Asset Log'!$A$5:$A$1379,A173,'Asset Log'!$E$5:$E$1379,E173,'Asset Log'!$G$5:$G$1379,G173)</f>
        <v>1</v>
      </c>
    </row>
    <row r="174">
      <c r="A174" t="inlineStr">
        <is>
          <t>D72431</t>
        </is>
      </c>
      <c r="B174" s="11" t="n">
        <v>45850</v>
      </c>
      <c r="C174" t="inlineStr">
        <is>
          <t>S0289</t>
        </is>
      </c>
      <c r="D174" t="inlineStr">
        <is>
          <t>S0289</t>
        </is>
      </c>
      <c r="E174" t="inlineStr">
        <is>
          <t>ST</t>
        </is>
      </c>
      <c r="F174" t="n">
        <v>1</v>
      </c>
      <c r="G174" t="inlineStr">
        <is>
          <t>IN</t>
        </is>
      </c>
      <c r="H174">
        <f>IF(G174="OUT",F174,-F174)</f>
        <v>-1</v>
      </c>
      <c r="I174">
        <f>IF(AND(B174&gt;=DATE(2025,7,1),B174&lt;=DATE(2026,6,30)),1,0)</f>
        <v>1</v>
      </c>
      <c r="J174">
        <f>IF(B174&lt;=DATE(2026,6,30),1,0)</f>
        <v>1</v>
      </c>
      <c r="K174" t="inlineStr"/>
      <c r="L174" t="inlineStr">
        <is>
          <t>Driver</t>
        </is>
      </c>
      <c r="M174">
        <f>COUNTIFS('Asset Log'!$A$5:$A$1379,A174,'Asset Log'!$E$5:$E$1379,E174,'Asset Log'!$G$5:$G$1379,G174)</f>
        <v>1</v>
      </c>
    </row>
    <row r="175">
      <c r="A175" t="inlineStr">
        <is>
          <t>D70450</t>
        </is>
      </c>
      <c r="B175" s="11" t="n">
        <v>45851</v>
      </c>
      <c r="C175" t="inlineStr">
        <is>
          <t>S0048</t>
        </is>
      </c>
      <c r="D175" t="inlineStr">
        <is>
          <t>S0048</t>
        </is>
      </c>
      <c r="E175" t="inlineStr">
        <is>
          <t>FP</t>
        </is>
      </c>
      <c r="F175" t="n">
        <v>100</v>
      </c>
      <c r="G175" t="inlineStr">
        <is>
          <t>OUT</t>
        </is>
      </c>
      <c r="H175">
        <f>IF(G175="OUT",F175,-F175)</f>
        <v>100</v>
      </c>
      <c r="I175">
        <f>IF(AND(B175&gt;=DATE(2025,7,1),B175&lt;=DATE(2026,6,30)),1,0)</f>
        <v>1</v>
      </c>
      <c r="J175">
        <f>IF(B175&lt;=DATE(2026,6,30),1,0)</f>
        <v>1</v>
      </c>
      <c r="K175" t="inlineStr"/>
      <c r="L175" t="inlineStr">
        <is>
          <t>Office</t>
        </is>
      </c>
      <c r="M175">
        <f>COUNTIFS('Asset Log'!$A$5:$A$1379,A175,'Asset Log'!$E$5:$E$1379,E175,'Asset Log'!$G$5:$G$1379,G175)</f>
        <v>1</v>
      </c>
    </row>
    <row r="176">
      <c r="A176" t="inlineStr">
        <is>
          <t>D70455</t>
        </is>
      </c>
      <c r="B176" s="11" t="n">
        <v>45851</v>
      </c>
      <c r="C176" t="inlineStr">
        <is>
          <t>s048</t>
        </is>
      </c>
      <c r="D176" t="inlineStr">
        <is>
          <t>S0048</t>
        </is>
      </c>
      <c r="E176" t="inlineStr">
        <is>
          <t>FB</t>
        </is>
      </c>
      <c r="F176" t="n">
        <v>110</v>
      </c>
      <c r="G176" t="inlineStr">
        <is>
          <t>OUT</t>
        </is>
      </c>
      <c r="H176">
        <f>IF(G176="OUT",F176,-F176)</f>
        <v>110</v>
      </c>
      <c r="I176">
        <f>IF(AND(B176&gt;=DATE(2025,7,1),B176&lt;=DATE(2026,6,30)),1,0)</f>
        <v>1</v>
      </c>
      <c r="J176">
        <f>IF(B176&lt;=DATE(2026,6,30),1,0)</f>
        <v>1</v>
      </c>
      <c r="K176" t="inlineStr">
        <is>
          <t>Site text normalised</t>
        </is>
      </c>
      <c r="L176" t="inlineStr">
        <is>
          <t>Yard</t>
        </is>
      </c>
      <c r="M176">
        <f>COUNTIFS('Asset Log'!$A$5:$A$1379,A176,'Asset Log'!$E$5:$E$1379,E176,'Asset Log'!$G$5:$G$1379,G176)</f>
        <v>1</v>
      </c>
    </row>
    <row r="177">
      <c r="A177" t="inlineStr">
        <is>
          <t>D70685</t>
        </is>
      </c>
      <c r="B177" s="11" t="n">
        <v>45851</v>
      </c>
      <c r="C177" t="inlineStr">
        <is>
          <t>S0074</t>
        </is>
      </c>
      <c r="D177" t="inlineStr">
        <is>
          <t>S0074</t>
        </is>
      </c>
      <c r="E177" t="inlineStr">
        <is>
          <t>FP</t>
        </is>
      </c>
      <c r="F177" t="n">
        <v>9</v>
      </c>
      <c r="G177" t="inlineStr">
        <is>
          <t>OUT</t>
        </is>
      </c>
      <c r="H177">
        <f>IF(G177="OUT",F177,-F177)</f>
        <v>9</v>
      </c>
      <c r="I177">
        <f>IF(AND(B177&gt;=DATE(2025,7,1),B177&lt;=DATE(2026,6,30)),1,0)</f>
        <v>1</v>
      </c>
      <c r="J177">
        <f>IF(B177&lt;=DATE(2026,6,30),1,0)</f>
        <v>1</v>
      </c>
      <c r="K177" t="inlineStr"/>
      <c r="L177" t="inlineStr">
        <is>
          <t>Office</t>
        </is>
      </c>
      <c r="M177">
        <f>COUNTIFS('Asset Log'!$A$5:$A$1379,A177,'Asset Log'!$E$5:$E$1379,E177,'Asset Log'!$G$5:$G$1379,G177)</f>
        <v>1</v>
      </c>
    </row>
    <row r="178">
      <c r="A178" t="inlineStr">
        <is>
          <t>D70690</t>
        </is>
      </c>
      <c r="B178" s="11" t="n">
        <v>45851</v>
      </c>
      <c r="C178" t="inlineStr">
        <is>
          <t>S0074</t>
        </is>
      </c>
      <c r="D178" t="inlineStr">
        <is>
          <t>S0074</t>
        </is>
      </c>
      <c r="E178" t="inlineStr">
        <is>
          <t>FB</t>
        </is>
      </c>
      <c r="F178" t="n">
        <v>9</v>
      </c>
      <c r="G178" t="inlineStr">
        <is>
          <t>OUT</t>
        </is>
      </c>
      <c r="H178">
        <f>IF(G178="OUT",F178,-F178)</f>
        <v>9</v>
      </c>
      <c r="I178">
        <f>IF(AND(B178&gt;=DATE(2025,7,1),B178&lt;=DATE(2026,6,30)),1,0)</f>
        <v>1</v>
      </c>
      <c r="J178">
        <f>IF(B178&lt;=DATE(2026,6,30),1,0)</f>
        <v>1</v>
      </c>
      <c r="K178" t="inlineStr"/>
      <c r="L178" t="inlineStr">
        <is>
          <t>Office</t>
        </is>
      </c>
      <c r="M178">
        <f>COUNTIFS('Asset Log'!$A$5:$A$1379,A178,'Asset Log'!$E$5:$E$1379,E178,'Asset Log'!$G$5:$G$1379,G178)</f>
        <v>1</v>
      </c>
    </row>
    <row r="179">
      <c r="A179" t="inlineStr">
        <is>
          <t>D70756</t>
        </is>
      </c>
      <c r="B179" s="11" t="n">
        <v>45851</v>
      </c>
      <c r="C179" t="inlineStr">
        <is>
          <t>S0008</t>
        </is>
      </c>
      <c r="D179" t="inlineStr">
        <is>
          <t>S0080</t>
        </is>
      </c>
      <c r="E179" t="inlineStr">
        <is>
          <t>FP</t>
        </is>
      </c>
      <c r="F179" t="n">
        <v>72</v>
      </c>
      <c r="G179" t="inlineStr">
        <is>
          <t>IN</t>
        </is>
      </c>
      <c r="H179">
        <f>IF(G179="OUT",F179,-F179)</f>
        <v>-72</v>
      </c>
      <c r="I179">
        <f>IF(AND(B179&gt;=DATE(2025,7,1),B179&lt;=DATE(2026,6,30)),1,0)</f>
        <v>1</v>
      </c>
      <c r="J179">
        <f>IF(B179&lt;=DATE(2026,6,30),1,0)</f>
        <v>1</v>
      </c>
      <c r="K179" t="inlineStr">
        <is>
          <t>Site corrected from S0008 (return before the job started)</t>
        </is>
      </c>
      <c r="L179" t="inlineStr">
        <is>
          <t>Office</t>
        </is>
      </c>
      <c r="M179">
        <f>COUNTIFS('Asset Log'!$A$5:$A$1379,A179,'Asset Log'!$E$5:$E$1379,E179,'Asset Log'!$G$5:$G$1379,G179)</f>
        <v>1</v>
      </c>
    </row>
    <row r="180">
      <c r="A180" t="inlineStr">
        <is>
          <t>D70760</t>
        </is>
      </c>
      <c r="B180" s="11" t="n">
        <v>45851</v>
      </c>
      <c r="C180" t="inlineStr">
        <is>
          <t>80</t>
        </is>
      </c>
      <c r="D180" t="inlineStr">
        <is>
          <t>S0080</t>
        </is>
      </c>
      <c r="E180" t="inlineStr">
        <is>
          <t>FB</t>
        </is>
      </c>
      <c r="F180" t="n">
        <v>79</v>
      </c>
      <c r="G180" t="inlineStr">
        <is>
          <t>IN</t>
        </is>
      </c>
      <c r="H180">
        <f>IF(G180="OUT",F180,-F180)</f>
        <v>-79</v>
      </c>
      <c r="I180">
        <f>IF(AND(B180&gt;=DATE(2025,7,1),B180&lt;=DATE(2026,6,30)),1,0)</f>
        <v>1</v>
      </c>
      <c r="J180">
        <f>IF(B180&lt;=DATE(2026,6,30),1,0)</f>
        <v>1</v>
      </c>
      <c r="K180" t="inlineStr">
        <is>
          <t>Site text normalised</t>
        </is>
      </c>
      <c r="L180" t="inlineStr">
        <is>
          <t>Driver</t>
        </is>
      </c>
      <c r="M180">
        <f>COUNTIFS('Asset Log'!$A$5:$A$1379,A180,'Asset Log'!$E$5:$E$1379,E180,'Asset Log'!$G$5:$G$1379,G180)</f>
        <v>1</v>
      </c>
    </row>
    <row r="181">
      <c r="A181" t="inlineStr">
        <is>
          <t>D71146</t>
        </is>
      </c>
      <c r="B181" s="11" t="n">
        <v>45851</v>
      </c>
      <c r="C181" t="inlineStr">
        <is>
          <t>S0121</t>
        </is>
      </c>
      <c r="D181" t="inlineStr">
        <is>
          <t>S0121</t>
        </is>
      </c>
      <c r="E181" t="inlineStr">
        <is>
          <t>FP</t>
        </is>
      </c>
      <c r="F181" t="n">
        <v>24</v>
      </c>
      <c r="G181" t="inlineStr">
        <is>
          <t>IN</t>
        </is>
      </c>
      <c r="H181">
        <f>IF(G181="OUT",F181,-F181)</f>
        <v>-24</v>
      </c>
      <c r="I181">
        <f>IF(AND(B181&gt;=DATE(2025,7,1),B181&lt;=DATE(2026,6,30)),1,0)</f>
        <v>1</v>
      </c>
      <c r="J181">
        <f>IF(B181&lt;=DATE(2026,6,30),1,0)</f>
        <v>1</v>
      </c>
      <c r="K181" t="inlineStr"/>
      <c r="L181" t="inlineStr">
        <is>
          <t>Driver</t>
        </is>
      </c>
      <c r="M181">
        <f>COUNTIFS('Asset Log'!$A$5:$A$1379,A181,'Asset Log'!$E$5:$E$1379,E181,'Asset Log'!$G$5:$G$1379,G181)</f>
        <v>1</v>
      </c>
    </row>
    <row r="182">
      <c r="A182" t="inlineStr">
        <is>
          <t>D71154</t>
        </is>
      </c>
      <c r="B182" s="11" t="n">
        <v>45851</v>
      </c>
      <c r="C182" t="inlineStr">
        <is>
          <t>S0121</t>
        </is>
      </c>
      <c r="D182" t="inlineStr">
        <is>
          <t>S0121</t>
        </is>
      </c>
      <c r="E182" t="inlineStr">
        <is>
          <t>FB</t>
        </is>
      </c>
      <c r="F182" t="n">
        <v>24</v>
      </c>
      <c r="G182" t="inlineStr">
        <is>
          <t>IN</t>
        </is>
      </c>
      <c r="H182">
        <f>IF(G182="OUT",F182,-F182)</f>
        <v>-24</v>
      </c>
      <c r="I182">
        <f>IF(AND(B182&gt;=DATE(2025,7,1),B182&lt;=DATE(2026,6,30)),1,0)</f>
        <v>1</v>
      </c>
      <c r="J182">
        <f>IF(B182&lt;=DATE(2026,6,30),1,0)</f>
        <v>1</v>
      </c>
      <c r="K182" t="inlineStr"/>
      <c r="L182" t="inlineStr">
        <is>
          <t>Yard</t>
        </is>
      </c>
      <c r="M182">
        <f>COUNTIFS('Asset Log'!$A$5:$A$1379,A182,'Asset Log'!$E$5:$E$1379,E182,'Asset Log'!$G$5:$G$1379,G182)</f>
        <v>1</v>
      </c>
    </row>
    <row r="183">
      <c r="A183" t="inlineStr">
        <is>
          <t>D72033</t>
        </is>
      </c>
      <c r="B183" s="11" t="n">
        <v>45851</v>
      </c>
      <c r="C183" t="inlineStr">
        <is>
          <t>S0215</t>
        </is>
      </c>
      <c r="D183" t="inlineStr">
        <is>
          <t>S0215</t>
        </is>
      </c>
      <c r="E183" t="inlineStr">
        <is>
          <t>FP</t>
        </is>
      </c>
      <c r="F183" t="n">
        <v>91</v>
      </c>
      <c r="G183" t="inlineStr">
        <is>
          <t>OUT</t>
        </is>
      </c>
      <c r="H183">
        <f>IF(G183="OUT",F183,-F183)</f>
        <v>91</v>
      </c>
      <c r="I183">
        <f>IF(AND(B183&gt;=DATE(2025,7,1),B183&lt;=DATE(2026,6,30)),1,0)</f>
        <v>1</v>
      </c>
      <c r="J183">
        <f>IF(B183&lt;=DATE(2026,6,30),1,0)</f>
        <v>1</v>
      </c>
      <c r="K183" t="inlineStr"/>
      <c r="L183" t="inlineStr">
        <is>
          <t>Yard</t>
        </is>
      </c>
      <c r="M183">
        <f>COUNTIFS('Asset Log'!$A$5:$A$1379,A183,'Asset Log'!$E$5:$E$1379,E183,'Asset Log'!$G$5:$G$1379,G183)</f>
        <v>1</v>
      </c>
    </row>
    <row r="184">
      <c r="A184" t="inlineStr">
        <is>
          <t>D72036</t>
        </is>
      </c>
      <c r="B184" s="11" t="n">
        <v>45851</v>
      </c>
      <c r="C184" t="inlineStr">
        <is>
          <t>s215</t>
        </is>
      </c>
      <c r="D184" t="inlineStr">
        <is>
          <t>S0215</t>
        </is>
      </c>
      <c r="E184" t="inlineStr">
        <is>
          <t>FB</t>
        </is>
      </c>
      <c r="F184" t="n">
        <v>100</v>
      </c>
      <c r="G184" t="inlineStr">
        <is>
          <t>OUT</t>
        </is>
      </c>
      <c r="H184">
        <f>IF(G184="OUT",F184,-F184)</f>
        <v>100</v>
      </c>
      <c r="I184">
        <f>IF(AND(B184&gt;=DATE(2025,7,1),B184&lt;=DATE(2026,6,30)),1,0)</f>
        <v>1</v>
      </c>
      <c r="J184">
        <f>IF(B184&lt;=DATE(2026,6,30),1,0)</f>
        <v>1</v>
      </c>
      <c r="K184" t="inlineStr">
        <is>
          <t>Site text normalised</t>
        </is>
      </c>
      <c r="L184" t="inlineStr">
        <is>
          <t>Office</t>
        </is>
      </c>
      <c r="M184">
        <f>COUNTIFS('Asset Log'!$A$5:$A$1379,A184,'Asset Log'!$E$5:$E$1379,E184,'Asset Log'!$G$5:$G$1379,G184)</f>
        <v>1</v>
      </c>
    </row>
    <row r="185">
      <c r="A185" t="inlineStr">
        <is>
          <t>D72040</t>
        </is>
      </c>
      <c r="B185" s="11" t="n">
        <v>45851</v>
      </c>
      <c r="C185" t="inlineStr">
        <is>
          <t>S0215</t>
        </is>
      </c>
      <c r="D185" t="inlineStr">
        <is>
          <t>S0215</t>
        </is>
      </c>
      <c r="E185" t="inlineStr">
        <is>
          <t>BR</t>
        </is>
      </c>
      <c r="F185" t="n">
        <v>18</v>
      </c>
      <c r="G185" t="inlineStr">
        <is>
          <t>OUT</t>
        </is>
      </c>
      <c r="H185">
        <f>IF(G185="OUT",F185,-F185)</f>
        <v>18</v>
      </c>
      <c r="I185">
        <f>IF(AND(B185&gt;=DATE(2025,7,1),B185&lt;=DATE(2026,6,30)),1,0)</f>
        <v>1</v>
      </c>
      <c r="J185">
        <f>IF(B185&lt;=DATE(2026,6,30),1,0)</f>
        <v>1</v>
      </c>
      <c r="K185" t="inlineStr"/>
      <c r="L185" t="inlineStr">
        <is>
          <t>Driver</t>
        </is>
      </c>
      <c r="M185">
        <f>COUNTIFS('Asset Log'!$A$5:$A$1379,A185,'Asset Log'!$E$5:$E$1379,E185,'Asset Log'!$G$5:$G$1379,G185)</f>
        <v>1</v>
      </c>
    </row>
    <row r="186">
      <c r="A186" t="inlineStr">
        <is>
          <t>D72501</t>
        </is>
      </c>
      <c r="B186" s="11" t="n">
        <v>45851</v>
      </c>
      <c r="C186" t="inlineStr">
        <is>
          <t>S0334</t>
        </is>
      </c>
      <c r="D186" t="inlineStr">
        <is>
          <t>S0334</t>
        </is>
      </c>
      <c r="E186" t="inlineStr">
        <is>
          <t>TK</t>
        </is>
      </c>
      <c r="F186" t="n">
        <v>2</v>
      </c>
      <c r="G186" t="inlineStr">
        <is>
          <t>OUT</t>
        </is>
      </c>
      <c r="H186">
        <f>IF(G186="OUT",F186,-F186)</f>
        <v>2</v>
      </c>
      <c r="I186">
        <f>IF(AND(B186&gt;=DATE(2025,7,1),B186&lt;=DATE(2026,6,30)),1,0)</f>
        <v>1</v>
      </c>
      <c r="J186">
        <f>IF(B186&lt;=DATE(2026,6,30),1,0)</f>
        <v>1</v>
      </c>
      <c r="K186" t="inlineStr"/>
      <c r="L186" t="inlineStr">
        <is>
          <t>Office</t>
        </is>
      </c>
      <c r="M186">
        <f>COUNTIFS('Asset Log'!$A$5:$A$1379,A186,'Asset Log'!$E$5:$E$1379,E186,'Asset Log'!$G$5:$G$1379,G186)</f>
        <v>1</v>
      </c>
    </row>
    <row r="187">
      <c r="A187" t="inlineStr">
        <is>
          <t>D70536</t>
        </is>
      </c>
      <c r="B187" s="11" t="n">
        <v>45852</v>
      </c>
      <c r="C187" t="inlineStr">
        <is>
          <t>S0059</t>
        </is>
      </c>
      <c r="D187" t="inlineStr">
        <is>
          <t>S0059</t>
        </is>
      </c>
      <c r="E187" t="inlineStr">
        <is>
          <t>FP</t>
        </is>
      </c>
      <c r="F187" t="n">
        <v>135</v>
      </c>
      <c r="G187" t="inlineStr">
        <is>
          <t>IN</t>
        </is>
      </c>
      <c r="H187">
        <f>IF(G187="OUT",F187,-F187)</f>
        <v>-135</v>
      </c>
      <c r="I187">
        <f>IF(AND(B187&gt;=DATE(2025,7,1),B187&lt;=DATE(2026,6,30)),1,0)</f>
        <v>1</v>
      </c>
      <c r="J187">
        <f>IF(B187&lt;=DATE(2026,6,30),1,0)</f>
        <v>1</v>
      </c>
      <c r="K187" t="inlineStr"/>
      <c r="L187" t="inlineStr">
        <is>
          <t>Office</t>
        </is>
      </c>
      <c r="M187">
        <f>COUNTIFS('Asset Log'!$A$5:$A$1379,A187,'Asset Log'!$E$5:$E$1379,E187,'Asset Log'!$G$5:$G$1379,G187)</f>
        <v>1</v>
      </c>
    </row>
    <row r="188">
      <c r="A188" t="inlineStr">
        <is>
          <t>D70539</t>
        </is>
      </c>
      <c r="B188" s="11" t="n">
        <v>45852</v>
      </c>
      <c r="C188" t="inlineStr">
        <is>
          <t>S0059</t>
        </is>
      </c>
      <c r="D188" t="inlineStr">
        <is>
          <t>S0059</t>
        </is>
      </c>
      <c r="E188" t="inlineStr">
        <is>
          <t>FB</t>
        </is>
      </c>
      <c r="F188" t="n">
        <v>148</v>
      </c>
      <c r="G188" t="inlineStr">
        <is>
          <t>IN</t>
        </is>
      </c>
      <c r="H188">
        <f>IF(G188="OUT",F188,-F188)</f>
        <v>-148</v>
      </c>
      <c r="I188">
        <f>IF(AND(B188&gt;=DATE(2025,7,1),B188&lt;=DATE(2026,6,30)),1,0)</f>
        <v>1</v>
      </c>
      <c r="J188">
        <f>IF(B188&lt;=DATE(2026,6,30),1,0)</f>
        <v>1</v>
      </c>
      <c r="K188" t="inlineStr"/>
      <c r="L188" t="inlineStr">
        <is>
          <t>Yard</t>
        </is>
      </c>
      <c r="M188">
        <f>COUNTIFS('Asset Log'!$A$5:$A$1379,A188,'Asset Log'!$E$5:$E$1379,E188,'Asset Log'!$G$5:$G$1379,G188)</f>
        <v>1</v>
      </c>
    </row>
    <row r="189">
      <c r="A189" t="inlineStr">
        <is>
          <t>D72234</t>
        </is>
      </c>
      <c r="B189" s="11" t="n">
        <v>45852</v>
      </c>
      <c r="C189" t="inlineStr">
        <is>
          <t>S0241</t>
        </is>
      </c>
      <c r="D189" t="inlineStr">
        <is>
          <t>S0241</t>
        </is>
      </c>
      <c r="E189" t="inlineStr">
        <is>
          <t>ST</t>
        </is>
      </c>
      <c r="F189" t="n">
        <v>2</v>
      </c>
      <c r="G189" t="inlineStr">
        <is>
          <t>IN</t>
        </is>
      </c>
      <c r="H189">
        <f>IF(G189="OUT",F189,-F189)</f>
        <v>-2</v>
      </c>
      <c r="I189">
        <f>IF(AND(B189&gt;=DATE(2025,7,1),B189&lt;=DATE(2026,6,30)),1,0)</f>
        <v>1</v>
      </c>
      <c r="J189">
        <f>IF(B189&lt;=DATE(2026,6,30),1,0)</f>
        <v>1</v>
      </c>
      <c r="K189" t="inlineStr"/>
      <c r="L189" t="inlineStr">
        <is>
          <t>Office</t>
        </is>
      </c>
      <c r="M189">
        <f>COUNTIFS('Asset Log'!$A$5:$A$1379,A189,'Asset Log'!$E$5:$E$1379,E189,'Asset Log'!$G$5:$G$1379,G189)</f>
        <v>1</v>
      </c>
    </row>
    <row r="190">
      <c r="A190" t="inlineStr">
        <is>
          <t>D70851</t>
        </is>
      </c>
      <c r="B190" s="11" t="n">
        <v>45853</v>
      </c>
      <c r="C190" t="inlineStr">
        <is>
          <t>S0090</t>
        </is>
      </c>
      <c r="D190" t="inlineStr">
        <is>
          <t>S0090</t>
        </is>
      </c>
      <c r="E190" t="inlineStr">
        <is>
          <t>FP</t>
        </is>
      </c>
      <c r="F190" t="n">
        <v>141</v>
      </c>
      <c r="G190" t="inlineStr">
        <is>
          <t>OUT</t>
        </is>
      </c>
      <c r="H190">
        <f>IF(G190="OUT",F190,-F190)</f>
        <v>141</v>
      </c>
      <c r="I190">
        <f>IF(AND(B190&gt;=DATE(2025,7,1),B190&lt;=DATE(2026,6,30)),1,0)</f>
        <v>1</v>
      </c>
      <c r="J190">
        <f>IF(B190&lt;=DATE(2026,6,30),1,0)</f>
        <v>1</v>
      </c>
      <c r="K190" t="inlineStr"/>
      <c r="L190" t="inlineStr">
        <is>
          <t>Driver</t>
        </is>
      </c>
      <c r="M190">
        <f>COUNTIFS('Asset Log'!$A$5:$A$1379,A190,'Asset Log'!$E$5:$E$1379,E190,'Asset Log'!$G$5:$G$1379,G190)</f>
        <v>1</v>
      </c>
    </row>
    <row r="191">
      <c r="A191" t="inlineStr">
        <is>
          <t>D70856</t>
        </is>
      </c>
      <c r="B191" s="11" t="n">
        <v>45853</v>
      </c>
      <c r="C191" t="inlineStr">
        <is>
          <t>S0090</t>
        </is>
      </c>
      <c r="D191" t="inlineStr">
        <is>
          <t>S0090</t>
        </is>
      </c>
      <c r="E191" t="inlineStr">
        <is>
          <t>FB</t>
        </is>
      </c>
      <c r="F191" t="n">
        <v>155</v>
      </c>
      <c r="G191" t="inlineStr">
        <is>
          <t>OUT</t>
        </is>
      </c>
      <c r="H191">
        <f>IF(G191="OUT",F191,-F191)</f>
        <v>155</v>
      </c>
      <c r="I191">
        <f>IF(AND(B191&gt;=DATE(2025,7,1),B191&lt;=DATE(2026,6,30)),1,0)</f>
        <v>1</v>
      </c>
      <c r="J191">
        <f>IF(B191&lt;=DATE(2026,6,30),1,0)</f>
        <v>1</v>
      </c>
      <c r="K191" t="inlineStr"/>
      <c r="L191" t="inlineStr">
        <is>
          <t>Office</t>
        </is>
      </c>
      <c r="M191">
        <f>COUNTIFS('Asset Log'!$A$5:$A$1379,A191,'Asset Log'!$E$5:$E$1379,E191,'Asset Log'!$G$5:$G$1379,G191)</f>
        <v>1</v>
      </c>
    </row>
    <row r="192">
      <c r="A192" t="inlineStr">
        <is>
          <t>D70859</t>
        </is>
      </c>
      <c r="B192" s="11" t="n">
        <v>45853</v>
      </c>
      <c r="C192" t="inlineStr">
        <is>
          <t>S0090</t>
        </is>
      </c>
      <c r="D192" t="inlineStr">
        <is>
          <t>S0090</t>
        </is>
      </c>
      <c r="E192" t="inlineStr">
        <is>
          <t>BR</t>
        </is>
      </c>
      <c r="F192" t="n">
        <v>19</v>
      </c>
      <c r="G192" t="inlineStr">
        <is>
          <t>OUT</t>
        </is>
      </c>
      <c r="H192">
        <f>IF(G192="OUT",F192,-F192)</f>
        <v>19</v>
      </c>
      <c r="I192">
        <f>IF(AND(B192&gt;=DATE(2025,7,1),B192&lt;=DATE(2026,6,30)),1,0)</f>
        <v>1</v>
      </c>
      <c r="J192">
        <f>IF(B192&lt;=DATE(2026,6,30),1,0)</f>
        <v>1</v>
      </c>
      <c r="K192" t="inlineStr"/>
      <c r="L192" t="inlineStr">
        <is>
          <t>Office</t>
        </is>
      </c>
      <c r="M192">
        <f>COUNTIFS('Asset Log'!$A$5:$A$1379,A192,'Asset Log'!$E$5:$E$1379,E192,'Asset Log'!$G$5:$G$1379,G192)</f>
        <v>1</v>
      </c>
    </row>
    <row r="193">
      <c r="A193" t="inlineStr">
        <is>
          <t>D72295</t>
        </is>
      </c>
      <c r="B193" s="11" t="n">
        <v>45853</v>
      </c>
      <c r="C193" t="inlineStr">
        <is>
          <t>S0256</t>
        </is>
      </c>
      <c r="D193" t="inlineStr">
        <is>
          <t>S0256</t>
        </is>
      </c>
      <c r="E193" t="inlineStr">
        <is>
          <t>ST</t>
        </is>
      </c>
      <c r="F193" t="n">
        <v>2</v>
      </c>
      <c r="G193" t="inlineStr">
        <is>
          <t>OUT</t>
        </is>
      </c>
      <c r="H193">
        <f>IF(G193="OUT",F193,-F193)</f>
        <v>2</v>
      </c>
      <c r="I193">
        <f>IF(AND(B193&gt;=DATE(2025,7,1),B193&lt;=DATE(2026,6,30)),1,0)</f>
        <v>1</v>
      </c>
      <c r="J193">
        <f>IF(B193&lt;=DATE(2026,6,30),1,0)</f>
        <v>1</v>
      </c>
      <c r="K193" t="inlineStr"/>
      <c r="L193" t="inlineStr">
        <is>
          <t>Yard</t>
        </is>
      </c>
      <c r="M193">
        <f>COUNTIFS('Asset Log'!$A$5:$A$1379,A193,'Asset Log'!$E$5:$E$1379,E193,'Asset Log'!$G$5:$G$1379,G193)</f>
        <v>1</v>
      </c>
    </row>
    <row r="194">
      <c r="A194" t="inlineStr">
        <is>
          <t>D70364</t>
        </is>
      </c>
      <c r="B194" s="11" t="n">
        <v>45855</v>
      </c>
      <c r="C194" t="inlineStr">
        <is>
          <t>s039</t>
        </is>
      </c>
      <c r="D194" t="inlineStr">
        <is>
          <t>S0039</t>
        </is>
      </c>
      <c r="E194" t="inlineStr">
        <is>
          <t>FP</t>
        </is>
      </c>
      <c r="F194" t="n">
        <v>90</v>
      </c>
      <c r="G194" t="inlineStr">
        <is>
          <t>IN</t>
        </is>
      </c>
      <c r="H194">
        <f>IF(G194="OUT",F194,-F194)</f>
        <v>-90</v>
      </c>
      <c r="I194">
        <f>IF(AND(B194&gt;=DATE(2025,7,1),B194&lt;=DATE(2026,6,30)),1,0)</f>
        <v>1</v>
      </c>
      <c r="J194">
        <f>IF(B194&lt;=DATE(2026,6,30),1,0)</f>
        <v>1</v>
      </c>
      <c r="K194" t="inlineStr">
        <is>
          <t>Site text normalised</t>
        </is>
      </c>
      <c r="L194" t="inlineStr">
        <is>
          <t>Yard</t>
        </is>
      </c>
      <c r="M194">
        <f>COUNTIFS('Asset Log'!$A$5:$A$1379,A194,'Asset Log'!$E$5:$E$1379,E194,'Asset Log'!$G$5:$G$1379,G194)</f>
        <v>1</v>
      </c>
    </row>
    <row r="195">
      <c r="A195" t="inlineStr">
        <is>
          <t>D70369</t>
        </is>
      </c>
      <c r="B195" s="11" t="n">
        <v>45855</v>
      </c>
      <c r="C195" t="inlineStr">
        <is>
          <t>S0039</t>
        </is>
      </c>
      <c r="D195" t="inlineStr">
        <is>
          <t>S0039</t>
        </is>
      </c>
      <c r="E195" t="inlineStr">
        <is>
          <t>FB</t>
        </is>
      </c>
      <c r="F195" t="n">
        <v>108</v>
      </c>
      <c r="G195" t="inlineStr">
        <is>
          <t>IN</t>
        </is>
      </c>
      <c r="H195">
        <f>IF(G195="OUT",F195,-F195)</f>
        <v>-108</v>
      </c>
      <c r="I195">
        <f>IF(AND(B195&gt;=DATE(2025,7,1),B195&lt;=DATE(2026,6,30)),1,0)</f>
        <v>1</v>
      </c>
      <c r="J195">
        <f>IF(B195&lt;=DATE(2026,6,30),1,0)</f>
        <v>1</v>
      </c>
      <c r="K195" t="inlineStr"/>
      <c r="L195" t="inlineStr">
        <is>
          <t>Office</t>
        </is>
      </c>
      <c r="M195">
        <f>COUNTIFS('Asset Log'!$A$5:$A$1379,A195,'Asset Log'!$E$5:$E$1379,E195,'Asset Log'!$G$5:$G$1379,G195)</f>
        <v>1</v>
      </c>
    </row>
    <row r="196">
      <c r="A196" t="inlineStr">
        <is>
          <t>D70373</t>
        </is>
      </c>
      <c r="B196" s="11" t="n">
        <v>45855</v>
      </c>
      <c r="C196" t="inlineStr">
        <is>
          <t>S0039</t>
        </is>
      </c>
      <c r="D196" t="inlineStr">
        <is>
          <t>S0039</t>
        </is>
      </c>
      <c r="E196" t="inlineStr">
        <is>
          <t>BR</t>
        </is>
      </c>
      <c r="F196" t="n">
        <v>21</v>
      </c>
      <c r="G196" t="inlineStr">
        <is>
          <t>IN</t>
        </is>
      </c>
      <c r="H196">
        <f>IF(G196="OUT",F196,-F196)</f>
        <v>-21</v>
      </c>
      <c r="I196">
        <f>IF(AND(B196&gt;=DATE(2025,7,1),B196&lt;=DATE(2026,6,30)),1,0)</f>
        <v>1</v>
      </c>
      <c r="J196">
        <f>IF(B196&lt;=DATE(2026,6,30),1,0)</f>
        <v>1</v>
      </c>
      <c r="K196" t="inlineStr"/>
      <c r="L196" t="inlineStr">
        <is>
          <t>Yard</t>
        </is>
      </c>
      <c r="M196">
        <f>COUNTIFS('Asset Log'!$A$5:$A$1379,A196,'Asset Log'!$E$5:$E$1379,E196,'Asset Log'!$G$5:$G$1379,G196)</f>
        <v>1</v>
      </c>
    </row>
    <row r="197">
      <c r="A197" t="inlineStr">
        <is>
          <t>D71491</t>
        </is>
      </c>
      <c r="B197" s="11" t="n">
        <v>45855</v>
      </c>
      <c r="C197" t="inlineStr">
        <is>
          <t>S0156</t>
        </is>
      </c>
      <c r="D197" t="inlineStr">
        <is>
          <t>S0156</t>
        </is>
      </c>
      <c r="E197" t="inlineStr">
        <is>
          <t>FP</t>
        </is>
      </c>
      <c r="F197" t="n">
        <v>141</v>
      </c>
      <c r="G197" t="inlineStr">
        <is>
          <t>OUT</t>
        </is>
      </c>
      <c r="H197">
        <f>IF(G197="OUT",F197,-F197)</f>
        <v>141</v>
      </c>
      <c r="I197">
        <f>IF(AND(B197&gt;=DATE(2025,7,1),B197&lt;=DATE(2026,6,30)),1,0)</f>
        <v>1</v>
      </c>
      <c r="J197">
        <f>IF(B197&lt;=DATE(2026,6,30),1,0)</f>
        <v>1</v>
      </c>
      <c r="K197" t="inlineStr"/>
      <c r="L197" t="inlineStr">
        <is>
          <t>Office</t>
        </is>
      </c>
      <c r="M197">
        <f>COUNTIFS('Asset Log'!$A$5:$A$1379,A197,'Asset Log'!$E$5:$E$1379,E197,'Asset Log'!$G$5:$G$1379,G197)</f>
        <v>1</v>
      </c>
    </row>
    <row r="198">
      <c r="A198" t="inlineStr">
        <is>
          <t>D71497</t>
        </is>
      </c>
      <c r="B198" s="11" t="n">
        <v>45855</v>
      </c>
      <c r="C198" t="inlineStr">
        <is>
          <t>S0156</t>
        </is>
      </c>
      <c r="D198" t="inlineStr">
        <is>
          <t>S0156</t>
        </is>
      </c>
      <c r="E198" t="inlineStr">
        <is>
          <t>FB</t>
        </is>
      </c>
      <c r="F198" t="n">
        <v>155</v>
      </c>
      <c r="G198" t="inlineStr">
        <is>
          <t>OUT</t>
        </is>
      </c>
      <c r="H198">
        <f>IF(G198="OUT",F198,-F198)</f>
        <v>155</v>
      </c>
      <c r="I198">
        <f>IF(AND(B198&gt;=DATE(2025,7,1),B198&lt;=DATE(2026,6,30)),1,0)</f>
        <v>1</v>
      </c>
      <c r="J198">
        <f>IF(B198&lt;=DATE(2026,6,30),1,0)</f>
        <v>1</v>
      </c>
      <c r="K198" t="inlineStr"/>
      <c r="L198" t="inlineStr">
        <is>
          <t>Office</t>
        </is>
      </c>
      <c r="M198">
        <f>COUNTIFS('Asset Log'!$A$5:$A$1379,A198,'Asset Log'!$E$5:$E$1379,E198,'Asset Log'!$G$5:$G$1379,G198)</f>
        <v>1</v>
      </c>
    </row>
    <row r="199">
      <c r="A199" t="inlineStr">
        <is>
          <t>D71743</t>
        </is>
      </c>
      <c r="B199" s="11" t="n">
        <v>45855</v>
      </c>
      <c r="C199" t="inlineStr">
        <is>
          <t>S0184</t>
        </is>
      </c>
      <c r="D199" t="inlineStr">
        <is>
          <t>S0184</t>
        </is>
      </c>
      <c r="E199" t="inlineStr">
        <is>
          <t>FP</t>
        </is>
      </c>
      <c r="F199" t="n">
        <v>44</v>
      </c>
      <c r="G199" t="inlineStr">
        <is>
          <t>OUT</t>
        </is>
      </c>
      <c r="H199">
        <f>IF(G199="OUT",F199,-F199)</f>
        <v>44</v>
      </c>
      <c r="I199">
        <f>IF(AND(B199&gt;=DATE(2025,7,1),B199&lt;=DATE(2026,6,30)),1,0)</f>
        <v>1</v>
      </c>
      <c r="J199">
        <f>IF(B199&lt;=DATE(2026,6,30),1,0)</f>
        <v>1</v>
      </c>
      <c r="K199" t="inlineStr"/>
      <c r="L199" t="inlineStr">
        <is>
          <t>Driver</t>
        </is>
      </c>
      <c r="M199">
        <f>COUNTIFS('Asset Log'!$A$5:$A$1379,A199,'Asset Log'!$E$5:$E$1379,E199,'Asset Log'!$G$5:$G$1379,G199)</f>
        <v>1</v>
      </c>
    </row>
    <row r="200">
      <c r="A200" t="inlineStr">
        <is>
          <t>D71747</t>
        </is>
      </c>
      <c r="B200" s="11" t="n">
        <v>45855</v>
      </c>
      <c r="C200" t="inlineStr">
        <is>
          <t>S0184</t>
        </is>
      </c>
      <c r="D200" t="inlineStr">
        <is>
          <t>S0184</t>
        </is>
      </c>
      <c r="E200" t="inlineStr">
        <is>
          <t>FB</t>
        </is>
      </c>
      <c r="F200" t="n">
        <v>48</v>
      </c>
      <c r="G200" t="inlineStr">
        <is>
          <t>OUT</t>
        </is>
      </c>
      <c r="H200">
        <f>IF(G200="OUT",F200,-F200)</f>
        <v>48</v>
      </c>
      <c r="I200">
        <f>IF(AND(B200&gt;=DATE(2025,7,1),B200&lt;=DATE(2026,6,30)),1,0)</f>
        <v>1</v>
      </c>
      <c r="J200">
        <f>IF(B200&lt;=DATE(2026,6,30),1,0)</f>
        <v>1</v>
      </c>
      <c r="K200" t="inlineStr"/>
      <c r="L200" t="inlineStr">
        <is>
          <t>Office</t>
        </is>
      </c>
      <c r="M200">
        <f>COUNTIFS('Asset Log'!$A$5:$A$1379,A200,'Asset Log'!$E$5:$E$1379,E200,'Asset Log'!$G$5:$G$1379,G200)</f>
        <v>1</v>
      </c>
    </row>
    <row r="201">
      <c r="A201" t="inlineStr">
        <is>
          <t>D71765</t>
        </is>
      </c>
      <c r="B201" s="11" t="n">
        <v>45856</v>
      </c>
      <c r="C201" t="inlineStr">
        <is>
          <t>S0186</t>
        </is>
      </c>
      <c r="D201" t="inlineStr">
        <is>
          <t>S0186</t>
        </is>
      </c>
      <c r="E201" t="inlineStr">
        <is>
          <t>FP</t>
        </is>
      </c>
      <c r="F201" t="n">
        <v>142</v>
      </c>
      <c r="G201" t="inlineStr">
        <is>
          <t>IN</t>
        </is>
      </c>
      <c r="H201">
        <f>IF(G201="OUT",F201,-F201)</f>
        <v>-142</v>
      </c>
      <c r="I201">
        <f>IF(AND(B201&gt;=DATE(2025,7,1),B201&lt;=DATE(2026,6,30)),1,0)</f>
        <v>1</v>
      </c>
      <c r="J201">
        <f>IF(B201&lt;=DATE(2026,6,30),1,0)</f>
        <v>1</v>
      </c>
      <c r="K201" t="inlineStr"/>
      <c r="L201" t="inlineStr">
        <is>
          <t>Office</t>
        </is>
      </c>
      <c r="M201">
        <f>COUNTIFS('Asset Log'!$A$5:$A$1379,A201,'Asset Log'!$E$5:$E$1379,E201,'Asset Log'!$G$5:$G$1379,G201)</f>
        <v>1</v>
      </c>
    </row>
    <row r="202">
      <c r="A202" t="inlineStr">
        <is>
          <t>D71767</t>
        </is>
      </c>
      <c r="B202" s="11" t="n">
        <v>45856</v>
      </c>
      <c r="C202" t="inlineStr">
        <is>
          <t>S0186</t>
        </is>
      </c>
      <c r="D202" t="inlineStr">
        <is>
          <t>S0186</t>
        </is>
      </c>
      <c r="E202" t="inlineStr">
        <is>
          <t>FB</t>
        </is>
      </c>
      <c r="F202" t="n">
        <v>156</v>
      </c>
      <c r="G202" t="inlineStr">
        <is>
          <t>IN</t>
        </is>
      </c>
      <c r="H202">
        <f>IF(G202="OUT",F202,-F202)</f>
        <v>-156</v>
      </c>
      <c r="I202">
        <f>IF(AND(B202&gt;=DATE(2025,7,1),B202&lt;=DATE(2026,6,30)),1,0)</f>
        <v>1</v>
      </c>
      <c r="J202">
        <f>IF(B202&lt;=DATE(2026,6,30),1,0)</f>
        <v>1</v>
      </c>
      <c r="K202" t="inlineStr"/>
      <c r="L202" t="inlineStr">
        <is>
          <t>Office</t>
        </is>
      </c>
      <c r="M202">
        <f>COUNTIFS('Asset Log'!$A$5:$A$1379,A202,'Asset Log'!$E$5:$E$1379,E202,'Asset Log'!$G$5:$G$1379,G202)</f>
        <v>1</v>
      </c>
    </row>
    <row r="203">
      <c r="A203" t="inlineStr">
        <is>
          <t>D72720</t>
        </is>
      </c>
      <c r="B203" s="11" t="n">
        <v>45856</v>
      </c>
      <c r="C203" t="inlineStr">
        <is>
          <t>S0468</t>
        </is>
      </c>
      <c r="D203" t="inlineStr">
        <is>
          <t>S0468</t>
        </is>
      </c>
      <c r="E203" t="inlineStr">
        <is>
          <t>TK</t>
        </is>
      </c>
      <c r="F203" t="n">
        <v>1</v>
      </c>
      <c r="G203" t="inlineStr">
        <is>
          <t>OUT</t>
        </is>
      </c>
      <c r="H203">
        <f>IF(G203="OUT",F203,-F203)</f>
        <v>1</v>
      </c>
      <c r="I203">
        <f>IF(AND(B203&gt;=DATE(2025,7,1),B203&lt;=DATE(2026,6,30)),1,0)</f>
        <v>1</v>
      </c>
      <c r="J203">
        <f>IF(B203&lt;=DATE(2026,6,30),1,0)</f>
        <v>1</v>
      </c>
      <c r="K203" t="inlineStr"/>
      <c r="L203" t="inlineStr">
        <is>
          <t>Yard</t>
        </is>
      </c>
      <c r="M203">
        <f>COUNTIFS('Asset Log'!$A$5:$A$1379,A203,'Asset Log'!$E$5:$E$1379,E203,'Asset Log'!$G$5:$G$1379,G203)</f>
        <v>1</v>
      </c>
    </row>
    <row r="204">
      <c r="A204" t="inlineStr">
        <is>
          <t>D70761</t>
        </is>
      </c>
      <c r="B204" s="11" t="n">
        <v>45857</v>
      </c>
      <c r="C204" t="inlineStr">
        <is>
          <t>S0081</t>
        </is>
      </c>
      <c r="D204" t="inlineStr">
        <is>
          <t>S0081</t>
        </is>
      </c>
      <c r="E204" t="inlineStr">
        <is>
          <t>FP</t>
        </is>
      </c>
      <c r="F204" t="n">
        <v>115</v>
      </c>
      <c r="G204" t="inlineStr">
        <is>
          <t>OUT</t>
        </is>
      </c>
      <c r="H204">
        <f>IF(G204="OUT",F204,-F204)</f>
        <v>115</v>
      </c>
      <c r="I204">
        <f>IF(AND(B204&gt;=DATE(2025,7,1),B204&lt;=DATE(2026,6,30)),1,0)</f>
        <v>1</v>
      </c>
      <c r="J204">
        <f>IF(B204&lt;=DATE(2026,6,30),1,0)</f>
        <v>1</v>
      </c>
      <c r="K204" t="inlineStr"/>
      <c r="L204" t="inlineStr">
        <is>
          <t>Office</t>
        </is>
      </c>
      <c r="M204">
        <f>COUNTIFS('Asset Log'!$A$5:$A$1379,A204,'Asset Log'!$E$5:$E$1379,E204,'Asset Log'!$G$5:$G$1379,G204)</f>
        <v>1</v>
      </c>
    </row>
    <row r="205">
      <c r="A205" t="inlineStr">
        <is>
          <t>D70766</t>
        </is>
      </c>
      <c r="B205" s="11" t="n">
        <v>45857</v>
      </c>
      <c r="C205" t="inlineStr">
        <is>
          <t>S0081</t>
        </is>
      </c>
      <c r="D205" t="inlineStr">
        <is>
          <t>S0081</t>
        </is>
      </c>
      <c r="E205" t="inlineStr">
        <is>
          <t>FB</t>
        </is>
      </c>
      <c r="F205" t="n">
        <v>126</v>
      </c>
      <c r="G205" t="inlineStr">
        <is>
          <t>OUT</t>
        </is>
      </c>
      <c r="H205">
        <f>IF(G205="OUT",F205,-F205)</f>
        <v>126</v>
      </c>
      <c r="I205">
        <f>IF(AND(B205&gt;=DATE(2025,7,1),B205&lt;=DATE(2026,6,30)),1,0)</f>
        <v>1</v>
      </c>
      <c r="J205">
        <f>IF(B205&lt;=DATE(2026,6,30),1,0)</f>
        <v>1</v>
      </c>
      <c r="K205" t="inlineStr"/>
      <c r="L205" t="inlineStr">
        <is>
          <t>Driver</t>
        </is>
      </c>
      <c r="M205">
        <f>COUNTIFS('Asset Log'!$A$5:$A$1379,A205,'Asset Log'!$E$5:$E$1379,E205,'Asset Log'!$G$5:$G$1379,G205)</f>
        <v>1</v>
      </c>
    </row>
    <row r="206">
      <c r="A206" t="inlineStr">
        <is>
          <t>D70901</t>
        </is>
      </c>
      <c r="B206" s="11" t="n">
        <v>45857</v>
      </c>
      <c r="C206" t="inlineStr">
        <is>
          <t>S0097</t>
        </is>
      </c>
      <c r="D206" t="inlineStr">
        <is>
          <t>S0097</t>
        </is>
      </c>
      <c r="E206" t="inlineStr">
        <is>
          <t>FP</t>
        </is>
      </c>
      <c r="F206" t="n">
        <v>88</v>
      </c>
      <c r="G206" t="inlineStr">
        <is>
          <t>OUT</t>
        </is>
      </c>
      <c r="H206">
        <f>IF(G206="OUT",F206,-F206)</f>
        <v>88</v>
      </c>
      <c r="I206">
        <f>IF(AND(B206&gt;=DATE(2025,7,1),B206&lt;=DATE(2026,6,30)),1,0)</f>
        <v>1</v>
      </c>
      <c r="J206">
        <f>IF(B206&lt;=DATE(2026,6,30),1,0)</f>
        <v>1</v>
      </c>
      <c r="K206" t="inlineStr"/>
      <c r="L206" t="inlineStr">
        <is>
          <t>Office</t>
        </is>
      </c>
      <c r="M206">
        <f>COUNTIFS('Asset Log'!$A$5:$A$1379,A206,'Asset Log'!$E$5:$E$1379,E206,'Asset Log'!$G$5:$G$1379,G206)</f>
        <v>1</v>
      </c>
    </row>
    <row r="207">
      <c r="A207" t="inlineStr">
        <is>
          <t>D70906</t>
        </is>
      </c>
      <c r="B207" s="11" t="n">
        <v>45857</v>
      </c>
      <c r="C207" t="inlineStr">
        <is>
          <t>S0097</t>
        </is>
      </c>
      <c r="D207" t="inlineStr">
        <is>
          <t>S0097</t>
        </is>
      </c>
      <c r="E207" t="inlineStr">
        <is>
          <t>FB</t>
        </is>
      </c>
      <c r="F207" t="n">
        <v>96</v>
      </c>
      <c r="G207" t="inlineStr">
        <is>
          <t>OUT</t>
        </is>
      </c>
      <c r="H207">
        <f>IF(G207="OUT",F207,-F207)</f>
        <v>96</v>
      </c>
      <c r="I207">
        <f>IF(AND(B207&gt;=DATE(2025,7,1),B207&lt;=DATE(2026,6,30)),1,0)</f>
        <v>1</v>
      </c>
      <c r="J207">
        <f>IF(B207&lt;=DATE(2026,6,30),1,0)</f>
        <v>1</v>
      </c>
      <c r="K207" t="inlineStr"/>
      <c r="L207" t="inlineStr">
        <is>
          <t>Office</t>
        </is>
      </c>
      <c r="M207">
        <f>COUNTIFS('Asset Log'!$A$5:$A$1379,A207,'Asset Log'!$E$5:$E$1379,E207,'Asset Log'!$G$5:$G$1379,G207)</f>
        <v>1</v>
      </c>
    </row>
    <row r="208">
      <c r="A208" t="inlineStr">
        <is>
          <t>D70912</t>
        </is>
      </c>
      <c r="B208" s="11" t="n">
        <v>45857</v>
      </c>
      <c r="C208" t="inlineStr">
        <is>
          <t>S0097</t>
        </is>
      </c>
      <c r="D208" t="inlineStr">
        <is>
          <t>S0097</t>
        </is>
      </c>
      <c r="E208" t="inlineStr">
        <is>
          <t>BR</t>
        </is>
      </c>
      <c r="F208" t="n">
        <v>20</v>
      </c>
      <c r="G208" t="inlineStr">
        <is>
          <t>OUT</t>
        </is>
      </c>
      <c r="H208">
        <f>IF(G208="OUT",F208,-F208)</f>
        <v>20</v>
      </c>
      <c r="I208">
        <f>IF(AND(B208&gt;=DATE(2025,7,1),B208&lt;=DATE(2026,6,30)),1,0)</f>
        <v>1</v>
      </c>
      <c r="J208">
        <f>IF(B208&lt;=DATE(2026,6,30),1,0)</f>
        <v>1</v>
      </c>
      <c r="K208" t="inlineStr"/>
      <c r="L208" t="inlineStr">
        <is>
          <t>Office</t>
        </is>
      </c>
      <c r="M208">
        <f>COUNTIFS('Asset Log'!$A$5:$A$1379,A208,'Asset Log'!$E$5:$E$1379,E208,'Asset Log'!$G$5:$G$1379,G208)</f>
        <v>1</v>
      </c>
    </row>
    <row r="209">
      <c r="A209" t="inlineStr">
        <is>
          <t>D70626</t>
        </is>
      </c>
      <c r="B209" s="11" t="n">
        <v>45858</v>
      </c>
      <c r="C209" t="inlineStr">
        <is>
          <t>S0067</t>
        </is>
      </c>
      <c r="D209" t="inlineStr">
        <is>
          <t>S0067</t>
        </is>
      </c>
      <c r="E209" t="inlineStr">
        <is>
          <t>FP</t>
        </is>
      </c>
      <c r="F209" t="n">
        <v>136</v>
      </c>
      <c r="G209" t="inlineStr">
        <is>
          <t>OUT</t>
        </is>
      </c>
      <c r="H209">
        <f>IF(G209="OUT",F209,-F209)</f>
        <v>136</v>
      </c>
      <c r="I209">
        <f>IF(AND(B209&gt;=DATE(2025,7,1),B209&lt;=DATE(2026,6,30)),1,0)</f>
        <v>1</v>
      </c>
      <c r="J209">
        <f>IF(B209&lt;=DATE(2026,6,30),1,0)</f>
        <v>1</v>
      </c>
      <c r="K209" t="inlineStr"/>
      <c r="L209" t="inlineStr">
        <is>
          <t>Office</t>
        </is>
      </c>
      <c r="M209">
        <f>COUNTIFS('Asset Log'!$A$5:$A$1379,A209,'Asset Log'!$E$5:$E$1379,E209,'Asset Log'!$G$5:$G$1379,G209)</f>
        <v>1</v>
      </c>
    </row>
    <row r="210">
      <c r="A210" t="inlineStr">
        <is>
          <t>D70631</t>
        </is>
      </c>
      <c r="B210" s="11" t="n">
        <v>45858</v>
      </c>
      <c r="C210" t="inlineStr">
        <is>
          <t>S0067</t>
        </is>
      </c>
      <c r="D210" t="inlineStr">
        <is>
          <t>S0067</t>
        </is>
      </c>
      <c r="E210" t="inlineStr">
        <is>
          <t>FB</t>
        </is>
      </c>
      <c r="F210" t="n">
        <v>149</v>
      </c>
      <c r="G210" t="inlineStr">
        <is>
          <t>OUT</t>
        </is>
      </c>
      <c r="H210">
        <f>IF(G210="OUT",F210,-F210)</f>
        <v>149</v>
      </c>
      <c r="I210">
        <f>IF(AND(B210&gt;=DATE(2025,7,1),B210&lt;=DATE(2026,6,30)),1,0)</f>
        <v>1</v>
      </c>
      <c r="J210">
        <f>IF(B210&lt;=DATE(2026,6,30),1,0)</f>
        <v>1</v>
      </c>
      <c r="K210" t="inlineStr"/>
      <c r="L210" t="inlineStr">
        <is>
          <t>Office</t>
        </is>
      </c>
      <c r="M210">
        <f>COUNTIFS('Asset Log'!$A$5:$A$1379,A210,'Asset Log'!$E$5:$E$1379,E210,'Asset Log'!$G$5:$G$1379,G210)</f>
        <v>1</v>
      </c>
    </row>
    <row r="211">
      <c r="A211" t="inlineStr">
        <is>
          <t>D71774</t>
        </is>
      </c>
      <c r="B211" s="11" t="n">
        <v>45858</v>
      </c>
      <c r="C211" t="inlineStr">
        <is>
          <t>S0188</t>
        </is>
      </c>
      <c r="D211" t="inlineStr">
        <is>
          <t>S0188</t>
        </is>
      </c>
      <c r="E211" t="inlineStr">
        <is>
          <t>FP</t>
        </is>
      </c>
      <c r="F211" t="n">
        <v>24</v>
      </c>
      <c r="G211" t="inlineStr">
        <is>
          <t>OUT</t>
        </is>
      </c>
      <c r="H211">
        <f>IF(G211="OUT",F211,-F211)</f>
        <v>24</v>
      </c>
      <c r="I211">
        <f>IF(AND(B211&gt;=DATE(2025,7,1),B211&lt;=DATE(2026,6,30)),1,0)</f>
        <v>1</v>
      </c>
      <c r="J211">
        <f>IF(B211&lt;=DATE(2026,6,30),1,0)</f>
        <v>1</v>
      </c>
      <c r="K211" t="inlineStr"/>
      <c r="L211" t="inlineStr">
        <is>
          <t>Office</t>
        </is>
      </c>
      <c r="M211">
        <f>COUNTIFS('Asset Log'!$A$5:$A$1379,A211,'Asset Log'!$E$5:$E$1379,E211,'Asset Log'!$G$5:$G$1379,G211)</f>
        <v>1</v>
      </c>
    </row>
    <row r="212">
      <c r="A212" t="inlineStr">
        <is>
          <t>D71779</t>
        </is>
      </c>
      <c r="B212" s="11" t="n">
        <v>45858</v>
      </c>
      <c r="C212" t="inlineStr">
        <is>
          <t>188</t>
        </is>
      </c>
      <c r="D212" t="inlineStr">
        <is>
          <t>S0188</t>
        </is>
      </c>
      <c r="E212" t="inlineStr">
        <is>
          <t>FB</t>
        </is>
      </c>
      <c r="F212" t="n">
        <v>26</v>
      </c>
      <c r="G212" t="inlineStr">
        <is>
          <t>OUT</t>
        </is>
      </c>
      <c r="H212">
        <f>IF(G212="OUT",F212,-F212)</f>
        <v>26</v>
      </c>
      <c r="I212">
        <f>IF(AND(B212&gt;=DATE(2025,7,1),B212&lt;=DATE(2026,6,30)),1,0)</f>
        <v>1</v>
      </c>
      <c r="J212">
        <f>IF(B212&lt;=DATE(2026,6,30),1,0)</f>
        <v>1</v>
      </c>
      <c r="K212" t="inlineStr">
        <is>
          <t>Site text normalised</t>
        </is>
      </c>
      <c r="L212" t="inlineStr">
        <is>
          <t>Office</t>
        </is>
      </c>
      <c r="M212">
        <f>COUNTIFS('Asset Log'!$A$5:$A$1379,A212,'Asset Log'!$E$5:$E$1379,E212,'Asset Log'!$G$5:$G$1379,G212)</f>
        <v>1</v>
      </c>
    </row>
    <row r="213">
      <c r="A213" t="inlineStr">
        <is>
          <t>D71248</t>
        </is>
      </c>
      <c r="B213" s="11" t="n">
        <v>45859</v>
      </c>
      <c r="C213" t="inlineStr">
        <is>
          <t>S0130</t>
        </is>
      </c>
      <c r="D213" t="inlineStr">
        <is>
          <t>S0130</t>
        </is>
      </c>
      <c r="E213" t="inlineStr">
        <is>
          <t>FP</t>
        </is>
      </c>
      <c r="F213" t="n">
        <v>106</v>
      </c>
      <c r="G213" t="inlineStr">
        <is>
          <t>OUT</t>
        </is>
      </c>
      <c r="H213">
        <f>IF(G213="OUT",F213,-F213)</f>
        <v>106</v>
      </c>
      <c r="I213">
        <f>IF(AND(B213&gt;=DATE(2025,7,1),B213&lt;=DATE(2026,6,30)),1,0)</f>
        <v>1</v>
      </c>
      <c r="J213">
        <f>IF(B213&lt;=DATE(2026,6,30),1,0)</f>
        <v>1</v>
      </c>
      <c r="K213" t="inlineStr"/>
      <c r="L213" t="inlineStr">
        <is>
          <t>Office</t>
        </is>
      </c>
      <c r="M213">
        <f>COUNTIFS('Asset Log'!$A$5:$A$1379,A213,'Asset Log'!$E$5:$E$1379,E213,'Asset Log'!$G$5:$G$1379,G213)</f>
        <v>1</v>
      </c>
    </row>
    <row r="214">
      <c r="A214" t="inlineStr">
        <is>
          <t>D71252</t>
        </is>
      </c>
      <c r="B214" s="11" t="n">
        <v>45859</v>
      </c>
      <c r="C214" t="inlineStr">
        <is>
          <t>s130</t>
        </is>
      </c>
      <c r="D214" t="inlineStr">
        <is>
          <t>S0130</t>
        </is>
      </c>
      <c r="E214" t="inlineStr">
        <is>
          <t>FB</t>
        </is>
      </c>
      <c r="F214" t="n">
        <v>116</v>
      </c>
      <c r="G214" t="inlineStr">
        <is>
          <t>OUT</t>
        </is>
      </c>
      <c r="H214">
        <f>IF(G214="OUT",F214,-F214)</f>
        <v>116</v>
      </c>
      <c r="I214">
        <f>IF(AND(B214&gt;=DATE(2025,7,1),B214&lt;=DATE(2026,6,30)),1,0)</f>
        <v>1</v>
      </c>
      <c r="J214">
        <f>IF(B214&lt;=DATE(2026,6,30),1,0)</f>
        <v>1</v>
      </c>
      <c r="K214" t="inlineStr">
        <is>
          <t>Site text normalised</t>
        </is>
      </c>
      <c r="L214" t="inlineStr">
        <is>
          <t>Driver</t>
        </is>
      </c>
      <c r="M214">
        <f>COUNTIFS('Asset Log'!$A$5:$A$1379,A214,'Asset Log'!$E$5:$E$1379,E214,'Asset Log'!$G$5:$G$1379,G214)</f>
        <v>1</v>
      </c>
    </row>
    <row r="215">
      <c r="A215" t="inlineStr">
        <is>
          <t>D72416</t>
        </is>
      </c>
      <c r="B215" s="11" t="n">
        <v>45860</v>
      </c>
      <c r="C215" t="inlineStr">
        <is>
          <t>s286</t>
        </is>
      </c>
      <c r="D215" t="inlineStr">
        <is>
          <t>S0286</t>
        </is>
      </c>
      <c r="E215" t="inlineStr">
        <is>
          <t>ST</t>
        </is>
      </c>
      <c r="F215" t="n">
        <v>2</v>
      </c>
      <c r="G215" t="inlineStr">
        <is>
          <t>OUT</t>
        </is>
      </c>
      <c r="H215">
        <f>IF(G215="OUT",F215,-F215)</f>
        <v>2</v>
      </c>
      <c r="I215">
        <f>IF(AND(B215&gt;=DATE(2025,7,1),B215&lt;=DATE(2026,6,30)),1,0)</f>
        <v>1</v>
      </c>
      <c r="J215">
        <f>IF(B215&lt;=DATE(2026,6,30),1,0)</f>
        <v>1</v>
      </c>
      <c r="K215" t="inlineStr">
        <is>
          <t>Site text normalised</t>
        </is>
      </c>
      <c r="L215" t="inlineStr">
        <is>
          <t>Driver</t>
        </is>
      </c>
      <c r="M215">
        <f>COUNTIFS('Asset Log'!$A$5:$A$1379,A215,'Asset Log'!$E$5:$E$1379,E215,'Asset Log'!$G$5:$G$1379,G215)</f>
        <v>1</v>
      </c>
    </row>
    <row r="216">
      <c r="A216" t="inlineStr">
        <is>
          <t>D70877</t>
        </is>
      </c>
      <c r="B216" s="11" t="n">
        <v>45861</v>
      </c>
      <c r="C216" t="inlineStr">
        <is>
          <t>S0093</t>
        </is>
      </c>
      <c r="D216" t="inlineStr">
        <is>
          <t>S0093</t>
        </is>
      </c>
      <c r="E216" t="inlineStr">
        <is>
          <t>FP</t>
        </is>
      </c>
      <c r="F216" t="n">
        <v>139</v>
      </c>
      <c r="G216" t="inlineStr">
        <is>
          <t>IN</t>
        </is>
      </c>
      <c r="H216">
        <f>IF(G216="OUT",F216,-F216)</f>
        <v>-139</v>
      </c>
      <c r="I216">
        <f>IF(AND(B216&gt;=DATE(2025,7,1),B216&lt;=DATE(2026,6,30)),1,0)</f>
        <v>1</v>
      </c>
      <c r="J216">
        <f>IF(B216&lt;=DATE(2026,6,30),1,0)</f>
        <v>1</v>
      </c>
      <c r="K216" t="inlineStr"/>
      <c r="L216" t="inlineStr">
        <is>
          <t>Driver</t>
        </is>
      </c>
      <c r="M216">
        <f>COUNTIFS('Asset Log'!$A$5:$A$1379,A216,'Asset Log'!$E$5:$E$1379,E216,'Asset Log'!$G$5:$G$1379,G216)</f>
        <v>1</v>
      </c>
    </row>
    <row r="217">
      <c r="A217" t="inlineStr">
        <is>
          <t>D70880</t>
        </is>
      </c>
      <c r="B217" s="11" t="n">
        <v>45861</v>
      </c>
      <c r="C217" t="inlineStr">
        <is>
          <t>S0093</t>
        </is>
      </c>
      <c r="D217" t="inlineStr">
        <is>
          <t>S0093</t>
        </is>
      </c>
      <c r="E217" t="inlineStr">
        <is>
          <t>FB</t>
        </is>
      </c>
      <c r="F217" t="n">
        <v>152</v>
      </c>
      <c r="G217" t="inlineStr">
        <is>
          <t>IN</t>
        </is>
      </c>
      <c r="H217">
        <f>IF(G217="OUT",F217,-F217)</f>
        <v>-152</v>
      </c>
      <c r="I217">
        <f>IF(AND(B217&gt;=DATE(2025,7,1),B217&lt;=DATE(2026,6,30)),1,0)</f>
        <v>1</v>
      </c>
      <c r="J217">
        <f>IF(B217&lt;=DATE(2026,6,30),1,0)</f>
        <v>1</v>
      </c>
      <c r="K217" t="inlineStr"/>
      <c r="L217" t="inlineStr">
        <is>
          <t>Driver</t>
        </is>
      </c>
      <c r="M217">
        <f>COUNTIFS('Asset Log'!$A$5:$A$1379,A217,'Asset Log'!$E$5:$E$1379,E217,'Asset Log'!$G$5:$G$1379,G217)</f>
        <v>1</v>
      </c>
    </row>
    <row r="218">
      <c r="A218" t="inlineStr">
        <is>
          <t>D72729</t>
        </is>
      </c>
      <c r="B218" s="11" t="n">
        <v>45861</v>
      </c>
      <c r="C218" t="inlineStr">
        <is>
          <t>S0479</t>
        </is>
      </c>
      <c r="D218" t="inlineStr">
        <is>
          <t>S0479</t>
        </is>
      </c>
      <c r="E218" t="inlineStr">
        <is>
          <t>TK</t>
        </is>
      </c>
      <c r="F218" t="n">
        <v>1</v>
      </c>
      <c r="G218" t="inlineStr">
        <is>
          <t>OUT</t>
        </is>
      </c>
      <c r="H218">
        <f>IF(G218="OUT",F218,-F218)</f>
        <v>1</v>
      </c>
      <c r="I218">
        <f>IF(AND(B218&gt;=DATE(2025,7,1),B218&lt;=DATE(2026,6,30)),1,0)</f>
        <v>1</v>
      </c>
      <c r="J218">
        <f>IF(B218&lt;=DATE(2026,6,30),1,0)</f>
        <v>1</v>
      </c>
      <c r="K218" t="inlineStr"/>
      <c r="L218" t="inlineStr">
        <is>
          <t>Yard</t>
        </is>
      </c>
      <c r="M218">
        <f>COUNTIFS('Asset Log'!$A$5:$A$1379,A218,'Asset Log'!$E$5:$E$1379,E218,'Asset Log'!$G$5:$G$1379,G218)</f>
        <v>1</v>
      </c>
    </row>
    <row r="219">
      <c r="A219" t="inlineStr">
        <is>
          <t>D71055</t>
        </is>
      </c>
      <c r="B219" s="11" t="n">
        <v>45862</v>
      </c>
      <c r="C219" t="inlineStr">
        <is>
          <t>S0113</t>
        </is>
      </c>
      <c r="D219" t="inlineStr">
        <is>
          <t>S0113</t>
        </is>
      </c>
      <c r="E219" t="inlineStr">
        <is>
          <t>FP</t>
        </is>
      </c>
      <c r="F219" t="n">
        <v>74</v>
      </c>
      <c r="G219" t="inlineStr">
        <is>
          <t>IN</t>
        </is>
      </c>
      <c r="H219">
        <f>IF(G219="OUT",F219,-F219)</f>
        <v>-74</v>
      </c>
      <c r="I219">
        <f>IF(AND(B219&gt;=DATE(2025,7,1),B219&lt;=DATE(2026,6,30)),1,0)</f>
        <v>1</v>
      </c>
      <c r="J219">
        <f>IF(B219&lt;=DATE(2026,6,30),1,0)</f>
        <v>1</v>
      </c>
      <c r="K219" t="inlineStr"/>
      <c r="L219" t="inlineStr">
        <is>
          <t>Office</t>
        </is>
      </c>
      <c r="M219">
        <f>COUNTIFS('Asset Log'!$A$5:$A$1379,A219,'Asset Log'!$E$5:$E$1379,E219,'Asset Log'!$G$5:$G$1379,G219)</f>
        <v>1</v>
      </c>
    </row>
    <row r="220">
      <c r="A220" t="inlineStr">
        <is>
          <t>D71060</t>
        </is>
      </c>
      <c r="B220" s="11" t="n">
        <v>45862</v>
      </c>
      <c r="C220" t="inlineStr">
        <is>
          <t>S0113</t>
        </is>
      </c>
      <c r="D220" t="inlineStr">
        <is>
          <t>S0113</t>
        </is>
      </c>
      <c r="E220" t="inlineStr">
        <is>
          <t>FB</t>
        </is>
      </c>
      <c r="F220" t="n">
        <v>85</v>
      </c>
      <c r="G220" t="inlineStr">
        <is>
          <t>IN</t>
        </is>
      </c>
      <c r="H220">
        <f>IF(G220="OUT",F220,-F220)</f>
        <v>-85</v>
      </c>
      <c r="I220">
        <f>IF(AND(B220&gt;=DATE(2025,7,1),B220&lt;=DATE(2026,6,30)),1,0)</f>
        <v>1</v>
      </c>
      <c r="J220">
        <f>IF(B220&lt;=DATE(2026,6,30),1,0)</f>
        <v>1</v>
      </c>
      <c r="K220" t="inlineStr"/>
      <c r="L220" t="inlineStr">
        <is>
          <t>Office</t>
        </is>
      </c>
      <c r="M220">
        <f>COUNTIFS('Asset Log'!$A$5:$A$1379,A220,'Asset Log'!$E$5:$E$1379,E220,'Asset Log'!$G$5:$G$1379,G220)</f>
        <v>1</v>
      </c>
    </row>
    <row r="221">
      <c r="A221" t="inlineStr">
        <is>
          <t>D71063</t>
        </is>
      </c>
      <c r="B221" s="11" t="n">
        <v>45862</v>
      </c>
      <c r="C221" t="inlineStr">
        <is>
          <t>S0113</t>
        </is>
      </c>
      <c r="D221" t="inlineStr">
        <is>
          <t>S0113</t>
        </is>
      </c>
      <c r="E221" t="inlineStr">
        <is>
          <t>FP</t>
        </is>
      </c>
      <c r="F221" t="n">
        <v>4</v>
      </c>
      <c r="G221" t="inlineStr">
        <is>
          <t>LOST</t>
        </is>
      </c>
      <c r="H221">
        <f>IF(G221="OUT",F221,-F221)</f>
        <v>-4</v>
      </c>
      <c r="I221">
        <f>IF(AND(B221&gt;=DATE(2025,7,1),B221&lt;=DATE(2026,6,30)),1,0)</f>
        <v>1</v>
      </c>
      <c r="J221">
        <f>IF(B221&lt;=DATE(2026,6,30),1,0)</f>
        <v>1</v>
      </c>
      <c r="K221" t="inlineStr"/>
      <c r="L221" t="inlineStr">
        <is>
          <t>Driver</t>
        </is>
      </c>
      <c r="M221">
        <f>COUNTIFS('Asset Log'!$A$5:$A$1379,A221,'Asset Log'!$E$5:$E$1379,E221,'Asset Log'!$G$5:$G$1379,G221)</f>
        <v>1</v>
      </c>
    </row>
    <row r="222">
      <c r="A222" t="inlineStr">
        <is>
          <t>D71144</t>
        </is>
      </c>
      <c r="B222" s="11" t="n">
        <v>45862</v>
      </c>
      <c r="C222" t="inlineStr">
        <is>
          <t>S0121</t>
        </is>
      </c>
      <c r="D222" t="inlineStr">
        <is>
          <t>S0121</t>
        </is>
      </c>
      <c r="E222" t="inlineStr">
        <is>
          <t>FP</t>
        </is>
      </c>
      <c r="F222" t="n">
        <v>11</v>
      </c>
      <c r="G222" t="inlineStr">
        <is>
          <t>OUT</t>
        </is>
      </c>
      <c r="H222">
        <f>IF(G222="OUT",F222,-F222)</f>
        <v>11</v>
      </c>
      <c r="I222">
        <f>IF(AND(B222&gt;=DATE(2025,7,1),B222&lt;=DATE(2026,6,30)),1,0)</f>
        <v>1</v>
      </c>
      <c r="J222">
        <f>IF(B222&lt;=DATE(2026,6,30),1,0)</f>
        <v>1</v>
      </c>
      <c r="K222" t="inlineStr"/>
      <c r="L222" t="inlineStr">
        <is>
          <t>Office</t>
        </is>
      </c>
      <c r="M222">
        <f>COUNTIFS('Asset Log'!$A$5:$A$1379,A222,'Asset Log'!$E$5:$E$1379,E222,'Asset Log'!$G$5:$G$1379,G222)</f>
        <v>1</v>
      </c>
    </row>
    <row r="223">
      <c r="A223" t="inlineStr">
        <is>
          <t>D71151</t>
        </is>
      </c>
      <c r="B223" s="11" t="n">
        <v>45862</v>
      </c>
      <c r="C223" t="inlineStr">
        <is>
          <t>S0121 Clayton</t>
        </is>
      </c>
      <c r="D223" t="inlineStr">
        <is>
          <t>S0121</t>
        </is>
      </c>
      <c r="E223" t="inlineStr">
        <is>
          <t>FB</t>
        </is>
      </c>
      <c r="F223" t="n">
        <v>11</v>
      </c>
      <c r="G223" t="inlineStr">
        <is>
          <t>OUT</t>
        </is>
      </c>
      <c r="H223">
        <f>IF(G223="OUT",F223,-F223)</f>
        <v>11</v>
      </c>
      <c r="I223">
        <f>IF(AND(B223&gt;=DATE(2025,7,1),B223&lt;=DATE(2026,6,30)),1,0)</f>
        <v>1</v>
      </c>
      <c r="J223">
        <f>IF(B223&lt;=DATE(2026,6,30),1,0)</f>
        <v>1</v>
      </c>
      <c r="K223" t="inlineStr">
        <is>
          <t>Site text normalised</t>
        </is>
      </c>
      <c r="L223" t="inlineStr">
        <is>
          <t>Driver</t>
        </is>
      </c>
      <c r="M223">
        <f>COUNTIFS('Asset Log'!$A$5:$A$1379,A223,'Asset Log'!$E$5:$E$1379,E223,'Asset Log'!$G$5:$G$1379,G223)</f>
        <v>1</v>
      </c>
    </row>
    <row r="224">
      <c r="A224" t="inlineStr">
        <is>
          <t>D72256</t>
        </is>
      </c>
      <c r="B224" s="11" t="n">
        <v>45862</v>
      </c>
      <c r="C224" t="inlineStr">
        <is>
          <t>S0247</t>
        </is>
      </c>
      <c r="D224" t="inlineStr">
        <is>
          <t>S0247</t>
        </is>
      </c>
      <c r="E224" t="inlineStr">
        <is>
          <t>ST</t>
        </is>
      </c>
      <c r="F224" t="n">
        <v>2</v>
      </c>
      <c r="G224" t="inlineStr">
        <is>
          <t>OUT</t>
        </is>
      </c>
      <c r="H224">
        <f>IF(G224="OUT",F224,-F224)</f>
        <v>2</v>
      </c>
      <c r="I224">
        <f>IF(AND(B224&gt;=DATE(2025,7,1),B224&lt;=DATE(2026,6,30)),1,0)</f>
        <v>1</v>
      </c>
      <c r="J224">
        <f>IF(B224&lt;=DATE(2026,6,30),1,0)</f>
        <v>1</v>
      </c>
      <c r="K224" t="inlineStr"/>
      <c r="L224" t="inlineStr">
        <is>
          <t>Office</t>
        </is>
      </c>
      <c r="M224">
        <f>COUNTIFS('Asset Log'!$A$5:$A$1379,A224,'Asset Log'!$E$5:$E$1379,E224,'Asset Log'!$G$5:$G$1379,G224)</f>
        <v>1</v>
      </c>
    </row>
    <row r="225">
      <c r="A225" t="inlineStr">
        <is>
          <t>D70458</t>
        </is>
      </c>
      <c r="B225" s="11" t="n">
        <v>45863</v>
      </c>
      <c r="C225" t="inlineStr">
        <is>
          <t>S0049</t>
        </is>
      </c>
      <c r="D225" t="inlineStr">
        <is>
          <t>S0049</t>
        </is>
      </c>
      <c r="E225" t="inlineStr">
        <is>
          <t>FP</t>
        </is>
      </c>
      <c r="F225" t="n">
        <v>27</v>
      </c>
      <c r="G225" t="inlineStr">
        <is>
          <t>OUT</t>
        </is>
      </c>
      <c r="H225">
        <f>IF(G225="OUT",F225,-F225)</f>
        <v>27</v>
      </c>
      <c r="I225">
        <f>IF(AND(B225&gt;=DATE(2025,7,1),B225&lt;=DATE(2026,6,30)),1,0)</f>
        <v>1</v>
      </c>
      <c r="J225">
        <f>IF(B225&lt;=DATE(2026,6,30),1,0)</f>
        <v>1</v>
      </c>
      <c r="K225" t="inlineStr"/>
      <c r="L225" t="inlineStr">
        <is>
          <t>Office</t>
        </is>
      </c>
      <c r="M225">
        <f>COUNTIFS('Asset Log'!$A$5:$A$1379,A225,'Asset Log'!$E$5:$E$1379,E225,'Asset Log'!$G$5:$G$1379,G225)</f>
        <v>1</v>
      </c>
    </row>
    <row r="226">
      <c r="A226" t="inlineStr">
        <is>
          <t>D70462</t>
        </is>
      </c>
      <c r="B226" s="11" t="n">
        <v>45863</v>
      </c>
      <c r="C226" t="inlineStr">
        <is>
          <t>S0049</t>
        </is>
      </c>
      <c r="D226" t="inlineStr">
        <is>
          <t>S0049</t>
        </is>
      </c>
      <c r="E226" t="inlineStr">
        <is>
          <t>FB</t>
        </is>
      </c>
      <c r="F226" t="n">
        <v>29</v>
      </c>
      <c r="G226" t="inlineStr">
        <is>
          <t>OUT</t>
        </is>
      </c>
      <c r="H226">
        <f>IF(G226="OUT",F226,-F226)</f>
        <v>29</v>
      </c>
      <c r="I226">
        <f>IF(AND(B226&gt;=DATE(2025,7,1),B226&lt;=DATE(2026,6,30)),1,0)</f>
        <v>1</v>
      </c>
      <c r="J226">
        <f>IF(B226&lt;=DATE(2026,6,30),1,0)</f>
        <v>1</v>
      </c>
      <c r="K226" t="inlineStr"/>
      <c r="L226" t="inlineStr">
        <is>
          <t>Office</t>
        </is>
      </c>
      <c r="M226">
        <f>COUNTIFS('Asset Log'!$A$5:$A$1379,A226,'Asset Log'!$E$5:$E$1379,E226,'Asset Log'!$G$5:$G$1379,G226)</f>
        <v>1</v>
      </c>
    </row>
    <row r="227">
      <c r="A227" t="inlineStr">
        <is>
          <t>D71494</t>
        </is>
      </c>
      <c r="B227" s="11" t="n">
        <v>45863</v>
      </c>
      <c r="C227" t="inlineStr">
        <is>
          <t>S0156</t>
        </is>
      </c>
      <c r="D227" t="inlineStr">
        <is>
          <t>S0156</t>
        </is>
      </c>
      <c r="E227" t="inlineStr">
        <is>
          <t>FP</t>
        </is>
      </c>
      <c r="F227" t="n">
        <v>137</v>
      </c>
      <c r="G227" t="inlineStr">
        <is>
          <t>IN</t>
        </is>
      </c>
      <c r="H227">
        <f>IF(G227="OUT",F227,-F227)</f>
        <v>-137</v>
      </c>
      <c r="I227">
        <f>IF(AND(B227&gt;=DATE(2025,7,1),B227&lt;=DATE(2026,6,30)),1,0)</f>
        <v>1</v>
      </c>
      <c r="J227">
        <f>IF(B227&lt;=DATE(2026,6,30),1,0)</f>
        <v>1</v>
      </c>
      <c r="K227" t="inlineStr"/>
      <c r="L227" t="inlineStr">
        <is>
          <t>Office</t>
        </is>
      </c>
      <c r="M227">
        <f>COUNTIFS('Asset Log'!$A$5:$A$1379,A227,'Asset Log'!$E$5:$E$1379,E227,'Asset Log'!$G$5:$G$1379,G227)</f>
        <v>1</v>
      </c>
    </row>
    <row r="228">
      <c r="A228" t="inlineStr">
        <is>
          <t>D71500</t>
        </is>
      </c>
      <c r="B228" s="11" t="n">
        <v>45863</v>
      </c>
      <c r="C228" t="inlineStr">
        <is>
          <t>S0156</t>
        </is>
      </c>
      <c r="D228" t="inlineStr">
        <is>
          <t>S0156</t>
        </is>
      </c>
      <c r="E228" t="inlineStr">
        <is>
          <t>FB</t>
        </is>
      </c>
      <c r="F228" t="n">
        <v>155</v>
      </c>
      <c r="G228" t="inlineStr">
        <is>
          <t>IN</t>
        </is>
      </c>
      <c r="H228">
        <f>IF(G228="OUT",F228,-F228)</f>
        <v>-155</v>
      </c>
      <c r="I228">
        <f>IF(AND(B228&gt;=DATE(2025,7,1),B228&lt;=DATE(2026,6,30)),1,0)</f>
        <v>1</v>
      </c>
      <c r="J228">
        <f>IF(B228&lt;=DATE(2026,6,30),1,0)</f>
        <v>1</v>
      </c>
      <c r="K228" t="inlineStr"/>
      <c r="L228" t="inlineStr">
        <is>
          <t>Yard</t>
        </is>
      </c>
      <c r="M228">
        <f>COUNTIFS('Asset Log'!$A$5:$A$1379,A228,'Asset Log'!$E$5:$E$1379,E228,'Asset Log'!$G$5:$G$1379,G228)</f>
        <v>1</v>
      </c>
    </row>
    <row r="229">
      <c r="A229" t="inlineStr">
        <is>
          <t>D71501</t>
        </is>
      </c>
      <c r="B229" s="11" t="n">
        <v>45863</v>
      </c>
      <c r="C229" t="inlineStr">
        <is>
          <t>S0156</t>
        </is>
      </c>
      <c r="D229" t="inlineStr">
        <is>
          <t>S0156</t>
        </is>
      </c>
      <c r="E229" t="inlineStr">
        <is>
          <t>FP</t>
        </is>
      </c>
      <c r="F229" t="n">
        <v>4</v>
      </c>
      <c r="G229" t="inlineStr">
        <is>
          <t>LOST</t>
        </is>
      </c>
      <c r="H229">
        <f>IF(G229="OUT",F229,-F229)</f>
        <v>-4</v>
      </c>
      <c r="I229">
        <f>IF(AND(B229&gt;=DATE(2025,7,1),B229&lt;=DATE(2026,6,30)),1,0)</f>
        <v>1</v>
      </c>
      <c r="J229">
        <f>IF(B229&lt;=DATE(2026,6,30),1,0)</f>
        <v>1</v>
      </c>
      <c r="K229" t="inlineStr"/>
      <c r="L229" t="inlineStr">
        <is>
          <t>Yard</t>
        </is>
      </c>
      <c r="M229">
        <f>COUNTIFS('Asset Log'!$A$5:$A$1379,A229,'Asset Log'!$E$5:$E$1379,E229,'Asset Log'!$G$5:$G$1379,G229)</f>
        <v>1</v>
      </c>
    </row>
    <row r="230">
      <c r="A230" t="inlineStr">
        <is>
          <t>D70600</t>
        </is>
      </c>
      <c r="B230" s="11" t="n">
        <v>45864</v>
      </c>
      <c r="C230" t="inlineStr">
        <is>
          <t>S0065</t>
        </is>
      </c>
      <c r="D230" t="inlineStr">
        <is>
          <t>S0065</t>
        </is>
      </c>
      <c r="E230" t="inlineStr">
        <is>
          <t>FP</t>
        </is>
      </c>
      <c r="F230" t="n">
        <v>130</v>
      </c>
      <c r="G230" t="inlineStr">
        <is>
          <t>OUT</t>
        </is>
      </c>
      <c r="H230">
        <f>IF(G230="OUT",F230,-F230)</f>
        <v>130</v>
      </c>
      <c r="I230">
        <f>IF(AND(B230&gt;=DATE(2025,7,1),B230&lt;=DATE(2026,6,30)),1,0)</f>
        <v>1</v>
      </c>
      <c r="J230">
        <f>IF(B230&lt;=DATE(2026,6,30),1,0)</f>
        <v>1</v>
      </c>
      <c r="K230" t="inlineStr"/>
      <c r="L230" t="inlineStr">
        <is>
          <t>Yard</t>
        </is>
      </c>
      <c r="M230">
        <f>COUNTIFS('Asset Log'!$A$5:$A$1379,A230,'Asset Log'!$E$5:$E$1379,E230,'Asset Log'!$G$5:$G$1379,G230)</f>
        <v>1</v>
      </c>
    </row>
    <row r="231">
      <c r="A231" t="inlineStr">
        <is>
          <t>D70604</t>
        </is>
      </c>
      <c r="B231" s="11" t="n">
        <v>45864</v>
      </c>
      <c r="C231" t="inlineStr">
        <is>
          <t>S0065</t>
        </is>
      </c>
      <c r="D231" t="inlineStr">
        <is>
          <t>S0065</t>
        </is>
      </c>
      <c r="E231" t="inlineStr">
        <is>
          <t>FB</t>
        </is>
      </c>
      <c r="F231" t="n">
        <v>143</v>
      </c>
      <c r="G231" t="inlineStr">
        <is>
          <t>OUT</t>
        </is>
      </c>
      <c r="H231">
        <f>IF(G231="OUT",F231,-F231)</f>
        <v>143</v>
      </c>
      <c r="I231">
        <f>IF(AND(B231&gt;=DATE(2025,7,1),B231&lt;=DATE(2026,6,30)),1,0)</f>
        <v>1</v>
      </c>
      <c r="J231">
        <f>IF(B231&lt;=DATE(2026,6,30),1,0)</f>
        <v>1</v>
      </c>
      <c r="K231" t="inlineStr"/>
      <c r="L231" t="inlineStr">
        <is>
          <t>Yard</t>
        </is>
      </c>
      <c r="M231">
        <f>COUNTIFS('Asset Log'!$A$5:$A$1379,A231,'Asset Log'!$E$5:$E$1379,E231,'Asset Log'!$G$5:$G$1379,G231)</f>
        <v>1</v>
      </c>
    </row>
    <row r="232">
      <c r="A232" t="inlineStr">
        <is>
          <t>D71954</t>
        </is>
      </c>
      <c r="B232" s="11" t="n">
        <v>45864</v>
      </c>
      <c r="C232" t="inlineStr">
        <is>
          <t>S0270</t>
        </is>
      </c>
      <c r="D232" t="inlineStr">
        <is>
          <t>S0207</t>
        </is>
      </c>
      <c r="E232" t="inlineStr">
        <is>
          <t>FP</t>
        </is>
      </c>
      <c r="F232" t="n">
        <v>98</v>
      </c>
      <c r="G232" t="inlineStr">
        <is>
          <t>IN</t>
        </is>
      </c>
      <c r="H232">
        <f>IF(G232="OUT",F232,-F232)</f>
        <v>-98</v>
      </c>
      <c r="I232">
        <f>IF(AND(B232&gt;=DATE(2025,7,1),B232&lt;=DATE(2026,6,30)),1,0)</f>
        <v>1</v>
      </c>
      <c r="J232">
        <f>IF(B232&lt;=DATE(2026,6,30),1,0)</f>
        <v>1</v>
      </c>
      <c r="K232" t="inlineStr">
        <is>
          <t>Site corrected from S0270 (return before the job started)</t>
        </is>
      </c>
      <c r="L232" t="inlineStr">
        <is>
          <t>Driver</t>
        </is>
      </c>
      <c r="M232">
        <f>COUNTIFS('Asset Log'!$A$5:$A$1379,A232,'Asset Log'!$E$5:$E$1379,E232,'Asset Log'!$G$5:$G$1379,G232)</f>
        <v>1</v>
      </c>
    </row>
    <row r="233">
      <c r="A233" t="inlineStr">
        <is>
          <t>D71958</t>
        </is>
      </c>
      <c r="B233" s="11" t="n">
        <v>45864</v>
      </c>
      <c r="C233" t="inlineStr">
        <is>
          <t>S0207</t>
        </is>
      </c>
      <c r="D233" t="inlineStr">
        <is>
          <t>S0207</t>
        </is>
      </c>
      <c r="E233" t="inlineStr">
        <is>
          <t>FB</t>
        </is>
      </c>
      <c r="F233" t="n">
        <v>107</v>
      </c>
      <c r="G233" t="inlineStr">
        <is>
          <t>IN</t>
        </is>
      </c>
      <c r="H233">
        <f>IF(G233="OUT",F233,-F233)</f>
        <v>-107</v>
      </c>
      <c r="I233">
        <f>IF(AND(B233&gt;=DATE(2025,7,1),B233&lt;=DATE(2026,6,30)),1,0)</f>
        <v>1</v>
      </c>
      <c r="J233">
        <f>IF(B233&lt;=DATE(2026,6,30),1,0)</f>
        <v>1</v>
      </c>
      <c r="K233" t="inlineStr"/>
      <c r="L233" t="inlineStr">
        <is>
          <t>Yard</t>
        </is>
      </c>
      <c r="M233">
        <f>COUNTIFS('Asset Log'!$A$5:$A$1379,A233,'Asset Log'!$E$5:$E$1379,E233,'Asset Log'!$G$5:$G$1379,G233)</f>
        <v>1</v>
      </c>
    </row>
    <row r="234">
      <c r="A234" t="inlineStr">
        <is>
          <t>D72278</t>
        </is>
      </c>
      <c r="B234" s="11" t="n">
        <v>45864</v>
      </c>
      <c r="C234" t="inlineStr">
        <is>
          <t>S0252</t>
        </is>
      </c>
      <c r="D234" t="inlineStr">
        <is>
          <t>S0252</t>
        </is>
      </c>
      <c r="E234" t="inlineStr">
        <is>
          <t>ST</t>
        </is>
      </c>
      <c r="F234" t="n">
        <v>3</v>
      </c>
      <c r="G234" t="inlineStr">
        <is>
          <t>IN</t>
        </is>
      </c>
      <c r="H234">
        <f>IF(G234="OUT",F234,-F234)</f>
        <v>-3</v>
      </c>
      <c r="I234">
        <f>IF(AND(B234&gt;=DATE(2025,7,1),B234&lt;=DATE(2026,6,30)),1,0)</f>
        <v>1</v>
      </c>
      <c r="J234">
        <f>IF(B234&lt;=DATE(2026,6,30),1,0)</f>
        <v>1</v>
      </c>
      <c r="K234" t="inlineStr"/>
      <c r="L234" t="inlineStr">
        <is>
          <t>Driver</t>
        </is>
      </c>
      <c r="M234">
        <f>COUNTIFS('Asset Log'!$A$5:$A$1379,A234,'Asset Log'!$E$5:$E$1379,E234,'Asset Log'!$G$5:$G$1379,G234)</f>
        <v>1</v>
      </c>
    </row>
    <row r="235">
      <c r="A235" t="inlineStr">
        <is>
          <t>D70286</t>
        </is>
      </c>
      <c r="B235" s="11" t="n">
        <v>45865</v>
      </c>
      <c r="C235" t="inlineStr">
        <is>
          <t>S0031</t>
        </is>
      </c>
      <c r="D235" t="inlineStr">
        <is>
          <t>S0031</t>
        </is>
      </c>
      <c r="E235" t="inlineStr">
        <is>
          <t>FP</t>
        </is>
      </c>
      <c r="F235" t="n">
        <v>147</v>
      </c>
      <c r="G235" t="inlineStr">
        <is>
          <t>IN</t>
        </is>
      </c>
      <c r="H235">
        <f>IF(G235="OUT",F235,-F235)</f>
        <v>-147</v>
      </c>
      <c r="I235">
        <f>IF(AND(B235&gt;=DATE(2025,7,1),B235&lt;=DATE(2026,6,30)),1,0)</f>
        <v>1</v>
      </c>
      <c r="J235">
        <f>IF(B235&lt;=DATE(2026,6,30),1,0)</f>
        <v>1</v>
      </c>
      <c r="K235" t="inlineStr"/>
      <c r="L235" t="inlineStr">
        <is>
          <t>Driver</t>
        </is>
      </c>
      <c r="M235">
        <f>COUNTIFS('Asset Log'!$A$5:$A$1379,A235,'Asset Log'!$E$5:$E$1379,E235,'Asset Log'!$G$5:$G$1379,G235)</f>
        <v>1</v>
      </c>
    </row>
    <row r="236">
      <c r="A236" t="inlineStr">
        <is>
          <t>D70291</t>
        </is>
      </c>
      <c r="B236" s="11" t="n">
        <v>45865</v>
      </c>
      <c r="C236" t="inlineStr">
        <is>
          <t>S0031</t>
        </is>
      </c>
      <c r="D236" t="inlineStr">
        <is>
          <t>S0031</t>
        </is>
      </c>
      <c r="E236" t="inlineStr">
        <is>
          <t>FB</t>
        </is>
      </c>
      <c r="F236" t="n">
        <v>161</v>
      </c>
      <c r="G236" t="inlineStr">
        <is>
          <t>IN</t>
        </is>
      </c>
      <c r="H236">
        <f>IF(G236="OUT",F236,-F236)</f>
        <v>-161</v>
      </c>
      <c r="I236">
        <f>IF(AND(B236&gt;=DATE(2025,7,1),B236&lt;=DATE(2026,6,30)),1,0)</f>
        <v>1</v>
      </c>
      <c r="J236">
        <f>IF(B236&lt;=DATE(2026,6,30),1,0)</f>
        <v>1</v>
      </c>
      <c r="K236" t="inlineStr"/>
      <c r="L236" t="inlineStr">
        <is>
          <t>Office</t>
        </is>
      </c>
      <c r="M236">
        <f>COUNTIFS('Asset Log'!$A$5:$A$1379,A236,'Asset Log'!$E$5:$E$1379,E236,'Asset Log'!$G$5:$G$1379,G236)</f>
        <v>1</v>
      </c>
    </row>
    <row r="237">
      <c r="A237" t="inlineStr">
        <is>
          <t>D71644</t>
        </is>
      </c>
      <c r="B237" s="11" t="n">
        <v>45865</v>
      </c>
      <c r="C237" t="inlineStr">
        <is>
          <t>S0172</t>
        </is>
      </c>
      <c r="D237" t="inlineStr">
        <is>
          <t>S0172</t>
        </is>
      </c>
      <c r="E237" t="inlineStr">
        <is>
          <t>FP</t>
        </is>
      </c>
      <c r="F237" t="n">
        <v>23</v>
      </c>
      <c r="G237" t="inlineStr">
        <is>
          <t>OUT</t>
        </is>
      </c>
      <c r="H237">
        <f>IF(G237="OUT",F237,-F237)</f>
        <v>23</v>
      </c>
      <c r="I237">
        <f>IF(AND(B237&gt;=DATE(2025,7,1),B237&lt;=DATE(2026,6,30)),1,0)</f>
        <v>1</v>
      </c>
      <c r="J237">
        <f>IF(B237&lt;=DATE(2026,6,30),1,0)</f>
        <v>1</v>
      </c>
      <c r="K237" t="inlineStr"/>
      <c r="L237" t="inlineStr">
        <is>
          <t>Office</t>
        </is>
      </c>
      <c r="M237">
        <f>COUNTIFS('Asset Log'!$A$5:$A$1379,A237,'Asset Log'!$E$5:$E$1379,E237,'Asset Log'!$G$5:$G$1379,G237)</f>
        <v>1</v>
      </c>
    </row>
    <row r="238">
      <c r="A238" t="inlineStr">
        <is>
          <t>D71647</t>
        </is>
      </c>
      <c r="B238" s="11" t="n">
        <v>45865</v>
      </c>
      <c r="C238" t="inlineStr">
        <is>
          <t>S0172</t>
        </is>
      </c>
      <c r="D238" t="inlineStr">
        <is>
          <t>S0172</t>
        </is>
      </c>
      <c r="E238" t="inlineStr">
        <is>
          <t>FB</t>
        </is>
      </c>
      <c r="F238" t="n">
        <v>25</v>
      </c>
      <c r="G238" t="inlineStr">
        <is>
          <t>OUT</t>
        </is>
      </c>
      <c r="H238">
        <f>IF(G238="OUT",F238,-F238)</f>
        <v>25</v>
      </c>
      <c r="I238">
        <f>IF(AND(B238&gt;=DATE(2025,7,1),B238&lt;=DATE(2026,6,30)),1,0)</f>
        <v>1</v>
      </c>
      <c r="J238">
        <f>IF(B238&lt;=DATE(2026,6,30),1,0)</f>
        <v>1</v>
      </c>
      <c r="K238" t="inlineStr"/>
      <c r="L238" t="inlineStr">
        <is>
          <t>Office</t>
        </is>
      </c>
      <c r="M238">
        <f>COUNTIFS('Asset Log'!$A$5:$A$1379,A238,'Asset Log'!$E$5:$E$1379,E238,'Asset Log'!$G$5:$G$1379,G238)</f>
        <v>1</v>
      </c>
    </row>
    <row r="239">
      <c r="A239" t="inlineStr">
        <is>
          <t>D70636</t>
        </is>
      </c>
      <c r="B239" s="11" t="n">
        <v>45867</v>
      </c>
      <c r="C239" t="inlineStr">
        <is>
          <t>S0068</t>
        </is>
      </c>
      <c r="D239" t="inlineStr">
        <is>
          <t>S0068</t>
        </is>
      </c>
      <c r="E239" t="inlineStr">
        <is>
          <t>FP</t>
        </is>
      </c>
      <c r="F239" t="n">
        <v>38</v>
      </c>
      <c r="G239" t="inlineStr">
        <is>
          <t>OUT</t>
        </is>
      </c>
      <c r="H239">
        <f>IF(G239="OUT",F239,-F239)</f>
        <v>38</v>
      </c>
      <c r="I239">
        <f>IF(AND(B239&gt;=DATE(2025,7,1),B239&lt;=DATE(2026,6,30)),1,0)</f>
        <v>1</v>
      </c>
      <c r="J239">
        <f>IF(B239&lt;=DATE(2026,6,30),1,0)</f>
        <v>1</v>
      </c>
      <c r="K239" t="inlineStr"/>
      <c r="L239" t="inlineStr">
        <is>
          <t>Yard</t>
        </is>
      </c>
      <c r="M239">
        <f>COUNTIFS('Asset Log'!$A$5:$A$1379,A239,'Asset Log'!$E$5:$E$1379,E239,'Asset Log'!$G$5:$G$1379,G239)</f>
        <v>1</v>
      </c>
    </row>
    <row r="240">
      <c r="A240" t="inlineStr">
        <is>
          <t>D70638</t>
        </is>
      </c>
      <c r="B240" s="11" t="n">
        <v>45867</v>
      </c>
      <c r="C240" t="inlineStr">
        <is>
          <t>S0068</t>
        </is>
      </c>
      <c r="D240" t="inlineStr">
        <is>
          <t>S0068</t>
        </is>
      </c>
      <c r="E240" t="inlineStr">
        <is>
          <t>FB</t>
        </is>
      </c>
      <c r="F240" t="n">
        <v>41</v>
      </c>
      <c r="G240" t="inlineStr">
        <is>
          <t>OUT</t>
        </is>
      </c>
      <c r="H240">
        <f>IF(G240="OUT",F240,-F240)</f>
        <v>41</v>
      </c>
      <c r="I240">
        <f>IF(AND(B240&gt;=DATE(2025,7,1),B240&lt;=DATE(2026,6,30)),1,0)</f>
        <v>1</v>
      </c>
      <c r="J240">
        <f>IF(B240&lt;=DATE(2026,6,30),1,0)</f>
        <v>1</v>
      </c>
      <c r="K240" t="inlineStr"/>
      <c r="L240" t="inlineStr">
        <is>
          <t>Office</t>
        </is>
      </c>
      <c r="M240">
        <f>COUNTIFS('Asset Log'!$A$5:$A$1379,A240,'Asset Log'!$E$5:$E$1379,E240,'Asset Log'!$G$5:$G$1379,G240)</f>
        <v>1</v>
      </c>
    </row>
    <row r="241">
      <c r="A241" t="inlineStr">
        <is>
          <t>D71753</t>
        </is>
      </c>
      <c r="B241" s="11" t="n">
        <v>45867</v>
      </c>
      <c r="C241" t="inlineStr">
        <is>
          <t>S0185</t>
        </is>
      </c>
      <c r="D241" t="inlineStr">
        <is>
          <t>S0185</t>
        </is>
      </c>
      <c r="E241" t="inlineStr">
        <is>
          <t>FP</t>
        </is>
      </c>
      <c r="F241" t="n">
        <v>54</v>
      </c>
      <c r="G241" t="inlineStr">
        <is>
          <t>OUT</t>
        </is>
      </c>
      <c r="H241">
        <f>IF(G241="OUT",F241,-F241)</f>
        <v>54</v>
      </c>
      <c r="I241">
        <f>IF(AND(B241&gt;=DATE(2025,7,1),B241&lt;=DATE(2026,6,30)),1,0)</f>
        <v>1</v>
      </c>
      <c r="J241">
        <f>IF(B241&lt;=DATE(2026,6,30),1,0)</f>
        <v>1</v>
      </c>
      <c r="K241" t="inlineStr"/>
      <c r="L241" t="inlineStr">
        <is>
          <t>Office</t>
        </is>
      </c>
      <c r="M241">
        <f>COUNTIFS('Asset Log'!$A$5:$A$1379,A241,'Asset Log'!$E$5:$E$1379,E241,'Asset Log'!$G$5:$G$1379,G241)</f>
        <v>1</v>
      </c>
    </row>
    <row r="242">
      <c r="A242" t="inlineStr">
        <is>
          <t>D71759</t>
        </is>
      </c>
      <c r="B242" s="11" t="n">
        <v>45867</v>
      </c>
      <c r="C242" t="inlineStr">
        <is>
          <t>S0185</t>
        </is>
      </c>
      <c r="D242" t="inlineStr">
        <is>
          <t>S0185</t>
        </is>
      </c>
      <c r="E242" t="inlineStr">
        <is>
          <t>FB</t>
        </is>
      </c>
      <c r="F242" t="n">
        <v>59</v>
      </c>
      <c r="G242" t="inlineStr">
        <is>
          <t>OUT</t>
        </is>
      </c>
      <c r="H242">
        <f>IF(G242="OUT",F242,-F242)</f>
        <v>59</v>
      </c>
      <c r="I242">
        <f>IF(AND(B242&gt;=DATE(2025,7,1),B242&lt;=DATE(2026,6,30)),1,0)</f>
        <v>1</v>
      </c>
      <c r="J242">
        <f>IF(B242&lt;=DATE(2026,6,30),1,0)</f>
        <v>1</v>
      </c>
      <c r="K242" t="inlineStr"/>
      <c r="L242" t="inlineStr">
        <is>
          <t>Driver</t>
        </is>
      </c>
      <c r="M242">
        <f>COUNTIFS('Asset Log'!$A$5:$A$1379,A242,'Asset Log'!$E$5:$E$1379,E242,'Asset Log'!$G$5:$G$1379,G242)</f>
        <v>1</v>
      </c>
    </row>
    <row r="243">
      <c r="A243" t="inlineStr">
        <is>
          <t>D71300</t>
        </is>
      </c>
      <c r="B243" s="11" t="n">
        <v>45869</v>
      </c>
      <c r="C243" t="inlineStr">
        <is>
          <t>S0137</t>
        </is>
      </c>
      <c r="D243" t="inlineStr">
        <is>
          <t>S0137</t>
        </is>
      </c>
      <c r="E243" t="inlineStr">
        <is>
          <t>FP</t>
        </is>
      </c>
      <c r="F243" t="n">
        <v>84</v>
      </c>
      <c r="G243" t="inlineStr">
        <is>
          <t>IN</t>
        </is>
      </c>
      <c r="H243">
        <f>IF(G243="OUT",F243,-F243)</f>
        <v>-84</v>
      </c>
      <c r="I243">
        <f>IF(AND(B243&gt;=DATE(2025,7,1),B243&lt;=DATE(2026,6,30)),1,0)</f>
        <v>1</v>
      </c>
      <c r="J243">
        <f>IF(B243&lt;=DATE(2026,6,30),1,0)</f>
        <v>1</v>
      </c>
      <c r="K243" t="inlineStr"/>
      <c r="L243" t="inlineStr">
        <is>
          <t>Yard</t>
        </is>
      </c>
      <c r="M243">
        <f>COUNTIFS('Asset Log'!$A$5:$A$1379,A243,'Asset Log'!$E$5:$E$1379,E243,'Asset Log'!$G$5:$G$1379,G243)</f>
        <v>1</v>
      </c>
    </row>
    <row r="244">
      <c r="A244" t="inlineStr">
        <is>
          <t>D71307</t>
        </is>
      </c>
      <c r="B244" s="11" t="n">
        <v>45869</v>
      </c>
      <c r="C244" t="inlineStr">
        <is>
          <t>S0137</t>
        </is>
      </c>
      <c r="D244" t="inlineStr">
        <is>
          <t>S0137</t>
        </is>
      </c>
      <c r="E244" t="inlineStr">
        <is>
          <t>FB</t>
        </is>
      </c>
      <c r="F244" t="n">
        <v>90</v>
      </c>
      <c r="G244" t="inlineStr">
        <is>
          <t>IN</t>
        </is>
      </c>
      <c r="H244">
        <f>IF(G244="OUT",F244,-F244)</f>
        <v>-90</v>
      </c>
      <c r="I244">
        <f>IF(AND(B244&gt;=DATE(2025,7,1),B244&lt;=DATE(2026,6,30)),1,0)</f>
        <v>1</v>
      </c>
      <c r="J244">
        <f>IF(B244&lt;=DATE(2026,6,30),1,0)</f>
        <v>1</v>
      </c>
      <c r="K244" t="inlineStr"/>
      <c r="L244" t="inlineStr">
        <is>
          <t>Office</t>
        </is>
      </c>
      <c r="M244">
        <f>COUNTIFS('Asset Log'!$A$5:$A$1379,A244,'Asset Log'!$E$5:$E$1379,E244,'Asset Log'!$G$5:$G$1379,G244)</f>
        <v>1</v>
      </c>
    </row>
    <row r="245">
      <c r="A245" t="inlineStr">
        <is>
          <t>D72529</t>
        </is>
      </c>
      <c r="B245" s="11" t="n">
        <v>45870</v>
      </c>
      <c r="C245" t="inlineStr">
        <is>
          <t>S0347</t>
        </is>
      </c>
      <c r="D245" t="inlineStr">
        <is>
          <t>S0347</t>
        </is>
      </c>
      <c r="E245" t="inlineStr">
        <is>
          <t>TK</t>
        </is>
      </c>
      <c r="F245" t="n">
        <v>1</v>
      </c>
      <c r="G245" t="inlineStr">
        <is>
          <t>OUT</t>
        </is>
      </c>
      <c r="H245">
        <f>IF(G245="OUT",F245,-F245)</f>
        <v>1</v>
      </c>
      <c r="I245">
        <f>IF(AND(B245&gt;=DATE(2025,7,1),B245&lt;=DATE(2026,6,30)),1,0)</f>
        <v>1</v>
      </c>
      <c r="J245">
        <f>IF(B245&lt;=DATE(2026,6,30),1,0)</f>
        <v>1</v>
      </c>
      <c r="K245" t="inlineStr"/>
      <c r="L245" t="inlineStr">
        <is>
          <t>Driver</t>
        </is>
      </c>
      <c r="M245">
        <f>COUNTIFS('Asset Log'!$A$5:$A$1379,A245,'Asset Log'!$E$5:$E$1379,E245,'Asset Log'!$G$5:$G$1379,G245)</f>
        <v>1</v>
      </c>
    </row>
    <row r="246">
      <c r="A246" t="inlineStr">
        <is>
          <t>D70764</t>
        </is>
      </c>
      <c r="B246" s="11" t="n">
        <v>45871</v>
      </c>
      <c r="C246" t="inlineStr">
        <is>
          <t>S0018</t>
        </is>
      </c>
      <c r="D246" t="inlineStr">
        <is>
          <t>S0081</t>
        </is>
      </c>
      <c r="E246" t="inlineStr">
        <is>
          <t>FP</t>
        </is>
      </c>
      <c r="F246" t="n">
        <v>115</v>
      </c>
      <c r="G246" t="inlineStr">
        <is>
          <t>IN</t>
        </is>
      </c>
      <c r="H246">
        <f>IF(G246="OUT",F246,-F246)</f>
        <v>-115</v>
      </c>
      <c r="I246">
        <f>IF(AND(B246&gt;=DATE(2025,7,1),B246&lt;=DATE(2026,6,30)),1,0)</f>
        <v>1</v>
      </c>
      <c r="J246">
        <f>IF(B246&lt;=DATE(2026,6,30),1,0)</f>
        <v>1</v>
      </c>
      <c r="K246" t="inlineStr">
        <is>
          <t>Site corrected from S0018 (return written against the wrong site)</t>
        </is>
      </c>
      <c r="L246" t="inlineStr">
        <is>
          <t>Driver</t>
        </is>
      </c>
      <c r="M246">
        <f>COUNTIFS('Asset Log'!$A$5:$A$1379,A246,'Asset Log'!$E$5:$E$1379,E246,'Asset Log'!$G$5:$G$1379,G246)</f>
        <v>1</v>
      </c>
    </row>
    <row r="247">
      <c r="A247" t="inlineStr">
        <is>
          <t>D70768</t>
        </is>
      </c>
      <c r="B247" s="11" t="n">
        <v>45871</v>
      </c>
      <c r="C247" t="inlineStr">
        <is>
          <t>S0081</t>
        </is>
      </c>
      <c r="D247" t="inlineStr">
        <is>
          <t>S0081</t>
        </is>
      </c>
      <c r="E247" t="inlineStr">
        <is>
          <t>FB</t>
        </is>
      </c>
      <c r="F247" t="n">
        <v>126</v>
      </c>
      <c r="G247" t="inlineStr">
        <is>
          <t>IN</t>
        </is>
      </c>
      <c r="H247">
        <f>IF(G247="OUT",F247,-F247)</f>
        <v>-126</v>
      </c>
      <c r="I247">
        <f>IF(AND(B247&gt;=DATE(2025,7,1),B247&lt;=DATE(2026,6,30)),1,0)</f>
        <v>1</v>
      </c>
      <c r="J247">
        <f>IF(B247&lt;=DATE(2026,6,30),1,0)</f>
        <v>1</v>
      </c>
      <c r="K247" t="inlineStr"/>
      <c r="L247" t="inlineStr">
        <is>
          <t>Office</t>
        </is>
      </c>
      <c r="M247">
        <f>COUNTIFS('Asset Log'!$A$5:$A$1379,A247,'Asset Log'!$E$5:$E$1379,E247,'Asset Log'!$G$5:$G$1379,G247)</f>
        <v>1</v>
      </c>
    </row>
    <row r="248">
      <c r="A248" t="inlineStr">
        <is>
          <t>D71569</t>
        </is>
      </c>
      <c r="B248" s="11" t="n">
        <v>45872</v>
      </c>
      <c r="C248" t="inlineStr">
        <is>
          <t>s163</t>
        </is>
      </c>
      <c r="D248" t="inlineStr">
        <is>
          <t>S0163</t>
        </is>
      </c>
      <c r="E248" t="inlineStr">
        <is>
          <t>FP</t>
        </is>
      </c>
      <c r="F248" t="n">
        <v>130</v>
      </c>
      <c r="G248" t="inlineStr">
        <is>
          <t>OUT</t>
        </is>
      </c>
      <c r="H248">
        <f>IF(G248="OUT",F248,-F248)</f>
        <v>130</v>
      </c>
      <c r="I248">
        <f>IF(AND(B248&gt;=DATE(2025,7,1),B248&lt;=DATE(2026,6,30)),1,0)</f>
        <v>1</v>
      </c>
      <c r="J248">
        <f>IF(B248&lt;=DATE(2026,6,30),1,0)</f>
        <v>1</v>
      </c>
      <c r="K248" t="inlineStr">
        <is>
          <t>Site text normalised</t>
        </is>
      </c>
      <c r="L248" t="inlineStr">
        <is>
          <t>Office</t>
        </is>
      </c>
      <c r="M248">
        <f>COUNTIFS('Asset Log'!$A$5:$A$1379,A248,'Asset Log'!$E$5:$E$1379,E248,'Asset Log'!$G$5:$G$1379,G248)</f>
        <v>1</v>
      </c>
    </row>
    <row r="249">
      <c r="A249" t="inlineStr">
        <is>
          <t>D71572</t>
        </is>
      </c>
      <c r="B249" s="11" t="n">
        <v>45872</v>
      </c>
      <c r="C249" t="inlineStr">
        <is>
          <t>S0163 Moorabbin</t>
        </is>
      </c>
      <c r="D249" t="inlineStr">
        <is>
          <t>S0163</t>
        </is>
      </c>
      <c r="E249" t="inlineStr">
        <is>
          <t>FB</t>
        </is>
      </c>
      <c r="F249" t="n">
        <v>143</v>
      </c>
      <c r="G249" t="inlineStr">
        <is>
          <t>OUT</t>
        </is>
      </c>
      <c r="H249">
        <f>IF(G249="OUT",F249,-F249)</f>
        <v>143</v>
      </c>
      <c r="I249">
        <f>IF(AND(B249&gt;=DATE(2025,7,1),B249&lt;=DATE(2026,6,30)),1,0)</f>
        <v>1</v>
      </c>
      <c r="J249">
        <f>IF(B249&lt;=DATE(2026,6,30),1,0)</f>
        <v>1</v>
      </c>
      <c r="K249" t="inlineStr">
        <is>
          <t>Site text normalised</t>
        </is>
      </c>
      <c r="L249" t="inlineStr">
        <is>
          <t>Office</t>
        </is>
      </c>
      <c r="M249">
        <f>COUNTIFS('Asset Log'!$A$5:$A$1379,A249,'Asset Log'!$E$5:$E$1379,E249,'Asset Log'!$G$5:$G$1379,G249)</f>
        <v>1</v>
      </c>
    </row>
    <row r="250">
      <c r="A250" t="inlineStr">
        <is>
          <t>D72799</t>
        </is>
      </c>
      <c r="B250" s="11" t="n">
        <v>45874</v>
      </c>
      <c r="C250" t="inlineStr">
        <is>
          <t>S0519</t>
        </is>
      </c>
      <c r="D250" t="inlineStr">
        <is>
          <t>S0519</t>
        </is>
      </c>
      <c r="E250" t="inlineStr">
        <is>
          <t>TK</t>
        </is>
      </c>
      <c r="F250" t="n">
        <v>3</v>
      </c>
      <c r="G250" t="inlineStr">
        <is>
          <t>OUT</t>
        </is>
      </c>
      <c r="H250">
        <f>IF(G250="OUT",F250,-F250)</f>
        <v>3</v>
      </c>
      <c r="I250">
        <f>IF(AND(B250&gt;=DATE(2025,7,1),B250&lt;=DATE(2026,6,30)),1,0)</f>
        <v>1</v>
      </c>
      <c r="J250">
        <f>IF(B250&lt;=DATE(2026,6,30),1,0)</f>
        <v>1</v>
      </c>
      <c r="K250" t="inlineStr"/>
      <c r="L250" t="inlineStr">
        <is>
          <t>Office</t>
        </is>
      </c>
      <c r="M250">
        <f>COUNTIFS('Asset Log'!$A$5:$A$1379,A250,'Asset Log'!$E$5:$E$1379,E250,'Asset Log'!$G$5:$G$1379,G250)</f>
        <v>1</v>
      </c>
    </row>
    <row r="251">
      <c r="A251" t="inlineStr">
        <is>
          <t>D70495</t>
        </is>
      </c>
      <c r="B251" s="11" t="n">
        <v>45875</v>
      </c>
      <c r="C251" t="inlineStr">
        <is>
          <t>S0054</t>
        </is>
      </c>
      <c r="D251" t="inlineStr">
        <is>
          <t>S0054</t>
        </is>
      </c>
      <c r="E251" t="inlineStr">
        <is>
          <t>FP</t>
        </is>
      </c>
      <c r="F251" t="n">
        <v>28</v>
      </c>
      <c r="G251" t="inlineStr">
        <is>
          <t>OUT</t>
        </is>
      </c>
      <c r="H251">
        <f>IF(G251="OUT",F251,-F251)</f>
        <v>28</v>
      </c>
      <c r="I251">
        <f>IF(AND(B251&gt;=DATE(2025,7,1),B251&lt;=DATE(2026,6,30)),1,0)</f>
        <v>1</v>
      </c>
      <c r="J251">
        <f>IF(B251&lt;=DATE(2026,6,30),1,0)</f>
        <v>1</v>
      </c>
      <c r="K251" t="inlineStr"/>
      <c r="L251" t="inlineStr">
        <is>
          <t>Office</t>
        </is>
      </c>
      <c r="M251">
        <f>COUNTIFS('Asset Log'!$A$5:$A$1379,A251,'Asset Log'!$E$5:$E$1379,E251,'Asset Log'!$G$5:$G$1379,G251)</f>
        <v>1</v>
      </c>
    </row>
    <row r="252">
      <c r="A252" t="inlineStr">
        <is>
          <t>D70499</t>
        </is>
      </c>
      <c r="B252" s="11" t="n">
        <v>45875</v>
      </c>
      <c r="C252" t="inlineStr">
        <is>
          <t>S0054</t>
        </is>
      </c>
      <c r="D252" t="inlineStr">
        <is>
          <t>S0054</t>
        </is>
      </c>
      <c r="E252" t="inlineStr">
        <is>
          <t>FB</t>
        </is>
      </c>
      <c r="F252" t="n">
        <v>30</v>
      </c>
      <c r="G252" t="inlineStr">
        <is>
          <t>OUT</t>
        </is>
      </c>
      <c r="H252">
        <f>IF(G252="OUT",F252,-F252)</f>
        <v>30</v>
      </c>
      <c r="I252">
        <f>IF(AND(B252&gt;=DATE(2025,7,1),B252&lt;=DATE(2026,6,30)),1,0)</f>
        <v>1</v>
      </c>
      <c r="J252">
        <f>IF(B252&lt;=DATE(2026,6,30),1,0)</f>
        <v>1</v>
      </c>
      <c r="K252" t="inlineStr"/>
      <c r="L252" t="inlineStr">
        <is>
          <t>Driver</t>
        </is>
      </c>
      <c r="M252">
        <f>COUNTIFS('Asset Log'!$A$5:$A$1379,A252,'Asset Log'!$E$5:$E$1379,E252,'Asset Log'!$G$5:$G$1379,G252)</f>
        <v>1</v>
      </c>
    </row>
    <row r="253">
      <c r="A253" t="inlineStr">
        <is>
          <t>D70504</t>
        </is>
      </c>
      <c r="B253" s="11" t="n">
        <v>45875</v>
      </c>
      <c r="C253" t="inlineStr">
        <is>
          <t>S0054</t>
        </is>
      </c>
      <c r="D253" t="inlineStr">
        <is>
          <t>S0054</t>
        </is>
      </c>
      <c r="E253" t="inlineStr">
        <is>
          <t>BR</t>
        </is>
      </c>
      <c r="F253" t="n">
        <v>23</v>
      </c>
      <c r="G253" t="inlineStr">
        <is>
          <t>OUT</t>
        </is>
      </c>
      <c r="H253">
        <f>IF(G253="OUT",F253,-F253)</f>
        <v>23</v>
      </c>
      <c r="I253">
        <f>IF(AND(B253&gt;=DATE(2025,7,1),B253&lt;=DATE(2026,6,30)),1,0)</f>
        <v>1</v>
      </c>
      <c r="J253">
        <f>IF(B253&lt;=DATE(2026,6,30),1,0)</f>
        <v>1</v>
      </c>
      <c r="K253" t="inlineStr"/>
      <c r="L253" t="inlineStr">
        <is>
          <t>Office</t>
        </is>
      </c>
      <c r="M253">
        <f>COUNTIFS('Asset Log'!$A$5:$A$1379,A253,'Asset Log'!$E$5:$E$1379,E253,'Asset Log'!$G$5:$G$1379,G253)</f>
        <v>1</v>
      </c>
    </row>
    <row r="254">
      <c r="A254" t="inlineStr">
        <is>
          <t>D72578</t>
        </is>
      </c>
      <c r="B254" s="11" t="n">
        <v>45876</v>
      </c>
      <c r="C254" t="inlineStr">
        <is>
          <t>S0383</t>
        </is>
      </c>
      <c r="D254" t="inlineStr">
        <is>
          <t>S0383</t>
        </is>
      </c>
      <c r="E254" t="inlineStr">
        <is>
          <t>TK</t>
        </is>
      </c>
      <c r="F254" t="n">
        <v>1</v>
      </c>
      <c r="G254" t="inlineStr">
        <is>
          <t>OUT</t>
        </is>
      </c>
      <c r="H254">
        <f>IF(G254="OUT",F254,-F254)</f>
        <v>1</v>
      </c>
      <c r="I254">
        <f>IF(AND(B254&gt;=DATE(2025,7,1),B254&lt;=DATE(2026,6,30)),1,0)</f>
        <v>1</v>
      </c>
      <c r="J254">
        <f>IF(B254&lt;=DATE(2026,6,30),1,0)</f>
        <v>1</v>
      </c>
      <c r="K254" t="inlineStr"/>
      <c r="L254" t="inlineStr">
        <is>
          <t>Office</t>
        </is>
      </c>
      <c r="M254">
        <f>COUNTIFS('Asset Log'!$A$5:$A$1379,A254,'Asset Log'!$E$5:$E$1379,E254,'Asset Log'!$G$5:$G$1379,G254)</f>
        <v>1</v>
      </c>
    </row>
    <row r="255">
      <c r="A255" t="inlineStr">
        <is>
          <t>D72750</t>
        </is>
      </c>
      <c r="B255" s="11" t="n">
        <v>45876</v>
      </c>
      <c r="C255" t="inlineStr">
        <is>
          <t>S0491</t>
        </is>
      </c>
      <c r="D255" t="inlineStr">
        <is>
          <t>S0491</t>
        </is>
      </c>
      <c r="E255" t="inlineStr">
        <is>
          <t>TK</t>
        </is>
      </c>
      <c r="F255" t="n">
        <v>2</v>
      </c>
      <c r="G255" t="inlineStr">
        <is>
          <t>OUT</t>
        </is>
      </c>
      <c r="H255">
        <f>IF(G255="OUT",F255,-F255)</f>
        <v>2</v>
      </c>
      <c r="I255">
        <f>IF(AND(B255&gt;=DATE(2025,7,1),B255&lt;=DATE(2026,6,30)),1,0)</f>
        <v>1</v>
      </c>
      <c r="J255">
        <f>IF(B255&lt;=DATE(2026,6,30),1,0)</f>
        <v>1</v>
      </c>
      <c r="K255" t="inlineStr"/>
      <c r="L255" t="inlineStr">
        <is>
          <t>Driver</t>
        </is>
      </c>
      <c r="M255">
        <f>COUNTIFS('Asset Log'!$A$5:$A$1379,A255,'Asset Log'!$E$5:$E$1379,E255,'Asset Log'!$G$5:$G$1379,G255)</f>
        <v>1</v>
      </c>
    </row>
    <row r="256">
      <c r="A256" t="inlineStr">
        <is>
          <t>D71183</t>
        </is>
      </c>
      <c r="B256" s="11" t="n">
        <v>45877</v>
      </c>
      <c r="C256" t="inlineStr">
        <is>
          <t>S0124</t>
        </is>
      </c>
      <c r="D256" t="inlineStr">
        <is>
          <t>S0124</t>
        </is>
      </c>
      <c r="E256" t="inlineStr">
        <is>
          <t>FP</t>
        </is>
      </c>
      <c r="F256" t="n">
        <v>138</v>
      </c>
      <c r="G256" t="inlineStr">
        <is>
          <t>OUT</t>
        </is>
      </c>
      <c r="H256">
        <f>IF(G256="OUT",F256,-F256)</f>
        <v>138</v>
      </c>
      <c r="I256">
        <f>IF(AND(B256&gt;=DATE(2025,7,1),B256&lt;=DATE(2026,6,30)),1,0)</f>
        <v>1</v>
      </c>
      <c r="J256">
        <f>IF(B256&lt;=DATE(2026,6,30),1,0)</f>
        <v>1</v>
      </c>
      <c r="K256" t="inlineStr"/>
      <c r="L256" t="inlineStr">
        <is>
          <t>Yard</t>
        </is>
      </c>
      <c r="M256">
        <f>COUNTIFS('Asset Log'!$A$5:$A$1379,A256,'Asset Log'!$E$5:$E$1379,E256,'Asset Log'!$G$5:$G$1379,G256)</f>
        <v>1</v>
      </c>
    </row>
    <row r="257">
      <c r="A257" t="inlineStr">
        <is>
          <t>D71187</t>
        </is>
      </c>
      <c r="B257" s="11" t="n">
        <v>45877</v>
      </c>
      <c r="C257" t="inlineStr">
        <is>
          <t>S0124</t>
        </is>
      </c>
      <c r="D257" t="inlineStr">
        <is>
          <t>S0124</t>
        </is>
      </c>
      <c r="E257" t="inlineStr">
        <is>
          <t>FB</t>
        </is>
      </c>
      <c r="F257" t="n">
        <v>151</v>
      </c>
      <c r="G257" t="inlineStr">
        <is>
          <t>OUT</t>
        </is>
      </c>
      <c r="H257">
        <f>IF(G257="OUT",F257,-F257)</f>
        <v>151</v>
      </c>
      <c r="I257">
        <f>IF(AND(B257&gt;=DATE(2025,7,1),B257&lt;=DATE(2026,6,30)),1,0)</f>
        <v>1</v>
      </c>
      <c r="J257">
        <f>IF(B257&lt;=DATE(2026,6,30),1,0)</f>
        <v>1</v>
      </c>
      <c r="K257" t="inlineStr"/>
      <c r="L257" t="inlineStr">
        <is>
          <t>Yard</t>
        </is>
      </c>
      <c r="M257">
        <f>COUNTIFS('Asset Log'!$A$5:$A$1379,A257,'Asset Log'!$E$5:$E$1379,E257,'Asset Log'!$G$5:$G$1379,G257)</f>
        <v>1</v>
      </c>
    </row>
    <row r="258">
      <c r="A258" t="inlineStr">
        <is>
          <t>D71194</t>
        </is>
      </c>
      <c r="B258" s="11" t="n">
        <v>45877</v>
      </c>
      <c r="C258" t="inlineStr">
        <is>
          <t>S0124</t>
        </is>
      </c>
      <c r="D258" t="inlineStr">
        <is>
          <t>S0124</t>
        </is>
      </c>
      <c r="E258" t="inlineStr">
        <is>
          <t>BR</t>
        </is>
      </c>
      <c r="F258" t="n">
        <v>4</v>
      </c>
      <c r="G258" t="inlineStr">
        <is>
          <t>OUT</t>
        </is>
      </c>
      <c r="H258">
        <f>IF(G258="OUT",F258,-F258)</f>
        <v>4</v>
      </c>
      <c r="I258">
        <f>IF(AND(B258&gt;=DATE(2025,7,1),B258&lt;=DATE(2026,6,30)),1,0)</f>
        <v>1</v>
      </c>
      <c r="J258">
        <f>IF(B258&lt;=DATE(2026,6,30),1,0)</f>
        <v>1</v>
      </c>
      <c r="K258" t="inlineStr"/>
      <c r="L258" t="inlineStr">
        <is>
          <t>Driver</t>
        </is>
      </c>
      <c r="M258">
        <f>COUNTIFS('Asset Log'!$A$5:$A$1379,A258,'Asset Log'!$E$5:$E$1379,E258,'Asset Log'!$G$5:$G$1379,G258)</f>
        <v>1</v>
      </c>
    </row>
    <row r="259">
      <c r="A259" t="inlineStr">
        <is>
          <t>D72143</t>
        </is>
      </c>
      <c r="B259" s="11" t="n">
        <v>45877</v>
      </c>
      <c r="C259" t="inlineStr">
        <is>
          <t>S0227</t>
        </is>
      </c>
      <c r="D259" t="inlineStr">
        <is>
          <t>S0227</t>
        </is>
      </c>
      <c r="E259" t="inlineStr">
        <is>
          <t>FP</t>
        </is>
      </c>
      <c r="F259" t="n">
        <v>62</v>
      </c>
      <c r="G259" t="inlineStr">
        <is>
          <t>IN</t>
        </is>
      </c>
      <c r="H259">
        <f>IF(G259="OUT",F259,-F259)</f>
        <v>-62</v>
      </c>
      <c r="I259">
        <f>IF(AND(B259&gt;=DATE(2025,7,1),B259&lt;=DATE(2026,6,30)),1,0)</f>
        <v>1</v>
      </c>
      <c r="J259">
        <f>IF(B259&lt;=DATE(2026,6,30),1,0)</f>
        <v>1</v>
      </c>
      <c r="K259" t="inlineStr"/>
      <c r="L259" t="inlineStr">
        <is>
          <t>Office</t>
        </is>
      </c>
      <c r="M259">
        <f>COUNTIFS('Asset Log'!$A$5:$A$1379,A259,'Asset Log'!$E$5:$E$1379,E259,'Asset Log'!$G$5:$G$1379,G259)</f>
        <v>1</v>
      </c>
    </row>
    <row r="260">
      <c r="A260" t="inlineStr">
        <is>
          <t>D72148</t>
        </is>
      </c>
      <c r="B260" s="11" t="n">
        <v>45877</v>
      </c>
      <c r="C260" t="inlineStr">
        <is>
          <t>S0227</t>
        </is>
      </c>
      <c r="D260" t="inlineStr">
        <is>
          <t>S0227</t>
        </is>
      </c>
      <c r="E260" t="inlineStr">
        <is>
          <t>FB</t>
        </is>
      </c>
      <c r="F260" t="n">
        <v>68</v>
      </c>
      <c r="G260" t="inlineStr">
        <is>
          <t>IN</t>
        </is>
      </c>
      <c r="H260">
        <f>IF(G260="OUT",F260,-F260)</f>
        <v>-68</v>
      </c>
      <c r="I260">
        <f>IF(AND(B260&gt;=DATE(2025,7,1),B260&lt;=DATE(2026,6,30)),1,0)</f>
        <v>1</v>
      </c>
      <c r="J260">
        <f>IF(B260&lt;=DATE(2026,6,30),1,0)</f>
        <v>1</v>
      </c>
      <c r="K260" t="inlineStr"/>
      <c r="L260" t="inlineStr">
        <is>
          <t>Office</t>
        </is>
      </c>
      <c r="M260">
        <f>COUNTIFS('Asset Log'!$A$5:$A$1379,A260,'Asset Log'!$E$5:$E$1379,E260,'Asset Log'!$G$5:$G$1379,G260)</f>
        <v>1</v>
      </c>
    </row>
    <row r="261">
      <c r="A261" t="inlineStr">
        <is>
          <t>D71476</t>
        </is>
      </c>
      <c r="B261" s="11" t="n">
        <v>45878</v>
      </c>
      <c r="C261" t="inlineStr">
        <is>
          <t>s154</t>
        </is>
      </c>
      <c r="D261" t="inlineStr">
        <is>
          <t>S0154</t>
        </is>
      </c>
      <c r="E261" t="inlineStr">
        <is>
          <t>FP</t>
        </is>
      </c>
      <c r="F261" t="n">
        <v>34</v>
      </c>
      <c r="G261" t="inlineStr">
        <is>
          <t>IN</t>
        </is>
      </c>
      <c r="H261">
        <f>IF(G261="OUT",F261,-F261)</f>
        <v>-34</v>
      </c>
      <c r="I261">
        <f>IF(AND(B261&gt;=DATE(2025,7,1),B261&lt;=DATE(2026,6,30)),1,0)</f>
        <v>1</v>
      </c>
      <c r="J261">
        <f>IF(B261&lt;=DATE(2026,6,30),1,0)</f>
        <v>1</v>
      </c>
      <c r="K261" t="inlineStr">
        <is>
          <t>Site text normalised</t>
        </is>
      </c>
      <c r="L261" t="inlineStr">
        <is>
          <t>Driver</t>
        </is>
      </c>
      <c r="M261">
        <f>COUNTIFS('Asset Log'!$A$5:$A$1379,A261,'Asset Log'!$E$5:$E$1379,E261,'Asset Log'!$G$5:$G$1379,G261)</f>
        <v>1</v>
      </c>
    </row>
    <row r="262">
      <c r="A262" t="inlineStr">
        <is>
          <t>D71482</t>
        </is>
      </c>
      <c r="B262" s="11" t="n">
        <v>45878</v>
      </c>
      <c r="C262" t="inlineStr">
        <is>
          <t>S0154</t>
        </is>
      </c>
      <c r="D262" t="inlineStr">
        <is>
          <t>S0154</t>
        </is>
      </c>
      <c r="E262" t="inlineStr">
        <is>
          <t>FB</t>
        </is>
      </c>
      <c r="F262" t="n">
        <v>39</v>
      </c>
      <c r="G262" t="inlineStr">
        <is>
          <t>IN</t>
        </is>
      </c>
      <c r="H262">
        <f>IF(G262="OUT",F262,-F262)</f>
        <v>-39</v>
      </c>
      <c r="I262">
        <f>IF(AND(B262&gt;=DATE(2025,7,1),B262&lt;=DATE(2026,6,30)),1,0)</f>
        <v>1</v>
      </c>
      <c r="J262">
        <f>IF(B262&lt;=DATE(2026,6,30),1,0)</f>
        <v>1</v>
      </c>
      <c r="K262" t="inlineStr"/>
      <c r="L262" t="inlineStr">
        <is>
          <t>Office</t>
        </is>
      </c>
      <c r="M262">
        <f>COUNTIFS('Asset Log'!$A$5:$A$1379,A262,'Asset Log'!$E$5:$E$1379,E262,'Asset Log'!$G$5:$G$1379,G262)</f>
        <v>1</v>
      </c>
    </row>
    <row r="263">
      <c r="A263" t="inlineStr">
        <is>
          <t>D72655</t>
        </is>
      </c>
      <c r="B263" s="11" t="n">
        <v>45878</v>
      </c>
      <c r="C263" t="inlineStr">
        <is>
          <t>S0422</t>
        </is>
      </c>
      <c r="D263" t="inlineStr">
        <is>
          <t>S0422</t>
        </is>
      </c>
      <c r="E263" t="inlineStr">
        <is>
          <t>TK</t>
        </is>
      </c>
      <c r="F263" t="n">
        <v>2</v>
      </c>
      <c r="G263" t="inlineStr">
        <is>
          <t>OUT</t>
        </is>
      </c>
      <c r="H263">
        <f>IF(G263="OUT",F263,-F263)</f>
        <v>2</v>
      </c>
      <c r="I263">
        <f>IF(AND(B263&gt;=DATE(2025,7,1),B263&lt;=DATE(2026,6,30)),1,0)</f>
        <v>1</v>
      </c>
      <c r="J263">
        <f>IF(B263&lt;=DATE(2026,6,30),1,0)</f>
        <v>1</v>
      </c>
      <c r="K263" t="inlineStr"/>
      <c r="L263" t="inlineStr">
        <is>
          <t>Office</t>
        </is>
      </c>
      <c r="M263">
        <f>COUNTIFS('Asset Log'!$A$5:$A$1379,A263,'Asset Log'!$E$5:$E$1379,E263,'Asset Log'!$G$5:$G$1379,G263)</f>
        <v>1</v>
      </c>
    </row>
    <row r="264">
      <c r="A264" t="inlineStr">
        <is>
          <t>D72228</t>
        </is>
      </c>
      <c r="B264" s="11" t="n">
        <v>45879</v>
      </c>
      <c r="C264" t="inlineStr">
        <is>
          <t>S0239</t>
        </is>
      </c>
      <c r="D264" t="inlineStr">
        <is>
          <t>S0239</t>
        </is>
      </c>
      <c r="E264" t="inlineStr">
        <is>
          <t>ST</t>
        </is>
      </c>
      <c r="F264" t="n">
        <v>1</v>
      </c>
      <c r="G264" t="inlineStr">
        <is>
          <t>IN</t>
        </is>
      </c>
      <c r="H264">
        <f>IF(G264="OUT",F264,-F264)</f>
        <v>-1</v>
      </c>
      <c r="I264">
        <f>IF(AND(B264&gt;=DATE(2025,7,1),B264&lt;=DATE(2026,6,30)),1,0)</f>
        <v>1</v>
      </c>
      <c r="J264">
        <f>IF(B264&lt;=DATE(2026,6,30),1,0)</f>
        <v>1</v>
      </c>
      <c r="K264" t="inlineStr"/>
      <c r="L264" t="inlineStr">
        <is>
          <t>Office</t>
        </is>
      </c>
      <c r="M264">
        <f>COUNTIFS('Asset Log'!$A$5:$A$1379,A264,'Asset Log'!$E$5:$E$1379,E264,'Asset Log'!$G$5:$G$1379,G264)</f>
        <v>1</v>
      </c>
    </row>
    <row r="265">
      <c r="A265" t="inlineStr">
        <is>
          <t>D72423</t>
        </is>
      </c>
      <c r="B265" s="11" t="n">
        <v>45879</v>
      </c>
      <c r="C265" t="inlineStr">
        <is>
          <t>S0288</t>
        </is>
      </c>
      <c r="D265" t="inlineStr">
        <is>
          <t>S0288</t>
        </is>
      </c>
      <c r="E265" t="inlineStr">
        <is>
          <t>ST</t>
        </is>
      </c>
      <c r="F265" t="n">
        <v>3</v>
      </c>
      <c r="G265" t="inlineStr">
        <is>
          <t>OUT</t>
        </is>
      </c>
      <c r="H265">
        <f>IF(G265="OUT",F265,-F265)</f>
        <v>3</v>
      </c>
      <c r="I265">
        <f>IF(AND(B265&gt;=DATE(2025,7,1),B265&lt;=DATE(2026,6,30)),1,0)</f>
        <v>1</v>
      </c>
      <c r="J265">
        <f>IF(B265&lt;=DATE(2026,6,30),1,0)</f>
        <v>1</v>
      </c>
      <c r="K265" t="inlineStr"/>
      <c r="L265" t="inlineStr">
        <is>
          <t>Office</t>
        </is>
      </c>
      <c r="M265">
        <f>COUNTIFS('Asset Log'!$A$5:$A$1379,A265,'Asset Log'!$E$5:$E$1379,E265,'Asset Log'!$G$5:$G$1379,G265)</f>
        <v>1</v>
      </c>
    </row>
    <row r="266">
      <c r="A266" t="inlineStr">
        <is>
          <t>D72244</t>
        </is>
      </c>
      <c r="B266" s="11" t="n">
        <v>45880</v>
      </c>
      <c r="C266" t="inlineStr">
        <is>
          <t>S0244</t>
        </is>
      </c>
      <c r="D266" t="inlineStr">
        <is>
          <t>S0244</t>
        </is>
      </c>
      <c r="E266" t="inlineStr">
        <is>
          <t>ST</t>
        </is>
      </c>
      <c r="F266" t="n">
        <v>1</v>
      </c>
      <c r="G266" t="inlineStr">
        <is>
          <t>IN</t>
        </is>
      </c>
      <c r="H266">
        <f>IF(G266="OUT",F266,-F266)</f>
        <v>-1</v>
      </c>
      <c r="I266">
        <f>IF(AND(B266&gt;=DATE(2025,7,1),B266&lt;=DATE(2026,6,30)),1,0)</f>
        <v>1</v>
      </c>
      <c r="J266">
        <f>IF(B266&lt;=DATE(2026,6,30),1,0)</f>
        <v>1</v>
      </c>
      <c r="K266" t="inlineStr"/>
      <c r="L266" t="inlineStr">
        <is>
          <t>Office</t>
        </is>
      </c>
      <c r="M266">
        <f>COUNTIFS('Asset Log'!$A$5:$A$1379,A266,'Asset Log'!$E$5:$E$1379,E266,'Asset Log'!$G$5:$G$1379,G266)</f>
        <v>1</v>
      </c>
    </row>
    <row r="267">
      <c r="A267" t="inlineStr">
        <is>
          <t>D72339</t>
        </is>
      </c>
      <c r="B267" s="11" t="n">
        <v>45880</v>
      </c>
      <c r="C267" t="inlineStr">
        <is>
          <t>S0268</t>
        </is>
      </c>
      <c r="D267" t="inlineStr">
        <is>
          <t>S0268</t>
        </is>
      </c>
      <c r="E267" t="inlineStr">
        <is>
          <t>ST</t>
        </is>
      </c>
      <c r="F267" t="n">
        <v>6</v>
      </c>
      <c r="G267" t="inlineStr">
        <is>
          <t>OUT</t>
        </is>
      </c>
      <c r="H267">
        <f>IF(G267="OUT",F267,-F267)</f>
        <v>6</v>
      </c>
      <c r="I267">
        <f>IF(AND(B267&gt;=DATE(2025,7,1),B267&lt;=DATE(2026,6,30)),1,0)</f>
        <v>1</v>
      </c>
      <c r="J267">
        <f>IF(B267&lt;=DATE(2026,6,30),1,0)</f>
        <v>1</v>
      </c>
      <c r="K267" t="inlineStr"/>
      <c r="L267" t="inlineStr">
        <is>
          <t>Office</t>
        </is>
      </c>
      <c r="M267">
        <f>COUNTIFS('Asset Log'!$A$5:$A$1379,A267,'Asset Log'!$E$5:$E$1379,E267,'Asset Log'!$G$5:$G$1379,G267)</f>
        <v>1</v>
      </c>
    </row>
    <row r="268">
      <c r="A268" t="inlineStr">
        <is>
          <t>D72688</t>
        </is>
      </c>
      <c r="B268" s="11" t="n">
        <v>45882</v>
      </c>
      <c r="C268" t="inlineStr">
        <is>
          <t>S0441</t>
        </is>
      </c>
      <c r="D268" t="inlineStr">
        <is>
          <t>S0441</t>
        </is>
      </c>
      <c r="E268" t="inlineStr">
        <is>
          <t>TK</t>
        </is>
      </c>
      <c r="F268" t="n">
        <v>2</v>
      </c>
      <c r="G268" t="inlineStr">
        <is>
          <t>OUT</t>
        </is>
      </c>
      <c r="H268">
        <f>IF(G268="OUT",F268,-F268)</f>
        <v>2</v>
      </c>
      <c r="I268">
        <f>IF(AND(B268&gt;=DATE(2025,7,1),B268&lt;=DATE(2026,6,30)),1,0)</f>
        <v>1</v>
      </c>
      <c r="J268">
        <f>IF(B268&lt;=DATE(2026,6,30),1,0)</f>
        <v>1</v>
      </c>
      <c r="K268" t="inlineStr"/>
      <c r="L268" t="inlineStr">
        <is>
          <t>Office</t>
        </is>
      </c>
      <c r="M268">
        <f>COUNTIFS('Asset Log'!$A$5:$A$1379,A268,'Asset Log'!$E$5:$E$1379,E268,'Asset Log'!$G$5:$G$1379,G268)</f>
        <v>1</v>
      </c>
    </row>
    <row r="269">
      <c r="A269" t="inlineStr">
        <is>
          <t>D72210</t>
        </is>
      </c>
      <c r="B269" s="11" t="n">
        <v>45883</v>
      </c>
      <c r="C269" t="inlineStr">
        <is>
          <t>S0235</t>
        </is>
      </c>
      <c r="D269" t="inlineStr">
        <is>
          <t>S0235</t>
        </is>
      </c>
      <c r="E269" t="inlineStr">
        <is>
          <t>ST</t>
        </is>
      </c>
      <c r="F269" t="n">
        <v>3</v>
      </c>
      <c r="G269" t="inlineStr">
        <is>
          <t>OUT</t>
        </is>
      </c>
      <c r="H269">
        <f>IF(G269="OUT",F269,-F269)</f>
        <v>3</v>
      </c>
      <c r="I269">
        <f>IF(AND(B269&gt;=DATE(2025,7,1),B269&lt;=DATE(2026,6,30)),1,0)</f>
        <v>1</v>
      </c>
      <c r="J269">
        <f>IF(B269&lt;=DATE(2026,6,30),1,0)</f>
        <v>1</v>
      </c>
      <c r="K269" t="inlineStr"/>
      <c r="L269" t="inlineStr">
        <is>
          <t>Office</t>
        </is>
      </c>
      <c r="M269">
        <f>COUNTIFS('Asset Log'!$A$5:$A$1379,A269,'Asset Log'!$E$5:$E$1379,E269,'Asset Log'!$G$5:$G$1379,G269)</f>
        <v>1</v>
      </c>
    </row>
    <row r="270">
      <c r="A270" t="inlineStr">
        <is>
          <t>D72221</t>
        </is>
      </c>
      <c r="B270" s="11" t="n">
        <v>45883</v>
      </c>
      <c r="C270" t="inlineStr">
        <is>
          <t>S0238</t>
        </is>
      </c>
      <c r="D270" t="inlineStr">
        <is>
          <t>S0238</t>
        </is>
      </c>
      <c r="E270" t="inlineStr">
        <is>
          <t>ST</t>
        </is>
      </c>
      <c r="F270" t="n">
        <v>1</v>
      </c>
      <c r="G270" t="inlineStr">
        <is>
          <t>OUT</t>
        </is>
      </c>
      <c r="H270">
        <f>IF(G270="OUT",F270,-F270)</f>
        <v>1</v>
      </c>
      <c r="I270">
        <f>IF(AND(B270&gt;=DATE(2025,7,1),B270&lt;=DATE(2026,6,30)),1,0)</f>
        <v>1</v>
      </c>
      <c r="J270">
        <f>IF(B270&lt;=DATE(2026,6,30),1,0)</f>
        <v>1</v>
      </c>
      <c r="K270" t="inlineStr"/>
      <c r="L270" t="inlineStr">
        <is>
          <t>Driver</t>
        </is>
      </c>
      <c r="M270">
        <f>COUNTIFS('Asset Log'!$A$5:$A$1379,A270,'Asset Log'!$E$5:$E$1379,E270,'Asset Log'!$G$5:$G$1379,G270)</f>
        <v>1</v>
      </c>
    </row>
    <row r="271">
      <c r="A271" t="inlineStr">
        <is>
          <t>D72701</t>
        </is>
      </c>
      <c r="B271" s="11" t="n">
        <v>45883</v>
      </c>
      <c r="C271" t="inlineStr">
        <is>
          <t>S0448</t>
        </is>
      </c>
      <c r="D271" t="inlineStr">
        <is>
          <t>S0448</t>
        </is>
      </c>
      <c r="E271" t="inlineStr">
        <is>
          <t>TK</t>
        </is>
      </c>
      <c r="F271" t="n">
        <v>3</v>
      </c>
      <c r="G271" t="inlineStr">
        <is>
          <t>OUT</t>
        </is>
      </c>
      <c r="H271">
        <f>IF(G271="OUT",F271,-F271)</f>
        <v>3</v>
      </c>
      <c r="I271">
        <f>IF(AND(B271&gt;=DATE(2025,7,1),B271&lt;=DATE(2026,6,30)),1,0)</f>
        <v>1</v>
      </c>
      <c r="J271">
        <f>IF(B271&lt;=DATE(2026,6,30),1,0)</f>
        <v>1</v>
      </c>
      <c r="K271" t="inlineStr"/>
      <c r="L271" t="inlineStr">
        <is>
          <t>Driver</t>
        </is>
      </c>
      <c r="M271">
        <f>COUNTIFS('Asset Log'!$A$5:$A$1379,A271,'Asset Log'!$E$5:$E$1379,E271,'Asset Log'!$G$5:$G$1379,G271)</f>
        <v>1</v>
      </c>
    </row>
    <row r="272">
      <c r="A272" t="inlineStr">
        <is>
          <t>D70628</t>
        </is>
      </c>
      <c r="B272" s="11" t="n">
        <v>45884</v>
      </c>
      <c r="C272" t="inlineStr">
        <is>
          <t>S0067</t>
        </is>
      </c>
      <c r="D272" t="inlineStr">
        <is>
          <t>S0067</t>
        </is>
      </c>
      <c r="E272" t="inlineStr">
        <is>
          <t>FP</t>
        </is>
      </c>
      <c r="F272" t="n">
        <v>136</v>
      </c>
      <c r="G272" t="inlineStr">
        <is>
          <t>IN</t>
        </is>
      </c>
      <c r="H272">
        <f>IF(G272="OUT",F272,-F272)</f>
        <v>-136</v>
      </c>
      <c r="I272">
        <f>IF(AND(B272&gt;=DATE(2025,7,1),B272&lt;=DATE(2026,6,30)),1,0)</f>
        <v>1</v>
      </c>
      <c r="J272">
        <f>IF(B272&lt;=DATE(2026,6,30),1,0)</f>
        <v>1</v>
      </c>
      <c r="K272" t="inlineStr"/>
      <c r="L272" t="inlineStr">
        <is>
          <t>Office</t>
        </is>
      </c>
      <c r="M272">
        <f>COUNTIFS('Asset Log'!$A$5:$A$1379,A272,'Asset Log'!$E$5:$E$1379,E272,'Asset Log'!$G$5:$G$1379,G272)</f>
        <v>1</v>
      </c>
    </row>
    <row r="273">
      <c r="A273" t="inlineStr">
        <is>
          <t>D70633</t>
        </is>
      </c>
      <c r="B273" s="11" t="n">
        <v>45884</v>
      </c>
      <c r="C273" t="inlineStr">
        <is>
          <t>S0067</t>
        </is>
      </c>
      <c r="D273" t="inlineStr">
        <is>
          <t>S0067</t>
        </is>
      </c>
      <c r="E273" t="inlineStr">
        <is>
          <t>FB</t>
        </is>
      </c>
      <c r="F273" t="n">
        <v>149</v>
      </c>
      <c r="G273" t="inlineStr">
        <is>
          <t>IN</t>
        </is>
      </c>
      <c r="H273">
        <f>IF(G273="OUT",F273,-F273)</f>
        <v>-149</v>
      </c>
      <c r="I273">
        <f>IF(AND(B273&gt;=DATE(2025,7,1),B273&lt;=DATE(2026,6,30)),1,0)</f>
        <v>1</v>
      </c>
      <c r="J273">
        <f>IF(B273&lt;=DATE(2026,6,30),1,0)</f>
        <v>1</v>
      </c>
      <c r="K273" t="inlineStr"/>
      <c r="L273" t="inlineStr">
        <is>
          <t>Yard</t>
        </is>
      </c>
      <c r="M273">
        <f>COUNTIFS('Asset Log'!$A$5:$A$1379,A273,'Asset Log'!$E$5:$E$1379,E273,'Asset Log'!$G$5:$G$1379,G273)</f>
        <v>1</v>
      </c>
    </row>
    <row r="274">
      <c r="A274" t="inlineStr">
        <is>
          <t>D72532</t>
        </is>
      </c>
      <c r="B274" s="11" t="n">
        <v>45884</v>
      </c>
      <c r="C274" t="inlineStr">
        <is>
          <t>S0347</t>
        </is>
      </c>
      <c r="D274" t="inlineStr">
        <is>
          <t>S0347</t>
        </is>
      </c>
      <c r="E274" t="inlineStr">
        <is>
          <t>TK</t>
        </is>
      </c>
      <c r="F274" t="n">
        <v>1</v>
      </c>
      <c r="G274" t="inlineStr">
        <is>
          <t>IN</t>
        </is>
      </c>
      <c r="H274">
        <f>IF(G274="OUT",F274,-F274)</f>
        <v>-1</v>
      </c>
      <c r="I274">
        <f>IF(AND(B274&gt;=DATE(2025,7,1),B274&lt;=DATE(2026,6,30)),1,0)</f>
        <v>1</v>
      </c>
      <c r="J274">
        <f>IF(B274&lt;=DATE(2026,6,30),1,0)</f>
        <v>1</v>
      </c>
      <c r="K274" t="inlineStr"/>
      <c r="L274" t="inlineStr">
        <is>
          <t>Office</t>
        </is>
      </c>
      <c r="M274">
        <f>COUNTIFS('Asset Log'!$A$5:$A$1379,A274,'Asset Log'!$E$5:$E$1379,E274,'Asset Log'!$G$5:$G$1379,G274)</f>
        <v>1</v>
      </c>
    </row>
    <row r="275">
      <c r="A275" t="inlineStr">
        <is>
          <t>D72597</t>
        </is>
      </c>
      <c r="B275" s="11" t="n">
        <v>45884</v>
      </c>
      <c r="C275" t="inlineStr">
        <is>
          <t>S0391</t>
        </is>
      </c>
      <c r="D275" t="inlineStr">
        <is>
          <t>S0391</t>
        </is>
      </c>
      <c r="E275" t="inlineStr">
        <is>
          <t>TK</t>
        </is>
      </c>
      <c r="F275" t="n">
        <v>3</v>
      </c>
      <c r="G275" t="inlineStr">
        <is>
          <t>IN</t>
        </is>
      </c>
      <c r="H275">
        <f>IF(G275="OUT",F275,-F275)</f>
        <v>-3</v>
      </c>
      <c r="I275">
        <f>IF(AND(B275&gt;=DATE(2025,7,1),B275&lt;=DATE(2026,6,30)),1,0)</f>
        <v>1</v>
      </c>
      <c r="J275">
        <f>IF(B275&lt;=DATE(2026,6,30),1,0)</f>
        <v>1</v>
      </c>
      <c r="K275" t="inlineStr"/>
      <c r="L275" t="inlineStr">
        <is>
          <t>Driver</t>
        </is>
      </c>
      <c r="M275">
        <f>COUNTIFS('Asset Log'!$A$5:$A$1379,A275,'Asset Log'!$E$5:$E$1379,E275,'Asset Log'!$G$5:$G$1379,G275)</f>
        <v>1</v>
      </c>
    </row>
    <row r="276">
      <c r="A276" t="inlineStr">
        <is>
          <t>D72552</t>
        </is>
      </c>
      <c r="B276" s="11" t="n">
        <v>45885</v>
      </c>
      <c r="C276" t="inlineStr">
        <is>
          <t>S0363</t>
        </is>
      </c>
      <c r="D276" t="inlineStr">
        <is>
          <t>S0363</t>
        </is>
      </c>
      <c r="E276" t="inlineStr">
        <is>
          <t>TK</t>
        </is>
      </c>
      <c r="F276" t="n">
        <v>3</v>
      </c>
      <c r="G276" t="inlineStr">
        <is>
          <t>OUT</t>
        </is>
      </c>
      <c r="H276">
        <f>IF(G276="OUT",F276,-F276)</f>
        <v>3</v>
      </c>
      <c r="I276">
        <f>IF(AND(B276&gt;=DATE(2025,7,1),B276&lt;=DATE(2026,6,30)),1,0)</f>
        <v>1</v>
      </c>
      <c r="J276">
        <f>IF(B276&lt;=DATE(2026,6,30),1,0)</f>
        <v>1</v>
      </c>
      <c r="K276" t="inlineStr"/>
      <c r="L276" t="inlineStr">
        <is>
          <t>Yard</t>
        </is>
      </c>
      <c r="M276">
        <f>COUNTIFS('Asset Log'!$A$5:$A$1379,A276,'Asset Log'!$E$5:$E$1379,E276,'Asset Log'!$G$5:$G$1379,G276)</f>
        <v>1</v>
      </c>
    </row>
    <row r="277">
      <c r="A277" t="inlineStr">
        <is>
          <t>D70964</t>
        </is>
      </c>
      <c r="B277" s="11" t="n">
        <v>45886</v>
      </c>
      <c r="C277" t="inlineStr">
        <is>
          <t>S0104</t>
        </is>
      </c>
      <c r="D277" t="inlineStr">
        <is>
          <t>S0104</t>
        </is>
      </c>
      <c r="E277" t="inlineStr">
        <is>
          <t>FP</t>
        </is>
      </c>
      <c r="F277" t="n">
        <v>30</v>
      </c>
      <c r="G277" t="inlineStr">
        <is>
          <t>OUT</t>
        </is>
      </c>
      <c r="H277">
        <f>IF(G277="OUT",F277,-F277)</f>
        <v>30</v>
      </c>
      <c r="I277">
        <f>IF(AND(B277&gt;=DATE(2025,7,1),B277&lt;=DATE(2026,6,30)),1,0)</f>
        <v>1</v>
      </c>
      <c r="J277">
        <f>IF(B277&lt;=DATE(2026,6,30),1,0)</f>
        <v>1</v>
      </c>
      <c r="K277" t="inlineStr"/>
      <c r="L277" t="inlineStr">
        <is>
          <t>Yard</t>
        </is>
      </c>
      <c r="M277">
        <f>COUNTIFS('Asset Log'!$A$5:$A$1379,A277,'Asset Log'!$E$5:$E$1379,E277,'Asset Log'!$G$5:$G$1379,G277)</f>
        <v>1</v>
      </c>
    </row>
    <row r="278">
      <c r="A278" t="inlineStr">
        <is>
          <t>D70968</t>
        </is>
      </c>
      <c r="B278" s="11" t="n">
        <v>45886</v>
      </c>
      <c r="C278" t="inlineStr">
        <is>
          <t>S0104</t>
        </is>
      </c>
      <c r="D278" t="inlineStr">
        <is>
          <t>S0104</t>
        </is>
      </c>
      <c r="E278" t="inlineStr">
        <is>
          <t>FB</t>
        </is>
      </c>
      <c r="F278" t="n">
        <v>33</v>
      </c>
      <c r="G278" t="inlineStr">
        <is>
          <t>OUT</t>
        </is>
      </c>
      <c r="H278">
        <f>IF(G278="OUT",F278,-F278)</f>
        <v>33</v>
      </c>
      <c r="I278">
        <f>IF(AND(B278&gt;=DATE(2025,7,1),B278&lt;=DATE(2026,6,30)),1,0)</f>
        <v>1</v>
      </c>
      <c r="J278">
        <f>IF(B278&lt;=DATE(2026,6,30),1,0)</f>
        <v>1</v>
      </c>
      <c r="K278" t="inlineStr"/>
      <c r="L278" t="inlineStr">
        <is>
          <t>Driver</t>
        </is>
      </c>
      <c r="M278">
        <f>COUNTIFS('Asset Log'!$A$5:$A$1379,A278,'Asset Log'!$E$5:$E$1379,E278,'Asset Log'!$G$5:$G$1379,G278)</f>
        <v>1</v>
      </c>
    </row>
    <row r="279">
      <c r="A279" t="inlineStr">
        <is>
          <t>D71745</t>
        </is>
      </c>
      <c r="B279" s="11" t="n">
        <v>45886</v>
      </c>
      <c r="C279" t="inlineStr">
        <is>
          <t>s184</t>
        </is>
      </c>
      <c r="D279" t="inlineStr">
        <is>
          <t>S0184</t>
        </is>
      </c>
      <c r="E279" t="inlineStr">
        <is>
          <t>FP</t>
        </is>
      </c>
      <c r="F279" t="n">
        <v>44</v>
      </c>
      <c r="G279" t="inlineStr">
        <is>
          <t>IN</t>
        </is>
      </c>
      <c r="H279">
        <f>IF(G279="OUT",F279,-F279)</f>
        <v>-44</v>
      </c>
      <c r="I279">
        <f>IF(AND(B279&gt;=DATE(2025,7,1),B279&lt;=DATE(2026,6,30)),1,0)</f>
        <v>1</v>
      </c>
      <c r="J279">
        <f>IF(B279&lt;=DATE(2026,6,30),1,0)</f>
        <v>1</v>
      </c>
      <c r="K279" t="inlineStr">
        <is>
          <t>Site text normalised</t>
        </is>
      </c>
      <c r="L279" t="inlineStr">
        <is>
          <t>Driver</t>
        </is>
      </c>
      <c r="M279">
        <f>COUNTIFS('Asset Log'!$A$5:$A$1379,A279,'Asset Log'!$E$5:$E$1379,E279,'Asset Log'!$G$5:$G$1379,G279)</f>
        <v>1</v>
      </c>
    </row>
    <row r="280">
      <c r="A280" t="inlineStr">
        <is>
          <t>D71750</t>
        </is>
      </c>
      <c r="B280" s="11" t="n">
        <v>45886</v>
      </c>
      <c r="C280" t="inlineStr">
        <is>
          <t>S0184</t>
        </is>
      </c>
      <c r="D280" t="inlineStr">
        <is>
          <t>S0184</t>
        </is>
      </c>
      <c r="E280" t="inlineStr">
        <is>
          <t>FB</t>
        </is>
      </c>
      <c r="F280" t="n">
        <v>48</v>
      </c>
      <c r="G280" t="inlineStr">
        <is>
          <t>IN</t>
        </is>
      </c>
      <c r="H280">
        <f>IF(G280="OUT",F280,-F280)</f>
        <v>-48</v>
      </c>
      <c r="I280">
        <f>IF(AND(B280&gt;=DATE(2025,7,1),B280&lt;=DATE(2026,6,30)),1,0)</f>
        <v>1</v>
      </c>
      <c r="J280">
        <f>IF(B280&lt;=DATE(2026,6,30),1,0)</f>
        <v>1</v>
      </c>
      <c r="K280" t="inlineStr"/>
      <c r="L280" t="inlineStr">
        <is>
          <t>Yard</t>
        </is>
      </c>
      <c r="M280">
        <f>COUNTIFS('Asset Log'!$A$5:$A$1379,A280,'Asset Log'!$E$5:$E$1379,E280,'Asset Log'!$G$5:$G$1379,G280)</f>
        <v>1</v>
      </c>
    </row>
    <row r="281">
      <c r="A281" t="inlineStr">
        <is>
          <t>D72281</t>
        </is>
      </c>
      <c r="B281" s="11" t="n">
        <v>45886</v>
      </c>
      <c r="C281" t="inlineStr">
        <is>
          <t>S0253</t>
        </is>
      </c>
      <c r="D281" t="inlineStr">
        <is>
          <t>S0253</t>
        </is>
      </c>
      <c r="E281" t="inlineStr">
        <is>
          <t>ST</t>
        </is>
      </c>
      <c r="F281" t="n">
        <v>3</v>
      </c>
      <c r="G281" t="inlineStr">
        <is>
          <t>OUT</t>
        </is>
      </c>
      <c r="H281">
        <f>IF(G281="OUT",F281,-F281)</f>
        <v>3</v>
      </c>
      <c r="I281">
        <f>IF(AND(B281&gt;=DATE(2025,7,1),B281&lt;=DATE(2026,6,30)),1,0)</f>
        <v>1</v>
      </c>
      <c r="J281">
        <f>IF(B281&lt;=DATE(2026,6,30),1,0)</f>
        <v>1</v>
      </c>
      <c r="K281" t="inlineStr"/>
      <c r="L281" t="inlineStr">
        <is>
          <t>Office</t>
        </is>
      </c>
      <c r="M281">
        <f>COUNTIFS('Asset Log'!$A$5:$A$1379,A281,'Asset Log'!$E$5:$E$1379,E281,'Asset Log'!$G$5:$G$1379,G281)</f>
        <v>1</v>
      </c>
    </row>
    <row r="282">
      <c r="A282" t="inlineStr">
        <is>
          <t>D72322</t>
        </is>
      </c>
      <c r="B282" s="11" t="n">
        <v>45886</v>
      </c>
      <c r="C282" t="inlineStr">
        <is>
          <t>S0262</t>
        </is>
      </c>
      <c r="D282" t="inlineStr">
        <is>
          <t>S0262</t>
        </is>
      </c>
      <c r="E282" t="inlineStr">
        <is>
          <t>ST</t>
        </is>
      </c>
      <c r="F282" t="n">
        <v>2</v>
      </c>
      <c r="G282" t="inlineStr">
        <is>
          <t>OUT</t>
        </is>
      </c>
      <c r="H282">
        <f>IF(G282="OUT",F282,-F282)</f>
        <v>2</v>
      </c>
      <c r="I282">
        <f>IF(AND(B282&gt;=DATE(2025,7,1),B282&lt;=DATE(2026,6,30)),1,0)</f>
        <v>1</v>
      </c>
      <c r="J282">
        <f>IF(B282&lt;=DATE(2026,6,30),1,0)</f>
        <v>1</v>
      </c>
      <c r="K282" t="inlineStr"/>
      <c r="L282" t="inlineStr">
        <is>
          <t>Driver</t>
        </is>
      </c>
      <c r="M282">
        <f>COUNTIFS('Asset Log'!$A$5:$A$1379,A282,'Asset Log'!$E$5:$E$1379,E282,'Asset Log'!$G$5:$G$1379,G282)</f>
        <v>1</v>
      </c>
    </row>
    <row r="283">
      <c r="A283" t="inlineStr">
        <is>
          <t>D72503</t>
        </is>
      </c>
      <c r="B283" s="11" t="n">
        <v>45886</v>
      </c>
      <c r="C283" t="inlineStr">
        <is>
          <t>S0334</t>
        </is>
      </c>
      <c r="D283" t="inlineStr">
        <is>
          <t>S0334</t>
        </is>
      </c>
      <c r="E283" t="inlineStr">
        <is>
          <t>TK</t>
        </is>
      </c>
      <c r="F283" t="n">
        <v>2</v>
      </c>
      <c r="G283" t="inlineStr">
        <is>
          <t>IN</t>
        </is>
      </c>
      <c r="H283">
        <f>IF(G283="OUT",F283,-F283)</f>
        <v>-2</v>
      </c>
      <c r="I283">
        <f>IF(AND(B283&gt;=DATE(2025,7,1),B283&lt;=DATE(2026,6,30)),1,0)</f>
        <v>1</v>
      </c>
      <c r="J283">
        <f>IF(B283&lt;=DATE(2026,6,30),1,0)</f>
        <v>1</v>
      </c>
      <c r="K283" t="inlineStr"/>
      <c r="L283" t="inlineStr">
        <is>
          <t>Yard</t>
        </is>
      </c>
      <c r="M283">
        <f>COUNTIFS('Asset Log'!$A$5:$A$1379,A283,'Asset Log'!$E$5:$E$1379,E283,'Asset Log'!$G$5:$G$1379,G283)</f>
        <v>1</v>
      </c>
    </row>
    <row r="284">
      <c r="A284" t="inlineStr">
        <is>
          <t>D71324</t>
        </is>
      </c>
      <c r="B284" s="11" t="n">
        <v>45887</v>
      </c>
      <c r="C284" t="inlineStr">
        <is>
          <t>S0140</t>
        </is>
      </c>
      <c r="D284" t="inlineStr">
        <is>
          <t>S0140</t>
        </is>
      </c>
      <c r="E284" t="inlineStr">
        <is>
          <t>FP</t>
        </is>
      </c>
      <c r="F284" t="n">
        <v>124</v>
      </c>
      <c r="G284" t="inlineStr">
        <is>
          <t>OUT</t>
        </is>
      </c>
      <c r="H284">
        <f>IF(G284="OUT",F284,-F284)</f>
        <v>124</v>
      </c>
      <c r="I284">
        <f>IF(AND(B284&gt;=DATE(2025,7,1),B284&lt;=DATE(2026,6,30)),1,0)</f>
        <v>1</v>
      </c>
      <c r="J284">
        <f>IF(B284&lt;=DATE(2026,6,30),1,0)</f>
        <v>1</v>
      </c>
      <c r="K284" t="inlineStr"/>
      <c r="L284" t="inlineStr">
        <is>
          <t>Office</t>
        </is>
      </c>
      <c r="M284">
        <f>COUNTIFS('Asset Log'!$A$5:$A$1379,A284,'Asset Log'!$E$5:$E$1379,E284,'Asset Log'!$G$5:$G$1379,G284)</f>
        <v>1</v>
      </c>
    </row>
    <row r="285">
      <c r="A285" t="inlineStr">
        <is>
          <t>D71328</t>
        </is>
      </c>
      <c r="B285" s="11" t="n">
        <v>45887</v>
      </c>
      <c r="C285" t="inlineStr">
        <is>
          <t>S0140</t>
        </is>
      </c>
      <c r="D285" t="inlineStr">
        <is>
          <t>S0140</t>
        </is>
      </c>
      <c r="E285" t="inlineStr">
        <is>
          <t>FB</t>
        </is>
      </c>
      <c r="F285" t="n">
        <v>136</v>
      </c>
      <c r="G285" t="inlineStr">
        <is>
          <t>OUT</t>
        </is>
      </c>
      <c r="H285">
        <f>IF(G285="OUT",F285,-F285)</f>
        <v>136</v>
      </c>
      <c r="I285">
        <f>IF(AND(B285&gt;=DATE(2025,7,1),B285&lt;=DATE(2026,6,30)),1,0)</f>
        <v>1</v>
      </c>
      <c r="J285">
        <f>IF(B285&lt;=DATE(2026,6,30),1,0)</f>
        <v>1</v>
      </c>
      <c r="K285" t="inlineStr"/>
      <c r="L285" t="inlineStr">
        <is>
          <t>Office</t>
        </is>
      </c>
      <c r="M285">
        <f>COUNTIFS('Asset Log'!$A$5:$A$1379,A285,'Asset Log'!$E$5:$E$1379,E285,'Asset Log'!$G$5:$G$1379,G285)</f>
        <v>1</v>
      </c>
    </row>
    <row r="286">
      <c r="A286" t="inlineStr">
        <is>
          <t>D72191</t>
        </is>
      </c>
      <c r="B286" s="11" t="n">
        <v>45888</v>
      </c>
      <c r="C286" t="inlineStr">
        <is>
          <t>S0232</t>
        </is>
      </c>
      <c r="D286" t="inlineStr">
        <is>
          <t>S0232</t>
        </is>
      </c>
      <c r="E286" t="inlineStr">
        <is>
          <t>FP</t>
        </is>
      </c>
      <c r="F286" t="n">
        <v>93</v>
      </c>
      <c r="G286" t="inlineStr">
        <is>
          <t>OUT</t>
        </is>
      </c>
      <c r="H286">
        <f>IF(G286="OUT",F286,-F286)</f>
        <v>93</v>
      </c>
      <c r="I286">
        <f>IF(AND(B286&gt;=DATE(2025,7,1),B286&lt;=DATE(2026,6,30)),1,0)</f>
        <v>1</v>
      </c>
      <c r="J286">
        <f>IF(B286&lt;=DATE(2026,6,30),1,0)</f>
        <v>1</v>
      </c>
      <c r="K286" t="inlineStr"/>
      <c r="L286" t="inlineStr">
        <is>
          <t>Office</t>
        </is>
      </c>
      <c r="M286">
        <f>COUNTIFS('Asset Log'!$A$5:$A$1379,A286,'Asset Log'!$E$5:$E$1379,E286,'Asset Log'!$G$5:$G$1379,G286)</f>
        <v>1</v>
      </c>
    </row>
    <row r="287">
      <c r="A287" t="inlineStr">
        <is>
          <t>D72199</t>
        </is>
      </c>
      <c r="B287" s="11" t="n">
        <v>45888</v>
      </c>
      <c r="C287" t="inlineStr">
        <is>
          <t>S0232</t>
        </is>
      </c>
      <c r="D287" t="inlineStr">
        <is>
          <t>S0232</t>
        </is>
      </c>
      <c r="E287" t="inlineStr">
        <is>
          <t>FB</t>
        </is>
      </c>
      <c r="F287" t="n">
        <v>102</v>
      </c>
      <c r="G287" t="inlineStr">
        <is>
          <t>OUT</t>
        </is>
      </c>
      <c r="H287">
        <f>IF(G287="OUT",F287,-F287)</f>
        <v>102</v>
      </c>
      <c r="I287">
        <f>IF(AND(B287&gt;=DATE(2025,7,1),B287&lt;=DATE(2026,6,30)),1,0)</f>
        <v>1</v>
      </c>
      <c r="J287">
        <f>IF(B287&lt;=DATE(2026,6,30),1,0)</f>
        <v>1</v>
      </c>
      <c r="K287" t="inlineStr"/>
      <c r="L287" t="inlineStr">
        <is>
          <t>Driver</t>
        </is>
      </c>
      <c r="M287">
        <f>COUNTIFS('Asset Log'!$A$5:$A$1379,A287,'Asset Log'!$E$5:$E$1379,E287,'Asset Log'!$G$5:$G$1379,G287)</f>
        <v>1</v>
      </c>
    </row>
    <row r="288">
      <c r="A288" t="inlineStr">
        <is>
          <t>D72418</t>
        </is>
      </c>
      <c r="B288" s="11" t="n">
        <v>45888</v>
      </c>
      <c r="C288" t="inlineStr">
        <is>
          <t>S0286</t>
        </is>
      </c>
      <c r="D288" t="inlineStr">
        <is>
          <t>S0286</t>
        </is>
      </c>
      <c r="E288" t="inlineStr">
        <is>
          <t>ST</t>
        </is>
      </c>
      <c r="F288" t="n">
        <v>2</v>
      </c>
      <c r="G288" t="inlineStr">
        <is>
          <t>IN</t>
        </is>
      </c>
      <c r="H288">
        <f>IF(G288="OUT",F288,-F288)</f>
        <v>-2</v>
      </c>
      <c r="I288">
        <f>IF(AND(B288&gt;=DATE(2025,7,1),B288&lt;=DATE(2026,6,30)),1,0)</f>
        <v>1</v>
      </c>
      <c r="J288">
        <f>IF(B288&lt;=DATE(2026,6,30),1,0)</f>
        <v>1</v>
      </c>
      <c r="K288" t="inlineStr"/>
      <c r="L288" t="inlineStr">
        <is>
          <t>Office</t>
        </is>
      </c>
      <c r="M288">
        <f>COUNTIFS('Asset Log'!$A$5:$A$1379,A288,'Asset Log'!$E$5:$E$1379,E288,'Asset Log'!$G$5:$G$1379,G288)</f>
        <v>1</v>
      </c>
    </row>
    <row r="289">
      <c r="A289" t="inlineStr">
        <is>
          <t>D72680</t>
        </is>
      </c>
      <c r="B289" s="11" t="n">
        <v>45888</v>
      </c>
      <c r="C289" t="inlineStr">
        <is>
          <t>S0438</t>
        </is>
      </c>
      <c r="D289" t="inlineStr">
        <is>
          <t>S0438</t>
        </is>
      </c>
      <c r="E289" t="inlineStr">
        <is>
          <t>TK</t>
        </is>
      </c>
      <c r="F289" t="n">
        <v>3</v>
      </c>
      <c r="G289" t="inlineStr">
        <is>
          <t>OUT</t>
        </is>
      </c>
      <c r="H289">
        <f>IF(G289="OUT",F289,-F289)</f>
        <v>3</v>
      </c>
      <c r="I289">
        <f>IF(AND(B289&gt;=DATE(2025,7,1),B289&lt;=DATE(2026,6,30)),1,0)</f>
        <v>1</v>
      </c>
      <c r="J289">
        <f>IF(B289&lt;=DATE(2026,6,30),1,0)</f>
        <v>1</v>
      </c>
      <c r="K289" t="inlineStr"/>
      <c r="L289" t="inlineStr">
        <is>
          <t>Yard</t>
        </is>
      </c>
      <c r="M289">
        <f>COUNTIFS('Asset Log'!$A$5:$A$1379,A289,'Asset Log'!$E$5:$E$1379,E289,'Asset Log'!$G$5:$G$1379,G289)</f>
        <v>1</v>
      </c>
    </row>
    <row r="290">
      <c r="A290" t="inlineStr">
        <is>
          <t>D70029</t>
        </is>
      </c>
      <c r="B290" s="11" t="n">
        <v>45890</v>
      </c>
      <c r="C290" t="inlineStr">
        <is>
          <t>s004</t>
        </is>
      </c>
      <c r="D290" t="inlineStr">
        <is>
          <t>S0004</t>
        </is>
      </c>
      <c r="E290" t="inlineStr">
        <is>
          <t>FP</t>
        </is>
      </c>
      <c r="F290" t="n">
        <v>125</v>
      </c>
      <c r="G290" t="inlineStr">
        <is>
          <t>OUT</t>
        </is>
      </c>
      <c r="H290">
        <f>IF(G290="OUT",F290,-F290)</f>
        <v>125</v>
      </c>
      <c r="I290">
        <f>IF(AND(B290&gt;=DATE(2025,7,1),B290&lt;=DATE(2026,6,30)),1,0)</f>
        <v>1</v>
      </c>
      <c r="J290">
        <f>IF(B290&lt;=DATE(2026,6,30),1,0)</f>
        <v>1</v>
      </c>
      <c r="K290" t="inlineStr">
        <is>
          <t>Site text normalised</t>
        </is>
      </c>
      <c r="L290" t="inlineStr">
        <is>
          <t>Driver</t>
        </is>
      </c>
      <c r="M290">
        <f>COUNTIFS('Asset Log'!$A$5:$A$1379,A290,'Asset Log'!$E$5:$E$1379,E290,'Asset Log'!$G$5:$G$1379,G290)</f>
        <v>1</v>
      </c>
    </row>
    <row r="291">
      <c r="A291" t="inlineStr">
        <is>
          <t>D70032</t>
        </is>
      </c>
      <c r="B291" s="11" t="n">
        <v>45890</v>
      </c>
      <c r="C291" t="inlineStr">
        <is>
          <t>S0004</t>
        </is>
      </c>
      <c r="D291" t="inlineStr">
        <is>
          <t>S0004</t>
        </is>
      </c>
      <c r="E291" t="inlineStr">
        <is>
          <t>FB</t>
        </is>
      </c>
      <c r="F291" t="n">
        <v>137</v>
      </c>
      <c r="G291" t="inlineStr">
        <is>
          <t>OUT</t>
        </is>
      </c>
      <c r="H291">
        <f>IF(G291="OUT",F291,-F291)</f>
        <v>137</v>
      </c>
      <c r="I291">
        <f>IF(AND(B291&gt;=DATE(2025,7,1),B291&lt;=DATE(2026,6,30)),1,0)</f>
        <v>1</v>
      </c>
      <c r="J291">
        <f>IF(B291&lt;=DATE(2026,6,30),1,0)</f>
        <v>1</v>
      </c>
      <c r="K291" t="inlineStr"/>
      <c r="L291" t="inlineStr">
        <is>
          <t>Office</t>
        </is>
      </c>
      <c r="M291">
        <f>COUNTIFS('Asset Log'!$A$5:$A$1379,A291,'Asset Log'!$E$5:$E$1379,E291,'Asset Log'!$G$5:$G$1379,G291)</f>
        <v>1</v>
      </c>
    </row>
    <row r="292">
      <c r="A292" t="inlineStr">
        <is>
          <t>D70739</t>
        </is>
      </c>
      <c r="B292" s="11" t="n">
        <v>45890</v>
      </c>
      <c r="C292" t="inlineStr">
        <is>
          <t>S0079</t>
        </is>
      </c>
      <c r="D292" t="inlineStr">
        <is>
          <t>S0079</t>
        </is>
      </c>
      <c r="E292" t="inlineStr">
        <is>
          <t>FP</t>
        </is>
      </c>
      <c r="F292" t="n">
        <v>90</v>
      </c>
      <c r="G292" t="inlineStr">
        <is>
          <t>OUT</t>
        </is>
      </c>
      <c r="H292">
        <f>IF(G292="OUT",F292,-F292)</f>
        <v>90</v>
      </c>
      <c r="I292">
        <f>IF(AND(B292&gt;=DATE(2025,7,1),B292&lt;=DATE(2026,6,30)),1,0)</f>
        <v>1</v>
      </c>
      <c r="J292">
        <f>IF(B292&lt;=DATE(2026,6,30),1,0)</f>
        <v>1</v>
      </c>
      <c r="K292" t="inlineStr"/>
      <c r="L292" t="inlineStr">
        <is>
          <t>Office</t>
        </is>
      </c>
      <c r="M292">
        <f>COUNTIFS('Asset Log'!$A$5:$A$1379,A292,'Asset Log'!$E$5:$E$1379,E292,'Asset Log'!$G$5:$G$1379,G292)</f>
        <v>1</v>
      </c>
    </row>
    <row r="293">
      <c r="A293" t="inlineStr">
        <is>
          <t>D70744</t>
        </is>
      </c>
      <c r="B293" s="11" t="n">
        <v>45890</v>
      </c>
      <c r="C293" t="inlineStr">
        <is>
          <t>S0079</t>
        </is>
      </c>
      <c r="D293" t="inlineStr">
        <is>
          <t>S0079</t>
        </is>
      </c>
      <c r="E293" t="inlineStr">
        <is>
          <t>FB</t>
        </is>
      </c>
      <c r="F293" t="n">
        <v>99</v>
      </c>
      <c r="G293" t="inlineStr">
        <is>
          <t>OUT</t>
        </is>
      </c>
      <c r="H293">
        <f>IF(G293="OUT",F293,-F293)</f>
        <v>99</v>
      </c>
      <c r="I293">
        <f>IF(AND(B293&gt;=DATE(2025,7,1),B293&lt;=DATE(2026,6,30)),1,0)</f>
        <v>1</v>
      </c>
      <c r="J293">
        <f>IF(B293&lt;=DATE(2026,6,30),1,0)</f>
        <v>1</v>
      </c>
      <c r="K293" t="inlineStr"/>
      <c r="L293" t="inlineStr">
        <is>
          <t>Driver</t>
        </is>
      </c>
      <c r="M293">
        <f>COUNTIFS('Asset Log'!$A$5:$A$1379,A293,'Asset Log'!$E$5:$E$1379,E293,'Asset Log'!$G$5:$G$1379,G293)</f>
        <v>1</v>
      </c>
    </row>
    <row r="294">
      <c r="A294" t="inlineStr">
        <is>
          <t>D70750</t>
        </is>
      </c>
      <c r="B294" s="11" t="n">
        <v>45890</v>
      </c>
      <c r="C294" t="inlineStr">
        <is>
          <t>S0079</t>
        </is>
      </c>
      <c r="D294" t="inlineStr">
        <is>
          <t>S0079</t>
        </is>
      </c>
      <c r="E294" t="inlineStr">
        <is>
          <t>BR</t>
        </is>
      </c>
      <c r="F294" t="n">
        <v>4</v>
      </c>
      <c r="G294" t="inlineStr">
        <is>
          <t>OUT</t>
        </is>
      </c>
      <c r="H294">
        <f>IF(G294="OUT",F294,-F294)</f>
        <v>4</v>
      </c>
      <c r="I294">
        <f>IF(AND(B294&gt;=DATE(2025,7,1),B294&lt;=DATE(2026,6,30)),1,0)</f>
        <v>1</v>
      </c>
      <c r="J294">
        <f>IF(B294&lt;=DATE(2026,6,30),1,0)</f>
        <v>1</v>
      </c>
      <c r="K294" t="inlineStr"/>
      <c r="L294" t="inlineStr">
        <is>
          <t>Driver</t>
        </is>
      </c>
      <c r="M294">
        <f>COUNTIFS('Asset Log'!$A$5:$A$1379,A294,'Asset Log'!$E$5:$E$1379,E294,'Asset Log'!$G$5:$G$1379,G294)</f>
        <v>1</v>
      </c>
    </row>
    <row r="295">
      <c r="A295" t="inlineStr">
        <is>
          <t>D72713</t>
        </is>
      </c>
      <c r="B295" s="11" t="n">
        <v>45890</v>
      </c>
      <c r="C295" t="inlineStr">
        <is>
          <t>S0459</t>
        </is>
      </c>
      <c r="D295" t="inlineStr">
        <is>
          <t>S0459</t>
        </is>
      </c>
      <c r="E295" t="inlineStr">
        <is>
          <t>TK</t>
        </is>
      </c>
      <c r="F295" t="n">
        <v>3</v>
      </c>
      <c r="G295" t="inlineStr">
        <is>
          <t>IN</t>
        </is>
      </c>
      <c r="H295">
        <f>IF(G295="OUT",F295,-F295)</f>
        <v>-3</v>
      </c>
      <c r="I295">
        <f>IF(AND(B295&gt;=DATE(2025,7,1),B295&lt;=DATE(2026,6,30)),1,0)</f>
        <v>1</v>
      </c>
      <c r="J295">
        <f>IF(B295&lt;=DATE(2026,6,30),1,0)</f>
        <v>1</v>
      </c>
      <c r="K295" t="inlineStr"/>
      <c r="L295" t="inlineStr">
        <is>
          <t>Driver</t>
        </is>
      </c>
      <c r="M295">
        <f>COUNTIFS('Asset Log'!$A$5:$A$1379,A295,'Asset Log'!$E$5:$E$1379,E295,'Asset Log'!$G$5:$G$1379,G295)</f>
        <v>1</v>
      </c>
    </row>
    <row r="296">
      <c r="A296" t="inlineStr">
        <is>
          <t>D72721</t>
        </is>
      </c>
      <c r="B296" s="11" t="n">
        <v>45891</v>
      </c>
      <c r="C296" t="inlineStr">
        <is>
          <t>S0468</t>
        </is>
      </c>
      <c r="D296" t="inlineStr">
        <is>
          <t>S0468</t>
        </is>
      </c>
      <c r="E296" t="inlineStr">
        <is>
          <t>TK</t>
        </is>
      </c>
      <c r="F296" t="n">
        <v>1</v>
      </c>
      <c r="G296" t="inlineStr">
        <is>
          <t>IN</t>
        </is>
      </c>
      <c r="H296">
        <f>IF(G296="OUT",F296,-F296)</f>
        <v>-1</v>
      </c>
      <c r="I296">
        <f>IF(AND(B296&gt;=DATE(2025,7,1),B296&lt;=DATE(2026,6,30)),1,0)</f>
        <v>1</v>
      </c>
      <c r="J296">
        <f>IF(B296&lt;=DATE(2026,6,30),1,0)</f>
        <v>1</v>
      </c>
      <c r="K296" t="inlineStr"/>
      <c r="L296" t="inlineStr">
        <is>
          <t>Office</t>
        </is>
      </c>
      <c r="M296">
        <f>COUNTIFS('Asset Log'!$A$5:$A$1379,A296,'Asset Log'!$E$5:$E$1379,E296,'Asset Log'!$G$5:$G$1379,G296)</f>
        <v>1</v>
      </c>
    </row>
    <row r="297">
      <c r="A297" t="inlineStr">
        <is>
          <t>D70351</t>
        </is>
      </c>
      <c r="B297" s="11" t="n">
        <v>45893</v>
      </c>
      <c r="C297" t="inlineStr">
        <is>
          <t>S0038</t>
        </is>
      </c>
      <c r="D297" t="inlineStr">
        <is>
          <t>S0038</t>
        </is>
      </c>
      <c r="E297" t="inlineStr">
        <is>
          <t>FP</t>
        </is>
      </c>
      <c r="F297" t="n">
        <v>137</v>
      </c>
      <c r="G297" t="inlineStr">
        <is>
          <t>OUT</t>
        </is>
      </c>
      <c r="H297">
        <f>IF(G297="OUT",F297,-F297)</f>
        <v>137</v>
      </c>
      <c r="I297">
        <f>IF(AND(B297&gt;=DATE(2025,7,1),B297&lt;=DATE(2026,6,30)),1,0)</f>
        <v>1</v>
      </c>
      <c r="J297">
        <f>IF(B297&lt;=DATE(2026,6,30),1,0)</f>
        <v>1</v>
      </c>
      <c r="K297" t="inlineStr"/>
      <c r="L297" t="inlineStr">
        <is>
          <t>Office</t>
        </is>
      </c>
      <c r="M297">
        <f>COUNTIFS('Asset Log'!$A$5:$A$1379,A297,'Asset Log'!$E$5:$E$1379,E297,'Asset Log'!$G$5:$G$1379,G297)</f>
        <v>1</v>
      </c>
    </row>
    <row r="298">
      <c r="A298" t="inlineStr">
        <is>
          <t>D70354</t>
        </is>
      </c>
      <c r="B298" s="11" t="n">
        <v>45893</v>
      </c>
      <c r="C298" t="inlineStr">
        <is>
          <t>S0038</t>
        </is>
      </c>
      <c r="D298" t="inlineStr">
        <is>
          <t>S0038</t>
        </is>
      </c>
      <c r="E298" t="inlineStr">
        <is>
          <t>FB</t>
        </is>
      </c>
      <c r="F298" t="n">
        <v>150</v>
      </c>
      <c r="G298" t="inlineStr">
        <is>
          <t>OUT</t>
        </is>
      </c>
      <c r="H298">
        <f>IF(G298="OUT",F298,-F298)</f>
        <v>150</v>
      </c>
      <c r="I298">
        <f>IF(AND(B298&gt;=DATE(2025,7,1),B298&lt;=DATE(2026,6,30)),1,0)</f>
        <v>1</v>
      </c>
      <c r="J298">
        <f>IF(B298&lt;=DATE(2026,6,30),1,0)</f>
        <v>1</v>
      </c>
      <c r="K298" t="inlineStr"/>
      <c r="L298" t="inlineStr">
        <is>
          <t>Office</t>
        </is>
      </c>
      <c r="M298">
        <f>COUNTIFS('Asset Log'!$A$5:$A$1379,A298,'Asset Log'!$E$5:$E$1379,E298,'Asset Log'!$G$5:$G$1379,G298)</f>
        <v>1</v>
      </c>
    </row>
    <row r="299">
      <c r="A299" t="inlineStr">
        <is>
          <t>D70357</t>
        </is>
      </c>
      <c r="B299" s="11" t="n">
        <v>45893</v>
      </c>
      <c r="C299" t="inlineStr">
        <is>
          <t>S0038</t>
        </is>
      </c>
      <c r="D299" t="inlineStr">
        <is>
          <t>S0038</t>
        </is>
      </c>
      <c r="E299" t="inlineStr">
        <is>
          <t>BR</t>
        </is>
      </c>
      <c r="F299" t="n">
        <v>20</v>
      </c>
      <c r="G299" t="inlineStr">
        <is>
          <t>OUT</t>
        </is>
      </c>
      <c r="H299">
        <f>IF(G299="OUT",F299,-F299)</f>
        <v>20</v>
      </c>
      <c r="I299">
        <f>IF(AND(B299&gt;=DATE(2025,7,1),B299&lt;=DATE(2026,6,30)),1,0)</f>
        <v>1</v>
      </c>
      <c r="J299">
        <f>IF(B299&lt;=DATE(2026,6,30),1,0)</f>
        <v>1</v>
      </c>
      <c r="K299" t="inlineStr"/>
      <c r="L299" t="inlineStr">
        <is>
          <t>Office</t>
        </is>
      </c>
      <c r="M299">
        <f>COUNTIFS('Asset Log'!$A$5:$A$1379,A299,'Asset Log'!$E$5:$E$1379,E299,'Asset Log'!$G$5:$G$1379,G299)</f>
        <v>1</v>
      </c>
    </row>
    <row r="300">
      <c r="A300" t="inlineStr">
        <is>
          <t>D70687</t>
        </is>
      </c>
      <c r="B300" s="11" t="n">
        <v>45893</v>
      </c>
      <c r="C300" t="inlineStr">
        <is>
          <t>S0074</t>
        </is>
      </c>
      <c r="D300" t="inlineStr">
        <is>
          <t>S0074</t>
        </is>
      </c>
      <c r="E300" t="inlineStr">
        <is>
          <t>FP</t>
        </is>
      </c>
      <c r="F300" t="n">
        <v>107</v>
      </c>
      <c r="G300" t="inlineStr">
        <is>
          <t>IN</t>
        </is>
      </c>
      <c r="H300">
        <f>IF(G300="OUT",F300,-F300)</f>
        <v>-107</v>
      </c>
      <c r="I300">
        <f>IF(AND(B300&gt;=DATE(2025,7,1),B300&lt;=DATE(2026,6,30)),1,0)</f>
        <v>1</v>
      </c>
      <c r="J300">
        <f>IF(B300&lt;=DATE(2026,6,30),1,0)</f>
        <v>1</v>
      </c>
      <c r="K300" t="inlineStr"/>
      <c r="L300" t="inlineStr">
        <is>
          <t>Driver</t>
        </is>
      </c>
      <c r="M300">
        <f>COUNTIFS('Asset Log'!$A$5:$A$1379,A300,'Asset Log'!$E$5:$E$1379,E300,'Asset Log'!$G$5:$G$1379,G300)</f>
        <v>1</v>
      </c>
    </row>
    <row r="301">
      <c r="A301" t="inlineStr">
        <is>
          <t>D70693</t>
        </is>
      </c>
      <c r="B301" s="11" t="n">
        <v>45893</v>
      </c>
      <c r="C301" t="inlineStr">
        <is>
          <t>S0074</t>
        </is>
      </c>
      <c r="D301" t="inlineStr">
        <is>
          <t>S0074</t>
        </is>
      </c>
      <c r="E301" t="inlineStr">
        <is>
          <t>FB</t>
        </is>
      </c>
      <c r="F301" t="n">
        <v>116</v>
      </c>
      <c r="G301" t="inlineStr">
        <is>
          <t>IN</t>
        </is>
      </c>
      <c r="H301">
        <f>IF(G301="OUT",F301,-F301)</f>
        <v>-116</v>
      </c>
      <c r="I301">
        <f>IF(AND(B301&gt;=DATE(2025,7,1),B301&lt;=DATE(2026,6,30)),1,0)</f>
        <v>1</v>
      </c>
      <c r="J301">
        <f>IF(B301&lt;=DATE(2026,6,30),1,0)</f>
        <v>1</v>
      </c>
      <c r="K301" t="inlineStr"/>
      <c r="L301" t="inlineStr">
        <is>
          <t>Yard</t>
        </is>
      </c>
      <c r="M301">
        <f>COUNTIFS('Asset Log'!$A$5:$A$1379,A301,'Asset Log'!$E$5:$E$1379,E301,'Asset Log'!$G$5:$G$1379,G301)</f>
        <v>1</v>
      </c>
    </row>
    <row r="302">
      <c r="A302" t="inlineStr">
        <is>
          <t>D70966</t>
        </is>
      </c>
      <c r="B302" s="11" t="n">
        <v>45893</v>
      </c>
      <c r="C302" t="inlineStr">
        <is>
          <t>s104</t>
        </is>
      </c>
      <c r="D302" t="inlineStr">
        <is>
          <t>S0104</t>
        </is>
      </c>
      <c r="E302" t="inlineStr">
        <is>
          <t>FP</t>
        </is>
      </c>
      <c r="F302" t="n">
        <v>24</v>
      </c>
      <c r="G302" t="inlineStr">
        <is>
          <t>IN</t>
        </is>
      </c>
      <c r="H302">
        <f>IF(G302="OUT",F302,-F302)</f>
        <v>-24</v>
      </c>
      <c r="I302">
        <f>IF(AND(B302&gt;=DATE(2025,7,1),B302&lt;=DATE(2026,6,30)),1,0)</f>
        <v>1</v>
      </c>
      <c r="J302">
        <f>IF(B302&lt;=DATE(2026,6,30),1,0)</f>
        <v>1</v>
      </c>
      <c r="K302" t="inlineStr">
        <is>
          <t>Site text normalised</t>
        </is>
      </c>
      <c r="L302" t="inlineStr">
        <is>
          <t>Office</t>
        </is>
      </c>
      <c r="M302">
        <f>COUNTIFS('Asset Log'!$A$5:$A$1379,A302,'Asset Log'!$E$5:$E$1379,E302,'Asset Log'!$G$5:$G$1379,G302)</f>
        <v>1</v>
      </c>
    </row>
    <row r="303">
      <c r="A303" t="inlineStr">
        <is>
          <t>D70969</t>
        </is>
      </c>
      <c r="B303" s="11" t="n">
        <v>45893</v>
      </c>
      <c r="C303" t="inlineStr">
        <is>
          <t>S0104</t>
        </is>
      </c>
      <c r="D303" t="inlineStr">
        <is>
          <t>S0104</t>
        </is>
      </c>
      <c r="E303" t="inlineStr">
        <is>
          <t>FB</t>
        </is>
      </c>
      <c r="F303" t="n">
        <v>33</v>
      </c>
      <c r="G303" t="inlineStr">
        <is>
          <t>IN</t>
        </is>
      </c>
      <c r="H303">
        <f>IF(G303="OUT",F303,-F303)</f>
        <v>-33</v>
      </c>
      <c r="I303">
        <f>IF(AND(B303&gt;=DATE(2025,7,1),B303&lt;=DATE(2026,6,30)),1,0)</f>
        <v>1</v>
      </c>
      <c r="J303">
        <f>IF(B303&lt;=DATE(2026,6,30),1,0)</f>
        <v>1</v>
      </c>
      <c r="K303" t="inlineStr"/>
      <c r="L303" t="inlineStr">
        <is>
          <t>Office</t>
        </is>
      </c>
      <c r="M303">
        <f>COUNTIFS('Asset Log'!$A$5:$A$1379,A303,'Asset Log'!$E$5:$E$1379,E303,'Asset Log'!$G$5:$G$1379,G303)</f>
        <v>1</v>
      </c>
    </row>
    <row r="304">
      <c r="A304" t="inlineStr">
        <is>
          <t>D70971</t>
        </is>
      </c>
      <c r="B304" s="11" t="n">
        <v>45893</v>
      </c>
      <c r="C304" t="inlineStr">
        <is>
          <t>S0104</t>
        </is>
      </c>
      <c r="D304" t="inlineStr">
        <is>
          <t>S0104</t>
        </is>
      </c>
      <c r="E304" t="inlineStr">
        <is>
          <t>FP</t>
        </is>
      </c>
      <c r="F304" t="n">
        <v>6</v>
      </c>
      <c r="G304" t="inlineStr">
        <is>
          <t>LOST</t>
        </is>
      </c>
      <c r="H304">
        <f>IF(G304="OUT",F304,-F304)</f>
        <v>-6</v>
      </c>
      <c r="I304">
        <f>IF(AND(B304&gt;=DATE(2025,7,1),B304&lt;=DATE(2026,6,30)),1,0)</f>
        <v>1</v>
      </c>
      <c r="J304">
        <f>IF(B304&lt;=DATE(2026,6,30),1,0)</f>
        <v>1</v>
      </c>
      <c r="K304" t="inlineStr"/>
      <c r="L304" t="inlineStr">
        <is>
          <t>Driver</t>
        </is>
      </c>
      <c r="M304">
        <f>COUNTIFS('Asset Log'!$A$5:$A$1379,A304,'Asset Log'!$E$5:$E$1379,E304,'Asset Log'!$G$5:$G$1379,G304)</f>
        <v>1</v>
      </c>
    </row>
    <row r="305">
      <c r="A305" t="inlineStr">
        <is>
          <t>D71389</t>
        </is>
      </c>
      <c r="B305" s="11" t="n">
        <v>45893</v>
      </c>
      <c r="C305" t="inlineStr">
        <is>
          <t>S0147</t>
        </is>
      </c>
      <c r="D305" t="inlineStr">
        <is>
          <t>S0147</t>
        </is>
      </c>
      <c r="E305" t="inlineStr">
        <is>
          <t>FP</t>
        </is>
      </c>
      <c r="F305" t="n">
        <v>40</v>
      </c>
      <c r="G305" t="inlineStr">
        <is>
          <t>OUT</t>
        </is>
      </c>
      <c r="H305">
        <f>IF(G305="OUT",F305,-F305)</f>
        <v>40</v>
      </c>
      <c r="I305">
        <f>IF(AND(B305&gt;=DATE(2025,7,1),B305&lt;=DATE(2026,6,30)),1,0)</f>
        <v>1</v>
      </c>
      <c r="J305">
        <f>IF(B305&lt;=DATE(2026,6,30),1,0)</f>
        <v>1</v>
      </c>
      <c r="K305" t="inlineStr"/>
      <c r="L305" t="inlineStr">
        <is>
          <t>Office</t>
        </is>
      </c>
      <c r="M305">
        <f>COUNTIFS('Asset Log'!$A$5:$A$1379,A305,'Asset Log'!$E$5:$E$1379,E305,'Asset Log'!$G$5:$G$1379,G305)</f>
        <v>1</v>
      </c>
    </row>
    <row r="306">
      <c r="A306" t="inlineStr">
        <is>
          <t>D71401</t>
        </is>
      </c>
      <c r="B306" s="11" t="n">
        <v>45893</v>
      </c>
      <c r="C306" t="inlineStr">
        <is>
          <t>147</t>
        </is>
      </c>
      <c r="D306" t="inlineStr">
        <is>
          <t>S0147</t>
        </is>
      </c>
      <c r="E306" t="inlineStr">
        <is>
          <t>FB</t>
        </is>
      </c>
      <c r="F306" t="n">
        <v>44</v>
      </c>
      <c r="G306" t="inlineStr">
        <is>
          <t>OUT</t>
        </is>
      </c>
      <c r="H306">
        <f>IF(G306="OUT",F306,-F306)</f>
        <v>44</v>
      </c>
      <c r="I306">
        <f>IF(AND(B306&gt;=DATE(2025,7,1),B306&lt;=DATE(2026,6,30)),1,0)</f>
        <v>1</v>
      </c>
      <c r="J306">
        <f>IF(B306&lt;=DATE(2026,6,30),1,0)</f>
        <v>1</v>
      </c>
      <c r="K306" t="inlineStr">
        <is>
          <t>Site text normalised</t>
        </is>
      </c>
      <c r="L306" t="inlineStr">
        <is>
          <t>Driver</t>
        </is>
      </c>
      <c r="M306">
        <f>COUNTIFS('Asset Log'!$A$5:$A$1379,A306,'Asset Log'!$E$5:$E$1379,E306,'Asset Log'!$G$5:$G$1379,G306)</f>
        <v>1</v>
      </c>
    </row>
    <row r="307">
      <c r="A307" t="inlineStr">
        <is>
          <t>D72345</t>
        </is>
      </c>
      <c r="B307" s="11" t="n">
        <v>45893</v>
      </c>
      <c r="C307" t="inlineStr">
        <is>
          <t>S0269</t>
        </is>
      </c>
      <c r="D307" t="inlineStr">
        <is>
          <t>S0269</t>
        </is>
      </c>
      <c r="E307" t="inlineStr">
        <is>
          <t>ST</t>
        </is>
      </c>
      <c r="F307" t="n">
        <v>4</v>
      </c>
      <c r="G307" t="inlineStr">
        <is>
          <t>OUT</t>
        </is>
      </c>
      <c r="H307">
        <f>IF(G307="OUT",F307,-F307)</f>
        <v>4</v>
      </c>
      <c r="I307">
        <f>IF(AND(B307&gt;=DATE(2025,7,1),B307&lt;=DATE(2026,6,30)),1,0)</f>
        <v>1</v>
      </c>
      <c r="J307">
        <f>IF(B307&lt;=DATE(2026,6,30),1,0)</f>
        <v>1</v>
      </c>
      <c r="K307" t="inlineStr"/>
      <c r="L307" t="inlineStr">
        <is>
          <t>Driver</t>
        </is>
      </c>
      <c r="M307">
        <f>COUNTIFS('Asset Log'!$A$5:$A$1379,A307,'Asset Log'!$E$5:$E$1379,E307,'Asset Log'!$G$5:$G$1379,G307)</f>
        <v>1</v>
      </c>
    </row>
    <row r="308">
      <c r="A308" t="inlineStr">
        <is>
          <t>D72488</t>
        </is>
      </c>
      <c r="B308" s="11" t="n">
        <v>45893</v>
      </c>
      <c r="C308" t="inlineStr">
        <is>
          <t>S0330</t>
        </is>
      </c>
      <c r="D308" t="inlineStr">
        <is>
          <t>S0330</t>
        </is>
      </c>
      <c r="E308" t="inlineStr">
        <is>
          <t>TK</t>
        </is>
      </c>
      <c r="F308" t="n">
        <v>2</v>
      </c>
      <c r="G308" t="inlineStr">
        <is>
          <t>OUT</t>
        </is>
      </c>
      <c r="H308">
        <f>IF(G308="OUT",F308,-F308)</f>
        <v>2</v>
      </c>
      <c r="I308">
        <f>IF(AND(B308&gt;=DATE(2025,7,1),B308&lt;=DATE(2026,6,30)),1,0)</f>
        <v>1</v>
      </c>
      <c r="J308">
        <f>IF(B308&lt;=DATE(2026,6,30),1,0)</f>
        <v>1</v>
      </c>
      <c r="K308" t="inlineStr"/>
      <c r="L308" t="inlineStr">
        <is>
          <t>Yard</t>
        </is>
      </c>
      <c r="M308">
        <f>COUNTIFS('Asset Log'!$A$5:$A$1379,A308,'Asset Log'!$E$5:$E$1379,E308,'Asset Log'!$G$5:$G$1379,G308)</f>
        <v>1</v>
      </c>
    </row>
    <row r="309">
      <c r="A309" t="inlineStr">
        <is>
          <t>D71756</t>
        </is>
      </c>
      <c r="B309" s="11" t="n">
        <v>45895</v>
      </c>
      <c r="C309" t="inlineStr">
        <is>
          <t>S0185</t>
        </is>
      </c>
      <c r="D309" t="inlineStr">
        <is>
          <t>S0185</t>
        </is>
      </c>
      <c r="E309" t="inlineStr">
        <is>
          <t>FP</t>
        </is>
      </c>
      <c r="F309" t="n">
        <v>54</v>
      </c>
      <c r="G309" t="inlineStr">
        <is>
          <t>IN</t>
        </is>
      </c>
      <c r="H309">
        <f>IF(G309="OUT",F309,-F309)</f>
        <v>-54</v>
      </c>
      <c r="I309">
        <f>IF(AND(B309&gt;=DATE(2025,7,1),B309&lt;=DATE(2026,6,30)),1,0)</f>
        <v>1</v>
      </c>
      <c r="J309">
        <f>IF(B309&lt;=DATE(2026,6,30),1,0)</f>
        <v>1</v>
      </c>
      <c r="K309" t="inlineStr"/>
      <c r="L309" t="inlineStr">
        <is>
          <t>Yard</t>
        </is>
      </c>
      <c r="M309">
        <f>COUNTIFS('Asset Log'!$A$5:$A$1379,A309,'Asset Log'!$E$5:$E$1379,E309,'Asset Log'!$G$5:$G$1379,G309)</f>
        <v>1</v>
      </c>
    </row>
    <row r="310">
      <c r="A310" t="inlineStr">
        <is>
          <t>D71760</t>
        </is>
      </c>
      <c r="B310" s="11" t="n">
        <v>45895</v>
      </c>
      <c r="C310" t="inlineStr">
        <is>
          <t>S0185</t>
        </is>
      </c>
      <c r="D310" t="inlineStr">
        <is>
          <t>S0185</t>
        </is>
      </c>
      <c r="E310" t="inlineStr">
        <is>
          <t>FB</t>
        </is>
      </c>
      <c r="F310" t="n">
        <v>59</v>
      </c>
      <c r="G310" t="inlineStr">
        <is>
          <t>IN</t>
        </is>
      </c>
      <c r="H310">
        <f>IF(G310="OUT",F310,-F310)</f>
        <v>-59</v>
      </c>
      <c r="I310">
        <f>IF(AND(B310&gt;=DATE(2025,7,1),B310&lt;=DATE(2026,6,30)),1,0)</f>
        <v>1</v>
      </c>
      <c r="J310">
        <f>IF(B310&lt;=DATE(2026,6,30),1,0)</f>
        <v>1</v>
      </c>
      <c r="K310" t="inlineStr"/>
      <c r="L310" t="inlineStr">
        <is>
          <t>Office</t>
        </is>
      </c>
      <c r="M310">
        <f>COUNTIFS('Asset Log'!$A$5:$A$1379,A310,'Asset Log'!$E$5:$E$1379,E310,'Asset Log'!$G$5:$G$1379,G310)</f>
        <v>1</v>
      </c>
    </row>
    <row r="311">
      <c r="A311" t="inlineStr">
        <is>
          <t>D72298</t>
        </is>
      </c>
      <c r="B311" s="11" t="n">
        <v>45895</v>
      </c>
      <c r="C311" t="inlineStr">
        <is>
          <t>256</t>
        </is>
      </c>
      <c r="D311" t="inlineStr">
        <is>
          <t>S0256</t>
        </is>
      </c>
      <c r="E311" t="inlineStr">
        <is>
          <t>ST</t>
        </is>
      </c>
      <c r="F311" t="n">
        <v>2</v>
      </c>
      <c r="G311" t="inlineStr">
        <is>
          <t>IN</t>
        </is>
      </c>
      <c r="H311">
        <f>IF(G311="OUT",F311,-F311)</f>
        <v>-2</v>
      </c>
      <c r="I311">
        <f>IF(AND(B311&gt;=DATE(2025,7,1),B311&lt;=DATE(2026,6,30)),1,0)</f>
        <v>1</v>
      </c>
      <c r="J311">
        <f>IF(B311&lt;=DATE(2026,6,30),1,0)</f>
        <v>1</v>
      </c>
      <c r="K311" t="inlineStr">
        <is>
          <t>Site text normalised</t>
        </is>
      </c>
      <c r="L311" t="inlineStr">
        <is>
          <t>Office</t>
        </is>
      </c>
      <c r="M311">
        <f>COUNTIFS('Asset Log'!$A$5:$A$1379,A311,'Asset Log'!$E$5:$E$1379,E311,'Asset Log'!$G$5:$G$1379,G311)</f>
        <v>1</v>
      </c>
    </row>
    <row r="312">
      <c r="A312" t="inlineStr">
        <is>
          <t>D72801</t>
        </is>
      </c>
      <c r="B312" s="11" t="n">
        <v>45895</v>
      </c>
      <c r="C312" t="inlineStr">
        <is>
          <t>S0519</t>
        </is>
      </c>
      <c r="D312" t="inlineStr">
        <is>
          <t>S0519</t>
        </is>
      </c>
      <c r="E312" t="inlineStr">
        <is>
          <t>TK</t>
        </is>
      </c>
      <c r="F312" t="n">
        <v>3</v>
      </c>
      <c r="G312" t="inlineStr">
        <is>
          <t>IN</t>
        </is>
      </c>
      <c r="H312">
        <f>IF(G312="OUT",F312,-F312)</f>
        <v>-3</v>
      </c>
      <c r="I312">
        <f>IF(AND(B312&gt;=DATE(2025,7,1),B312&lt;=DATE(2026,6,30)),1,0)</f>
        <v>1</v>
      </c>
      <c r="J312">
        <f>IF(B312&lt;=DATE(2026,6,30),1,0)</f>
        <v>1</v>
      </c>
      <c r="K312" t="inlineStr"/>
      <c r="L312" t="inlineStr">
        <is>
          <t>Yard</t>
        </is>
      </c>
      <c r="M312">
        <f>COUNTIFS('Asset Log'!$A$5:$A$1379,A312,'Asset Log'!$E$5:$E$1379,E312,'Asset Log'!$G$5:$G$1379,G312)</f>
        <v>1</v>
      </c>
    </row>
    <row r="313">
      <c r="A313" t="inlineStr">
        <is>
          <t>D70452</t>
        </is>
      </c>
      <c r="B313" s="11" t="n">
        <v>45896</v>
      </c>
      <c r="C313" t="inlineStr">
        <is>
          <t>S0048</t>
        </is>
      </c>
      <c r="D313" t="inlineStr">
        <is>
          <t>S0048</t>
        </is>
      </c>
      <c r="E313" t="inlineStr">
        <is>
          <t>FP</t>
        </is>
      </c>
      <c r="F313" t="n">
        <v>100</v>
      </c>
      <c r="G313" t="inlineStr">
        <is>
          <t>IN</t>
        </is>
      </c>
      <c r="H313">
        <f>IF(G313="OUT",F313,-F313)</f>
        <v>-100</v>
      </c>
      <c r="I313">
        <f>IF(AND(B313&gt;=DATE(2025,7,1),B313&lt;=DATE(2026,6,30)),1,0)</f>
        <v>1</v>
      </c>
      <c r="J313">
        <f>IF(B313&lt;=DATE(2026,6,30),1,0)</f>
        <v>1</v>
      </c>
      <c r="K313" t="inlineStr"/>
      <c r="L313" t="inlineStr">
        <is>
          <t>Office</t>
        </is>
      </c>
      <c r="M313">
        <f>COUNTIFS('Asset Log'!$A$5:$A$1379,A313,'Asset Log'!$E$5:$E$1379,E313,'Asset Log'!$G$5:$G$1379,G313)</f>
        <v>1</v>
      </c>
    </row>
    <row r="314">
      <c r="A314" t="inlineStr">
        <is>
          <t>D70457</t>
        </is>
      </c>
      <c r="B314" s="11" t="n">
        <v>45896</v>
      </c>
      <c r="C314" t="inlineStr">
        <is>
          <t>S0048</t>
        </is>
      </c>
      <c r="D314" t="inlineStr">
        <is>
          <t>S0048</t>
        </is>
      </c>
      <c r="E314" t="inlineStr">
        <is>
          <t>FB</t>
        </is>
      </c>
      <c r="F314" t="n">
        <v>110</v>
      </c>
      <c r="G314" t="inlineStr">
        <is>
          <t>IN</t>
        </is>
      </c>
      <c r="H314">
        <f>IF(G314="OUT",F314,-F314)</f>
        <v>-110</v>
      </c>
      <c r="I314">
        <f>IF(AND(B314&gt;=DATE(2025,7,1),B314&lt;=DATE(2026,6,30)),1,0)</f>
        <v>1</v>
      </c>
      <c r="J314">
        <f>IF(B314&lt;=DATE(2026,6,30),1,0)</f>
        <v>1</v>
      </c>
      <c r="K314" t="inlineStr"/>
      <c r="L314" t="inlineStr">
        <is>
          <t>Office</t>
        </is>
      </c>
      <c r="M314">
        <f>COUNTIFS('Asset Log'!$A$5:$A$1379,A314,'Asset Log'!$E$5:$E$1379,E314,'Asset Log'!$G$5:$G$1379,G314)</f>
        <v>1</v>
      </c>
    </row>
    <row r="315">
      <c r="A315" t="inlineStr">
        <is>
          <t>D71147</t>
        </is>
      </c>
      <c r="B315" s="11" t="n">
        <v>45896</v>
      </c>
      <c r="C315" t="inlineStr">
        <is>
          <t>s121</t>
        </is>
      </c>
      <c r="D315" t="inlineStr">
        <is>
          <t>S0121</t>
        </is>
      </c>
      <c r="E315" t="inlineStr">
        <is>
          <t>FP</t>
        </is>
      </c>
      <c r="F315" t="n">
        <v>35</v>
      </c>
      <c r="G315" t="inlineStr">
        <is>
          <t>IN</t>
        </is>
      </c>
      <c r="H315">
        <f>IF(G315="OUT",F315,-F315)</f>
        <v>-35</v>
      </c>
      <c r="I315">
        <f>IF(AND(B315&gt;=DATE(2025,7,1),B315&lt;=DATE(2026,6,30)),1,0)</f>
        <v>1</v>
      </c>
      <c r="J315">
        <f>IF(B315&lt;=DATE(2026,6,30),1,0)</f>
        <v>1</v>
      </c>
      <c r="K315" t="inlineStr">
        <is>
          <t>Site text normalised</t>
        </is>
      </c>
      <c r="L315" t="inlineStr">
        <is>
          <t>Office</t>
        </is>
      </c>
      <c r="M315">
        <f>COUNTIFS('Asset Log'!$A$5:$A$1379,A315,'Asset Log'!$E$5:$E$1379,E315,'Asset Log'!$G$5:$G$1379,G315)</f>
        <v>1</v>
      </c>
    </row>
    <row r="316">
      <c r="A316" t="inlineStr">
        <is>
          <t>D71156</t>
        </is>
      </c>
      <c r="B316" s="11" t="n">
        <v>45896</v>
      </c>
      <c r="C316" t="inlineStr">
        <is>
          <t>S0121</t>
        </is>
      </c>
      <c r="D316" t="inlineStr">
        <is>
          <t>S0121</t>
        </is>
      </c>
      <c r="E316" t="inlineStr">
        <is>
          <t>FB</t>
        </is>
      </c>
      <c r="F316" t="n">
        <v>39</v>
      </c>
      <c r="G316" t="inlineStr">
        <is>
          <t>IN</t>
        </is>
      </c>
      <c r="H316">
        <f>IF(G316="OUT",F316,-F316)</f>
        <v>-39</v>
      </c>
      <c r="I316">
        <f>IF(AND(B316&gt;=DATE(2025,7,1),B316&lt;=DATE(2026,6,30)),1,0)</f>
        <v>1</v>
      </c>
      <c r="J316">
        <f>IF(B316&lt;=DATE(2026,6,30),1,0)</f>
        <v>1</v>
      </c>
      <c r="K316" t="inlineStr"/>
      <c r="L316" t="inlineStr">
        <is>
          <t>Driver</t>
        </is>
      </c>
      <c r="M316">
        <f>COUNTIFS('Asset Log'!$A$5:$A$1379,A316,'Asset Log'!$E$5:$E$1379,E316,'Asset Log'!$G$5:$G$1379,G316)</f>
        <v>1</v>
      </c>
    </row>
    <row r="317">
      <c r="A317" t="inlineStr">
        <is>
          <t>D70049</t>
        </is>
      </c>
      <c r="B317" s="11" t="n">
        <v>45897</v>
      </c>
      <c r="C317" t="inlineStr">
        <is>
          <t>S0006</t>
        </is>
      </c>
      <c r="D317" t="inlineStr">
        <is>
          <t>S0006</t>
        </is>
      </c>
      <c r="E317" t="inlineStr">
        <is>
          <t>FP</t>
        </is>
      </c>
      <c r="F317" t="n">
        <v>93</v>
      </c>
      <c r="G317" t="inlineStr">
        <is>
          <t>OUT</t>
        </is>
      </c>
      <c r="H317">
        <f>IF(G317="OUT",F317,-F317)</f>
        <v>93</v>
      </c>
      <c r="I317">
        <f>IF(AND(B317&gt;=DATE(2025,7,1),B317&lt;=DATE(2026,6,30)),1,0)</f>
        <v>1</v>
      </c>
      <c r="J317">
        <f>IF(B317&lt;=DATE(2026,6,30),1,0)</f>
        <v>1</v>
      </c>
      <c r="K317" t="inlineStr"/>
      <c r="L317" t="inlineStr">
        <is>
          <t>Yard</t>
        </is>
      </c>
      <c r="M317">
        <f>COUNTIFS('Asset Log'!$A$5:$A$1379,A317,'Asset Log'!$E$5:$E$1379,E317,'Asset Log'!$G$5:$G$1379,G317)</f>
        <v>1</v>
      </c>
    </row>
    <row r="318">
      <c r="A318" t="inlineStr">
        <is>
          <t>D70054</t>
        </is>
      </c>
      <c r="B318" s="11" t="n">
        <v>45897</v>
      </c>
      <c r="C318" t="inlineStr">
        <is>
          <t>S0006</t>
        </is>
      </c>
      <c r="D318" t="inlineStr">
        <is>
          <t>S0006</t>
        </is>
      </c>
      <c r="E318" t="inlineStr">
        <is>
          <t>FB</t>
        </is>
      </c>
      <c r="F318" t="n">
        <v>102</v>
      </c>
      <c r="G318" t="inlineStr">
        <is>
          <t>OUT</t>
        </is>
      </c>
      <c r="H318">
        <f>IF(G318="OUT",F318,-F318)</f>
        <v>102</v>
      </c>
      <c r="I318">
        <f>IF(AND(B318&gt;=DATE(2025,7,1),B318&lt;=DATE(2026,6,30)),1,0)</f>
        <v>1</v>
      </c>
      <c r="J318">
        <f>IF(B318&lt;=DATE(2026,6,30),1,0)</f>
        <v>1</v>
      </c>
      <c r="K318" t="inlineStr"/>
      <c r="L318" t="inlineStr">
        <is>
          <t>Yard</t>
        </is>
      </c>
      <c r="M318">
        <f>COUNTIFS('Asset Log'!$A$5:$A$1379,A318,'Asset Log'!$E$5:$E$1379,E318,'Asset Log'!$G$5:$G$1379,G318)</f>
        <v>1</v>
      </c>
    </row>
    <row r="319">
      <c r="A319" t="inlineStr">
        <is>
          <t>D70204</t>
        </is>
      </c>
      <c r="B319" s="11" t="n">
        <v>45897</v>
      </c>
      <c r="C319" t="inlineStr">
        <is>
          <t>S0022</t>
        </is>
      </c>
      <c r="D319" t="inlineStr">
        <is>
          <t>S0022</t>
        </is>
      </c>
      <c r="E319" t="inlineStr">
        <is>
          <t>FP</t>
        </is>
      </c>
      <c r="F319" t="n">
        <v>135</v>
      </c>
      <c r="G319" t="inlineStr">
        <is>
          <t>OUT</t>
        </is>
      </c>
      <c r="H319">
        <f>IF(G319="OUT",F319,-F319)</f>
        <v>135</v>
      </c>
      <c r="I319">
        <f>IF(AND(B319&gt;=DATE(2025,7,1),B319&lt;=DATE(2026,6,30)),1,0)</f>
        <v>1</v>
      </c>
      <c r="J319">
        <f>IF(B319&lt;=DATE(2026,6,30),1,0)</f>
        <v>1</v>
      </c>
      <c r="K319" t="inlineStr"/>
      <c r="L319" t="inlineStr">
        <is>
          <t>Office</t>
        </is>
      </c>
      <c r="M319">
        <f>COUNTIFS('Asset Log'!$A$5:$A$1379,A319,'Asset Log'!$E$5:$E$1379,E319,'Asset Log'!$G$5:$G$1379,G319)</f>
        <v>1</v>
      </c>
    </row>
    <row r="320">
      <c r="A320" t="inlineStr">
        <is>
          <t>D70210</t>
        </is>
      </c>
      <c r="B320" s="11" t="n">
        <v>45897</v>
      </c>
      <c r="C320" t="inlineStr">
        <is>
          <t>s022</t>
        </is>
      </c>
      <c r="D320" t="inlineStr">
        <is>
          <t>S0022</t>
        </is>
      </c>
      <c r="E320" t="inlineStr">
        <is>
          <t>FB</t>
        </is>
      </c>
      <c r="F320" t="n">
        <v>148</v>
      </c>
      <c r="G320" t="inlineStr">
        <is>
          <t>OUT</t>
        </is>
      </c>
      <c r="H320">
        <f>IF(G320="OUT",F320,-F320)</f>
        <v>148</v>
      </c>
      <c r="I320">
        <f>IF(AND(B320&gt;=DATE(2025,7,1),B320&lt;=DATE(2026,6,30)),1,0)</f>
        <v>1</v>
      </c>
      <c r="J320">
        <f>IF(B320&lt;=DATE(2026,6,30),1,0)</f>
        <v>1</v>
      </c>
      <c r="K320" t="inlineStr">
        <is>
          <t>Site text normalised</t>
        </is>
      </c>
      <c r="L320" t="inlineStr">
        <is>
          <t>Yard</t>
        </is>
      </c>
      <c r="M320">
        <f>COUNTIFS('Asset Log'!$A$5:$A$1379,A320,'Asset Log'!$E$5:$E$1379,E320,'Asset Log'!$G$5:$G$1379,G320)</f>
        <v>1</v>
      </c>
    </row>
    <row r="321">
      <c r="A321" t="inlineStr">
        <is>
          <t>D70214</t>
        </is>
      </c>
      <c r="B321" s="11" t="n">
        <v>45897</v>
      </c>
      <c r="C321" t="inlineStr">
        <is>
          <t>S0022</t>
        </is>
      </c>
      <c r="D321" t="inlineStr">
        <is>
          <t>S0022</t>
        </is>
      </c>
      <c r="E321" t="inlineStr">
        <is>
          <t>BR</t>
        </is>
      </c>
      <c r="F321" t="n">
        <v>15</v>
      </c>
      <c r="G321" t="inlineStr">
        <is>
          <t>OUT</t>
        </is>
      </c>
      <c r="H321">
        <f>IF(G321="OUT",F321,-F321)</f>
        <v>15</v>
      </c>
      <c r="I321">
        <f>IF(AND(B321&gt;=DATE(2025,7,1),B321&lt;=DATE(2026,6,30)),1,0)</f>
        <v>1</v>
      </c>
      <c r="J321">
        <f>IF(B321&lt;=DATE(2026,6,30),1,0)</f>
        <v>1</v>
      </c>
      <c r="K321" t="inlineStr"/>
      <c r="L321" t="inlineStr">
        <is>
          <t>Office</t>
        </is>
      </c>
      <c r="M321">
        <f>COUNTIFS('Asset Log'!$A$5:$A$1379,A321,'Asset Log'!$E$5:$E$1379,E321,'Asset Log'!$G$5:$G$1379,G321)</f>
        <v>1</v>
      </c>
    </row>
    <row r="322">
      <c r="A322" t="inlineStr">
        <is>
          <t>D72212</t>
        </is>
      </c>
      <c r="B322" s="11" t="n">
        <v>45897</v>
      </c>
      <c r="C322" t="inlineStr">
        <is>
          <t>s235</t>
        </is>
      </c>
      <c r="D322" t="inlineStr">
        <is>
          <t>S0235</t>
        </is>
      </c>
      <c r="E322" t="inlineStr">
        <is>
          <t>ST</t>
        </is>
      </c>
      <c r="F322" t="n">
        <v>3</v>
      </c>
      <c r="G322" t="inlineStr">
        <is>
          <t>IN</t>
        </is>
      </c>
      <c r="H322">
        <f>IF(G322="OUT",F322,-F322)</f>
        <v>-3</v>
      </c>
      <c r="I322">
        <f>IF(AND(B322&gt;=DATE(2025,7,1),B322&lt;=DATE(2026,6,30)),1,0)</f>
        <v>1</v>
      </c>
      <c r="J322">
        <f>IF(B322&lt;=DATE(2026,6,30),1,0)</f>
        <v>1</v>
      </c>
      <c r="K322" t="inlineStr">
        <is>
          <t>Site text normalised</t>
        </is>
      </c>
      <c r="L322" t="inlineStr">
        <is>
          <t>Driver</t>
        </is>
      </c>
      <c r="M322">
        <f>COUNTIFS('Asset Log'!$A$5:$A$1379,A322,'Asset Log'!$E$5:$E$1379,E322,'Asset Log'!$G$5:$G$1379,G322)</f>
        <v>1</v>
      </c>
    </row>
    <row r="323">
      <c r="A323" t="inlineStr">
        <is>
          <t>D72724</t>
        </is>
      </c>
      <c r="B323" s="11" t="n">
        <v>45897</v>
      </c>
      <c r="C323" t="inlineStr">
        <is>
          <t>S0470</t>
        </is>
      </c>
      <c r="D323" t="inlineStr">
        <is>
          <t>S0470</t>
        </is>
      </c>
      <c r="E323" t="inlineStr">
        <is>
          <t>TK</t>
        </is>
      </c>
      <c r="F323" t="n">
        <v>3</v>
      </c>
      <c r="G323" t="inlineStr">
        <is>
          <t>OUT</t>
        </is>
      </c>
      <c r="H323">
        <f>IF(G323="OUT",F323,-F323)</f>
        <v>3</v>
      </c>
      <c r="I323">
        <f>IF(AND(B323&gt;=DATE(2025,7,1),B323&lt;=DATE(2026,6,30)),1,0)</f>
        <v>1</v>
      </c>
      <c r="J323">
        <f>IF(B323&lt;=DATE(2026,6,30),1,0)</f>
        <v>1</v>
      </c>
      <c r="K323" t="inlineStr"/>
      <c r="L323" t="inlineStr">
        <is>
          <t>Office</t>
        </is>
      </c>
      <c r="M323">
        <f>COUNTIFS('Asset Log'!$A$5:$A$1379,A323,'Asset Log'!$E$5:$E$1379,E323,'Asset Log'!$G$5:$G$1379,G323)</f>
        <v>1</v>
      </c>
    </row>
    <row r="324">
      <c r="A324" t="inlineStr">
        <is>
          <t>D71776</t>
        </is>
      </c>
      <c r="B324" s="11" t="n">
        <v>45898</v>
      </c>
      <c r="C324" t="inlineStr">
        <is>
          <t>S0188</t>
        </is>
      </c>
      <c r="D324" t="inlineStr">
        <is>
          <t>S0188</t>
        </is>
      </c>
      <c r="E324" t="inlineStr">
        <is>
          <t>FP</t>
        </is>
      </c>
      <c r="F324" t="n">
        <v>24</v>
      </c>
      <c r="G324" t="inlineStr">
        <is>
          <t>IN</t>
        </is>
      </c>
      <c r="H324">
        <f>IF(G324="OUT",F324,-F324)</f>
        <v>-24</v>
      </c>
      <c r="I324">
        <f>IF(AND(B324&gt;=DATE(2025,7,1),B324&lt;=DATE(2026,6,30)),1,0)</f>
        <v>1</v>
      </c>
      <c r="J324">
        <f>IF(B324&lt;=DATE(2026,6,30),1,0)</f>
        <v>1</v>
      </c>
      <c r="K324" t="inlineStr"/>
      <c r="L324" t="inlineStr">
        <is>
          <t>Driver</t>
        </is>
      </c>
      <c r="M324">
        <f>COUNTIFS('Asset Log'!$A$5:$A$1379,A324,'Asset Log'!$E$5:$E$1379,E324,'Asset Log'!$G$5:$G$1379,G324)</f>
        <v>1</v>
      </c>
    </row>
    <row r="325">
      <c r="A325" t="inlineStr">
        <is>
          <t>D71782</t>
        </is>
      </c>
      <c r="B325" s="11" t="n">
        <v>45898</v>
      </c>
      <c r="C325" t="inlineStr">
        <is>
          <t>S0188</t>
        </is>
      </c>
      <c r="D325" t="inlineStr">
        <is>
          <t>S0188</t>
        </is>
      </c>
      <c r="E325" t="inlineStr">
        <is>
          <t>FB</t>
        </is>
      </c>
      <c r="F325" t="n">
        <v>26</v>
      </c>
      <c r="G325" t="inlineStr">
        <is>
          <t>IN</t>
        </is>
      </c>
      <c r="H325">
        <f>IF(G325="OUT",F325,-F325)</f>
        <v>-26</v>
      </c>
      <c r="I325">
        <f>IF(AND(B325&gt;=DATE(2025,7,1),B325&lt;=DATE(2026,6,30)),1,0)</f>
        <v>1</v>
      </c>
      <c r="J325">
        <f>IF(B325&lt;=DATE(2026,6,30),1,0)</f>
        <v>1</v>
      </c>
      <c r="K325" t="inlineStr"/>
      <c r="L325" t="inlineStr">
        <is>
          <t>Office</t>
        </is>
      </c>
      <c r="M325">
        <f>COUNTIFS('Asset Log'!$A$5:$A$1379,A325,'Asset Log'!$E$5:$E$1379,E325,'Asset Log'!$G$5:$G$1379,G325)</f>
        <v>1</v>
      </c>
    </row>
    <row r="326">
      <c r="A326" t="inlineStr">
        <is>
          <t>D70903</t>
        </is>
      </c>
      <c r="B326" s="11" t="n">
        <v>45899</v>
      </c>
      <c r="C326" t="inlineStr">
        <is>
          <t>S0097</t>
        </is>
      </c>
      <c r="D326" t="inlineStr">
        <is>
          <t>S0097</t>
        </is>
      </c>
      <c r="E326" t="inlineStr">
        <is>
          <t>FP</t>
        </is>
      </c>
      <c r="F326" t="n">
        <v>84</v>
      </c>
      <c r="G326" t="inlineStr">
        <is>
          <t>IN</t>
        </is>
      </c>
      <c r="H326">
        <f>IF(G326="OUT",F326,-F326)</f>
        <v>-84</v>
      </c>
      <c r="I326">
        <f>IF(AND(B326&gt;=DATE(2025,7,1),B326&lt;=DATE(2026,6,30)),1,0)</f>
        <v>1</v>
      </c>
      <c r="J326">
        <f>IF(B326&lt;=DATE(2026,6,30),1,0)</f>
        <v>1</v>
      </c>
      <c r="K326" t="inlineStr"/>
      <c r="L326" t="inlineStr">
        <is>
          <t>Yard</t>
        </is>
      </c>
      <c r="M326">
        <f>COUNTIFS('Asset Log'!$A$5:$A$1379,A326,'Asset Log'!$E$5:$E$1379,E326,'Asset Log'!$G$5:$G$1379,G326)</f>
        <v>1</v>
      </c>
    </row>
    <row r="327">
      <c r="A327" t="inlineStr">
        <is>
          <t>D70909</t>
        </is>
      </c>
      <c r="B327" s="11" t="n">
        <v>45899</v>
      </c>
      <c r="C327" t="inlineStr">
        <is>
          <t>S0097</t>
        </is>
      </c>
      <c r="D327" t="inlineStr">
        <is>
          <t>S0097</t>
        </is>
      </c>
      <c r="E327" t="inlineStr">
        <is>
          <t>FB</t>
        </is>
      </c>
      <c r="F327" t="n">
        <v>96</v>
      </c>
      <c r="G327" t="inlineStr">
        <is>
          <t>IN</t>
        </is>
      </c>
      <c r="H327">
        <f>IF(G327="OUT",F327,-F327)</f>
        <v>-96</v>
      </c>
      <c r="I327">
        <f>IF(AND(B327&gt;=DATE(2025,7,1),B327&lt;=DATE(2026,6,30)),1,0)</f>
        <v>1</v>
      </c>
      <c r="J327">
        <f>IF(B327&lt;=DATE(2026,6,30),1,0)</f>
        <v>1</v>
      </c>
      <c r="K327" t="inlineStr"/>
      <c r="L327" t="inlineStr">
        <is>
          <t>Driver</t>
        </is>
      </c>
      <c r="M327">
        <f>COUNTIFS('Asset Log'!$A$5:$A$1379,A327,'Asset Log'!$E$5:$E$1379,E327,'Asset Log'!$G$5:$G$1379,G327)</f>
        <v>1</v>
      </c>
    </row>
    <row r="328">
      <c r="A328" t="inlineStr">
        <is>
          <t>D70915</t>
        </is>
      </c>
      <c r="B328" s="11" t="n">
        <v>45899</v>
      </c>
      <c r="C328" t="inlineStr">
        <is>
          <t>S0097</t>
        </is>
      </c>
      <c r="D328" t="inlineStr">
        <is>
          <t>S0097</t>
        </is>
      </c>
      <c r="E328" t="inlineStr">
        <is>
          <t>BR</t>
        </is>
      </c>
      <c r="F328" t="n">
        <v>20</v>
      </c>
      <c r="G328" t="inlineStr">
        <is>
          <t>IN</t>
        </is>
      </c>
      <c r="H328">
        <f>IF(G328="OUT",F328,-F328)</f>
        <v>-20</v>
      </c>
      <c r="I328">
        <f>IF(AND(B328&gt;=DATE(2025,7,1),B328&lt;=DATE(2026,6,30)),1,0)</f>
        <v>1</v>
      </c>
      <c r="J328">
        <f>IF(B328&lt;=DATE(2026,6,30),1,0)</f>
        <v>1</v>
      </c>
      <c r="K328" t="inlineStr"/>
      <c r="L328" t="inlineStr">
        <is>
          <t>Office</t>
        </is>
      </c>
      <c r="M328">
        <f>COUNTIFS('Asset Log'!$A$5:$A$1379,A328,'Asset Log'!$E$5:$E$1379,E328,'Asset Log'!$G$5:$G$1379,G328)</f>
        <v>1</v>
      </c>
    </row>
    <row r="329">
      <c r="A329" t="inlineStr">
        <is>
          <t>D70510</t>
        </is>
      </c>
      <c r="B329" s="11" t="n">
        <v>45900</v>
      </c>
      <c r="C329" t="inlineStr">
        <is>
          <t>S0055 Doncaster</t>
        </is>
      </c>
      <c r="D329" t="inlineStr">
        <is>
          <t>S0055</t>
        </is>
      </c>
      <c r="E329" t="inlineStr">
        <is>
          <t>FP</t>
        </is>
      </c>
      <c r="F329" t="n">
        <v>90</v>
      </c>
      <c r="G329" t="inlineStr">
        <is>
          <t>IN</t>
        </is>
      </c>
      <c r="H329">
        <f>IF(G329="OUT",F329,-F329)</f>
        <v>-90</v>
      </c>
      <c r="I329">
        <f>IF(AND(B329&gt;=DATE(2025,7,1),B329&lt;=DATE(2026,6,30)),1,0)</f>
        <v>1</v>
      </c>
      <c r="J329">
        <f>IF(B329&lt;=DATE(2026,6,30),1,0)</f>
        <v>1</v>
      </c>
      <c r="K329" t="inlineStr">
        <is>
          <t>Site text normalised</t>
        </is>
      </c>
      <c r="L329" t="inlineStr">
        <is>
          <t>Office</t>
        </is>
      </c>
      <c r="M329">
        <f>COUNTIFS('Asset Log'!$A$5:$A$1379,A329,'Asset Log'!$E$5:$E$1379,E329,'Asset Log'!$G$5:$G$1379,G329)</f>
        <v>1</v>
      </c>
    </row>
    <row r="330">
      <c r="A330" t="inlineStr">
        <is>
          <t>D70514</t>
        </is>
      </c>
      <c r="B330" s="11" t="n">
        <v>45900</v>
      </c>
      <c r="C330" t="inlineStr">
        <is>
          <t>55</t>
        </is>
      </c>
      <c r="D330" t="inlineStr">
        <is>
          <t>S0055</t>
        </is>
      </c>
      <c r="E330" t="inlineStr">
        <is>
          <t>FB</t>
        </is>
      </c>
      <c r="F330" t="n">
        <v>100</v>
      </c>
      <c r="G330" t="inlineStr">
        <is>
          <t>IN</t>
        </is>
      </c>
      <c r="H330">
        <f>IF(G330="OUT",F330,-F330)</f>
        <v>-100</v>
      </c>
      <c r="I330">
        <f>IF(AND(B330&gt;=DATE(2025,7,1),B330&lt;=DATE(2026,6,30)),1,0)</f>
        <v>1</v>
      </c>
      <c r="J330">
        <f>IF(B330&lt;=DATE(2026,6,30),1,0)</f>
        <v>1</v>
      </c>
      <c r="K330" t="inlineStr">
        <is>
          <t>Site text normalised</t>
        </is>
      </c>
      <c r="L330" t="inlineStr">
        <is>
          <t>Office</t>
        </is>
      </c>
      <c r="M330">
        <f>COUNTIFS('Asset Log'!$A$5:$A$1379,A330,'Asset Log'!$E$5:$E$1379,E330,'Asset Log'!$G$5:$G$1379,G330)</f>
        <v>1</v>
      </c>
    </row>
    <row r="331">
      <c r="A331" t="inlineStr">
        <is>
          <t>D70517</t>
        </is>
      </c>
      <c r="B331" s="11" t="n">
        <v>45900</v>
      </c>
      <c r="C331" t="inlineStr">
        <is>
          <t>S0055</t>
        </is>
      </c>
      <c r="D331" t="inlineStr">
        <is>
          <t>S0055</t>
        </is>
      </c>
      <c r="E331" t="inlineStr">
        <is>
          <t>BR</t>
        </is>
      </c>
      <c r="F331" t="n">
        <v>22</v>
      </c>
      <c r="G331" t="inlineStr">
        <is>
          <t>IN</t>
        </is>
      </c>
      <c r="H331">
        <f>IF(G331="OUT",F331,-F331)</f>
        <v>-22</v>
      </c>
      <c r="I331">
        <f>IF(AND(B331&gt;=DATE(2025,7,1),B331&lt;=DATE(2026,6,30)),1,0)</f>
        <v>1</v>
      </c>
      <c r="J331">
        <f>IF(B331&lt;=DATE(2026,6,30),1,0)</f>
        <v>1</v>
      </c>
      <c r="K331" t="inlineStr"/>
      <c r="L331" t="inlineStr">
        <is>
          <t>Office</t>
        </is>
      </c>
      <c r="M331">
        <f>COUNTIFS('Asset Log'!$A$5:$A$1379,A331,'Asset Log'!$E$5:$E$1379,E331,'Asset Log'!$G$5:$G$1379,G331)</f>
        <v>1</v>
      </c>
    </row>
    <row r="332">
      <c r="A332" t="inlineStr">
        <is>
          <t>D70518</t>
        </is>
      </c>
      <c r="B332" s="11" t="n">
        <v>45900</v>
      </c>
      <c r="C332" t="inlineStr">
        <is>
          <t>S0055</t>
        </is>
      </c>
      <c r="D332" t="inlineStr">
        <is>
          <t>S0055</t>
        </is>
      </c>
      <c r="E332" t="inlineStr">
        <is>
          <t>FP</t>
        </is>
      </c>
      <c r="F332" t="n">
        <v>1</v>
      </c>
      <c r="G332" t="inlineStr">
        <is>
          <t>LOST</t>
        </is>
      </c>
      <c r="H332">
        <f>IF(G332="OUT",F332,-F332)</f>
        <v>-1</v>
      </c>
      <c r="I332">
        <f>IF(AND(B332&gt;=DATE(2025,7,1),B332&lt;=DATE(2026,6,30)),1,0)</f>
        <v>1</v>
      </c>
      <c r="J332">
        <f>IF(B332&lt;=DATE(2026,6,30),1,0)</f>
        <v>1</v>
      </c>
      <c r="K332" t="inlineStr"/>
      <c r="L332" t="inlineStr">
        <is>
          <t>Office</t>
        </is>
      </c>
      <c r="M332">
        <f>COUNTIFS('Asset Log'!$A$5:$A$1379,A332,'Asset Log'!$E$5:$E$1379,E332,'Asset Log'!$G$5:$G$1379,G332)</f>
        <v>1</v>
      </c>
    </row>
    <row r="333">
      <c r="A333" t="inlineStr">
        <is>
          <t>D72348</t>
        </is>
      </c>
      <c r="B333" s="11" t="n">
        <v>45900</v>
      </c>
      <c r="C333" t="inlineStr">
        <is>
          <t>S0269</t>
        </is>
      </c>
      <c r="D333" t="inlineStr">
        <is>
          <t>S0269</t>
        </is>
      </c>
      <c r="E333" t="inlineStr">
        <is>
          <t>ST</t>
        </is>
      </c>
      <c r="F333" t="n">
        <v>4</v>
      </c>
      <c r="G333" t="inlineStr">
        <is>
          <t>IN</t>
        </is>
      </c>
      <c r="H333">
        <f>IF(G333="OUT",F333,-F333)</f>
        <v>-4</v>
      </c>
      <c r="I333">
        <f>IF(AND(B333&gt;=DATE(2025,7,1),B333&lt;=DATE(2026,6,30)),1,0)</f>
        <v>1</v>
      </c>
      <c r="J333">
        <f>IF(B333&lt;=DATE(2026,6,30),1,0)</f>
        <v>1</v>
      </c>
      <c r="K333" t="inlineStr"/>
      <c r="L333" t="inlineStr">
        <is>
          <t>Office</t>
        </is>
      </c>
      <c r="M333">
        <f>COUNTIFS('Asset Log'!$A$5:$A$1379,A333,'Asset Log'!$E$5:$E$1379,E333,'Asset Log'!$G$5:$G$1379,G333)</f>
        <v>1</v>
      </c>
    </row>
    <row r="334">
      <c r="A334" t="inlineStr">
        <is>
          <t>D72317</t>
        </is>
      </c>
      <c r="B334" s="11" t="n">
        <v>45901</v>
      </c>
      <c r="C334" t="inlineStr">
        <is>
          <t>S0261</t>
        </is>
      </c>
      <c r="D334" t="inlineStr">
        <is>
          <t>S0261</t>
        </is>
      </c>
      <c r="E334" t="inlineStr">
        <is>
          <t>ST</t>
        </is>
      </c>
      <c r="F334" t="n">
        <v>4</v>
      </c>
      <c r="G334" t="inlineStr">
        <is>
          <t>OUT</t>
        </is>
      </c>
      <c r="H334">
        <f>IF(G334="OUT",F334,-F334)</f>
        <v>4</v>
      </c>
      <c r="I334">
        <f>IF(AND(B334&gt;=DATE(2025,7,1),B334&lt;=DATE(2026,6,30)),1,0)</f>
        <v>1</v>
      </c>
      <c r="J334">
        <f>IF(B334&lt;=DATE(2026,6,30),1,0)</f>
        <v>1</v>
      </c>
      <c r="K334" t="inlineStr"/>
      <c r="L334" t="inlineStr">
        <is>
          <t>Office</t>
        </is>
      </c>
      <c r="M334">
        <f>COUNTIFS('Asset Log'!$A$5:$A$1379,A334,'Asset Log'!$E$5:$E$1379,E334,'Asset Log'!$G$5:$G$1379,G334)</f>
        <v>1</v>
      </c>
    </row>
    <row r="335">
      <c r="A335" t="inlineStr">
        <is>
          <t>D70565</t>
        </is>
      </c>
      <c r="B335" s="11" t="n">
        <v>45902</v>
      </c>
      <c r="C335" t="inlineStr">
        <is>
          <t>s062</t>
        </is>
      </c>
      <c r="D335" t="inlineStr">
        <is>
          <t>S0062</t>
        </is>
      </c>
      <c r="E335" t="inlineStr">
        <is>
          <t>FP</t>
        </is>
      </c>
      <c r="F335" t="n">
        <v>135</v>
      </c>
      <c r="G335" t="inlineStr">
        <is>
          <t>OUT</t>
        </is>
      </c>
      <c r="H335">
        <f>IF(G335="OUT",F335,-F335)</f>
        <v>135</v>
      </c>
      <c r="I335">
        <f>IF(AND(B335&gt;=DATE(2025,7,1),B335&lt;=DATE(2026,6,30)),1,0)</f>
        <v>1</v>
      </c>
      <c r="J335">
        <f>IF(B335&lt;=DATE(2026,6,30),1,0)</f>
        <v>1</v>
      </c>
      <c r="K335" t="inlineStr">
        <is>
          <t>Site text normalised</t>
        </is>
      </c>
      <c r="L335" t="inlineStr">
        <is>
          <t>Yard</t>
        </is>
      </c>
      <c r="M335">
        <f>COUNTIFS('Asset Log'!$A$5:$A$1379,A335,'Asset Log'!$E$5:$E$1379,E335,'Asset Log'!$G$5:$G$1379,G335)</f>
        <v>1</v>
      </c>
    </row>
    <row r="336">
      <c r="A336" t="inlineStr">
        <is>
          <t>D70571</t>
        </is>
      </c>
      <c r="B336" s="11" t="n">
        <v>45902</v>
      </c>
      <c r="C336" t="inlineStr">
        <is>
          <t>S0062</t>
        </is>
      </c>
      <c r="D336" t="inlineStr">
        <is>
          <t>S0062</t>
        </is>
      </c>
      <c r="E336" t="inlineStr">
        <is>
          <t>FB</t>
        </is>
      </c>
      <c r="F336" t="n">
        <v>148</v>
      </c>
      <c r="G336" t="inlineStr">
        <is>
          <t>OUT</t>
        </is>
      </c>
      <c r="H336">
        <f>IF(G336="OUT",F336,-F336)</f>
        <v>148</v>
      </c>
      <c r="I336">
        <f>IF(AND(B336&gt;=DATE(2025,7,1),B336&lt;=DATE(2026,6,30)),1,0)</f>
        <v>1</v>
      </c>
      <c r="J336">
        <f>IF(B336&lt;=DATE(2026,6,30),1,0)</f>
        <v>1</v>
      </c>
      <c r="K336" t="inlineStr"/>
      <c r="L336" t="inlineStr">
        <is>
          <t>Yard</t>
        </is>
      </c>
      <c r="M336">
        <f>COUNTIFS('Asset Log'!$A$5:$A$1379,A336,'Asset Log'!$E$5:$E$1379,E336,'Asset Log'!$G$5:$G$1379,G336)</f>
        <v>1</v>
      </c>
    </row>
    <row r="337">
      <c r="A337" t="inlineStr">
        <is>
          <t>D70580</t>
        </is>
      </c>
      <c r="B337" s="11" t="n">
        <v>45902</v>
      </c>
      <c r="C337" t="inlineStr">
        <is>
          <t>62</t>
        </is>
      </c>
      <c r="D337" t="inlineStr">
        <is>
          <t>S0062</t>
        </is>
      </c>
      <c r="E337" t="inlineStr">
        <is>
          <t>BR</t>
        </is>
      </c>
      <c r="F337" t="n">
        <v>19</v>
      </c>
      <c r="G337" t="inlineStr">
        <is>
          <t>OUT</t>
        </is>
      </c>
      <c r="H337">
        <f>IF(G337="OUT",F337,-F337)</f>
        <v>19</v>
      </c>
      <c r="I337">
        <f>IF(AND(B337&gt;=DATE(2025,7,1),B337&lt;=DATE(2026,6,30)),1,0)</f>
        <v>1</v>
      </c>
      <c r="J337">
        <f>IF(B337&lt;=DATE(2026,6,30),1,0)</f>
        <v>1</v>
      </c>
      <c r="K337" t="inlineStr">
        <is>
          <t>Site text normalised</t>
        </is>
      </c>
      <c r="L337" t="inlineStr">
        <is>
          <t>Driver</t>
        </is>
      </c>
      <c r="M337">
        <f>COUNTIFS('Asset Log'!$A$5:$A$1379,A337,'Asset Log'!$E$5:$E$1379,E337,'Asset Log'!$G$5:$G$1379,G337)</f>
        <v>1</v>
      </c>
    </row>
    <row r="338">
      <c r="A338" t="inlineStr">
        <is>
          <t>D72730</t>
        </is>
      </c>
      <c r="B338" s="11" t="n">
        <v>45903</v>
      </c>
      <c r="C338" t="inlineStr">
        <is>
          <t>s479</t>
        </is>
      </c>
      <c r="D338" t="inlineStr">
        <is>
          <t>S0479</t>
        </is>
      </c>
      <c r="E338" t="inlineStr">
        <is>
          <t>TK</t>
        </is>
      </c>
      <c r="F338" t="n">
        <v>1</v>
      </c>
      <c r="G338" t="inlineStr">
        <is>
          <t>IN</t>
        </is>
      </c>
      <c r="H338">
        <f>IF(G338="OUT",F338,-F338)</f>
        <v>-1</v>
      </c>
      <c r="I338">
        <f>IF(AND(B338&gt;=DATE(2025,7,1),B338&lt;=DATE(2026,6,30)),1,0)</f>
        <v>1</v>
      </c>
      <c r="J338">
        <f>IF(B338&lt;=DATE(2026,6,30),1,0)</f>
        <v>1</v>
      </c>
      <c r="K338" t="inlineStr">
        <is>
          <t>Site text normalised</t>
        </is>
      </c>
      <c r="L338" t="inlineStr">
        <is>
          <t>Yard</t>
        </is>
      </c>
      <c r="M338">
        <f>COUNTIFS('Asset Log'!$A$5:$A$1379,A338,'Asset Log'!$E$5:$E$1379,E338,'Asset Log'!$G$5:$G$1379,G338)</f>
        <v>1</v>
      </c>
    </row>
    <row r="339">
      <c r="A339" t="inlineStr">
        <is>
          <t>D70475</t>
        </is>
      </c>
      <c r="B339" s="11" t="n">
        <v>45904</v>
      </c>
      <c r="C339" t="inlineStr">
        <is>
          <t>S0051</t>
        </is>
      </c>
      <c r="D339" t="inlineStr">
        <is>
          <t>S0051</t>
        </is>
      </c>
      <c r="E339" t="inlineStr">
        <is>
          <t>FP</t>
        </is>
      </c>
      <c r="F339" t="n">
        <v>38</v>
      </c>
      <c r="G339" t="inlineStr">
        <is>
          <t>IN</t>
        </is>
      </c>
      <c r="H339">
        <f>IF(G339="OUT",F339,-F339)</f>
        <v>-38</v>
      </c>
      <c r="I339">
        <f>IF(AND(B339&gt;=DATE(2025,7,1),B339&lt;=DATE(2026,6,30)),1,0)</f>
        <v>1</v>
      </c>
      <c r="J339">
        <f>IF(B339&lt;=DATE(2026,6,30),1,0)</f>
        <v>1</v>
      </c>
      <c r="K339" t="inlineStr"/>
      <c r="L339" t="inlineStr">
        <is>
          <t>Driver</t>
        </is>
      </c>
      <c r="M339">
        <f>COUNTIFS('Asset Log'!$A$5:$A$1379,A339,'Asset Log'!$E$5:$E$1379,E339,'Asset Log'!$G$5:$G$1379,G339)</f>
        <v>1</v>
      </c>
    </row>
    <row r="340">
      <c r="A340" t="inlineStr">
        <is>
          <t>D70477</t>
        </is>
      </c>
      <c r="B340" s="11" t="n">
        <v>45904</v>
      </c>
      <c r="C340" t="inlineStr">
        <is>
          <t>S0051</t>
        </is>
      </c>
      <c r="D340" t="inlineStr">
        <is>
          <t>S0051</t>
        </is>
      </c>
      <c r="E340" t="inlineStr">
        <is>
          <t>FB</t>
        </is>
      </c>
      <c r="F340" t="n">
        <v>41</v>
      </c>
      <c r="G340" t="inlineStr">
        <is>
          <t>IN</t>
        </is>
      </c>
      <c r="H340">
        <f>IF(G340="OUT",F340,-F340)</f>
        <v>-41</v>
      </c>
      <c r="I340">
        <f>IF(AND(B340&gt;=DATE(2025,7,1),B340&lt;=DATE(2026,6,30)),1,0)</f>
        <v>1</v>
      </c>
      <c r="J340">
        <f>IF(B340&lt;=DATE(2026,6,30),1,0)</f>
        <v>1</v>
      </c>
      <c r="K340" t="inlineStr"/>
      <c r="L340" t="inlineStr">
        <is>
          <t>Yard</t>
        </is>
      </c>
      <c r="M340">
        <f>COUNTIFS('Asset Log'!$A$5:$A$1379,A340,'Asset Log'!$E$5:$E$1379,E340,'Asset Log'!$G$5:$G$1379,G340)</f>
        <v>1</v>
      </c>
    </row>
    <row r="341">
      <c r="A341" t="inlineStr">
        <is>
          <t>D71327</t>
        </is>
      </c>
      <c r="B341" s="11" t="n">
        <v>45904</v>
      </c>
      <c r="C341" t="inlineStr">
        <is>
          <t>S0140</t>
        </is>
      </c>
      <c r="D341" t="inlineStr">
        <is>
          <t>S0140</t>
        </is>
      </c>
      <c r="E341" t="inlineStr">
        <is>
          <t>FP</t>
        </is>
      </c>
      <c r="F341" t="n">
        <v>124</v>
      </c>
      <c r="G341" t="inlineStr">
        <is>
          <t>IN</t>
        </is>
      </c>
      <c r="H341">
        <f>IF(G341="OUT",F341,-F341)</f>
        <v>-124</v>
      </c>
      <c r="I341">
        <f>IF(AND(B341&gt;=DATE(2025,7,1),B341&lt;=DATE(2026,6,30)),1,0)</f>
        <v>1</v>
      </c>
      <c r="J341">
        <f>IF(B341&lt;=DATE(2026,6,30),1,0)</f>
        <v>1</v>
      </c>
      <c r="K341" t="inlineStr"/>
      <c r="L341" t="inlineStr">
        <is>
          <t>Office</t>
        </is>
      </c>
      <c r="M341">
        <f>COUNTIFS('Asset Log'!$A$5:$A$1379,A341,'Asset Log'!$E$5:$E$1379,E341,'Asset Log'!$G$5:$G$1379,G341)</f>
        <v>1</v>
      </c>
    </row>
    <row r="342">
      <c r="A342" t="inlineStr">
        <is>
          <t>D71330</t>
        </is>
      </c>
      <c r="B342" s="11" t="n">
        <v>45904</v>
      </c>
      <c r="C342" t="inlineStr">
        <is>
          <t>S0140</t>
        </is>
      </c>
      <c r="D342" t="inlineStr">
        <is>
          <t>S0140</t>
        </is>
      </c>
      <c r="E342" t="inlineStr">
        <is>
          <t>FB</t>
        </is>
      </c>
      <c r="F342" t="n">
        <v>136</v>
      </c>
      <c r="G342" t="inlineStr">
        <is>
          <t>IN</t>
        </is>
      </c>
      <c r="H342">
        <f>IF(G342="OUT",F342,-F342)</f>
        <v>-136</v>
      </c>
      <c r="I342">
        <f>IF(AND(B342&gt;=DATE(2025,7,1),B342&lt;=DATE(2026,6,30)),1,0)</f>
        <v>1</v>
      </c>
      <c r="J342">
        <f>IF(B342&lt;=DATE(2026,6,30),1,0)</f>
        <v>1</v>
      </c>
      <c r="K342" t="inlineStr"/>
      <c r="L342" t="inlineStr">
        <is>
          <t>Office</t>
        </is>
      </c>
      <c r="M342">
        <f>COUNTIFS('Asset Log'!$A$5:$A$1379,A342,'Asset Log'!$E$5:$E$1379,E342,'Asset Log'!$G$5:$G$1379,G342)</f>
        <v>1</v>
      </c>
    </row>
    <row r="343">
      <c r="A343" t="inlineStr">
        <is>
          <t>D71899</t>
        </is>
      </c>
      <c r="B343" s="11" t="n">
        <v>45904</v>
      </c>
      <c r="C343" t="inlineStr">
        <is>
          <t>201</t>
        </is>
      </c>
      <c r="D343" t="inlineStr">
        <is>
          <t>S0201</t>
        </is>
      </c>
      <c r="E343" t="inlineStr">
        <is>
          <t>FP</t>
        </is>
      </c>
      <c r="F343" t="n">
        <v>22</v>
      </c>
      <c r="G343" t="inlineStr">
        <is>
          <t>OUT</t>
        </is>
      </c>
      <c r="H343">
        <f>IF(G343="OUT",F343,-F343)</f>
        <v>22</v>
      </c>
      <c r="I343">
        <f>IF(AND(B343&gt;=DATE(2025,7,1),B343&lt;=DATE(2026,6,30)),1,0)</f>
        <v>1</v>
      </c>
      <c r="J343">
        <f>IF(B343&lt;=DATE(2026,6,30),1,0)</f>
        <v>1</v>
      </c>
      <c r="K343" t="inlineStr">
        <is>
          <t>Site text normalised</t>
        </is>
      </c>
      <c r="L343" t="inlineStr">
        <is>
          <t>Yard</t>
        </is>
      </c>
      <c r="M343">
        <f>COUNTIFS('Asset Log'!$A$5:$A$1379,A343,'Asset Log'!$E$5:$E$1379,E343,'Asset Log'!$G$5:$G$1379,G343)</f>
        <v>1</v>
      </c>
    </row>
    <row r="344">
      <c r="A344" t="inlineStr">
        <is>
          <t>D71902</t>
        </is>
      </c>
      <c r="B344" s="11" t="n">
        <v>45904</v>
      </c>
      <c r="C344" t="inlineStr">
        <is>
          <t>S0201 Carlton</t>
        </is>
      </c>
      <c r="D344" t="inlineStr">
        <is>
          <t>S0201</t>
        </is>
      </c>
      <c r="E344" t="inlineStr">
        <is>
          <t>FB</t>
        </is>
      </c>
      <c r="F344" t="n">
        <v>24</v>
      </c>
      <c r="G344" t="inlineStr">
        <is>
          <t>OUT</t>
        </is>
      </c>
      <c r="H344">
        <f>IF(G344="OUT",F344,-F344)</f>
        <v>24</v>
      </c>
      <c r="I344">
        <f>IF(AND(B344&gt;=DATE(2025,7,1),B344&lt;=DATE(2026,6,30)),1,0)</f>
        <v>1</v>
      </c>
      <c r="J344">
        <f>IF(B344&lt;=DATE(2026,6,30),1,0)</f>
        <v>1</v>
      </c>
      <c r="K344" t="inlineStr">
        <is>
          <t>Site text normalised</t>
        </is>
      </c>
      <c r="L344" t="inlineStr">
        <is>
          <t>Yard</t>
        </is>
      </c>
      <c r="M344">
        <f>COUNTIFS('Asset Log'!$A$5:$A$1379,A344,'Asset Log'!$E$5:$E$1379,E344,'Asset Log'!$G$5:$G$1379,G344)</f>
        <v>1</v>
      </c>
    </row>
    <row r="345">
      <c r="A345" t="inlineStr">
        <is>
          <t>D72752</t>
        </is>
      </c>
      <c r="B345" s="11" t="n">
        <v>45904</v>
      </c>
      <c r="C345" t="inlineStr">
        <is>
          <t>S0491</t>
        </is>
      </c>
      <c r="D345" t="inlineStr">
        <is>
          <t>S0491</t>
        </is>
      </c>
      <c r="E345" t="inlineStr">
        <is>
          <t>TK</t>
        </is>
      </c>
      <c r="F345" t="n">
        <v>2</v>
      </c>
      <c r="G345" t="inlineStr">
        <is>
          <t>IN</t>
        </is>
      </c>
      <c r="H345">
        <f>IF(G345="OUT",F345,-F345)</f>
        <v>-2</v>
      </c>
      <c r="I345">
        <f>IF(AND(B345&gt;=DATE(2025,7,1),B345&lt;=DATE(2026,6,30)),1,0)</f>
        <v>1</v>
      </c>
      <c r="J345">
        <f>IF(B345&lt;=DATE(2026,6,30),1,0)</f>
        <v>1</v>
      </c>
      <c r="K345" t="inlineStr"/>
      <c r="L345" t="inlineStr">
        <is>
          <t>Office</t>
        </is>
      </c>
      <c r="M345">
        <f>COUNTIFS('Asset Log'!$A$5:$A$1379,A345,'Asset Log'!$E$5:$E$1379,E345,'Asset Log'!$G$5:$G$1379,G345)</f>
        <v>1</v>
      </c>
    </row>
    <row r="346">
      <c r="A346" t="inlineStr">
        <is>
          <t>D72784</t>
        </is>
      </c>
      <c r="B346" s="11" t="n">
        <v>45904</v>
      </c>
      <c r="C346" t="inlineStr">
        <is>
          <t>S0505</t>
        </is>
      </c>
      <c r="D346" t="inlineStr">
        <is>
          <t>S0505</t>
        </is>
      </c>
      <c r="E346" t="inlineStr">
        <is>
          <t>TK</t>
        </is>
      </c>
      <c r="F346" t="n">
        <v>3</v>
      </c>
      <c r="G346" t="inlineStr">
        <is>
          <t>OUT</t>
        </is>
      </c>
      <c r="H346">
        <f>IF(G346="OUT",F346,-F346)</f>
        <v>3</v>
      </c>
      <c r="I346">
        <f>IF(AND(B346&gt;=DATE(2025,7,1),B346&lt;=DATE(2026,6,30)),1,0)</f>
        <v>1</v>
      </c>
      <c r="J346">
        <f>IF(B346&lt;=DATE(2026,6,30),1,0)</f>
        <v>1</v>
      </c>
      <c r="K346" t="inlineStr"/>
      <c r="L346" t="inlineStr">
        <is>
          <t>Office</t>
        </is>
      </c>
      <c r="M346">
        <f>COUNTIFS('Asset Log'!$A$5:$A$1379,A346,'Asset Log'!$E$5:$E$1379,E346,'Asset Log'!$G$5:$G$1379,G346)</f>
        <v>1</v>
      </c>
    </row>
    <row r="347">
      <c r="A347" t="inlineStr">
        <is>
          <t>D70223</t>
        </is>
      </c>
      <c r="B347" s="11" t="n">
        <v>45905</v>
      </c>
      <c r="C347" t="inlineStr">
        <is>
          <t>S0024</t>
        </is>
      </c>
      <c r="D347" t="inlineStr">
        <is>
          <t>S0024</t>
        </is>
      </c>
      <c r="E347" t="inlineStr">
        <is>
          <t>FP</t>
        </is>
      </c>
      <c r="F347" t="n">
        <v>25</v>
      </c>
      <c r="G347" t="inlineStr">
        <is>
          <t>OUT</t>
        </is>
      </c>
      <c r="H347">
        <f>IF(G347="OUT",F347,-F347)</f>
        <v>25</v>
      </c>
      <c r="I347">
        <f>IF(AND(B347&gt;=DATE(2025,7,1),B347&lt;=DATE(2026,6,30)),1,0)</f>
        <v>1</v>
      </c>
      <c r="J347">
        <f>IF(B347&lt;=DATE(2026,6,30),1,0)</f>
        <v>1</v>
      </c>
      <c r="K347" t="inlineStr"/>
      <c r="L347" t="inlineStr">
        <is>
          <t>Office</t>
        </is>
      </c>
      <c r="M347">
        <f>COUNTIFS('Asset Log'!$A$5:$A$1379,A347,'Asset Log'!$E$5:$E$1379,E347,'Asset Log'!$G$5:$G$1379,G347)</f>
        <v>1</v>
      </c>
    </row>
    <row r="348">
      <c r="A348" t="inlineStr">
        <is>
          <t>D70227</t>
        </is>
      </c>
      <c r="B348" s="11" t="n">
        <v>45905</v>
      </c>
      <c r="C348" t="inlineStr">
        <is>
          <t>S0024</t>
        </is>
      </c>
      <c r="D348" t="inlineStr">
        <is>
          <t>S0024</t>
        </is>
      </c>
      <c r="E348" t="inlineStr">
        <is>
          <t>FB</t>
        </is>
      </c>
      <c r="F348" t="n">
        <v>27</v>
      </c>
      <c r="G348" t="inlineStr">
        <is>
          <t>OUT</t>
        </is>
      </c>
      <c r="H348">
        <f>IF(G348="OUT",F348,-F348)</f>
        <v>27</v>
      </c>
      <c r="I348">
        <f>IF(AND(B348&gt;=DATE(2025,7,1),B348&lt;=DATE(2026,6,30)),1,0)</f>
        <v>1</v>
      </c>
      <c r="J348">
        <f>IF(B348&lt;=DATE(2026,6,30),1,0)</f>
        <v>1</v>
      </c>
      <c r="K348" t="inlineStr"/>
      <c r="L348" t="inlineStr">
        <is>
          <t>Office</t>
        </is>
      </c>
      <c r="M348">
        <f>COUNTIFS('Asset Log'!$A$5:$A$1379,A348,'Asset Log'!$E$5:$E$1379,E348,'Asset Log'!$G$5:$G$1379,G348)</f>
        <v>1</v>
      </c>
    </row>
    <row r="349">
      <c r="A349" t="inlineStr">
        <is>
          <t>D70231</t>
        </is>
      </c>
      <c r="B349" s="11" t="n">
        <v>45905</v>
      </c>
      <c r="C349" t="inlineStr">
        <is>
          <t>S0024</t>
        </is>
      </c>
      <c r="D349" t="inlineStr">
        <is>
          <t>S0024</t>
        </is>
      </c>
      <c r="E349" t="inlineStr">
        <is>
          <t>BR</t>
        </is>
      </c>
      <c r="F349" t="n">
        <v>17</v>
      </c>
      <c r="G349" t="inlineStr">
        <is>
          <t>OUT</t>
        </is>
      </c>
      <c r="H349">
        <f>IF(G349="OUT",F349,-F349)</f>
        <v>17</v>
      </c>
      <c r="I349">
        <f>IF(AND(B349&gt;=DATE(2025,7,1),B349&lt;=DATE(2026,6,30)),1,0)</f>
        <v>1</v>
      </c>
      <c r="J349">
        <f>IF(B349&lt;=DATE(2026,6,30),1,0)</f>
        <v>1</v>
      </c>
      <c r="K349" t="inlineStr"/>
      <c r="L349" t="inlineStr">
        <is>
          <t>Office</t>
        </is>
      </c>
      <c r="M349">
        <f>COUNTIFS('Asset Log'!$A$5:$A$1379,A349,'Asset Log'!$E$5:$E$1379,E349,'Asset Log'!$G$5:$G$1379,G349)</f>
        <v>1</v>
      </c>
    </row>
    <row r="350">
      <c r="A350" t="inlineStr">
        <is>
          <t>D72264</t>
        </is>
      </c>
      <c r="B350" s="11" t="n">
        <v>45905</v>
      </c>
      <c r="C350" t="inlineStr">
        <is>
          <t>S0249</t>
        </is>
      </c>
      <c r="D350" t="inlineStr">
        <is>
          <t>S0249</t>
        </is>
      </c>
      <c r="E350" t="inlineStr">
        <is>
          <t>ST</t>
        </is>
      </c>
      <c r="F350" t="n">
        <v>1</v>
      </c>
      <c r="G350" t="inlineStr">
        <is>
          <t>OUT</t>
        </is>
      </c>
      <c r="H350">
        <f>IF(G350="OUT",F350,-F350)</f>
        <v>1</v>
      </c>
      <c r="I350">
        <f>IF(AND(B350&gt;=DATE(2025,7,1),B350&lt;=DATE(2026,6,30)),1,0)</f>
        <v>1</v>
      </c>
      <c r="J350">
        <f>IF(B350&lt;=DATE(2026,6,30),1,0)</f>
        <v>1</v>
      </c>
      <c r="K350" t="inlineStr"/>
      <c r="L350" t="inlineStr">
        <is>
          <t>Driver</t>
        </is>
      </c>
      <c r="M350">
        <f>COUNTIFS('Asset Log'!$A$5:$A$1379,A350,'Asset Log'!$E$5:$E$1379,E350,'Asset Log'!$G$5:$G$1379,G350)</f>
        <v>1</v>
      </c>
    </row>
    <row r="351">
      <c r="A351" t="inlineStr">
        <is>
          <t>D72262</t>
        </is>
      </c>
      <c r="B351" s="11" t="n">
        <v>45906</v>
      </c>
      <c r="C351" t="inlineStr">
        <is>
          <t>S0248</t>
        </is>
      </c>
      <c r="D351" t="inlineStr">
        <is>
          <t>S0248</t>
        </is>
      </c>
      <c r="E351" t="inlineStr">
        <is>
          <t>ST</t>
        </is>
      </c>
      <c r="F351" t="n">
        <v>2</v>
      </c>
      <c r="G351" t="inlineStr">
        <is>
          <t>IN</t>
        </is>
      </c>
      <c r="H351">
        <f>IF(G351="OUT",F351,-F351)</f>
        <v>-2</v>
      </c>
      <c r="I351">
        <f>IF(AND(B351&gt;=DATE(2025,7,1),B351&lt;=DATE(2026,6,30)),1,0)</f>
        <v>1</v>
      </c>
      <c r="J351">
        <f>IF(B351&lt;=DATE(2026,6,30),1,0)</f>
        <v>1</v>
      </c>
      <c r="K351" t="inlineStr"/>
      <c r="L351" t="inlineStr">
        <is>
          <t>Office</t>
        </is>
      </c>
      <c r="M351">
        <f>COUNTIFS('Asset Log'!$A$5:$A$1379,A351,'Asset Log'!$E$5:$E$1379,E351,'Asset Log'!$G$5:$G$1379,G351)</f>
        <v>1</v>
      </c>
    </row>
    <row r="352">
      <c r="A352" t="inlineStr">
        <is>
          <t>D72658</t>
        </is>
      </c>
      <c r="B352" s="11" t="n">
        <v>45906</v>
      </c>
      <c r="C352" t="inlineStr">
        <is>
          <t>s422</t>
        </is>
      </c>
      <c r="D352" t="inlineStr">
        <is>
          <t>S0422</t>
        </is>
      </c>
      <c r="E352" t="inlineStr">
        <is>
          <t>TK</t>
        </is>
      </c>
      <c r="F352" t="n">
        <v>2</v>
      </c>
      <c r="G352" t="inlineStr">
        <is>
          <t>IN</t>
        </is>
      </c>
      <c r="H352">
        <f>IF(G352="OUT",F352,-F352)</f>
        <v>-2</v>
      </c>
      <c r="I352">
        <f>IF(AND(B352&gt;=DATE(2025,7,1),B352&lt;=DATE(2026,6,30)),1,0)</f>
        <v>1</v>
      </c>
      <c r="J352">
        <f>IF(B352&lt;=DATE(2026,6,30),1,0)</f>
        <v>1</v>
      </c>
      <c r="K352" t="inlineStr">
        <is>
          <t>Site text normalised</t>
        </is>
      </c>
      <c r="L352" t="inlineStr">
        <is>
          <t>Office</t>
        </is>
      </c>
      <c r="M352">
        <f>COUNTIFS('Asset Log'!$A$5:$A$1379,A352,'Asset Log'!$E$5:$E$1379,E352,'Asset Log'!$G$5:$G$1379,G352)</f>
        <v>1</v>
      </c>
    </row>
    <row r="353">
      <c r="A353" t="inlineStr">
        <is>
          <t>D72791</t>
        </is>
      </c>
      <c r="B353" s="11" t="n">
        <v>45906</v>
      </c>
      <c r="C353" t="inlineStr">
        <is>
          <t>s515</t>
        </is>
      </c>
      <c r="D353" t="inlineStr">
        <is>
          <t>S0515</t>
        </is>
      </c>
      <c r="E353" t="inlineStr">
        <is>
          <t>TK</t>
        </is>
      </c>
      <c r="F353" t="n">
        <v>2</v>
      </c>
      <c r="G353" t="inlineStr">
        <is>
          <t>OUT</t>
        </is>
      </c>
      <c r="H353">
        <f>IF(G353="OUT",F353,-F353)</f>
        <v>2</v>
      </c>
      <c r="I353">
        <f>IF(AND(B353&gt;=DATE(2025,7,1),B353&lt;=DATE(2026,6,30)),1,0)</f>
        <v>1</v>
      </c>
      <c r="J353">
        <f>IF(B353&lt;=DATE(2026,6,30),1,0)</f>
        <v>1</v>
      </c>
      <c r="K353" t="inlineStr">
        <is>
          <t>Site text normalised</t>
        </is>
      </c>
      <c r="L353" t="inlineStr">
        <is>
          <t>Driver</t>
        </is>
      </c>
      <c r="M353">
        <f>COUNTIFS('Asset Log'!$A$5:$A$1379,A353,'Asset Log'!$E$5:$E$1379,E353,'Asset Log'!$G$5:$G$1379,G353)</f>
        <v>1</v>
      </c>
    </row>
    <row r="354">
      <c r="A354" t="inlineStr">
        <is>
          <t>D71737</t>
        </is>
      </c>
      <c r="B354" s="11" t="n">
        <v>45907</v>
      </c>
      <c r="C354" t="inlineStr">
        <is>
          <t>S0183</t>
        </is>
      </c>
      <c r="D354" t="inlineStr">
        <is>
          <t>S0183</t>
        </is>
      </c>
      <c r="E354" t="inlineStr">
        <is>
          <t>FP</t>
        </is>
      </c>
      <c r="F354" t="n">
        <v>78</v>
      </c>
      <c r="G354" t="inlineStr">
        <is>
          <t>OUT</t>
        </is>
      </c>
      <c r="H354">
        <f>IF(G354="OUT",F354,-F354)</f>
        <v>78</v>
      </c>
      <c r="I354">
        <f>IF(AND(B354&gt;=DATE(2025,7,1),B354&lt;=DATE(2026,6,30)),1,0)</f>
        <v>1</v>
      </c>
      <c r="J354">
        <f>IF(B354&lt;=DATE(2026,6,30),1,0)</f>
        <v>1</v>
      </c>
      <c r="K354" t="inlineStr"/>
      <c r="L354" t="inlineStr">
        <is>
          <t>Yard</t>
        </is>
      </c>
      <c r="M354">
        <f>COUNTIFS('Asset Log'!$A$5:$A$1379,A354,'Asset Log'!$E$5:$E$1379,E354,'Asset Log'!$G$5:$G$1379,G354)</f>
        <v>1</v>
      </c>
    </row>
    <row r="355">
      <c r="A355" t="inlineStr">
        <is>
          <t>D71740</t>
        </is>
      </c>
      <c r="B355" s="11" t="n">
        <v>45907</v>
      </c>
      <c r="C355" t="inlineStr">
        <is>
          <t>S0183 Richmond</t>
        </is>
      </c>
      <c r="D355" t="inlineStr">
        <is>
          <t>S0183</t>
        </is>
      </c>
      <c r="E355" t="inlineStr">
        <is>
          <t>FB</t>
        </is>
      </c>
      <c r="F355" t="n">
        <v>85</v>
      </c>
      <c r="G355" t="inlineStr">
        <is>
          <t>OUT</t>
        </is>
      </c>
      <c r="H355">
        <f>IF(G355="OUT",F355,-F355)</f>
        <v>85</v>
      </c>
      <c r="I355">
        <f>IF(AND(B355&gt;=DATE(2025,7,1),B355&lt;=DATE(2026,6,30)),1,0)</f>
        <v>1</v>
      </c>
      <c r="J355">
        <f>IF(B355&lt;=DATE(2026,6,30),1,0)</f>
        <v>1</v>
      </c>
      <c r="K355" t="inlineStr">
        <is>
          <t>Site text normalised</t>
        </is>
      </c>
      <c r="L355" t="inlineStr">
        <is>
          <t>Driver</t>
        </is>
      </c>
      <c r="M355">
        <f>COUNTIFS('Asset Log'!$A$5:$A$1379,A355,'Asset Log'!$E$5:$E$1379,E355,'Asset Log'!$G$5:$G$1379,G355)</f>
        <v>1</v>
      </c>
    </row>
    <row r="356">
      <c r="A356" t="inlineStr">
        <is>
          <t>D72181</t>
        </is>
      </c>
      <c r="B356" s="11" t="n">
        <v>45907</v>
      </c>
      <c r="C356" t="inlineStr">
        <is>
          <t>S0231</t>
        </is>
      </c>
      <c r="D356" t="inlineStr">
        <is>
          <t>S0231</t>
        </is>
      </c>
      <c r="E356" t="inlineStr">
        <is>
          <t>FP</t>
        </is>
      </c>
      <c r="F356" t="n">
        <v>125</v>
      </c>
      <c r="G356" t="inlineStr">
        <is>
          <t>OUT</t>
        </is>
      </c>
      <c r="H356">
        <f>IF(G356="OUT",F356,-F356)</f>
        <v>125</v>
      </c>
      <c r="I356">
        <f>IF(AND(B356&gt;=DATE(2025,7,1),B356&lt;=DATE(2026,6,30)),1,0)</f>
        <v>1</v>
      </c>
      <c r="J356">
        <f>IF(B356&lt;=DATE(2026,6,30),1,0)</f>
        <v>1</v>
      </c>
      <c r="K356" t="inlineStr"/>
      <c r="L356" t="inlineStr">
        <is>
          <t>Office</t>
        </is>
      </c>
      <c r="M356">
        <f>COUNTIFS('Asset Log'!$A$5:$A$1379,A356,'Asset Log'!$E$5:$E$1379,E356,'Asset Log'!$G$5:$G$1379,G356)</f>
        <v>1</v>
      </c>
    </row>
    <row r="357">
      <c r="A357" t="inlineStr">
        <is>
          <t>D72186</t>
        </is>
      </c>
      <c r="B357" s="11" t="n">
        <v>45907</v>
      </c>
      <c r="C357" t="inlineStr">
        <is>
          <t>S0231</t>
        </is>
      </c>
      <c r="D357" t="inlineStr">
        <is>
          <t>S0231</t>
        </is>
      </c>
      <c r="E357" t="inlineStr">
        <is>
          <t>FB</t>
        </is>
      </c>
      <c r="F357" t="n">
        <v>137</v>
      </c>
      <c r="G357" t="inlineStr">
        <is>
          <t>OUT</t>
        </is>
      </c>
      <c r="H357">
        <f>IF(G357="OUT",F357,-F357)</f>
        <v>137</v>
      </c>
      <c r="I357">
        <f>IF(AND(B357&gt;=DATE(2025,7,1),B357&lt;=DATE(2026,6,30)),1,0)</f>
        <v>1</v>
      </c>
      <c r="J357">
        <f>IF(B357&lt;=DATE(2026,6,30),1,0)</f>
        <v>1</v>
      </c>
      <c r="K357" t="inlineStr"/>
      <c r="L357" t="inlineStr">
        <is>
          <t>Driver</t>
        </is>
      </c>
      <c r="M357">
        <f>COUNTIFS('Asset Log'!$A$5:$A$1379,A357,'Asset Log'!$E$5:$E$1379,E357,'Asset Log'!$G$5:$G$1379,G357)</f>
        <v>1</v>
      </c>
    </row>
    <row r="358">
      <c r="A358" t="inlineStr">
        <is>
          <t>D72426</t>
        </is>
      </c>
      <c r="B358" s="11" t="n">
        <v>45907</v>
      </c>
      <c r="C358" t="inlineStr">
        <is>
          <t>S0288</t>
        </is>
      </c>
      <c r="D358" t="inlineStr">
        <is>
          <t>S0288</t>
        </is>
      </c>
      <c r="E358" t="inlineStr">
        <is>
          <t>ST</t>
        </is>
      </c>
      <c r="F358" t="n">
        <v>3</v>
      </c>
      <c r="G358" t="inlineStr">
        <is>
          <t>IN</t>
        </is>
      </c>
      <c r="H358">
        <f>IF(G358="OUT",F358,-F358)</f>
        <v>-3</v>
      </c>
      <c r="I358">
        <f>IF(AND(B358&gt;=DATE(2025,7,1),B358&lt;=DATE(2026,6,30)),1,0)</f>
        <v>1</v>
      </c>
      <c r="J358">
        <f>IF(B358&lt;=DATE(2026,6,30),1,0)</f>
        <v>1</v>
      </c>
      <c r="K358" t="inlineStr"/>
      <c r="L358" t="inlineStr">
        <is>
          <t>Driver</t>
        </is>
      </c>
      <c r="M358">
        <f>COUNTIFS('Asset Log'!$A$5:$A$1379,A358,'Asset Log'!$E$5:$E$1379,E358,'Asset Log'!$G$5:$G$1379,G358)</f>
        <v>1</v>
      </c>
    </row>
    <row r="359">
      <c r="A359" t="inlineStr">
        <is>
          <t>D70854</t>
        </is>
      </c>
      <c r="B359" s="11" t="n">
        <v>45908</v>
      </c>
      <c r="C359" t="inlineStr">
        <is>
          <t>90</t>
        </is>
      </c>
      <c r="D359" t="inlineStr">
        <is>
          <t>S0090</t>
        </is>
      </c>
      <c r="E359" t="inlineStr">
        <is>
          <t>FP</t>
        </is>
      </c>
      <c r="F359" t="n">
        <v>141</v>
      </c>
      <c r="G359" t="inlineStr">
        <is>
          <t>IN</t>
        </is>
      </c>
      <c r="H359">
        <f>IF(G359="OUT",F359,-F359)</f>
        <v>-141</v>
      </c>
      <c r="I359">
        <f>IF(AND(B359&gt;=DATE(2025,7,1),B359&lt;=DATE(2026,6,30)),1,0)</f>
        <v>1</v>
      </c>
      <c r="J359">
        <f>IF(B359&lt;=DATE(2026,6,30),1,0)</f>
        <v>1</v>
      </c>
      <c r="K359" t="inlineStr">
        <is>
          <t>Site text normalised</t>
        </is>
      </c>
      <c r="L359" t="inlineStr">
        <is>
          <t>Yard</t>
        </is>
      </c>
      <c r="M359">
        <f>COUNTIFS('Asset Log'!$A$5:$A$1379,A359,'Asset Log'!$E$5:$E$1379,E359,'Asset Log'!$G$5:$G$1379,G359)</f>
        <v>1</v>
      </c>
    </row>
    <row r="360">
      <c r="A360" t="inlineStr">
        <is>
          <t>D70858</t>
        </is>
      </c>
      <c r="B360" s="11" t="n">
        <v>45908</v>
      </c>
      <c r="C360" t="inlineStr">
        <is>
          <t>s090</t>
        </is>
      </c>
      <c r="D360" t="inlineStr">
        <is>
          <t>S0090</t>
        </is>
      </c>
      <c r="E360" t="inlineStr">
        <is>
          <t>FB</t>
        </is>
      </c>
      <c r="F360" t="n">
        <v>155</v>
      </c>
      <c r="G360" t="inlineStr">
        <is>
          <t>IN</t>
        </is>
      </c>
      <c r="H360">
        <f>IF(G360="OUT",F360,-F360)</f>
        <v>-155</v>
      </c>
      <c r="I360">
        <f>IF(AND(B360&gt;=DATE(2025,7,1),B360&lt;=DATE(2026,6,30)),1,0)</f>
        <v>1</v>
      </c>
      <c r="J360">
        <f>IF(B360&lt;=DATE(2026,6,30),1,0)</f>
        <v>1</v>
      </c>
      <c r="K360" t="inlineStr">
        <is>
          <t>Site text normalised</t>
        </is>
      </c>
      <c r="L360" t="inlineStr">
        <is>
          <t>Office</t>
        </is>
      </c>
      <c r="M360">
        <f>COUNTIFS('Asset Log'!$A$5:$A$1379,A360,'Asset Log'!$E$5:$E$1379,E360,'Asset Log'!$G$5:$G$1379,G360)</f>
        <v>1</v>
      </c>
    </row>
    <row r="361">
      <c r="A361" t="inlineStr">
        <is>
          <t>D70860</t>
        </is>
      </c>
      <c r="B361" s="11" t="n">
        <v>45908</v>
      </c>
      <c r="C361" t="inlineStr">
        <is>
          <t>S0090</t>
        </is>
      </c>
      <c r="D361" t="inlineStr">
        <is>
          <t>S0090</t>
        </is>
      </c>
      <c r="E361" t="inlineStr">
        <is>
          <t>BR</t>
        </is>
      </c>
      <c r="F361" t="n">
        <v>19</v>
      </c>
      <c r="G361" t="inlineStr">
        <is>
          <t>IN</t>
        </is>
      </c>
      <c r="H361">
        <f>IF(G361="OUT",F361,-F361)</f>
        <v>-19</v>
      </c>
      <c r="I361">
        <f>IF(AND(B361&gt;=DATE(2025,7,1),B361&lt;=DATE(2026,6,30)),1,0)</f>
        <v>1</v>
      </c>
      <c r="J361">
        <f>IF(B361&lt;=DATE(2026,6,30),1,0)</f>
        <v>1</v>
      </c>
      <c r="K361" t="inlineStr"/>
      <c r="L361" t="inlineStr">
        <is>
          <t>Office</t>
        </is>
      </c>
      <c r="M361">
        <f>COUNTIFS('Asset Log'!$A$5:$A$1379,A361,'Asset Log'!$E$5:$E$1379,E361,'Asset Log'!$G$5:$G$1379,G361)</f>
        <v>1</v>
      </c>
    </row>
    <row r="362">
      <c r="A362" t="inlineStr">
        <is>
          <t>D71075</t>
        </is>
      </c>
      <c r="B362" s="11" t="n">
        <v>45908</v>
      </c>
      <c r="C362" t="inlineStr">
        <is>
          <t>S0115</t>
        </is>
      </c>
      <c r="D362" t="inlineStr">
        <is>
          <t>S0115</t>
        </is>
      </c>
      <c r="E362" t="inlineStr">
        <is>
          <t>FP</t>
        </is>
      </c>
      <c r="F362" t="n">
        <v>81</v>
      </c>
      <c r="G362" t="inlineStr">
        <is>
          <t>OUT</t>
        </is>
      </c>
      <c r="H362">
        <f>IF(G362="OUT",F362,-F362)</f>
        <v>81</v>
      </c>
      <c r="I362">
        <f>IF(AND(B362&gt;=DATE(2025,7,1),B362&lt;=DATE(2026,6,30)),1,0)</f>
        <v>1</v>
      </c>
      <c r="J362">
        <f>IF(B362&lt;=DATE(2026,6,30),1,0)</f>
        <v>1</v>
      </c>
      <c r="K362" t="inlineStr"/>
      <c r="L362" t="inlineStr">
        <is>
          <t>Office</t>
        </is>
      </c>
      <c r="M362">
        <f>COUNTIFS('Asset Log'!$A$5:$A$1379,A362,'Asset Log'!$E$5:$E$1379,E362,'Asset Log'!$G$5:$G$1379,G362)</f>
        <v>1</v>
      </c>
    </row>
    <row r="363">
      <c r="A363" t="inlineStr">
        <is>
          <t>D71077</t>
        </is>
      </c>
      <c r="B363" s="11" t="n">
        <v>45908</v>
      </c>
      <c r="C363" t="inlineStr">
        <is>
          <t>s115</t>
        </is>
      </c>
      <c r="D363" t="inlineStr">
        <is>
          <t>S0115</t>
        </is>
      </c>
      <c r="E363" t="inlineStr">
        <is>
          <t>FB</t>
        </is>
      </c>
      <c r="F363" t="n">
        <v>89</v>
      </c>
      <c r="G363" t="inlineStr">
        <is>
          <t>OUT</t>
        </is>
      </c>
      <c r="H363">
        <f>IF(G363="OUT",F363,-F363)</f>
        <v>89</v>
      </c>
      <c r="I363">
        <f>IF(AND(B363&gt;=DATE(2025,7,1),B363&lt;=DATE(2026,6,30)),1,0)</f>
        <v>1</v>
      </c>
      <c r="J363">
        <f>IF(B363&lt;=DATE(2026,6,30),1,0)</f>
        <v>1</v>
      </c>
      <c r="K363" t="inlineStr">
        <is>
          <t>Site text normalised</t>
        </is>
      </c>
      <c r="L363" t="inlineStr">
        <is>
          <t>Yard</t>
        </is>
      </c>
      <c r="M363">
        <f>COUNTIFS('Asset Log'!$A$5:$A$1379,A363,'Asset Log'!$E$5:$E$1379,E363,'Asset Log'!$G$5:$G$1379,G363)</f>
        <v>1</v>
      </c>
    </row>
    <row r="364">
      <c r="A364" t="inlineStr">
        <is>
          <t>D72027</t>
        </is>
      </c>
      <c r="B364" s="11" t="n">
        <v>45908</v>
      </c>
      <c r="C364" t="inlineStr">
        <is>
          <t>s214</t>
        </is>
      </c>
      <c r="D364" t="inlineStr">
        <is>
          <t>S0214</t>
        </is>
      </c>
      <c r="E364" t="inlineStr">
        <is>
          <t>FP</t>
        </is>
      </c>
      <c r="F364" t="n">
        <v>147</v>
      </c>
      <c r="G364" t="inlineStr">
        <is>
          <t>OUT</t>
        </is>
      </c>
      <c r="H364">
        <f>IF(G364="OUT",F364,-F364)</f>
        <v>147</v>
      </c>
      <c r="I364">
        <f>IF(AND(B364&gt;=DATE(2025,7,1),B364&lt;=DATE(2026,6,30)),1,0)</f>
        <v>1</v>
      </c>
      <c r="J364">
        <f>IF(B364&lt;=DATE(2026,6,30),1,0)</f>
        <v>1</v>
      </c>
      <c r="K364" t="inlineStr">
        <is>
          <t>Site text normalised</t>
        </is>
      </c>
      <c r="L364" t="inlineStr">
        <is>
          <t>Driver</t>
        </is>
      </c>
      <c r="M364">
        <f>COUNTIFS('Asset Log'!$A$5:$A$1379,A364,'Asset Log'!$E$5:$E$1379,E364,'Asset Log'!$G$5:$G$1379,G364)</f>
        <v>1</v>
      </c>
    </row>
    <row r="365">
      <c r="A365" t="inlineStr">
        <is>
          <t>D72030</t>
        </is>
      </c>
      <c r="B365" s="11" t="n">
        <v>45908</v>
      </c>
      <c r="C365" t="inlineStr">
        <is>
          <t>s214</t>
        </is>
      </c>
      <c r="D365" t="inlineStr">
        <is>
          <t>S0214</t>
        </is>
      </c>
      <c r="E365" t="inlineStr">
        <is>
          <t>FB</t>
        </is>
      </c>
      <c r="F365" t="n">
        <v>161</v>
      </c>
      <c r="G365" t="inlineStr">
        <is>
          <t>OUT</t>
        </is>
      </c>
      <c r="H365">
        <f>IF(G365="OUT",F365,-F365)</f>
        <v>161</v>
      </c>
      <c r="I365">
        <f>IF(AND(B365&gt;=DATE(2025,7,1),B365&lt;=DATE(2026,6,30)),1,0)</f>
        <v>1</v>
      </c>
      <c r="J365">
        <f>IF(B365&lt;=DATE(2026,6,30),1,0)</f>
        <v>1</v>
      </c>
      <c r="K365" t="inlineStr">
        <is>
          <t>Site text normalised</t>
        </is>
      </c>
      <c r="L365" t="inlineStr">
        <is>
          <t>Office</t>
        </is>
      </c>
      <c r="M365">
        <f>COUNTIFS('Asset Log'!$A$5:$A$1379,A365,'Asset Log'!$E$5:$E$1379,E365,'Asset Log'!$G$5:$G$1379,G365)</f>
        <v>1</v>
      </c>
    </row>
    <row r="366">
      <c r="A366" t="inlineStr">
        <is>
          <t>D70586</t>
        </is>
      </c>
      <c r="B366" s="11" t="n">
        <v>45909</v>
      </c>
      <c r="C366" t="inlineStr">
        <is>
          <t>S0063</t>
        </is>
      </c>
      <c r="D366" t="inlineStr">
        <is>
          <t>S0063</t>
        </is>
      </c>
      <c r="E366" t="inlineStr">
        <is>
          <t>FP</t>
        </is>
      </c>
      <c r="F366" t="n">
        <v>32</v>
      </c>
      <c r="G366" t="inlineStr">
        <is>
          <t>OUT</t>
        </is>
      </c>
      <c r="H366">
        <f>IF(G366="OUT",F366,-F366)</f>
        <v>32</v>
      </c>
      <c r="I366">
        <f>IF(AND(B366&gt;=DATE(2025,7,1),B366&lt;=DATE(2026,6,30)),1,0)</f>
        <v>1</v>
      </c>
      <c r="J366">
        <f>IF(B366&lt;=DATE(2026,6,30),1,0)</f>
        <v>1</v>
      </c>
      <c r="K366" t="inlineStr"/>
      <c r="L366" t="inlineStr">
        <is>
          <t>Yard</t>
        </is>
      </c>
      <c r="M366">
        <f>COUNTIFS('Asset Log'!$A$5:$A$1379,A366,'Asset Log'!$E$5:$E$1379,E366,'Asset Log'!$G$5:$G$1379,G366)</f>
        <v>1</v>
      </c>
    </row>
    <row r="367">
      <c r="A367" t="inlineStr">
        <is>
          <t>D70590</t>
        </is>
      </c>
      <c r="B367" s="11" t="n">
        <v>45909</v>
      </c>
      <c r="C367" t="inlineStr">
        <is>
          <t>S0063</t>
        </is>
      </c>
      <c r="D367" t="inlineStr">
        <is>
          <t>S0063</t>
        </is>
      </c>
      <c r="E367" t="inlineStr">
        <is>
          <t>FB</t>
        </is>
      </c>
      <c r="F367" t="n">
        <v>35</v>
      </c>
      <c r="G367" t="inlineStr">
        <is>
          <t>OUT</t>
        </is>
      </c>
      <c r="H367">
        <f>IF(G367="OUT",F367,-F367)</f>
        <v>35</v>
      </c>
      <c r="I367">
        <f>IF(AND(B367&gt;=DATE(2025,7,1),B367&lt;=DATE(2026,6,30)),1,0)</f>
        <v>1</v>
      </c>
      <c r="J367">
        <f>IF(B367&lt;=DATE(2026,6,30),1,0)</f>
        <v>1</v>
      </c>
      <c r="K367" t="inlineStr"/>
      <c r="L367" t="inlineStr">
        <is>
          <t>Driver</t>
        </is>
      </c>
      <c r="M367">
        <f>COUNTIFS('Asset Log'!$A$5:$A$1379,A367,'Asset Log'!$E$5:$E$1379,E367,'Asset Log'!$G$5:$G$1379,G367)</f>
        <v>1</v>
      </c>
    </row>
    <row r="368">
      <c r="A368" t="inlineStr">
        <is>
          <t>D70709</t>
        </is>
      </c>
      <c r="B368" s="11" t="n">
        <v>45909</v>
      </c>
      <c r="C368" t="inlineStr">
        <is>
          <t>S0076</t>
        </is>
      </c>
      <c r="D368" t="inlineStr">
        <is>
          <t>S0076</t>
        </is>
      </c>
      <c r="E368" t="inlineStr">
        <is>
          <t>FP</t>
        </is>
      </c>
      <c r="F368" t="n">
        <v>19</v>
      </c>
      <c r="G368" t="inlineStr">
        <is>
          <t>OUT</t>
        </is>
      </c>
      <c r="H368">
        <f>IF(G368="OUT",F368,-F368)</f>
        <v>19</v>
      </c>
      <c r="I368">
        <f>IF(AND(B368&gt;=DATE(2025,7,1),B368&lt;=DATE(2026,6,30)),1,0)</f>
        <v>1</v>
      </c>
      <c r="J368">
        <f>IF(B368&lt;=DATE(2026,6,30),1,0)</f>
        <v>1</v>
      </c>
      <c r="K368" t="inlineStr"/>
      <c r="L368" t="inlineStr">
        <is>
          <t>Yard</t>
        </is>
      </c>
      <c r="M368">
        <f>COUNTIFS('Asset Log'!$A$5:$A$1379,A368,'Asset Log'!$E$5:$E$1379,E368,'Asset Log'!$G$5:$G$1379,G368)</f>
        <v>1</v>
      </c>
    </row>
    <row r="369">
      <c r="A369" t="inlineStr">
        <is>
          <t>D70713</t>
        </is>
      </c>
      <c r="B369" s="11" t="n">
        <v>45909</v>
      </c>
      <c r="C369" t="inlineStr">
        <is>
          <t>S0076</t>
        </is>
      </c>
      <c r="D369" t="inlineStr">
        <is>
          <t>S0076</t>
        </is>
      </c>
      <c r="E369" t="inlineStr">
        <is>
          <t>FB</t>
        </is>
      </c>
      <c r="F369" t="n">
        <v>20</v>
      </c>
      <c r="G369" t="inlineStr">
        <is>
          <t>OUT</t>
        </is>
      </c>
      <c r="H369">
        <f>IF(G369="OUT",F369,-F369)</f>
        <v>20</v>
      </c>
      <c r="I369">
        <f>IF(AND(B369&gt;=DATE(2025,7,1),B369&lt;=DATE(2026,6,30)),1,0)</f>
        <v>1</v>
      </c>
      <c r="J369">
        <f>IF(B369&lt;=DATE(2026,6,30),1,0)</f>
        <v>1</v>
      </c>
      <c r="K369" t="inlineStr"/>
      <c r="L369" t="inlineStr">
        <is>
          <t>Office</t>
        </is>
      </c>
      <c r="M369">
        <f>COUNTIFS('Asset Log'!$A$5:$A$1379,A369,'Asset Log'!$E$5:$E$1379,E369,'Asset Log'!$G$5:$G$1379,G369)</f>
        <v>1</v>
      </c>
    </row>
    <row r="370">
      <c r="A370" t="inlineStr">
        <is>
          <t>D70937</t>
        </is>
      </c>
      <c r="B370" s="11" t="n">
        <v>45909</v>
      </c>
      <c r="C370" t="inlineStr">
        <is>
          <t>S0101</t>
        </is>
      </c>
      <c r="D370" t="inlineStr">
        <is>
          <t>S0101</t>
        </is>
      </c>
      <c r="E370" t="inlineStr">
        <is>
          <t>FP</t>
        </is>
      </c>
      <c r="F370" t="n">
        <v>51</v>
      </c>
      <c r="G370" t="inlineStr">
        <is>
          <t>OUT</t>
        </is>
      </c>
      <c r="H370">
        <f>IF(G370="OUT",F370,-F370)</f>
        <v>51</v>
      </c>
      <c r="I370">
        <f>IF(AND(B370&gt;=DATE(2025,7,1),B370&lt;=DATE(2026,6,30)),1,0)</f>
        <v>1</v>
      </c>
      <c r="J370">
        <f>IF(B370&lt;=DATE(2026,6,30),1,0)</f>
        <v>1</v>
      </c>
      <c r="K370" t="inlineStr"/>
      <c r="L370" t="inlineStr">
        <is>
          <t>Driver</t>
        </is>
      </c>
      <c r="M370">
        <f>COUNTIFS('Asset Log'!$A$5:$A$1379,A370,'Asset Log'!$E$5:$E$1379,E370,'Asset Log'!$G$5:$G$1379,G370)</f>
        <v>1</v>
      </c>
    </row>
    <row r="371">
      <c r="A371" t="inlineStr">
        <is>
          <t>D70941</t>
        </is>
      </c>
      <c r="B371" s="11" t="n">
        <v>45909</v>
      </c>
      <c r="C371" t="inlineStr">
        <is>
          <t>S0101</t>
        </is>
      </c>
      <c r="D371" t="inlineStr">
        <is>
          <t>S0101</t>
        </is>
      </c>
      <c r="E371" t="inlineStr">
        <is>
          <t>FB</t>
        </is>
      </c>
      <c r="F371" t="n">
        <v>56</v>
      </c>
      <c r="G371" t="inlineStr">
        <is>
          <t>OUT</t>
        </is>
      </c>
      <c r="H371">
        <f>IF(G371="OUT",F371,-F371)</f>
        <v>56</v>
      </c>
      <c r="I371">
        <f>IF(AND(B371&gt;=DATE(2025,7,1),B371&lt;=DATE(2026,6,30)),1,0)</f>
        <v>1</v>
      </c>
      <c r="J371">
        <f>IF(B371&lt;=DATE(2026,6,30),1,0)</f>
        <v>1</v>
      </c>
      <c r="K371" t="inlineStr"/>
      <c r="L371" t="inlineStr">
        <is>
          <t>Driver</t>
        </is>
      </c>
      <c r="M371">
        <f>COUNTIFS('Asset Log'!$A$5:$A$1379,A371,'Asset Log'!$E$5:$E$1379,E371,'Asset Log'!$G$5:$G$1379,G371)</f>
        <v>1</v>
      </c>
    </row>
    <row r="372">
      <c r="A372" t="inlineStr">
        <is>
          <t>D71900</t>
        </is>
      </c>
      <c r="B372" s="11" t="n">
        <v>45910</v>
      </c>
      <c r="C372" t="inlineStr">
        <is>
          <t>S0201</t>
        </is>
      </c>
      <c r="D372" t="inlineStr">
        <is>
          <t>S0201</t>
        </is>
      </c>
      <c r="E372" t="inlineStr">
        <is>
          <t>FP</t>
        </is>
      </c>
      <c r="F372" t="n">
        <v>22</v>
      </c>
      <c r="G372" t="inlineStr">
        <is>
          <t>IN</t>
        </is>
      </c>
      <c r="H372">
        <f>IF(G372="OUT",F372,-F372)</f>
        <v>-22</v>
      </c>
      <c r="I372">
        <f>IF(AND(B372&gt;=DATE(2025,7,1),B372&lt;=DATE(2026,6,30)),1,0)</f>
        <v>1</v>
      </c>
      <c r="J372">
        <f>IF(B372&lt;=DATE(2026,6,30),1,0)</f>
        <v>1</v>
      </c>
      <c r="K372" t="inlineStr"/>
      <c r="L372" t="inlineStr">
        <is>
          <t>Office</t>
        </is>
      </c>
      <c r="M372">
        <f>COUNTIFS('Asset Log'!$A$5:$A$1379,A372,'Asset Log'!$E$5:$E$1379,E372,'Asset Log'!$G$5:$G$1379,G372)</f>
        <v>1</v>
      </c>
    </row>
    <row r="373">
      <c r="A373" t="inlineStr">
        <is>
          <t>D71904</t>
        </is>
      </c>
      <c r="B373" s="11" t="n">
        <v>45910</v>
      </c>
      <c r="C373" t="inlineStr">
        <is>
          <t>S0201</t>
        </is>
      </c>
      <c r="D373" t="inlineStr">
        <is>
          <t>S0201</t>
        </is>
      </c>
      <c r="E373" t="inlineStr">
        <is>
          <t>FB</t>
        </is>
      </c>
      <c r="F373" t="n">
        <v>24</v>
      </c>
      <c r="G373" t="inlineStr">
        <is>
          <t>IN</t>
        </is>
      </c>
      <c r="H373">
        <f>IF(G373="OUT",F373,-F373)</f>
        <v>-24</v>
      </c>
      <c r="I373">
        <f>IF(AND(B373&gt;=DATE(2025,7,1),B373&lt;=DATE(2026,6,30)),1,0)</f>
        <v>1</v>
      </c>
      <c r="J373">
        <f>IF(B373&lt;=DATE(2026,6,30),1,0)</f>
        <v>1</v>
      </c>
      <c r="K373" t="inlineStr"/>
      <c r="L373" t="inlineStr">
        <is>
          <t>Yard</t>
        </is>
      </c>
      <c r="M373">
        <f>COUNTIFS('Asset Log'!$A$5:$A$1379,A373,'Asset Log'!$E$5:$E$1379,E373,'Asset Log'!$G$5:$G$1379,G373)</f>
        <v>1</v>
      </c>
    </row>
    <row r="374">
      <c r="A374" t="inlineStr">
        <is>
          <t>D72484</t>
        </is>
      </c>
      <c r="B374" s="11" t="n">
        <v>45910</v>
      </c>
      <c r="C374" t="inlineStr">
        <is>
          <t>324</t>
        </is>
      </c>
      <c r="D374" t="inlineStr">
        <is>
          <t>S0324</t>
        </is>
      </c>
      <c r="E374" t="inlineStr">
        <is>
          <t>TK</t>
        </is>
      </c>
      <c r="F374" t="n">
        <v>2</v>
      </c>
      <c r="G374" t="inlineStr">
        <is>
          <t>OUT</t>
        </is>
      </c>
      <c r="H374">
        <f>IF(G374="OUT",F374,-F374)</f>
        <v>2</v>
      </c>
      <c r="I374">
        <f>IF(AND(B374&gt;=DATE(2025,7,1),B374&lt;=DATE(2026,6,30)),1,0)</f>
        <v>1</v>
      </c>
      <c r="J374">
        <f>IF(B374&lt;=DATE(2026,6,30),1,0)</f>
        <v>1</v>
      </c>
      <c r="K374" t="inlineStr">
        <is>
          <t>Site text normalised</t>
        </is>
      </c>
      <c r="L374" t="inlineStr">
        <is>
          <t>Driver</t>
        </is>
      </c>
      <c r="M374">
        <f>COUNTIFS('Asset Log'!$A$5:$A$1379,A374,'Asset Log'!$E$5:$E$1379,E374,'Asset Log'!$G$5:$G$1379,G374)</f>
        <v>1</v>
      </c>
    </row>
    <row r="375">
      <c r="A375" t="inlineStr">
        <is>
          <t>D72734</t>
        </is>
      </c>
      <c r="B375" s="11" t="n">
        <v>45910</v>
      </c>
      <c r="C375" t="inlineStr">
        <is>
          <t>S0485</t>
        </is>
      </c>
      <c r="D375" t="inlineStr">
        <is>
          <t>S0485</t>
        </is>
      </c>
      <c r="E375" t="inlineStr">
        <is>
          <t>TK</t>
        </is>
      </c>
      <c r="F375" t="n">
        <v>3</v>
      </c>
      <c r="G375" t="inlineStr">
        <is>
          <t>OUT</t>
        </is>
      </c>
      <c r="H375">
        <f>IF(G375="OUT",F375,-F375)</f>
        <v>3</v>
      </c>
      <c r="I375">
        <f>IF(AND(B375&gt;=DATE(2025,7,1),B375&lt;=DATE(2026,6,30)),1,0)</f>
        <v>1</v>
      </c>
      <c r="J375">
        <f>IF(B375&lt;=DATE(2026,6,30),1,0)</f>
        <v>1</v>
      </c>
      <c r="K375" t="inlineStr"/>
      <c r="L375" t="inlineStr">
        <is>
          <t>Office</t>
        </is>
      </c>
      <c r="M375">
        <f>COUNTIFS('Asset Log'!$A$5:$A$1379,A375,'Asset Log'!$E$5:$E$1379,E375,'Asset Log'!$G$5:$G$1379,G375)</f>
        <v>1</v>
      </c>
    </row>
    <row r="376">
      <c r="A376" t="inlineStr">
        <is>
          <t>D72821</t>
        </is>
      </c>
      <c r="B376" s="11" t="n">
        <v>45910</v>
      </c>
      <c r="C376" t="inlineStr">
        <is>
          <t>S0533</t>
        </is>
      </c>
      <c r="D376" t="inlineStr">
        <is>
          <t>S0533</t>
        </is>
      </c>
      <c r="E376" t="inlineStr">
        <is>
          <t>TK</t>
        </is>
      </c>
      <c r="F376" t="n">
        <v>2</v>
      </c>
      <c r="G376" t="inlineStr">
        <is>
          <t>OUT</t>
        </is>
      </c>
      <c r="H376">
        <f>IF(G376="OUT",F376,-F376)</f>
        <v>2</v>
      </c>
      <c r="I376">
        <f>IF(AND(B376&gt;=DATE(2025,7,1),B376&lt;=DATE(2026,6,30)),1,0)</f>
        <v>1</v>
      </c>
      <c r="J376">
        <f>IF(B376&lt;=DATE(2026,6,30),1,0)</f>
        <v>1</v>
      </c>
      <c r="K376" t="inlineStr"/>
      <c r="L376" t="inlineStr">
        <is>
          <t>Office</t>
        </is>
      </c>
      <c r="M376">
        <f>COUNTIFS('Asset Log'!$A$5:$A$1379,A376,'Asset Log'!$E$5:$E$1379,E376,'Asset Log'!$G$5:$G$1379,G376)</f>
        <v>1</v>
      </c>
    </row>
    <row r="377">
      <c r="A377" t="inlineStr">
        <is>
          <t>D72581</t>
        </is>
      </c>
      <c r="B377" s="11" t="n">
        <v>45911</v>
      </c>
      <c r="C377" t="inlineStr">
        <is>
          <t>S0383</t>
        </is>
      </c>
      <c r="D377" t="inlineStr">
        <is>
          <t>S0383</t>
        </is>
      </c>
      <c r="E377" t="inlineStr">
        <is>
          <t>TK</t>
        </is>
      </c>
      <c r="F377" t="n">
        <v>1</v>
      </c>
      <c r="G377" t="inlineStr">
        <is>
          <t>IN</t>
        </is>
      </c>
      <c r="H377">
        <f>IF(G377="OUT",F377,-F377)</f>
        <v>-1</v>
      </c>
      <c r="I377">
        <f>IF(AND(B377&gt;=DATE(2025,7,1),B377&lt;=DATE(2026,6,30)),1,0)</f>
        <v>1</v>
      </c>
      <c r="J377">
        <f>IF(B377&lt;=DATE(2026,6,30),1,0)</f>
        <v>1</v>
      </c>
      <c r="K377" t="inlineStr"/>
      <c r="L377" t="inlineStr">
        <is>
          <t>Office</t>
        </is>
      </c>
      <c r="M377">
        <f>COUNTIFS('Asset Log'!$A$5:$A$1379,A377,'Asset Log'!$E$5:$E$1379,E377,'Asset Log'!$G$5:$G$1379,G377)</f>
        <v>1</v>
      </c>
    </row>
    <row r="378">
      <c r="A378" t="inlineStr">
        <is>
          <t>D72704</t>
        </is>
      </c>
      <c r="B378" s="11" t="n">
        <v>45911</v>
      </c>
      <c r="C378" t="inlineStr">
        <is>
          <t>S0448</t>
        </is>
      </c>
      <c r="D378" t="inlineStr">
        <is>
          <t>S0448</t>
        </is>
      </c>
      <c r="E378" t="inlineStr">
        <is>
          <t>TK</t>
        </is>
      </c>
      <c r="F378" t="n">
        <v>3</v>
      </c>
      <c r="G378" t="inlineStr">
        <is>
          <t>IN</t>
        </is>
      </c>
      <c r="H378">
        <f>IF(G378="OUT",F378,-F378)</f>
        <v>-3</v>
      </c>
      <c r="I378">
        <f>IF(AND(B378&gt;=DATE(2025,7,1),B378&lt;=DATE(2026,6,30)),1,0)</f>
        <v>1</v>
      </c>
      <c r="J378">
        <f>IF(B378&lt;=DATE(2026,6,30),1,0)</f>
        <v>1</v>
      </c>
      <c r="K378" t="inlineStr"/>
      <c r="L378" t="inlineStr">
        <is>
          <t>Office</t>
        </is>
      </c>
      <c r="M378">
        <f>COUNTIFS('Asset Log'!$A$5:$A$1379,A378,'Asset Log'!$E$5:$E$1379,E378,'Asset Log'!$G$5:$G$1379,G378)</f>
        <v>1</v>
      </c>
    </row>
    <row r="379">
      <c r="A379" t="inlineStr">
        <is>
          <t>D70866</t>
        </is>
      </c>
      <c r="B379" s="11" t="n">
        <v>45912</v>
      </c>
      <c r="C379" t="inlineStr">
        <is>
          <t>S0091</t>
        </is>
      </c>
      <c r="D379" t="inlineStr">
        <is>
          <t>S0091</t>
        </is>
      </c>
      <c r="E379" t="inlineStr">
        <is>
          <t>FP</t>
        </is>
      </c>
      <c r="F379" t="n">
        <v>29</v>
      </c>
      <c r="G379" t="inlineStr">
        <is>
          <t>IN</t>
        </is>
      </c>
      <c r="H379">
        <f>IF(G379="OUT",F379,-F379)</f>
        <v>-29</v>
      </c>
      <c r="I379">
        <f>IF(AND(B379&gt;=DATE(2025,7,1),B379&lt;=DATE(2026,6,30)),1,0)</f>
        <v>1</v>
      </c>
      <c r="J379">
        <f>IF(B379&lt;=DATE(2026,6,30),1,0)</f>
        <v>1</v>
      </c>
      <c r="K379" t="inlineStr"/>
      <c r="L379" t="inlineStr">
        <is>
          <t>Yard</t>
        </is>
      </c>
      <c r="M379">
        <f>COUNTIFS('Asset Log'!$A$5:$A$1379,A379,'Asset Log'!$E$5:$E$1379,E379,'Asset Log'!$G$5:$G$1379,G379)</f>
        <v>1</v>
      </c>
    </row>
    <row r="380">
      <c r="A380" t="inlineStr">
        <is>
          <t>D70869</t>
        </is>
      </c>
      <c r="B380" s="11" t="n">
        <v>45912</v>
      </c>
      <c r="C380" t="inlineStr">
        <is>
          <t>S0091</t>
        </is>
      </c>
      <c r="D380" t="inlineStr">
        <is>
          <t>S0091</t>
        </is>
      </c>
      <c r="E380" t="inlineStr">
        <is>
          <t>FB</t>
        </is>
      </c>
      <c r="F380" t="n">
        <v>35</v>
      </c>
      <c r="G380" t="inlineStr">
        <is>
          <t>IN</t>
        </is>
      </c>
      <c r="H380">
        <f>IF(G380="OUT",F380,-F380)</f>
        <v>-35</v>
      </c>
      <c r="I380">
        <f>IF(AND(B380&gt;=DATE(2025,7,1),B380&lt;=DATE(2026,6,30)),1,0)</f>
        <v>1</v>
      </c>
      <c r="J380">
        <f>IF(B380&lt;=DATE(2026,6,30),1,0)</f>
        <v>1</v>
      </c>
      <c r="K380" t="inlineStr"/>
      <c r="L380" t="inlineStr">
        <is>
          <t>Yard</t>
        </is>
      </c>
      <c r="M380">
        <f>COUNTIFS('Asset Log'!$A$5:$A$1379,A380,'Asset Log'!$E$5:$E$1379,E380,'Asset Log'!$G$5:$G$1379,G380)</f>
        <v>1</v>
      </c>
    </row>
    <row r="381">
      <c r="A381" t="inlineStr">
        <is>
          <t>D70870</t>
        </is>
      </c>
      <c r="B381" s="11" t="n">
        <v>45912</v>
      </c>
      <c r="C381" t="inlineStr">
        <is>
          <t>S0091</t>
        </is>
      </c>
      <c r="D381" t="inlineStr">
        <is>
          <t>S0091</t>
        </is>
      </c>
      <c r="E381" t="inlineStr">
        <is>
          <t>FP</t>
        </is>
      </c>
      <c r="F381" t="n">
        <v>3</v>
      </c>
      <c r="G381" t="inlineStr">
        <is>
          <t>LOST</t>
        </is>
      </c>
      <c r="H381">
        <f>IF(G381="OUT",F381,-F381)</f>
        <v>-3</v>
      </c>
      <c r="I381">
        <f>IF(AND(B381&gt;=DATE(2025,7,1),B381&lt;=DATE(2026,6,30)),1,0)</f>
        <v>1</v>
      </c>
      <c r="J381">
        <f>IF(B381&lt;=DATE(2026,6,30),1,0)</f>
        <v>1</v>
      </c>
      <c r="K381" t="inlineStr"/>
      <c r="L381" t="inlineStr">
        <is>
          <t>Office</t>
        </is>
      </c>
      <c r="M381">
        <f>COUNTIFS('Asset Log'!$A$5:$A$1379,A381,'Asset Log'!$E$5:$E$1379,E381,'Asset Log'!$G$5:$G$1379,G381)</f>
        <v>1</v>
      </c>
    </row>
    <row r="382">
      <c r="A382" t="inlineStr">
        <is>
          <t>D72489</t>
        </is>
      </c>
      <c r="B382" s="11" t="n">
        <v>45914</v>
      </c>
      <c r="C382" t="inlineStr">
        <is>
          <t>S0330</t>
        </is>
      </c>
      <c r="D382" t="inlineStr">
        <is>
          <t>S0330</t>
        </is>
      </c>
      <c r="E382" t="inlineStr">
        <is>
          <t>TK</t>
        </is>
      </c>
      <c r="F382" t="n">
        <v>2</v>
      </c>
      <c r="G382" t="inlineStr">
        <is>
          <t>IN</t>
        </is>
      </c>
      <c r="H382">
        <f>IF(G382="OUT",F382,-F382)</f>
        <v>-2</v>
      </c>
      <c r="I382">
        <f>IF(AND(B382&gt;=DATE(2025,7,1),B382&lt;=DATE(2026,6,30)),1,0)</f>
        <v>1</v>
      </c>
      <c r="J382">
        <f>IF(B382&lt;=DATE(2026,6,30),1,0)</f>
        <v>1</v>
      </c>
      <c r="K382" t="inlineStr"/>
      <c r="L382" t="inlineStr">
        <is>
          <t>Yard</t>
        </is>
      </c>
      <c r="M382">
        <f>COUNTIFS('Asset Log'!$A$5:$A$1379,A382,'Asset Log'!$E$5:$E$1379,E382,'Asset Log'!$G$5:$G$1379,G382)</f>
        <v>1</v>
      </c>
    </row>
    <row r="383">
      <c r="A383" t="inlineStr">
        <is>
          <t>D72797</t>
        </is>
      </c>
      <c r="B383" s="11" t="n">
        <v>45914</v>
      </c>
      <c r="C383" t="inlineStr">
        <is>
          <t>518</t>
        </is>
      </c>
      <c r="D383" t="inlineStr">
        <is>
          <t>S0518</t>
        </is>
      </c>
      <c r="E383" t="inlineStr">
        <is>
          <t>TK</t>
        </is>
      </c>
      <c r="F383" t="n">
        <v>2</v>
      </c>
      <c r="G383" t="inlineStr">
        <is>
          <t>OUT</t>
        </is>
      </c>
      <c r="H383">
        <f>IF(G383="OUT",F383,-F383)</f>
        <v>2</v>
      </c>
      <c r="I383">
        <f>IF(AND(B383&gt;=DATE(2025,7,1),B383&lt;=DATE(2026,6,30)),1,0)</f>
        <v>1</v>
      </c>
      <c r="J383">
        <f>IF(B383&lt;=DATE(2026,6,30),1,0)</f>
        <v>1</v>
      </c>
      <c r="K383" t="inlineStr">
        <is>
          <t>Site text normalised</t>
        </is>
      </c>
      <c r="L383" t="inlineStr">
        <is>
          <t>Driver</t>
        </is>
      </c>
      <c r="M383">
        <f>COUNTIFS('Asset Log'!$A$5:$A$1379,A383,'Asset Log'!$E$5:$E$1379,E383,'Asset Log'!$G$5:$G$1379,G383)</f>
        <v>1</v>
      </c>
    </row>
    <row r="384">
      <c r="A384" t="inlineStr">
        <is>
          <t>D70741</t>
        </is>
      </c>
      <c r="B384" s="11" t="n">
        <v>45916</v>
      </c>
      <c r="C384" t="inlineStr">
        <is>
          <t>S0079</t>
        </is>
      </c>
      <c r="D384" t="inlineStr">
        <is>
          <t>S0079</t>
        </is>
      </c>
      <c r="E384" t="inlineStr">
        <is>
          <t>FP</t>
        </is>
      </c>
      <c r="F384" t="n">
        <v>90</v>
      </c>
      <c r="G384" t="inlineStr">
        <is>
          <t>IN</t>
        </is>
      </c>
      <c r="H384">
        <f>IF(G384="OUT",F384,-F384)</f>
        <v>-90</v>
      </c>
      <c r="I384">
        <f>IF(AND(B384&gt;=DATE(2025,7,1),B384&lt;=DATE(2026,6,30)),1,0)</f>
        <v>1</v>
      </c>
      <c r="J384">
        <f>IF(B384&lt;=DATE(2026,6,30),1,0)</f>
        <v>1</v>
      </c>
      <c r="K384" t="inlineStr"/>
      <c r="L384" t="inlineStr">
        <is>
          <t>Office</t>
        </is>
      </c>
      <c r="M384">
        <f>COUNTIFS('Asset Log'!$A$5:$A$1379,A384,'Asset Log'!$E$5:$E$1379,E384,'Asset Log'!$G$5:$G$1379,G384)</f>
        <v>1</v>
      </c>
    </row>
    <row r="385">
      <c r="A385" t="inlineStr">
        <is>
          <t>D70747</t>
        </is>
      </c>
      <c r="B385" s="11" t="n">
        <v>45916</v>
      </c>
      <c r="C385" t="inlineStr">
        <is>
          <t>S0079</t>
        </is>
      </c>
      <c r="D385" t="inlineStr">
        <is>
          <t>S0079</t>
        </is>
      </c>
      <c r="E385" t="inlineStr">
        <is>
          <t>FB</t>
        </is>
      </c>
      <c r="F385" t="n">
        <v>99</v>
      </c>
      <c r="G385" t="inlineStr">
        <is>
          <t>IN</t>
        </is>
      </c>
      <c r="H385">
        <f>IF(G385="OUT",F385,-F385)</f>
        <v>-99</v>
      </c>
      <c r="I385">
        <f>IF(AND(B385&gt;=DATE(2025,7,1),B385&lt;=DATE(2026,6,30)),1,0)</f>
        <v>1</v>
      </c>
      <c r="J385">
        <f>IF(B385&lt;=DATE(2026,6,30),1,0)</f>
        <v>1</v>
      </c>
      <c r="K385" t="inlineStr"/>
      <c r="L385" t="inlineStr">
        <is>
          <t>Office</t>
        </is>
      </c>
      <c r="M385">
        <f>COUNTIFS('Asset Log'!$A$5:$A$1379,A385,'Asset Log'!$E$5:$E$1379,E385,'Asset Log'!$G$5:$G$1379,G385)</f>
        <v>1</v>
      </c>
    </row>
    <row r="386">
      <c r="A386" t="inlineStr">
        <is>
          <t>D70751</t>
        </is>
      </c>
      <c r="B386" s="11" t="n">
        <v>45916</v>
      </c>
      <c r="C386" t="inlineStr">
        <is>
          <t>S0079</t>
        </is>
      </c>
      <c r="D386" t="inlineStr">
        <is>
          <t>S0079</t>
        </is>
      </c>
      <c r="E386" t="inlineStr">
        <is>
          <t>BR</t>
        </is>
      </c>
      <c r="F386" t="n">
        <v>4</v>
      </c>
      <c r="G386" t="inlineStr">
        <is>
          <t>IN</t>
        </is>
      </c>
      <c r="H386">
        <f>IF(G386="OUT",F386,-F386)</f>
        <v>-4</v>
      </c>
      <c r="I386">
        <f>IF(AND(B386&gt;=DATE(2025,7,1),B386&lt;=DATE(2026,6,30)),1,0)</f>
        <v>1</v>
      </c>
      <c r="J386">
        <f>IF(B386&lt;=DATE(2026,6,30),1,0)</f>
        <v>1</v>
      </c>
      <c r="K386" t="inlineStr"/>
      <c r="L386" t="inlineStr">
        <is>
          <t>Yard</t>
        </is>
      </c>
      <c r="M386">
        <f>COUNTIFS('Asset Log'!$A$5:$A$1379,A386,'Asset Log'!$E$5:$E$1379,E386,'Asset Log'!$G$5:$G$1379,G386)</f>
        <v>1</v>
      </c>
    </row>
    <row r="387">
      <c r="A387" t="inlineStr">
        <is>
          <t>D70154</t>
        </is>
      </c>
      <c r="B387" s="11" t="n">
        <v>45917</v>
      </c>
      <c r="C387" t="inlineStr">
        <is>
          <t>S0018</t>
        </is>
      </c>
      <c r="D387" t="inlineStr">
        <is>
          <t>S0018</t>
        </is>
      </c>
      <c r="E387" t="inlineStr">
        <is>
          <t>FP</t>
        </is>
      </c>
      <c r="F387" t="n">
        <v>36</v>
      </c>
      <c r="G387" t="inlineStr">
        <is>
          <t>IN</t>
        </is>
      </c>
      <c r="H387">
        <f>IF(G387="OUT",F387,-F387)</f>
        <v>-36</v>
      </c>
      <c r="I387">
        <f>IF(AND(B387&gt;=DATE(2025,7,1),B387&lt;=DATE(2026,6,30)),1,0)</f>
        <v>1</v>
      </c>
      <c r="J387">
        <f>IF(B387&lt;=DATE(2026,6,30),1,0)</f>
        <v>1</v>
      </c>
      <c r="K387" t="inlineStr"/>
      <c r="L387" t="inlineStr">
        <is>
          <t>Yard</t>
        </is>
      </c>
      <c r="M387">
        <f>COUNTIFS('Asset Log'!$A$5:$A$1379,A387,'Asset Log'!$E$5:$E$1379,E387,'Asset Log'!$G$5:$G$1379,G387)</f>
        <v>1</v>
      </c>
    </row>
    <row r="388">
      <c r="A388" t="inlineStr">
        <is>
          <t>D70159</t>
        </is>
      </c>
      <c r="B388" s="11" t="n">
        <v>45917</v>
      </c>
      <c r="C388" t="inlineStr">
        <is>
          <t>S0018</t>
        </is>
      </c>
      <c r="D388" t="inlineStr">
        <is>
          <t>S0018</t>
        </is>
      </c>
      <c r="E388" t="inlineStr">
        <is>
          <t>FB</t>
        </is>
      </c>
      <c r="F388" t="n">
        <v>36</v>
      </c>
      <c r="G388" t="inlineStr">
        <is>
          <t>IN</t>
        </is>
      </c>
      <c r="H388">
        <f>IF(G388="OUT",F388,-F388)</f>
        <v>-36</v>
      </c>
      <c r="I388">
        <f>IF(AND(B388&gt;=DATE(2025,7,1),B388&lt;=DATE(2026,6,30)),1,0)</f>
        <v>1</v>
      </c>
      <c r="J388">
        <f>IF(B388&lt;=DATE(2026,6,30),1,0)</f>
        <v>1</v>
      </c>
      <c r="K388" t="inlineStr"/>
      <c r="L388" t="inlineStr">
        <is>
          <t>Office</t>
        </is>
      </c>
      <c r="M388">
        <f>COUNTIFS('Asset Log'!$A$5:$A$1379,A388,'Asset Log'!$E$5:$E$1379,E388,'Asset Log'!$G$5:$G$1379,G388)</f>
        <v>1</v>
      </c>
    </row>
    <row r="389">
      <c r="A389" t="inlineStr">
        <is>
          <t>D72735</t>
        </is>
      </c>
      <c r="B389" s="11" t="n">
        <v>45917</v>
      </c>
      <c r="C389" t="inlineStr">
        <is>
          <t>S0485</t>
        </is>
      </c>
      <c r="D389" t="inlineStr">
        <is>
          <t>S0485</t>
        </is>
      </c>
      <c r="E389" t="inlineStr">
        <is>
          <t>TK</t>
        </is>
      </c>
      <c r="F389" t="n">
        <v>3</v>
      </c>
      <c r="G389" t="inlineStr">
        <is>
          <t>IN</t>
        </is>
      </c>
      <c r="H389">
        <f>IF(G389="OUT",F389,-F389)</f>
        <v>-3</v>
      </c>
      <c r="I389">
        <f>IF(AND(B389&gt;=DATE(2025,7,1),B389&lt;=DATE(2026,6,30)),1,0)</f>
        <v>1</v>
      </c>
      <c r="J389">
        <f>IF(B389&lt;=DATE(2026,6,30),1,0)</f>
        <v>1</v>
      </c>
      <c r="K389" t="inlineStr"/>
      <c r="L389" t="inlineStr">
        <is>
          <t>Office</t>
        </is>
      </c>
      <c r="M389">
        <f>COUNTIFS('Asset Log'!$A$5:$A$1379,A389,'Asset Log'!$E$5:$E$1379,E389,'Asset Log'!$G$5:$G$1379,G389)</f>
        <v>1</v>
      </c>
    </row>
    <row r="390">
      <c r="A390" t="inlineStr">
        <is>
          <t>D70052</t>
        </is>
      </c>
      <c r="B390" s="11" t="n">
        <v>45918</v>
      </c>
      <c r="C390" t="inlineStr">
        <is>
          <t>S0006</t>
        </is>
      </c>
      <c r="D390" t="inlineStr">
        <is>
          <t>S0006</t>
        </is>
      </c>
      <c r="E390" t="inlineStr">
        <is>
          <t>FP</t>
        </is>
      </c>
      <c r="F390" t="n">
        <v>93</v>
      </c>
      <c r="G390" t="inlineStr">
        <is>
          <t>IN</t>
        </is>
      </c>
      <c r="H390">
        <f>IF(G390="OUT",F390,-F390)</f>
        <v>-93</v>
      </c>
      <c r="I390">
        <f>IF(AND(B390&gt;=DATE(2025,7,1),B390&lt;=DATE(2026,6,30)),1,0)</f>
        <v>1</v>
      </c>
      <c r="J390">
        <f>IF(B390&lt;=DATE(2026,6,30),1,0)</f>
        <v>1</v>
      </c>
      <c r="K390" t="inlineStr"/>
      <c r="L390" t="inlineStr">
        <is>
          <t>Yard</t>
        </is>
      </c>
      <c r="M390">
        <f>COUNTIFS('Asset Log'!$A$5:$A$1379,A390,'Asset Log'!$E$5:$E$1379,E390,'Asset Log'!$G$5:$G$1379,G390)</f>
        <v>1</v>
      </c>
    </row>
    <row r="391">
      <c r="A391" t="inlineStr">
        <is>
          <t>D70057</t>
        </is>
      </c>
      <c r="B391" s="11" t="n">
        <v>45918</v>
      </c>
      <c r="C391" t="inlineStr">
        <is>
          <t>S0006</t>
        </is>
      </c>
      <c r="D391" t="inlineStr">
        <is>
          <t>S0006</t>
        </is>
      </c>
      <c r="E391" t="inlineStr">
        <is>
          <t>FB</t>
        </is>
      </c>
      <c r="F391" t="n">
        <v>102</v>
      </c>
      <c r="G391" t="inlineStr">
        <is>
          <t>IN</t>
        </is>
      </c>
      <c r="H391">
        <f>IF(G391="OUT",F391,-F391)</f>
        <v>-102</v>
      </c>
      <c r="I391">
        <f>IF(AND(B391&gt;=DATE(2025,7,1),B391&lt;=DATE(2026,6,30)),1,0)</f>
        <v>1</v>
      </c>
      <c r="J391">
        <f>IF(B391&lt;=DATE(2026,6,30),1,0)</f>
        <v>1</v>
      </c>
      <c r="K391" t="inlineStr"/>
      <c r="L391" t="inlineStr">
        <is>
          <t>Driver</t>
        </is>
      </c>
      <c r="M391">
        <f>COUNTIFS('Asset Log'!$A$5:$A$1379,A391,'Asset Log'!$E$5:$E$1379,E391,'Asset Log'!$G$5:$G$1379,G391)</f>
        <v>1</v>
      </c>
    </row>
    <row r="392">
      <c r="A392" t="inlineStr">
        <is>
          <t>D70488</t>
        </is>
      </c>
      <c r="B392" s="11" t="n">
        <v>45918</v>
      </c>
      <c r="C392" t="inlineStr">
        <is>
          <t>s053</t>
        </is>
      </c>
      <c r="D392" t="inlineStr">
        <is>
          <t>S0053</t>
        </is>
      </c>
      <c r="E392" t="inlineStr">
        <is>
          <t>FP</t>
        </is>
      </c>
      <c r="F392" t="n">
        <v>143</v>
      </c>
      <c r="G392" t="inlineStr">
        <is>
          <t>OUT</t>
        </is>
      </c>
      <c r="H392">
        <f>IF(G392="OUT",F392,-F392)</f>
        <v>143</v>
      </c>
      <c r="I392">
        <f>IF(AND(B392&gt;=DATE(2025,7,1),B392&lt;=DATE(2026,6,30)),1,0)</f>
        <v>1</v>
      </c>
      <c r="J392">
        <f>IF(B392&lt;=DATE(2026,6,30),1,0)</f>
        <v>1</v>
      </c>
      <c r="K392" t="inlineStr">
        <is>
          <t>Site text normalised</t>
        </is>
      </c>
      <c r="L392" t="inlineStr">
        <is>
          <t>Yard</t>
        </is>
      </c>
      <c r="M392">
        <f>COUNTIFS('Asset Log'!$A$5:$A$1379,A392,'Asset Log'!$E$5:$E$1379,E392,'Asset Log'!$G$5:$G$1379,G392)</f>
        <v>1</v>
      </c>
    </row>
    <row r="393">
      <c r="A393" t="inlineStr">
        <is>
          <t>D70491</t>
        </is>
      </c>
      <c r="B393" s="11" t="n">
        <v>45918</v>
      </c>
      <c r="C393" t="inlineStr">
        <is>
          <t>53</t>
        </is>
      </c>
      <c r="D393" t="inlineStr">
        <is>
          <t>S0053</t>
        </is>
      </c>
      <c r="E393" t="inlineStr">
        <is>
          <t>FB</t>
        </is>
      </c>
      <c r="F393" t="n">
        <v>157</v>
      </c>
      <c r="G393" t="inlineStr">
        <is>
          <t>OUT</t>
        </is>
      </c>
      <c r="H393">
        <f>IF(G393="OUT",F393,-F393)</f>
        <v>157</v>
      </c>
      <c r="I393">
        <f>IF(AND(B393&gt;=DATE(2025,7,1),B393&lt;=DATE(2026,6,30)),1,0)</f>
        <v>1</v>
      </c>
      <c r="J393">
        <f>IF(B393&lt;=DATE(2026,6,30),1,0)</f>
        <v>1</v>
      </c>
      <c r="K393" t="inlineStr">
        <is>
          <t>Site text normalised</t>
        </is>
      </c>
      <c r="L393" t="inlineStr">
        <is>
          <t>Yard</t>
        </is>
      </c>
      <c r="M393">
        <f>COUNTIFS('Asset Log'!$A$5:$A$1379,A393,'Asset Log'!$E$5:$E$1379,E393,'Asset Log'!$G$5:$G$1379,G393)</f>
        <v>1</v>
      </c>
    </row>
    <row r="394">
      <c r="A394" t="inlineStr">
        <is>
          <t>D72785</t>
        </is>
      </c>
      <c r="B394" s="11" t="n">
        <v>45918</v>
      </c>
      <c r="C394" t="inlineStr">
        <is>
          <t>S0505</t>
        </is>
      </c>
      <c r="D394" t="inlineStr">
        <is>
          <t>S0505</t>
        </is>
      </c>
      <c r="E394" t="inlineStr">
        <is>
          <t>TK</t>
        </is>
      </c>
      <c r="F394" t="n">
        <v>3</v>
      </c>
      <c r="G394" t="inlineStr">
        <is>
          <t>IN</t>
        </is>
      </c>
      <c r="H394">
        <f>IF(G394="OUT",F394,-F394)</f>
        <v>-3</v>
      </c>
      <c r="I394">
        <f>IF(AND(B394&gt;=DATE(2025,7,1),B394&lt;=DATE(2026,6,30)),1,0)</f>
        <v>1</v>
      </c>
      <c r="J394">
        <f>IF(B394&lt;=DATE(2026,6,30),1,0)</f>
        <v>1</v>
      </c>
      <c r="K394" t="inlineStr"/>
      <c r="L394" t="inlineStr">
        <is>
          <t>Driver</t>
        </is>
      </c>
      <c r="M394">
        <f>COUNTIFS('Asset Log'!$A$5:$A$1379,A394,'Asset Log'!$E$5:$E$1379,E394,'Asset Log'!$G$5:$G$1379,G394)</f>
        <v>1</v>
      </c>
    </row>
    <row r="395">
      <c r="A395" t="inlineStr">
        <is>
          <t>D71084</t>
        </is>
      </c>
      <c r="B395" s="11" t="n">
        <v>45920</v>
      </c>
      <c r="C395" t="inlineStr">
        <is>
          <t>S0116</t>
        </is>
      </c>
      <c r="D395" t="inlineStr">
        <is>
          <t>S0116</t>
        </is>
      </c>
      <c r="E395" t="inlineStr">
        <is>
          <t>FP</t>
        </is>
      </c>
      <c r="F395" t="n">
        <v>54</v>
      </c>
      <c r="G395" t="inlineStr">
        <is>
          <t>IN</t>
        </is>
      </c>
      <c r="H395">
        <f>IF(G395="OUT",F395,-F395)</f>
        <v>-54</v>
      </c>
      <c r="I395">
        <f>IF(AND(B395&gt;=DATE(2025,7,1),B395&lt;=DATE(2026,6,30)),1,0)</f>
        <v>1</v>
      </c>
      <c r="J395">
        <f>IF(B395&lt;=DATE(2026,6,30),1,0)</f>
        <v>1</v>
      </c>
      <c r="K395" t="inlineStr"/>
      <c r="L395" t="inlineStr">
        <is>
          <t>Yard</t>
        </is>
      </c>
      <c r="M395">
        <f>COUNTIFS('Asset Log'!$A$5:$A$1379,A395,'Asset Log'!$E$5:$E$1379,E395,'Asset Log'!$G$5:$G$1379,G395)</f>
        <v>1</v>
      </c>
    </row>
    <row r="396">
      <c r="A396" t="inlineStr">
        <is>
          <t>D71092</t>
        </is>
      </c>
      <c r="B396" s="11" t="n">
        <v>45920</v>
      </c>
      <c r="C396" t="inlineStr">
        <is>
          <t>S0116</t>
        </is>
      </c>
      <c r="D396" t="inlineStr">
        <is>
          <t>S0116</t>
        </is>
      </c>
      <c r="E396" t="inlineStr">
        <is>
          <t>FB</t>
        </is>
      </c>
      <c r="F396" t="n">
        <v>54</v>
      </c>
      <c r="G396" t="inlineStr">
        <is>
          <t>IN</t>
        </is>
      </c>
      <c r="H396">
        <f>IF(G396="OUT",F396,-F396)</f>
        <v>-54</v>
      </c>
      <c r="I396">
        <f>IF(AND(B396&gt;=DATE(2025,7,1),B396&lt;=DATE(2026,6,30)),1,0)</f>
        <v>1</v>
      </c>
      <c r="J396">
        <f>IF(B396&lt;=DATE(2026,6,30),1,0)</f>
        <v>1</v>
      </c>
      <c r="K396" t="inlineStr"/>
      <c r="L396" t="inlineStr">
        <is>
          <t>Yard</t>
        </is>
      </c>
      <c r="M396">
        <f>COUNTIFS('Asset Log'!$A$5:$A$1379,A396,'Asset Log'!$E$5:$E$1379,E396,'Asset Log'!$G$5:$G$1379,G396)</f>
        <v>1</v>
      </c>
    </row>
    <row r="397">
      <c r="A397" t="inlineStr">
        <is>
          <t>D71550</t>
        </is>
      </c>
      <c r="B397" s="11" t="n">
        <v>45920</v>
      </c>
      <c r="C397" t="inlineStr">
        <is>
          <t>S0161</t>
        </is>
      </c>
      <c r="D397" t="inlineStr">
        <is>
          <t>S0161</t>
        </is>
      </c>
      <c r="E397" t="inlineStr">
        <is>
          <t>FP</t>
        </is>
      </c>
      <c r="F397" t="n">
        <v>131</v>
      </c>
      <c r="G397" t="inlineStr">
        <is>
          <t>OUT</t>
        </is>
      </c>
      <c r="H397">
        <f>IF(G397="OUT",F397,-F397)</f>
        <v>131</v>
      </c>
      <c r="I397">
        <f>IF(AND(B397&gt;=DATE(2025,7,1),B397&lt;=DATE(2026,6,30)),1,0)</f>
        <v>1</v>
      </c>
      <c r="J397">
        <f>IF(B397&lt;=DATE(2026,6,30),1,0)</f>
        <v>1</v>
      </c>
      <c r="K397" t="inlineStr"/>
      <c r="L397" t="inlineStr">
        <is>
          <t>Driver</t>
        </is>
      </c>
      <c r="M397">
        <f>COUNTIFS('Asset Log'!$A$5:$A$1379,A397,'Asset Log'!$E$5:$E$1379,E397,'Asset Log'!$G$5:$G$1379,G397)</f>
        <v>1</v>
      </c>
    </row>
    <row r="398">
      <c r="A398" t="inlineStr">
        <is>
          <t>D71556</t>
        </is>
      </c>
      <c r="B398" s="11" t="n">
        <v>45920</v>
      </c>
      <c r="C398" t="inlineStr">
        <is>
          <t>s161</t>
        </is>
      </c>
      <c r="D398" t="inlineStr">
        <is>
          <t>S0161</t>
        </is>
      </c>
      <c r="E398" t="inlineStr">
        <is>
          <t>FB</t>
        </is>
      </c>
      <c r="F398" t="n">
        <v>144</v>
      </c>
      <c r="G398" t="inlineStr">
        <is>
          <t>OUT</t>
        </is>
      </c>
      <c r="H398">
        <f>IF(G398="OUT",F398,-F398)</f>
        <v>144</v>
      </c>
      <c r="I398">
        <f>IF(AND(B398&gt;=DATE(2025,7,1),B398&lt;=DATE(2026,6,30)),1,0)</f>
        <v>1</v>
      </c>
      <c r="J398">
        <f>IF(B398&lt;=DATE(2026,6,30),1,0)</f>
        <v>1</v>
      </c>
      <c r="K398" t="inlineStr">
        <is>
          <t>Site text normalised</t>
        </is>
      </c>
      <c r="L398" t="inlineStr">
        <is>
          <t>Yard</t>
        </is>
      </c>
      <c r="M398">
        <f>COUNTIFS('Asset Log'!$A$5:$A$1379,A398,'Asset Log'!$E$5:$E$1379,E398,'Asset Log'!$G$5:$G$1379,G398)</f>
        <v>1</v>
      </c>
    </row>
    <row r="399">
      <c r="A399" t="inlineStr">
        <is>
          <t>D72366</t>
        </is>
      </c>
      <c r="B399" s="11" t="n">
        <v>45920</v>
      </c>
      <c r="C399" t="inlineStr">
        <is>
          <t>S0274</t>
        </is>
      </c>
      <c r="D399" t="inlineStr">
        <is>
          <t>S0274</t>
        </is>
      </c>
      <c r="E399" t="inlineStr">
        <is>
          <t>ST</t>
        </is>
      </c>
      <c r="F399" t="n">
        <v>1</v>
      </c>
      <c r="G399" t="inlineStr">
        <is>
          <t>OUT</t>
        </is>
      </c>
      <c r="H399">
        <f>IF(G399="OUT",F399,-F399)</f>
        <v>1</v>
      </c>
      <c r="I399">
        <f>IF(AND(B399&gt;=DATE(2025,7,1),B399&lt;=DATE(2026,6,30)),1,0)</f>
        <v>1</v>
      </c>
      <c r="J399">
        <f>IF(B399&lt;=DATE(2026,6,30),1,0)</f>
        <v>1</v>
      </c>
      <c r="K399" t="inlineStr"/>
      <c r="L399" t="inlineStr">
        <is>
          <t>Office</t>
        </is>
      </c>
      <c r="M399">
        <f>COUNTIFS('Asset Log'!$A$5:$A$1379,A399,'Asset Log'!$E$5:$E$1379,E399,'Asset Log'!$G$5:$G$1379,G399)</f>
        <v>1</v>
      </c>
    </row>
    <row r="400">
      <c r="A400" t="inlineStr">
        <is>
          <t>D71645</t>
        </is>
      </c>
      <c r="B400" s="11" t="n">
        <v>45922</v>
      </c>
      <c r="C400" t="inlineStr">
        <is>
          <t>S0172</t>
        </is>
      </c>
      <c r="D400" t="inlineStr">
        <is>
          <t>S0172</t>
        </is>
      </c>
      <c r="E400" t="inlineStr">
        <is>
          <t>FP</t>
        </is>
      </c>
      <c r="F400" t="n">
        <v>23</v>
      </c>
      <c r="G400" t="inlineStr">
        <is>
          <t>IN</t>
        </is>
      </c>
      <c r="H400">
        <f>IF(G400="OUT",F400,-F400)</f>
        <v>-23</v>
      </c>
      <c r="I400">
        <f>IF(AND(B400&gt;=DATE(2025,7,1),B400&lt;=DATE(2026,6,30)),1,0)</f>
        <v>1</v>
      </c>
      <c r="J400">
        <f>IF(B400&lt;=DATE(2026,6,30),1,0)</f>
        <v>1</v>
      </c>
      <c r="K400" t="inlineStr"/>
      <c r="L400" t="inlineStr">
        <is>
          <t>Office</t>
        </is>
      </c>
      <c r="M400">
        <f>COUNTIFS('Asset Log'!$A$5:$A$1379,A400,'Asset Log'!$E$5:$E$1379,E400,'Asset Log'!$G$5:$G$1379,G400)</f>
        <v>1</v>
      </c>
    </row>
    <row r="401">
      <c r="A401" t="inlineStr">
        <is>
          <t>D71650</t>
        </is>
      </c>
      <c r="B401" s="11" t="n">
        <v>45922</v>
      </c>
      <c r="C401" t="inlineStr">
        <is>
          <t>S0172</t>
        </is>
      </c>
      <c r="D401" t="inlineStr">
        <is>
          <t>S0172</t>
        </is>
      </c>
      <c r="E401" t="inlineStr">
        <is>
          <t>FB</t>
        </is>
      </c>
      <c r="F401" t="n">
        <v>25</v>
      </c>
      <c r="G401" t="inlineStr">
        <is>
          <t>IN</t>
        </is>
      </c>
      <c r="H401">
        <f>IF(G401="OUT",F401,-F401)</f>
        <v>-25</v>
      </c>
      <c r="I401">
        <f>IF(AND(B401&gt;=DATE(2025,7,1),B401&lt;=DATE(2026,6,30)),1,0)</f>
        <v>1</v>
      </c>
      <c r="J401">
        <f>IF(B401&lt;=DATE(2026,6,30),1,0)</f>
        <v>1</v>
      </c>
      <c r="K401" t="inlineStr"/>
      <c r="L401" t="inlineStr">
        <is>
          <t>Yard</t>
        </is>
      </c>
      <c r="M401">
        <f>COUNTIFS('Asset Log'!$A$5:$A$1379,A401,'Asset Log'!$E$5:$E$1379,E401,'Asset Log'!$G$5:$G$1379,G401)</f>
        <v>1</v>
      </c>
    </row>
    <row r="402">
      <c r="A402" t="inlineStr">
        <is>
          <t>D70770</t>
        </is>
      </c>
      <c r="B402" s="11" t="n">
        <v>45923</v>
      </c>
      <c r="C402" t="inlineStr">
        <is>
          <t>S0082</t>
        </is>
      </c>
      <c r="D402" t="inlineStr">
        <is>
          <t>S0082</t>
        </is>
      </c>
      <c r="E402" t="inlineStr">
        <is>
          <t>FP</t>
        </is>
      </c>
      <c r="F402" t="n">
        <v>158</v>
      </c>
      <c r="G402" t="inlineStr">
        <is>
          <t>OUT</t>
        </is>
      </c>
      <c r="H402">
        <f>IF(G402="OUT",F402,-F402)</f>
        <v>158</v>
      </c>
      <c r="I402">
        <f>IF(AND(B402&gt;=DATE(2025,7,1),B402&lt;=DATE(2026,6,30)),1,0)</f>
        <v>1</v>
      </c>
      <c r="J402">
        <f>IF(B402&lt;=DATE(2026,6,30),1,0)</f>
        <v>1</v>
      </c>
      <c r="K402" t="inlineStr"/>
      <c r="L402" t="inlineStr">
        <is>
          <t>Yard</t>
        </is>
      </c>
      <c r="M402">
        <f>COUNTIFS('Asset Log'!$A$5:$A$1379,A402,'Asset Log'!$E$5:$E$1379,E402,'Asset Log'!$G$5:$G$1379,G402)</f>
        <v>1</v>
      </c>
    </row>
    <row r="403">
      <c r="A403" t="inlineStr">
        <is>
          <t>D70774</t>
        </is>
      </c>
      <c r="B403" s="11" t="n">
        <v>45923</v>
      </c>
      <c r="C403" t="inlineStr">
        <is>
          <t>S0082</t>
        </is>
      </c>
      <c r="D403" t="inlineStr">
        <is>
          <t>S0082</t>
        </is>
      </c>
      <c r="E403" t="inlineStr">
        <is>
          <t>FB</t>
        </is>
      </c>
      <c r="F403" t="n">
        <v>173</v>
      </c>
      <c r="G403" t="inlineStr">
        <is>
          <t>OUT</t>
        </is>
      </c>
      <c r="H403">
        <f>IF(G403="OUT",F403,-F403)</f>
        <v>173</v>
      </c>
      <c r="I403">
        <f>IF(AND(B403&gt;=DATE(2025,7,1),B403&lt;=DATE(2026,6,30)),1,0)</f>
        <v>1</v>
      </c>
      <c r="J403">
        <f>IF(B403&lt;=DATE(2026,6,30),1,0)</f>
        <v>1</v>
      </c>
      <c r="K403" t="inlineStr"/>
      <c r="L403" t="inlineStr">
        <is>
          <t>Office</t>
        </is>
      </c>
      <c r="M403">
        <f>COUNTIFS('Asset Log'!$A$5:$A$1379,A403,'Asset Log'!$E$5:$E$1379,E403,'Asset Log'!$G$5:$G$1379,G403)</f>
        <v>1</v>
      </c>
    </row>
    <row r="404">
      <c r="A404" t="inlineStr">
        <is>
          <t>D72803</t>
        </is>
      </c>
      <c r="B404" s="11" t="n">
        <v>45923</v>
      </c>
      <c r="C404" t="inlineStr">
        <is>
          <t>S0520</t>
        </is>
      </c>
      <c r="D404" t="inlineStr">
        <is>
          <t>S0520</t>
        </is>
      </c>
      <c r="E404" t="inlineStr">
        <is>
          <t>TK</t>
        </is>
      </c>
      <c r="F404" t="n">
        <v>2</v>
      </c>
      <c r="G404" t="inlineStr">
        <is>
          <t>OUT</t>
        </is>
      </c>
      <c r="H404">
        <f>IF(G404="OUT",F404,-F404)</f>
        <v>2</v>
      </c>
      <c r="I404">
        <f>IF(AND(B404&gt;=DATE(2025,7,1),B404&lt;=DATE(2026,6,30)),1,0)</f>
        <v>1</v>
      </c>
      <c r="J404">
        <f>IF(B404&lt;=DATE(2026,6,30),1,0)</f>
        <v>1</v>
      </c>
      <c r="K404" t="inlineStr"/>
      <c r="L404" t="inlineStr">
        <is>
          <t>Driver</t>
        </is>
      </c>
      <c r="M404">
        <f>COUNTIFS('Asset Log'!$A$5:$A$1379,A404,'Asset Log'!$E$5:$E$1379,E404,'Asset Log'!$G$5:$G$1379,G404)</f>
        <v>1</v>
      </c>
    </row>
    <row r="405">
      <c r="A405" t="inlineStr">
        <is>
          <t>D70002</t>
        </is>
      </c>
      <c r="B405" s="11" t="n">
        <v>45924</v>
      </c>
      <c r="C405" t="inlineStr">
        <is>
          <t>S0001</t>
        </is>
      </c>
      <c r="D405" t="inlineStr">
        <is>
          <t>S0001</t>
        </is>
      </c>
      <c r="E405" t="inlineStr">
        <is>
          <t>FP</t>
        </is>
      </c>
      <c r="F405" t="n">
        <v>64</v>
      </c>
      <c r="G405" t="inlineStr">
        <is>
          <t>OUT</t>
        </is>
      </c>
      <c r="H405">
        <f>IF(G405="OUT",F405,-F405)</f>
        <v>64</v>
      </c>
      <c r="I405">
        <f>IF(AND(B405&gt;=DATE(2025,7,1),B405&lt;=DATE(2026,6,30)),1,0)</f>
        <v>1</v>
      </c>
      <c r="J405">
        <f>IF(B405&lt;=DATE(2026,6,30),1,0)</f>
        <v>1</v>
      </c>
      <c r="K405" t="inlineStr"/>
      <c r="L405" t="inlineStr">
        <is>
          <t>Yard</t>
        </is>
      </c>
      <c r="M405">
        <f>COUNTIFS('Asset Log'!$A$5:$A$1379,A405,'Asset Log'!$E$5:$E$1379,E405,'Asset Log'!$G$5:$G$1379,G405)</f>
        <v>1</v>
      </c>
    </row>
    <row r="406">
      <c r="A406" t="inlineStr">
        <is>
          <t>D70010</t>
        </is>
      </c>
      <c r="B406" s="11" t="n">
        <v>45924</v>
      </c>
      <c r="C406" t="inlineStr">
        <is>
          <t>s001</t>
        </is>
      </c>
      <c r="D406" t="inlineStr">
        <is>
          <t>S0001</t>
        </is>
      </c>
      <c r="E406" t="inlineStr">
        <is>
          <t>FB</t>
        </is>
      </c>
      <c r="F406" t="n">
        <v>70</v>
      </c>
      <c r="G406" t="inlineStr">
        <is>
          <t>OUT</t>
        </is>
      </c>
      <c r="H406">
        <f>IF(G406="OUT",F406,-F406)</f>
        <v>70</v>
      </c>
      <c r="I406">
        <f>IF(AND(B406&gt;=DATE(2025,7,1),B406&lt;=DATE(2026,6,30)),1,0)</f>
        <v>1</v>
      </c>
      <c r="J406">
        <f>IF(B406&lt;=DATE(2026,6,30),1,0)</f>
        <v>1</v>
      </c>
      <c r="K406" t="inlineStr">
        <is>
          <t>Site text normalised</t>
        </is>
      </c>
      <c r="L406" t="inlineStr">
        <is>
          <t>Yard</t>
        </is>
      </c>
      <c r="M406">
        <f>COUNTIFS('Asset Log'!$A$5:$A$1379,A406,'Asset Log'!$E$5:$E$1379,E406,'Asset Log'!$G$5:$G$1379,G406)</f>
        <v>1</v>
      </c>
    </row>
    <row r="407">
      <c r="A407" t="inlineStr">
        <is>
          <t>D70099</t>
        </is>
      </c>
      <c r="B407" s="11" t="n">
        <v>45924</v>
      </c>
      <c r="C407" t="inlineStr">
        <is>
          <t>S0011</t>
        </is>
      </c>
      <c r="D407" t="inlineStr">
        <is>
          <t>S0011</t>
        </is>
      </c>
      <c r="E407" t="inlineStr">
        <is>
          <t>FP</t>
        </is>
      </c>
      <c r="F407" t="n">
        <v>96</v>
      </c>
      <c r="G407" t="inlineStr">
        <is>
          <t>OUT</t>
        </is>
      </c>
      <c r="H407">
        <f>IF(G407="OUT",F407,-F407)</f>
        <v>96</v>
      </c>
      <c r="I407">
        <f>IF(AND(B407&gt;=DATE(2025,7,1),B407&lt;=DATE(2026,6,30)),1,0)</f>
        <v>1</v>
      </c>
      <c r="J407">
        <f>IF(B407&lt;=DATE(2026,6,30),1,0)</f>
        <v>1</v>
      </c>
      <c r="K407" t="inlineStr"/>
      <c r="L407" t="inlineStr">
        <is>
          <t>Yard</t>
        </is>
      </c>
      <c r="M407">
        <f>COUNTIFS('Asset Log'!$A$5:$A$1379,A407,'Asset Log'!$E$5:$E$1379,E407,'Asset Log'!$G$5:$G$1379,G407)</f>
        <v>1</v>
      </c>
    </row>
    <row r="408">
      <c r="A408" t="inlineStr">
        <is>
          <t>D70104</t>
        </is>
      </c>
      <c r="B408" s="11" t="n">
        <v>45924</v>
      </c>
      <c r="C408" t="inlineStr">
        <is>
          <t>s011</t>
        </is>
      </c>
      <c r="D408" t="inlineStr">
        <is>
          <t>S0011</t>
        </is>
      </c>
      <c r="E408" t="inlineStr">
        <is>
          <t>FB</t>
        </is>
      </c>
      <c r="F408" t="n">
        <v>105</v>
      </c>
      <c r="G408" t="inlineStr">
        <is>
          <t>OUT</t>
        </is>
      </c>
      <c r="H408">
        <f>IF(G408="OUT",F408,-F408)</f>
        <v>105</v>
      </c>
      <c r="I408">
        <f>IF(AND(B408&gt;=DATE(2025,7,1),B408&lt;=DATE(2026,6,30)),1,0)</f>
        <v>1</v>
      </c>
      <c r="J408">
        <f>IF(B408&lt;=DATE(2026,6,30),1,0)</f>
        <v>1</v>
      </c>
      <c r="K408" t="inlineStr">
        <is>
          <t>Site text normalised</t>
        </is>
      </c>
      <c r="L408" t="inlineStr">
        <is>
          <t>Office</t>
        </is>
      </c>
      <c r="M408">
        <f>COUNTIFS('Asset Log'!$A$5:$A$1379,A408,'Asset Log'!$E$5:$E$1379,E408,'Asset Log'!$G$5:$G$1379,G408)</f>
        <v>1</v>
      </c>
    </row>
    <row r="409">
      <c r="A409" t="inlineStr">
        <is>
          <t>D72691</t>
        </is>
      </c>
      <c r="B409" s="11" t="n">
        <v>45924</v>
      </c>
      <c r="C409" t="inlineStr">
        <is>
          <t>S0441</t>
        </is>
      </c>
      <c r="D409" t="inlineStr">
        <is>
          <t>S0441</t>
        </is>
      </c>
      <c r="E409" t="inlineStr">
        <is>
          <t>TK</t>
        </is>
      </c>
      <c r="F409" t="n">
        <v>2</v>
      </c>
      <c r="G409" t="inlineStr">
        <is>
          <t>IN</t>
        </is>
      </c>
      <c r="H409">
        <f>IF(G409="OUT",F409,-F409)</f>
        <v>-2</v>
      </c>
      <c r="I409">
        <f>IF(AND(B409&gt;=DATE(2025,7,1),B409&lt;=DATE(2026,6,30)),1,0)</f>
        <v>1</v>
      </c>
      <c r="J409">
        <f>IF(B409&lt;=DATE(2026,6,30),1,0)</f>
        <v>1</v>
      </c>
      <c r="K409" t="inlineStr"/>
      <c r="L409" t="inlineStr">
        <is>
          <t>Office</t>
        </is>
      </c>
      <c r="M409">
        <f>COUNTIFS('Asset Log'!$A$5:$A$1379,A409,'Asset Log'!$E$5:$E$1379,E409,'Asset Log'!$G$5:$G$1379,G409)</f>
        <v>1</v>
      </c>
    </row>
    <row r="410">
      <c r="A410" t="inlineStr">
        <is>
          <t>D72224</t>
        </is>
      </c>
      <c r="B410" s="11" t="n">
        <v>45925</v>
      </c>
      <c r="C410" t="inlineStr">
        <is>
          <t>S0238</t>
        </is>
      </c>
      <c r="D410" t="inlineStr">
        <is>
          <t>S0238</t>
        </is>
      </c>
      <c r="E410" t="inlineStr">
        <is>
          <t>ST</t>
        </is>
      </c>
      <c r="F410" t="n">
        <v>1</v>
      </c>
      <c r="G410" t="inlineStr">
        <is>
          <t>IN</t>
        </is>
      </c>
      <c r="H410">
        <f>IF(G410="OUT",F410,-F410)</f>
        <v>-1</v>
      </c>
      <c r="I410">
        <f>IF(AND(B410&gt;=DATE(2025,7,1),B410&lt;=DATE(2026,6,30)),1,0)</f>
        <v>1</v>
      </c>
      <c r="J410">
        <f>IF(B410&lt;=DATE(2026,6,30),1,0)</f>
        <v>1</v>
      </c>
      <c r="K410" t="inlineStr"/>
      <c r="L410" t="inlineStr">
        <is>
          <t>Yard</t>
        </is>
      </c>
      <c r="M410">
        <f>COUNTIFS('Asset Log'!$A$5:$A$1379,A410,'Asset Log'!$E$5:$E$1379,E410,'Asset Log'!$G$5:$G$1379,G410)</f>
        <v>1</v>
      </c>
    </row>
    <row r="411">
      <c r="A411" t="inlineStr">
        <is>
          <t>D72620</t>
        </is>
      </c>
      <c r="B411" s="11" t="n">
        <v>45925</v>
      </c>
      <c r="C411" t="inlineStr">
        <is>
          <t>S0406</t>
        </is>
      </c>
      <c r="D411" t="inlineStr">
        <is>
          <t>S0406</t>
        </is>
      </c>
      <c r="E411" t="inlineStr">
        <is>
          <t>TK</t>
        </is>
      </c>
      <c r="F411" t="n">
        <v>2</v>
      </c>
      <c r="G411" t="inlineStr">
        <is>
          <t>OUT</t>
        </is>
      </c>
      <c r="H411">
        <f>IF(G411="OUT",F411,-F411)</f>
        <v>2</v>
      </c>
      <c r="I411">
        <f>IF(AND(B411&gt;=DATE(2025,7,1),B411&lt;=DATE(2026,6,30)),1,0)</f>
        <v>1</v>
      </c>
      <c r="J411">
        <f>IF(B411&lt;=DATE(2026,6,30),1,0)</f>
        <v>1</v>
      </c>
      <c r="K411" t="inlineStr"/>
      <c r="L411" t="inlineStr">
        <is>
          <t>Office</t>
        </is>
      </c>
      <c r="M411">
        <f>COUNTIFS('Asset Log'!$A$5:$A$1379,A411,'Asset Log'!$E$5:$E$1379,E411,'Asset Log'!$G$5:$G$1379,G411)</f>
        <v>1</v>
      </c>
    </row>
    <row r="412">
      <c r="A412" t="inlineStr">
        <is>
          <t>D72266</t>
        </is>
      </c>
      <c r="B412" s="11" t="n">
        <v>45926</v>
      </c>
      <c r="C412" t="inlineStr">
        <is>
          <t>S0249</t>
        </is>
      </c>
      <c r="D412" t="inlineStr">
        <is>
          <t>S0249</t>
        </is>
      </c>
      <c r="E412" t="inlineStr">
        <is>
          <t>ST</t>
        </is>
      </c>
      <c r="F412" t="n">
        <v>1</v>
      </c>
      <c r="G412" t="inlineStr">
        <is>
          <t>IN</t>
        </is>
      </c>
      <c r="H412">
        <f>IF(G412="OUT",F412,-F412)</f>
        <v>-1</v>
      </c>
      <c r="I412">
        <f>IF(AND(B412&gt;=DATE(2025,7,1),B412&lt;=DATE(2026,6,30)),1,0)</f>
        <v>1</v>
      </c>
      <c r="J412">
        <f>IF(B412&lt;=DATE(2026,6,30),1,0)</f>
        <v>1</v>
      </c>
      <c r="K412" t="inlineStr"/>
      <c r="L412" t="inlineStr">
        <is>
          <t>Driver</t>
        </is>
      </c>
      <c r="M412">
        <f>COUNTIFS('Asset Log'!$A$5:$A$1379,A412,'Asset Log'!$E$5:$E$1379,E412,'Asset Log'!$G$5:$G$1379,G412)</f>
        <v>1</v>
      </c>
    </row>
    <row r="413">
      <c r="A413" t="inlineStr">
        <is>
          <t>D70022</t>
        </is>
      </c>
      <c r="B413" s="11" t="n">
        <v>45927</v>
      </c>
      <c r="C413" t="inlineStr">
        <is>
          <t>S0003</t>
        </is>
      </c>
      <c r="D413" t="inlineStr">
        <is>
          <t>S0003</t>
        </is>
      </c>
      <c r="E413" t="inlineStr">
        <is>
          <t>FP</t>
        </is>
      </c>
      <c r="F413" t="n">
        <v>152</v>
      </c>
      <c r="G413" t="inlineStr">
        <is>
          <t>OUT</t>
        </is>
      </c>
      <c r="H413">
        <f>IF(G413="OUT",F413,-F413)</f>
        <v>152</v>
      </c>
      <c r="I413">
        <f>IF(AND(B413&gt;=DATE(2025,7,1),B413&lt;=DATE(2026,6,30)),1,0)</f>
        <v>1</v>
      </c>
      <c r="J413">
        <f>IF(B413&lt;=DATE(2026,6,30),1,0)</f>
        <v>1</v>
      </c>
      <c r="K413" t="inlineStr"/>
      <c r="L413" t="inlineStr">
        <is>
          <t>Driver</t>
        </is>
      </c>
      <c r="M413">
        <f>COUNTIFS('Asset Log'!$A$5:$A$1379,A413,'Asset Log'!$E$5:$E$1379,E413,'Asset Log'!$G$5:$G$1379,G413)</f>
        <v>1</v>
      </c>
    </row>
    <row r="414">
      <c r="A414" t="inlineStr">
        <is>
          <t>D70026</t>
        </is>
      </c>
      <c r="B414" s="11" t="n">
        <v>45927</v>
      </c>
      <c r="C414" t="inlineStr">
        <is>
          <t>S0003</t>
        </is>
      </c>
      <c r="D414" t="inlineStr">
        <is>
          <t>S0003</t>
        </is>
      </c>
      <c r="E414" t="inlineStr">
        <is>
          <t>FB</t>
        </is>
      </c>
      <c r="F414" t="n">
        <v>167</v>
      </c>
      <c r="G414" t="inlineStr">
        <is>
          <t>OUT</t>
        </is>
      </c>
      <c r="H414">
        <f>IF(G414="OUT",F414,-F414)</f>
        <v>167</v>
      </c>
      <c r="I414">
        <f>IF(AND(B414&gt;=DATE(2025,7,1),B414&lt;=DATE(2026,6,30)),1,0)</f>
        <v>1</v>
      </c>
      <c r="J414">
        <f>IF(B414&lt;=DATE(2026,6,30),1,0)</f>
        <v>1</v>
      </c>
      <c r="K414" t="inlineStr"/>
      <c r="L414" t="inlineStr">
        <is>
          <t>Office</t>
        </is>
      </c>
      <c r="M414">
        <f>COUNTIFS('Asset Log'!$A$5:$A$1379,A414,'Asset Log'!$E$5:$E$1379,E414,'Asset Log'!$G$5:$G$1379,G414)</f>
        <v>1</v>
      </c>
    </row>
    <row r="415">
      <c r="A415" t="inlineStr">
        <is>
          <t>D70225</t>
        </is>
      </c>
      <c r="B415" s="11" t="n">
        <v>45927</v>
      </c>
      <c r="C415" t="inlineStr">
        <is>
          <t>S0042</t>
        </is>
      </c>
      <c r="D415" t="inlineStr">
        <is>
          <t>S0024</t>
        </is>
      </c>
      <c r="E415" t="inlineStr">
        <is>
          <t>FP</t>
        </is>
      </c>
      <c r="F415" t="n">
        <v>19</v>
      </c>
      <c r="G415" t="inlineStr">
        <is>
          <t>IN</t>
        </is>
      </c>
      <c r="H415">
        <f>IF(G415="OUT",F415,-F415)</f>
        <v>-19</v>
      </c>
      <c r="I415">
        <f>IF(AND(B415&gt;=DATE(2025,7,1),B415&lt;=DATE(2026,6,30)),1,0)</f>
        <v>1</v>
      </c>
      <c r="J415">
        <f>IF(B415&lt;=DATE(2026,6,30),1,0)</f>
        <v>1</v>
      </c>
      <c r="K415" t="inlineStr">
        <is>
          <t>Site corrected from S0042 (return before the job started)</t>
        </is>
      </c>
      <c r="L415" t="inlineStr">
        <is>
          <t>Office</t>
        </is>
      </c>
      <c r="M415">
        <f>COUNTIFS('Asset Log'!$A$5:$A$1379,A415,'Asset Log'!$E$5:$E$1379,E415,'Asset Log'!$G$5:$G$1379,G415)</f>
        <v>1</v>
      </c>
    </row>
    <row r="416">
      <c r="A416" t="inlineStr">
        <is>
          <t>D70229</t>
        </is>
      </c>
      <c r="B416" s="11" t="n">
        <v>45927</v>
      </c>
      <c r="C416" t="inlineStr">
        <is>
          <t>S0024</t>
        </is>
      </c>
      <c r="D416" t="inlineStr">
        <is>
          <t>S0024</t>
        </is>
      </c>
      <c r="E416" t="inlineStr">
        <is>
          <t>FB</t>
        </is>
      </c>
      <c r="F416" t="n">
        <v>27</v>
      </c>
      <c r="G416" t="inlineStr">
        <is>
          <t>IN</t>
        </is>
      </c>
      <c r="H416">
        <f>IF(G416="OUT",F416,-F416)</f>
        <v>-27</v>
      </c>
      <c r="I416">
        <f>IF(AND(B416&gt;=DATE(2025,7,1),B416&lt;=DATE(2026,6,30)),1,0)</f>
        <v>1</v>
      </c>
      <c r="J416">
        <f>IF(B416&lt;=DATE(2026,6,30),1,0)</f>
        <v>1</v>
      </c>
      <c r="K416" t="inlineStr"/>
      <c r="L416" t="inlineStr">
        <is>
          <t>Driver</t>
        </is>
      </c>
      <c r="M416">
        <f>COUNTIFS('Asset Log'!$A$5:$A$1379,A416,'Asset Log'!$E$5:$E$1379,E416,'Asset Log'!$G$5:$G$1379,G416)</f>
        <v>1</v>
      </c>
    </row>
    <row r="417">
      <c r="A417" t="inlineStr">
        <is>
          <t>D70233</t>
        </is>
      </c>
      <c r="B417" s="11" t="n">
        <v>45927</v>
      </c>
      <c r="C417" t="inlineStr">
        <is>
          <t>S0024</t>
        </is>
      </c>
      <c r="D417" t="inlineStr">
        <is>
          <t>S0024</t>
        </is>
      </c>
      <c r="E417" t="inlineStr">
        <is>
          <t>BR</t>
        </is>
      </c>
      <c r="F417" t="n">
        <v>17</v>
      </c>
      <c r="G417" t="inlineStr">
        <is>
          <t>IN</t>
        </is>
      </c>
      <c r="H417">
        <f>IF(G417="OUT",F417,-F417)</f>
        <v>-17</v>
      </c>
      <c r="I417">
        <f>IF(AND(B417&gt;=DATE(2025,7,1),B417&lt;=DATE(2026,6,30)),1,0)</f>
        <v>1</v>
      </c>
      <c r="J417">
        <f>IF(B417&lt;=DATE(2026,6,30),1,0)</f>
        <v>1</v>
      </c>
      <c r="K417" t="inlineStr"/>
      <c r="L417" t="inlineStr">
        <is>
          <t>Office</t>
        </is>
      </c>
      <c r="M417">
        <f>COUNTIFS('Asset Log'!$A$5:$A$1379,A417,'Asset Log'!$E$5:$E$1379,E417,'Asset Log'!$G$5:$G$1379,G417)</f>
        <v>1</v>
      </c>
    </row>
    <row r="418">
      <c r="A418" t="inlineStr">
        <is>
          <t>D72061</t>
        </is>
      </c>
      <c r="B418" s="11" t="n">
        <v>45927</v>
      </c>
      <c r="C418" t="inlineStr">
        <is>
          <t>S0218</t>
        </is>
      </c>
      <c r="D418" t="inlineStr">
        <is>
          <t>S0218</t>
        </is>
      </c>
      <c r="E418" t="inlineStr">
        <is>
          <t>FP</t>
        </is>
      </c>
      <c r="F418" t="n">
        <v>119</v>
      </c>
      <c r="G418" t="inlineStr">
        <is>
          <t>OUT</t>
        </is>
      </c>
      <c r="H418">
        <f>IF(G418="OUT",F418,-F418)</f>
        <v>119</v>
      </c>
      <c r="I418">
        <f>IF(AND(B418&gt;=DATE(2025,7,1),B418&lt;=DATE(2026,6,30)),1,0)</f>
        <v>1</v>
      </c>
      <c r="J418">
        <f>IF(B418&lt;=DATE(2026,6,30),1,0)</f>
        <v>1</v>
      </c>
      <c r="K418" t="inlineStr"/>
      <c r="L418" t="inlineStr">
        <is>
          <t>Office</t>
        </is>
      </c>
      <c r="M418">
        <f>COUNTIFS('Asset Log'!$A$5:$A$1379,A418,'Asset Log'!$E$5:$E$1379,E418,'Asset Log'!$G$5:$G$1379,G418)</f>
        <v>1</v>
      </c>
    </row>
    <row r="419">
      <c r="A419" t="inlineStr">
        <is>
          <t>D72064</t>
        </is>
      </c>
      <c r="B419" s="11" t="n">
        <v>45927</v>
      </c>
      <c r="C419" t="inlineStr">
        <is>
          <t>s218</t>
        </is>
      </c>
      <c r="D419" t="inlineStr">
        <is>
          <t>S0218</t>
        </is>
      </c>
      <c r="E419" t="inlineStr">
        <is>
          <t>FB</t>
        </is>
      </c>
      <c r="F419" t="n">
        <v>130</v>
      </c>
      <c r="G419" t="inlineStr">
        <is>
          <t>OUT</t>
        </is>
      </c>
      <c r="H419">
        <f>IF(G419="OUT",F419,-F419)</f>
        <v>130</v>
      </c>
      <c r="I419">
        <f>IF(AND(B419&gt;=DATE(2025,7,1),B419&lt;=DATE(2026,6,30)),1,0)</f>
        <v>1</v>
      </c>
      <c r="J419">
        <f>IF(B419&lt;=DATE(2026,6,30),1,0)</f>
        <v>1</v>
      </c>
      <c r="K419" t="inlineStr">
        <is>
          <t>Site text normalised</t>
        </is>
      </c>
      <c r="L419" t="inlineStr">
        <is>
          <t>Office</t>
        </is>
      </c>
      <c r="M419">
        <f>COUNTIFS('Asset Log'!$A$5:$A$1379,A419,'Asset Log'!$E$5:$E$1379,E419,'Asset Log'!$G$5:$G$1379,G419)</f>
        <v>1</v>
      </c>
    </row>
    <row r="420">
      <c r="A420" t="inlineStr">
        <is>
          <t>D72068</t>
        </is>
      </c>
      <c r="B420" s="11" t="n">
        <v>45927</v>
      </c>
      <c r="C420" t="inlineStr">
        <is>
          <t>S0218</t>
        </is>
      </c>
      <c r="D420" t="inlineStr">
        <is>
          <t>S0218</t>
        </is>
      </c>
      <c r="E420" t="inlineStr">
        <is>
          <t>BR</t>
        </is>
      </c>
      <c r="F420" t="n">
        <v>13</v>
      </c>
      <c r="G420" t="inlineStr">
        <is>
          <t>OUT</t>
        </is>
      </c>
      <c r="H420">
        <f>IF(G420="OUT",F420,-F420)</f>
        <v>13</v>
      </c>
      <c r="I420">
        <f>IF(AND(B420&gt;=DATE(2025,7,1),B420&lt;=DATE(2026,6,30)),1,0)</f>
        <v>1</v>
      </c>
      <c r="J420">
        <f>IF(B420&lt;=DATE(2026,6,30),1,0)</f>
        <v>1</v>
      </c>
      <c r="K420" t="inlineStr"/>
      <c r="L420" t="inlineStr">
        <is>
          <t>Driver</t>
        </is>
      </c>
      <c r="M420">
        <f>COUNTIFS('Asset Log'!$A$5:$A$1379,A420,'Asset Log'!$E$5:$E$1379,E420,'Asset Log'!$G$5:$G$1379,G420)</f>
        <v>1</v>
      </c>
    </row>
    <row r="421">
      <c r="A421" t="inlineStr">
        <is>
          <t>D72554</t>
        </is>
      </c>
      <c r="B421" s="11" t="n">
        <v>45927</v>
      </c>
      <c r="C421" t="inlineStr">
        <is>
          <t>s363</t>
        </is>
      </c>
      <c r="D421" t="inlineStr">
        <is>
          <t>S0363</t>
        </is>
      </c>
      <c r="E421" t="inlineStr">
        <is>
          <t>TK</t>
        </is>
      </c>
      <c r="F421" t="n">
        <v>3</v>
      </c>
      <c r="G421" t="inlineStr">
        <is>
          <t>IN</t>
        </is>
      </c>
      <c r="H421">
        <f>IF(G421="OUT",F421,-F421)</f>
        <v>-3</v>
      </c>
      <c r="I421">
        <f>IF(AND(B421&gt;=DATE(2025,7,1),B421&lt;=DATE(2026,6,30)),1,0)</f>
        <v>1</v>
      </c>
      <c r="J421">
        <f>IF(B421&lt;=DATE(2026,6,30),1,0)</f>
        <v>1</v>
      </c>
      <c r="K421" t="inlineStr">
        <is>
          <t>Site text normalised</t>
        </is>
      </c>
      <c r="L421" t="inlineStr">
        <is>
          <t>Yard</t>
        </is>
      </c>
      <c r="M421">
        <f>COUNTIFS('Asset Log'!$A$5:$A$1379,A421,'Asset Log'!$E$5:$E$1379,E421,'Asset Log'!$G$5:$G$1379,G421)</f>
        <v>1</v>
      </c>
    </row>
    <row r="422">
      <c r="A422" t="inlineStr">
        <is>
          <t>D71537</t>
        </is>
      </c>
      <c r="B422" s="11" t="n">
        <v>45928</v>
      </c>
      <c r="C422" t="inlineStr">
        <is>
          <t>S0160</t>
        </is>
      </c>
      <c r="D422" t="inlineStr">
        <is>
          <t>S0160</t>
        </is>
      </c>
      <c r="E422" t="inlineStr">
        <is>
          <t>FP</t>
        </is>
      </c>
      <c r="F422" t="n">
        <v>91</v>
      </c>
      <c r="G422" t="inlineStr">
        <is>
          <t>OUT</t>
        </is>
      </c>
      <c r="H422">
        <f>IF(G422="OUT",F422,-F422)</f>
        <v>91</v>
      </c>
      <c r="I422">
        <f>IF(AND(B422&gt;=DATE(2025,7,1),B422&lt;=DATE(2026,6,30)),1,0)</f>
        <v>1</v>
      </c>
      <c r="J422">
        <f>IF(B422&lt;=DATE(2026,6,30),1,0)</f>
        <v>1</v>
      </c>
      <c r="K422" t="inlineStr"/>
      <c r="L422" t="inlineStr">
        <is>
          <t>Driver</t>
        </is>
      </c>
      <c r="M422">
        <f>COUNTIFS('Asset Log'!$A$5:$A$1379,A422,'Asset Log'!$E$5:$E$1379,E422,'Asset Log'!$G$5:$G$1379,G422)</f>
        <v>1</v>
      </c>
    </row>
    <row r="423">
      <c r="A423" t="inlineStr">
        <is>
          <t>D71545</t>
        </is>
      </c>
      <c r="B423" s="11" t="n">
        <v>45928</v>
      </c>
      <c r="C423" t="inlineStr">
        <is>
          <t>S0160</t>
        </is>
      </c>
      <c r="D423" t="inlineStr">
        <is>
          <t>S0160</t>
        </is>
      </c>
      <c r="E423" t="inlineStr">
        <is>
          <t>FB</t>
        </is>
      </c>
      <c r="F423" t="n">
        <v>100</v>
      </c>
      <c r="G423" t="inlineStr">
        <is>
          <t>OUT</t>
        </is>
      </c>
      <c r="H423">
        <f>IF(G423="OUT",F423,-F423)</f>
        <v>100</v>
      </c>
      <c r="I423">
        <f>IF(AND(B423&gt;=DATE(2025,7,1),B423&lt;=DATE(2026,6,30)),1,0)</f>
        <v>1</v>
      </c>
      <c r="J423">
        <f>IF(B423&lt;=DATE(2026,6,30),1,0)</f>
        <v>1</v>
      </c>
      <c r="K423" t="inlineStr"/>
      <c r="L423" t="inlineStr">
        <is>
          <t>Office</t>
        </is>
      </c>
      <c r="M423">
        <f>COUNTIFS('Asset Log'!$A$5:$A$1379,A423,'Asset Log'!$E$5:$E$1379,E423,'Asset Log'!$G$5:$G$1379,G423)</f>
        <v>1</v>
      </c>
    </row>
    <row r="424">
      <c r="A424" t="inlineStr">
        <is>
          <t>D72284</t>
        </is>
      </c>
      <c r="B424" s="11" t="n">
        <v>45928</v>
      </c>
      <c r="C424" t="inlineStr">
        <is>
          <t>S0253</t>
        </is>
      </c>
      <c r="D424" t="inlineStr">
        <is>
          <t>S0253</t>
        </is>
      </c>
      <c r="E424" t="inlineStr">
        <is>
          <t>ST</t>
        </is>
      </c>
      <c r="F424" t="n">
        <v>3</v>
      </c>
      <c r="G424" t="inlineStr">
        <is>
          <t>IN</t>
        </is>
      </c>
      <c r="H424">
        <f>IF(G424="OUT",F424,-F424)</f>
        <v>-3</v>
      </c>
      <c r="I424">
        <f>IF(AND(B424&gt;=DATE(2025,7,1),B424&lt;=DATE(2026,6,30)),1,0)</f>
        <v>1</v>
      </c>
      <c r="J424">
        <f>IF(B424&lt;=DATE(2026,6,30),1,0)</f>
        <v>1</v>
      </c>
      <c r="K424" t="inlineStr"/>
      <c r="L424" t="inlineStr">
        <is>
          <t>Driver</t>
        </is>
      </c>
      <c r="M424">
        <f>COUNTIFS('Asset Log'!$A$5:$A$1379,A424,'Asset Log'!$E$5:$E$1379,E424,'Asset Log'!$G$5:$G$1379,G424)</f>
        <v>1</v>
      </c>
    </row>
    <row r="425">
      <c r="A425" t="inlineStr">
        <is>
          <t>D72798</t>
        </is>
      </c>
      <c r="B425" s="11" t="n">
        <v>45928</v>
      </c>
      <c r="C425" t="inlineStr">
        <is>
          <t>S0518</t>
        </is>
      </c>
      <c r="D425" t="inlineStr">
        <is>
          <t>S0518</t>
        </is>
      </c>
      <c r="E425" t="inlineStr">
        <is>
          <t>TK</t>
        </is>
      </c>
      <c r="F425" t="n">
        <v>2</v>
      </c>
      <c r="G425" t="inlineStr">
        <is>
          <t>IN</t>
        </is>
      </c>
      <c r="H425">
        <f>IF(G425="OUT",F425,-F425)</f>
        <v>-2</v>
      </c>
      <c r="I425">
        <f>IF(AND(B425&gt;=DATE(2025,7,1),B425&lt;=DATE(2026,6,30)),1,0)</f>
        <v>1</v>
      </c>
      <c r="J425">
        <f>IF(B425&lt;=DATE(2026,6,30),1,0)</f>
        <v>1</v>
      </c>
      <c r="K425" t="inlineStr"/>
      <c r="L425" t="inlineStr">
        <is>
          <t>Office</t>
        </is>
      </c>
      <c r="M425">
        <f>COUNTIFS('Asset Log'!$A$5:$A$1379,A425,'Asset Log'!$E$5:$E$1379,E425,'Asset Log'!$G$5:$G$1379,G425)</f>
        <v>1</v>
      </c>
    </row>
    <row r="426">
      <c r="A426" t="inlineStr">
        <is>
          <t>D71723</t>
        </is>
      </c>
      <c r="B426" s="11" t="n">
        <v>45929</v>
      </c>
      <c r="C426" t="inlineStr">
        <is>
          <t>s181</t>
        </is>
      </c>
      <c r="D426" t="inlineStr">
        <is>
          <t>S0181</t>
        </is>
      </c>
      <c r="E426" t="inlineStr">
        <is>
          <t>FP</t>
        </is>
      </c>
      <c r="F426" t="n">
        <v>122</v>
      </c>
      <c r="G426" t="inlineStr">
        <is>
          <t>OUT</t>
        </is>
      </c>
      <c r="H426">
        <f>IF(G426="OUT",F426,-F426)</f>
        <v>122</v>
      </c>
      <c r="I426">
        <f>IF(AND(B426&gt;=DATE(2025,7,1),B426&lt;=DATE(2026,6,30)),1,0)</f>
        <v>1</v>
      </c>
      <c r="J426">
        <f>IF(B426&lt;=DATE(2026,6,30),1,0)</f>
        <v>1</v>
      </c>
      <c r="K426" t="inlineStr">
        <is>
          <t>Site text normalised</t>
        </is>
      </c>
      <c r="L426" t="inlineStr">
        <is>
          <t>Yard</t>
        </is>
      </c>
      <c r="M426">
        <f>COUNTIFS('Asset Log'!$A$5:$A$1379,A426,'Asset Log'!$E$5:$E$1379,E426,'Asset Log'!$G$5:$G$1379,G426)</f>
        <v>1</v>
      </c>
    </row>
    <row r="427">
      <c r="A427" t="inlineStr">
        <is>
          <t>D71728</t>
        </is>
      </c>
      <c r="B427" s="11" t="n">
        <v>45929</v>
      </c>
      <c r="C427" t="inlineStr">
        <is>
          <t>S0181</t>
        </is>
      </c>
      <c r="D427" t="inlineStr">
        <is>
          <t>S0181</t>
        </is>
      </c>
      <c r="E427" t="inlineStr">
        <is>
          <t>FB</t>
        </is>
      </c>
      <c r="F427" t="n">
        <v>134</v>
      </c>
      <c r="G427" t="inlineStr">
        <is>
          <t>OUT</t>
        </is>
      </c>
      <c r="H427">
        <f>IF(G427="OUT",F427,-F427)</f>
        <v>134</v>
      </c>
      <c r="I427">
        <f>IF(AND(B427&gt;=DATE(2025,7,1),B427&lt;=DATE(2026,6,30)),1,0)</f>
        <v>1</v>
      </c>
      <c r="J427">
        <f>IF(B427&lt;=DATE(2026,6,30),1,0)</f>
        <v>1</v>
      </c>
      <c r="K427" t="inlineStr"/>
      <c r="L427" t="inlineStr">
        <is>
          <t>Office</t>
        </is>
      </c>
      <c r="M427">
        <f>COUNTIFS('Asset Log'!$A$5:$A$1379,A427,'Asset Log'!$E$5:$E$1379,E427,'Asset Log'!$G$5:$G$1379,G427)</f>
        <v>1</v>
      </c>
    </row>
    <row r="428">
      <c r="A428" t="inlineStr">
        <is>
          <t>D70710</t>
        </is>
      </c>
      <c r="B428" s="11" t="n">
        <v>45930</v>
      </c>
      <c r="C428" t="inlineStr">
        <is>
          <t>S0076</t>
        </is>
      </c>
      <c r="D428" t="inlineStr">
        <is>
          <t>S0076</t>
        </is>
      </c>
      <c r="E428" t="inlineStr">
        <is>
          <t>FP</t>
        </is>
      </c>
      <c r="F428" t="n">
        <v>19</v>
      </c>
      <c r="G428" t="inlineStr">
        <is>
          <t>IN</t>
        </is>
      </c>
      <c r="H428">
        <f>IF(G428="OUT",F428,-F428)</f>
        <v>-19</v>
      </c>
      <c r="I428">
        <f>IF(AND(B428&gt;=DATE(2025,7,1),B428&lt;=DATE(2026,6,30)),1,0)</f>
        <v>1</v>
      </c>
      <c r="J428">
        <f>IF(B428&lt;=DATE(2026,6,30),1,0)</f>
        <v>1</v>
      </c>
      <c r="K428" t="inlineStr"/>
      <c r="L428" t="inlineStr">
        <is>
          <t>Driver</t>
        </is>
      </c>
      <c r="M428">
        <f>COUNTIFS('Asset Log'!$A$5:$A$1379,A428,'Asset Log'!$E$5:$E$1379,E428,'Asset Log'!$G$5:$G$1379,G428)</f>
        <v>1</v>
      </c>
    </row>
    <row r="429">
      <c r="A429" t="inlineStr">
        <is>
          <t>D70714</t>
        </is>
      </c>
      <c r="B429" s="11" t="n">
        <v>45930</v>
      </c>
      <c r="C429" t="inlineStr">
        <is>
          <t>76</t>
        </is>
      </c>
      <c r="D429" t="inlineStr">
        <is>
          <t>S0076</t>
        </is>
      </c>
      <c r="E429" t="inlineStr">
        <is>
          <t>FB</t>
        </is>
      </c>
      <c r="F429" t="n">
        <v>20</v>
      </c>
      <c r="G429" t="inlineStr">
        <is>
          <t>IN</t>
        </is>
      </c>
      <c r="H429">
        <f>IF(G429="OUT",F429,-F429)</f>
        <v>-20</v>
      </c>
      <c r="I429">
        <f>IF(AND(B429&gt;=DATE(2025,7,1),B429&lt;=DATE(2026,6,30)),1,0)</f>
        <v>1</v>
      </c>
      <c r="J429">
        <f>IF(B429&lt;=DATE(2026,6,30),1,0)</f>
        <v>1</v>
      </c>
      <c r="K429" t="inlineStr">
        <is>
          <t>Site text normalised</t>
        </is>
      </c>
      <c r="L429" t="inlineStr">
        <is>
          <t>Yard</t>
        </is>
      </c>
      <c r="M429">
        <f>COUNTIFS('Asset Log'!$A$5:$A$1379,A429,'Asset Log'!$E$5:$E$1379,E429,'Asset Log'!$G$5:$G$1379,G429)</f>
        <v>1</v>
      </c>
    </row>
    <row r="430">
      <c r="A430" t="inlineStr">
        <is>
          <t>D71935</t>
        </is>
      </c>
      <c r="B430" s="11" t="n">
        <v>45930</v>
      </c>
      <c r="C430" t="inlineStr">
        <is>
          <t>S0205</t>
        </is>
      </c>
      <c r="D430" t="inlineStr">
        <is>
          <t>S0205</t>
        </is>
      </c>
      <c r="E430" t="inlineStr">
        <is>
          <t>FP</t>
        </is>
      </c>
      <c r="F430" t="n">
        <v>77</v>
      </c>
      <c r="G430" t="inlineStr">
        <is>
          <t>OUT</t>
        </is>
      </c>
      <c r="H430">
        <f>IF(G430="OUT",F430,-F430)</f>
        <v>77</v>
      </c>
      <c r="I430">
        <f>IF(AND(B430&gt;=DATE(2025,7,1),B430&lt;=DATE(2026,6,30)),1,0)</f>
        <v>1</v>
      </c>
      <c r="J430">
        <f>IF(B430&lt;=DATE(2026,6,30),1,0)</f>
        <v>1</v>
      </c>
      <c r="K430" t="inlineStr"/>
      <c r="L430" t="inlineStr">
        <is>
          <t>Office</t>
        </is>
      </c>
      <c r="M430">
        <f>COUNTIFS('Asset Log'!$A$5:$A$1379,A430,'Asset Log'!$E$5:$E$1379,E430,'Asset Log'!$G$5:$G$1379,G430)</f>
        <v>1</v>
      </c>
    </row>
    <row r="431">
      <c r="A431" t="inlineStr">
        <is>
          <t>D71941</t>
        </is>
      </c>
      <c r="B431" s="11" t="n">
        <v>45930</v>
      </c>
      <c r="C431" t="inlineStr">
        <is>
          <t>S0205</t>
        </is>
      </c>
      <c r="D431" t="inlineStr">
        <is>
          <t>S0205</t>
        </is>
      </c>
      <c r="E431" t="inlineStr">
        <is>
          <t>FB</t>
        </is>
      </c>
      <c r="F431" t="n">
        <v>84</v>
      </c>
      <c r="G431" t="inlineStr">
        <is>
          <t>OUT</t>
        </is>
      </c>
      <c r="H431">
        <f>IF(G431="OUT",F431,-F431)</f>
        <v>84</v>
      </c>
      <c r="I431">
        <f>IF(AND(B431&gt;=DATE(2025,7,1),B431&lt;=DATE(2026,6,30)),1,0)</f>
        <v>1</v>
      </c>
      <c r="J431">
        <f>IF(B431&lt;=DATE(2026,6,30),1,0)</f>
        <v>1</v>
      </c>
      <c r="K431" t="inlineStr"/>
      <c r="L431" t="inlineStr">
        <is>
          <t>Office</t>
        </is>
      </c>
      <c r="M431">
        <f>COUNTIFS('Asset Log'!$A$5:$A$1379,A431,'Asset Log'!$E$5:$E$1379,E431,'Asset Log'!$G$5:$G$1379,G431)</f>
        <v>1</v>
      </c>
    </row>
    <row r="432">
      <c r="A432" t="inlineStr">
        <is>
          <t>D72681</t>
        </is>
      </c>
      <c r="B432" s="11" t="n">
        <v>45930</v>
      </c>
      <c r="C432" t="inlineStr">
        <is>
          <t>S0438</t>
        </is>
      </c>
      <c r="D432" t="inlineStr">
        <is>
          <t>S0438</t>
        </is>
      </c>
      <c r="E432" t="inlineStr">
        <is>
          <t>TK</t>
        </is>
      </c>
      <c r="F432" t="n">
        <v>3</v>
      </c>
      <c r="G432" t="inlineStr">
        <is>
          <t>IN</t>
        </is>
      </c>
      <c r="H432">
        <f>IF(G432="OUT",F432,-F432)</f>
        <v>-3</v>
      </c>
      <c r="I432">
        <f>IF(AND(B432&gt;=DATE(2025,7,1),B432&lt;=DATE(2026,6,30)),1,0)</f>
        <v>1</v>
      </c>
      <c r="J432">
        <f>IF(B432&lt;=DATE(2026,6,30),1,0)</f>
        <v>1</v>
      </c>
      <c r="K432" t="inlineStr"/>
      <c r="L432" t="inlineStr">
        <is>
          <t>Driver</t>
        </is>
      </c>
      <c r="M432">
        <f>COUNTIFS('Asset Log'!$A$5:$A$1379,A432,'Asset Log'!$E$5:$E$1379,E432,'Asset Log'!$G$5:$G$1379,G432)</f>
        <v>1</v>
      </c>
    </row>
    <row r="433">
      <c r="A433" t="inlineStr">
        <is>
          <t>D72486</t>
        </is>
      </c>
      <c r="B433" s="11" t="n">
        <v>45931</v>
      </c>
      <c r="C433" t="inlineStr">
        <is>
          <t>S0324</t>
        </is>
      </c>
      <c r="D433" t="inlineStr">
        <is>
          <t>S0324</t>
        </is>
      </c>
      <c r="E433" t="inlineStr">
        <is>
          <t>TK</t>
        </is>
      </c>
      <c r="F433" t="n">
        <v>2</v>
      </c>
      <c r="G433" t="inlineStr">
        <is>
          <t>IN</t>
        </is>
      </c>
      <c r="H433">
        <f>IF(G433="OUT",F433,-F433)</f>
        <v>-2</v>
      </c>
      <c r="I433">
        <f>IF(AND(B433&gt;=DATE(2025,7,1),B433&lt;=DATE(2026,6,30)),1,0)</f>
        <v>1</v>
      </c>
      <c r="J433">
        <f>IF(B433&lt;=DATE(2026,6,30),1,0)</f>
        <v>1</v>
      </c>
      <c r="K433" t="inlineStr"/>
      <c r="L433" t="inlineStr">
        <is>
          <t>Driver</t>
        </is>
      </c>
      <c r="M433">
        <f>COUNTIFS('Asset Log'!$A$5:$A$1379,A433,'Asset Log'!$E$5:$E$1379,E433,'Asset Log'!$G$5:$G$1379,G433)</f>
        <v>1</v>
      </c>
    </row>
    <row r="434">
      <c r="A434" t="inlineStr">
        <is>
          <t>D72598</t>
        </is>
      </c>
      <c r="B434" s="11" t="n">
        <v>45931</v>
      </c>
      <c r="C434" t="inlineStr">
        <is>
          <t>S0393</t>
        </is>
      </c>
      <c r="D434" t="inlineStr">
        <is>
          <t>S0393</t>
        </is>
      </c>
      <c r="E434" t="inlineStr">
        <is>
          <t>TK</t>
        </is>
      </c>
      <c r="F434" t="n">
        <v>1</v>
      </c>
      <c r="G434" t="inlineStr">
        <is>
          <t>OUT</t>
        </is>
      </c>
      <c r="H434">
        <f>IF(G434="OUT",F434,-F434)</f>
        <v>1</v>
      </c>
      <c r="I434">
        <f>IF(AND(B434&gt;=DATE(2025,7,1),B434&lt;=DATE(2026,6,30)),1,0)</f>
        <v>1</v>
      </c>
      <c r="J434">
        <f>IF(B434&lt;=DATE(2026,6,30),1,0)</f>
        <v>1</v>
      </c>
      <c r="K434" t="inlineStr"/>
      <c r="L434" t="inlineStr">
        <is>
          <t>Office</t>
        </is>
      </c>
      <c r="M434">
        <f>COUNTIFS('Asset Log'!$A$5:$A$1379,A434,'Asset Log'!$E$5:$E$1379,E434,'Asset Log'!$G$5:$G$1379,G434)</f>
        <v>1</v>
      </c>
    </row>
    <row r="435">
      <c r="A435" t="inlineStr">
        <is>
          <t>D70059</t>
        </is>
      </c>
      <c r="B435" s="11" t="n">
        <v>45932</v>
      </c>
      <c r="C435" t="inlineStr">
        <is>
          <t>S0007</t>
        </is>
      </c>
      <c r="D435" t="inlineStr">
        <is>
          <t>S0007</t>
        </is>
      </c>
      <c r="E435" t="inlineStr">
        <is>
          <t>FP</t>
        </is>
      </c>
      <c r="F435" t="n">
        <v>71</v>
      </c>
      <c r="G435" t="inlineStr">
        <is>
          <t>OUT</t>
        </is>
      </c>
      <c r="H435">
        <f>IF(G435="OUT",F435,-F435)</f>
        <v>71</v>
      </c>
      <c r="I435">
        <f>IF(AND(B435&gt;=DATE(2025,7,1),B435&lt;=DATE(2026,6,30)),1,0)</f>
        <v>1</v>
      </c>
      <c r="J435">
        <f>IF(B435&lt;=DATE(2026,6,30),1,0)</f>
        <v>1</v>
      </c>
      <c r="K435" t="inlineStr"/>
      <c r="L435" t="inlineStr">
        <is>
          <t>Office</t>
        </is>
      </c>
      <c r="M435">
        <f>COUNTIFS('Asset Log'!$A$5:$A$1379,A435,'Asset Log'!$E$5:$E$1379,E435,'Asset Log'!$G$5:$G$1379,G435)</f>
        <v>1</v>
      </c>
    </row>
    <row r="436">
      <c r="A436" t="inlineStr">
        <is>
          <t>D70064</t>
        </is>
      </c>
      <c r="B436" s="11" t="n">
        <v>45932</v>
      </c>
      <c r="C436" t="inlineStr">
        <is>
          <t>S0007 Hawthorn</t>
        </is>
      </c>
      <c r="D436" t="inlineStr">
        <is>
          <t>S0007</t>
        </is>
      </c>
      <c r="E436" t="inlineStr">
        <is>
          <t>FB</t>
        </is>
      </c>
      <c r="F436" t="n">
        <v>78</v>
      </c>
      <c r="G436" t="inlineStr">
        <is>
          <t>OUT</t>
        </is>
      </c>
      <c r="H436">
        <f>IF(G436="OUT",F436,-F436)</f>
        <v>78</v>
      </c>
      <c r="I436">
        <f>IF(AND(B436&gt;=DATE(2025,7,1),B436&lt;=DATE(2026,6,30)),1,0)</f>
        <v>1</v>
      </c>
      <c r="J436">
        <f>IF(B436&lt;=DATE(2026,6,30),1,0)</f>
        <v>1</v>
      </c>
      <c r="K436" t="inlineStr">
        <is>
          <t>Site text normalised</t>
        </is>
      </c>
      <c r="L436" t="inlineStr">
        <is>
          <t>Office</t>
        </is>
      </c>
      <c r="M436">
        <f>COUNTIFS('Asset Log'!$A$5:$A$1379,A436,'Asset Log'!$E$5:$E$1379,E436,'Asset Log'!$G$5:$G$1379,G436)</f>
        <v>1</v>
      </c>
    </row>
    <row r="437">
      <c r="A437" t="inlineStr">
        <is>
          <t>D72357</t>
        </is>
      </c>
      <c r="B437" s="11" t="n">
        <v>45933</v>
      </c>
      <c r="C437" t="inlineStr">
        <is>
          <t>S0271</t>
        </is>
      </c>
      <c r="D437" t="inlineStr">
        <is>
          <t>S0271</t>
        </is>
      </c>
      <c r="E437" t="inlineStr">
        <is>
          <t>ST</t>
        </is>
      </c>
      <c r="F437" t="n">
        <v>4</v>
      </c>
      <c r="G437" t="inlineStr">
        <is>
          <t>IN</t>
        </is>
      </c>
      <c r="H437">
        <f>IF(G437="OUT",F437,-F437)</f>
        <v>-4</v>
      </c>
      <c r="I437">
        <f>IF(AND(B437&gt;=DATE(2025,7,1),B437&lt;=DATE(2026,6,30)),1,0)</f>
        <v>1</v>
      </c>
      <c r="J437">
        <f>IF(B437&lt;=DATE(2026,6,30),1,0)</f>
        <v>1</v>
      </c>
      <c r="K437" t="inlineStr"/>
      <c r="L437" t="inlineStr">
        <is>
          <t>Yard</t>
        </is>
      </c>
      <c r="M437">
        <f>COUNTIFS('Asset Log'!$A$5:$A$1379,A437,'Asset Log'!$E$5:$E$1379,E437,'Asset Log'!$G$5:$G$1379,G437)</f>
        <v>1</v>
      </c>
    </row>
    <row r="438">
      <c r="A438" t="inlineStr">
        <is>
          <t>D72526</t>
        </is>
      </c>
      <c r="B438" s="11" t="n">
        <v>45934</v>
      </c>
      <c r="C438" t="inlineStr">
        <is>
          <t>S0346</t>
        </is>
      </c>
      <c r="D438" t="inlineStr">
        <is>
          <t>S0346</t>
        </is>
      </c>
      <c r="E438" t="inlineStr">
        <is>
          <t>TK</t>
        </is>
      </c>
      <c r="F438" t="n">
        <v>1</v>
      </c>
      <c r="G438" t="inlineStr">
        <is>
          <t>OUT</t>
        </is>
      </c>
      <c r="H438">
        <f>IF(G438="OUT",F438,-F438)</f>
        <v>1</v>
      </c>
      <c r="I438">
        <f>IF(AND(B438&gt;=DATE(2025,7,1),B438&lt;=DATE(2026,6,30)),1,0)</f>
        <v>1</v>
      </c>
      <c r="J438">
        <f>IF(B438&lt;=DATE(2026,6,30),1,0)</f>
        <v>1</v>
      </c>
      <c r="K438" t="inlineStr"/>
      <c r="L438" t="inlineStr">
        <is>
          <t>Driver</t>
        </is>
      </c>
      <c r="M438">
        <f>COUNTIFS('Asset Log'!$A$5:$A$1379,A438,'Asset Log'!$E$5:$E$1379,E438,'Asset Log'!$G$5:$G$1379,G438)</f>
        <v>1</v>
      </c>
    </row>
    <row r="439">
      <c r="A439" t="inlineStr">
        <is>
          <t>D70589</t>
        </is>
      </c>
      <c r="B439" s="11" t="n">
        <v>45935</v>
      </c>
      <c r="C439" t="inlineStr">
        <is>
          <t>S0063</t>
        </is>
      </c>
      <c r="D439" t="inlineStr">
        <is>
          <t>S0063</t>
        </is>
      </c>
      <c r="E439" t="inlineStr">
        <is>
          <t>FP</t>
        </is>
      </c>
      <c r="F439" t="n">
        <v>29</v>
      </c>
      <c r="G439" t="inlineStr">
        <is>
          <t>IN</t>
        </is>
      </c>
      <c r="H439">
        <f>IF(G439="OUT",F439,-F439)</f>
        <v>-29</v>
      </c>
      <c r="I439">
        <f>IF(AND(B439&gt;=DATE(2025,7,1),B439&lt;=DATE(2026,6,30)),1,0)</f>
        <v>1</v>
      </c>
      <c r="J439">
        <f>IF(B439&lt;=DATE(2026,6,30),1,0)</f>
        <v>1</v>
      </c>
      <c r="K439" t="inlineStr"/>
      <c r="L439" t="inlineStr">
        <is>
          <t>Driver</t>
        </is>
      </c>
      <c r="M439">
        <f>COUNTIFS('Asset Log'!$A$5:$A$1379,A439,'Asset Log'!$E$5:$E$1379,E439,'Asset Log'!$G$5:$G$1379,G439)</f>
        <v>1</v>
      </c>
    </row>
    <row r="440">
      <c r="A440" t="inlineStr">
        <is>
          <t>D70592</t>
        </is>
      </c>
      <c r="B440" s="11" t="n">
        <v>45935</v>
      </c>
      <c r="C440" t="inlineStr">
        <is>
          <t>S0063</t>
        </is>
      </c>
      <c r="D440" t="inlineStr">
        <is>
          <t>S0063</t>
        </is>
      </c>
      <c r="E440" t="inlineStr">
        <is>
          <t>FB</t>
        </is>
      </c>
      <c r="F440" t="n">
        <v>35</v>
      </c>
      <c r="G440" t="inlineStr">
        <is>
          <t>IN</t>
        </is>
      </c>
      <c r="H440">
        <f>IF(G440="OUT",F440,-F440)</f>
        <v>-35</v>
      </c>
      <c r="I440">
        <f>IF(AND(B440&gt;=DATE(2025,7,1),B440&lt;=DATE(2026,6,30)),1,0)</f>
        <v>1</v>
      </c>
      <c r="J440">
        <f>IF(B440&lt;=DATE(2026,6,30),1,0)</f>
        <v>1</v>
      </c>
      <c r="K440" t="inlineStr"/>
      <c r="L440" t="inlineStr">
        <is>
          <t>Office</t>
        </is>
      </c>
      <c r="M440">
        <f>COUNTIFS('Asset Log'!$A$5:$A$1379,A440,'Asset Log'!$E$5:$E$1379,E440,'Asset Log'!$G$5:$G$1379,G440)</f>
        <v>1</v>
      </c>
    </row>
    <row r="441">
      <c r="A441" t="inlineStr">
        <is>
          <t>D70670</t>
        </is>
      </c>
      <c r="B441" s="11" t="n">
        <v>45935</v>
      </c>
      <c r="C441" t="inlineStr">
        <is>
          <t>S0072</t>
        </is>
      </c>
      <c r="D441" t="inlineStr">
        <is>
          <t>S0072</t>
        </is>
      </c>
      <c r="E441" t="inlineStr">
        <is>
          <t>FP</t>
        </is>
      </c>
      <c r="F441" t="n">
        <v>63</v>
      </c>
      <c r="G441" t="inlineStr">
        <is>
          <t>OUT</t>
        </is>
      </c>
      <c r="H441">
        <f>IF(G441="OUT",F441,-F441)</f>
        <v>63</v>
      </c>
      <c r="I441">
        <f>IF(AND(B441&gt;=DATE(2025,7,1),B441&lt;=DATE(2026,6,30)),1,0)</f>
        <v>1</v>
      </c>
      <c r="J441">
        <f>IF(B441&lt;=DATE(2026,6,30),1,0)</f>
        <v>1</v>
      </c>
      <c r="K441" t="inlineStr"/>
      <c r="L441" t="inlineStr">
        <is>
          <t>Driver</t>
        </is>
      </c>
      <c r="M441">
        <f>COUNTIFS('Asset Log'!$A$5:$A$1379,A441,'Asset Log'!$E$5:$E$1379,E441,'Asset Log'!$G$5:$G$1379,G441)</f>
        <v>1</v>
      </c>
    </row>
    <row r="442">
      <c r="A442" t="inlineStr">
        <is>
          <t>D70674</t>
        </is>
      </c>
      <c r="B442" s="11" t="n">
        <v>45935</v>
      </c>
      <c r="C442" t="inlineStr">
        <is>
          <t>S0072</t>
        </is>
      </c>
      <c r="D442" t="inlineStr">
        <is>
          <t>S0072</t>
        </is>
      </c>
      <c r="E442" t="inlineStr">
        <is>
          <t>FB</t>
        </is>
      </c>
      <c r="F442" t="n">
        <v>69</v>
      </c>
      <c r="G442" t="inlineStr">
        <is>
          <t>OUT</t>
        </is>
      </c>
      <c r="H442">
        <f>IF(G442="OUT",F442,-F442)</f>
        <v>69</v>
      </c>
      <c r="I442">
        <f>IF(AND(B442&gt;=DATE(2025,7,1),B442&lt;=DATE(2026,6,30)),1,0)</f>
        <v>1</v>
      </c>
      <c r="J442">
        <f>IF(B442&lt;=DATE(2026,6,30),1,0)</f>
        <v>1</v>
      </c>
      <c r="K442" t="inlineStr"/>
      <c r="L442" t="inlineStr">
        <is>
          <t>Office</t>
        </is>
      </c>
      <c r="M442">
        <f>COUNTIFS('Asset Log'!$A$5:$A$1379,A442,'Asset Log'!$E$5:$E$1379,E442,'Asset Log'!$G$5:$G$1379,G442)</f>
        <v>1</v>
      </c>
    </row>
    <row r="443">
      <c r="A443" t="inlineStr">
        <is>
          <t>D71368</t>
        </is>
      </c>
      <c r="B443" s="11" t="n">
        <v>45935</v>
      </c>
      <c r="C443" t="inlineStr">
        <is>
          <t>S0145</t>
        </is>
      </c>
      <c r="D443" t="inlineStr">
        <is>
          <t>S0145</t>
        </is>
      </c>
      <c r="E443" t="inlineStr">
        <is>
          <t>FP</t>
        </is>
      </c>
      <c r="F443" t="n">
        <v>88</v>
      </c>
      <c r="G443" t="inlineStr">
        <is>
          <t>OUT</t>
        </is>
      </c>
      <c r="H443">
        <f>IF(G443="OUT",F443,-F443)</f>
        <v>88</v>
      </c>
      <c r="I443">
        <f>IF(AND(B443&gt;=DATE(2025,7,1),B443&lt;=DATE(2026,6,30)),1,0)</f>
        <v>1</v>
      </c>
      <c r="J443">
        <f>IF(B443&lt;=DATE(2026,6,30),1,0)</f>
        <v>1</v>
      </c>
      <c r="K443" t="inlineStr"/>
      <c r="L443" t="inlineStr">
        <is>
          <t>Driver</t>
        </is>
      </c>
      <c r="M443">
        <f>COUNTIFS('Asset Log'!$A$5:$A$1379,A443,'Asset Log'!$E$5:$E$1379,E443,'Asset Log'!$G$5:$G$1379,G443)</f>
        <v>1</v>
      </c>
    </row>
    <row r="444">
      <c r="A444" t="inlineStr">
        <is>
          <t>D71372</t>
        </is>
      </c>
      <c r="B444" s="11" t="n">
        <v>45935</v>
      </c>
      <c r="C444" t="inlineStr">
        <is>
          <t>S0145 Moorabbin</t>
        </is>
      </c>
      <c r="D444" t="inlineStr">
        <is>
          <t>S0145</t>
        </is>
      </c>
      <c r="E444" t="inlineStr">
        <is>
          <t>FB</t>
        </is>
      </c>
      <c r="F444" t="n">
        <v>96</v>
      </c>
      <c r="G444" t="inlineStr">
        <is>
          <t>OUT</t>
        </is>
      </c>
      <c r="H444">
        <f>IF(G444="OUT",F444,-F444)</f>
        <v>96</v>
      </c>
      <c r="I444">
        <f>IF(AND(B444&gt;=DATE(2025,7,1),B444&lt;=DATE(2026,6,30)),1,0)</f>
        <v>1</v>
      </c>
      <c r="J444">
        <f>IF(B444&lt;=DATE(2026,6,30),1,0)</f>
        <v>1</v>
      </c>
      <c r="K444" t="inlineStr">
        <is>
          <t>Site text normalised</t>
        </is>
      </c>
      <c r="L444" t="inlineStr">
        <is>
          <t>Office</t>
        </is>
      </c>
      <c r="M444">
        <f>COUNTIFS('Asset Log'!$A$5:$A$1379,A444,'Asset Log'!$E$5:$E$1379,E444,'Asset Log'!$G$5:$G$1379,G444)</f>
        <v>1</v>
      </c>
    </row>
    <row r="445">
      <c r="A445" t="inlineStr">
        <is>
          <t>D72511</t>
        </is>
      </c>
      <c r="B445" s="11" t="n">
        <v>45935</v>
      </c>
      <c r="C445" t="inlineStr">
        <is>
          <t>S0337</t>
        </is>
      </c>
      <c r="D445" t="inlineStr">
        <is>
          <t>S0337</t>
        </is>
      </c>
      <c r="E445" t="inlineStr">
        <is>
          <t>TK</t>
        </is>
      </c>
      <c r="F445" t="n">
        <v>2</v>
      </c>
      <c r="G445" t="inlineStr">
        <is>
          <t>OUT</t>
        </is>
      </c>
      <c r="H445">
        <f>IF(G445="OUT",F445,-F445)</f>
        <v>2</v>
      </c>
      <c r="I445">
        <f>IF(AND(B445&gt;=DATE(2025,7,1),B445&lt;=DATE(2026,6,30)),1,0)</f>
        <v>1</v>
      </c>
      <c r="J445">
        <f>IF(B445&lt;=DATE(2026,6,30),1,0)</f>
        <v>1</v>
      </c>
      <c r="K445" t="inlineStr"/>
      <c r="L445" t="inlineStr">
        <is>
          <t>Yard</t>
        </is>
      </c>
      <c r="M445">
        <f>COUNTIFS('Asset Log'!$A$5:$A$1379,A445,'Asset Log'!$E$5:$E$1379,E445,'Asset Log'!$G$5:$G$1379,G445)</f>
        <v>1</v>
      </c>
    </row>
    <row r="446">
      <c r="A446" t="inlineStr">
        <is>
          <t>D71087</t>
        </is>
      </c>
      <c r="B446" s="11" t="n">
        <v>45936</v>
      </c>
      <c r="C446" t="inlineStr">
        <is>
          <t>S0116</t>
        </is>
      </c>
      <c r="D446" t="inlineStr">
        <is>
          <t>S0116</t>
        </is>
      </c>
      <c r="E446" t="inlineStr">
        <is>
          <t>FP</t>
        </is>
      </c>
      <c r="F446" t="n">
        <v>104</v>
      </c>
      <c r="G446" t="inlineStr">
        <is>
          <t>IN</t>
        </is>
      </c>
      <c r="H446">
        <f>IF(G446="OUT",F446,-F446)</f>
        <v>-104</v>
      </c>
      <c r="I446">
        <f>IF(AND(B446&gt;=DATE(2025,7,1),B446&lt;=DATE(2026,6,30)),1,0)</f>
        <v>1</v>
      </c>
      <c r="J446">
        <f>IF(B446&lt;=DATE(2026,6,30),1,0)</f>
        <v>1</v>
      </c>
      <c r="K446" t="inlineStr"/>
      <c r="L446" t="inlineStr">
        <is>
          <t>Office</t>
        </is>
      </c>
      <c r="M446">
        <f>COUNTIFS('Asset Log'!$A$5:$A$1379,A446,'Asset Log'!$E$5:$E$1379,E446,'Asset Log'!$G$5:$G$1379,G446)</f>
        <v>1</v>
      </c>
    </row>
    <row r="447">
      <c r="A447" t="inlineStr">
        <is>
          <t>D71094</t>
        </is>
      </c>
      <c r="B447" s="11" t="n">
        <v>45936</v>
      </c>
      <c r="C447" t="inlineStr">
        <is>
          <t>116</t>
        </is>
      </c>
      <c r="D447" t="inlineStr">
        <is>
          <t>S0116</t>
        </is>
      </c>
      <c r="E447" t="inlineStr">
        <is>
          <t>FB</t>
        </is>
      </c>
      <c r="F447" t="n">
        <v>119</v>
      </c>
      <c r="G447" t="inlineStr">
        <is>
          <t>IN</t>
        </is>
      </c>
      <c r="H447">
        <f>IF(G447="OUT",F447,-F447)</f>
        <v>-119</v>
      </c>
      <c r="I447">
        <f>IF(AND(B447&gt;=DATE(2025,7,1),B447&lt;=DATE(2026,6,30)),1,0)</f>
        <v>1</v>
      </c>
      <c r="J447">
        <f>IF(B447&lt;=DATE(2026,6,30),1,0)</f>
        <v>1</v>
      </c>
      <c r="K447" t="inlineStr">
        <is>
          <t>Site text normalised</t>
        </is>
      </c>
      <c r="L447" t="inlineStr">
        <is>
          <t>Driver</t>
        </is>
      </c>
      <c r="M447">
        <f>COUNTIFS('Asset Log'!$A$5:$A$1379,A447,'Asset Log'!$E$5:$E$1379,E447,'Asset Log'!$G$5:$G$1379,G447)</f>
        <v>1</v>
      </c>
    </row>
    <row r="448">
      <c r="A448" t="inlineStr">
        <is>
          <t>D71738</t>
        </is>
      </c>
      <c r="B448" s="11" t="n">
        <v>45936</v>
      </c>
      <c r="C448" t="inlineStr">
        <is>
          <t>S0183</t>
        </is>
      </c>
      <c r="D448" t="inlineStr">
        <is>
          <t>S0183</t>
        </is>
      </c>
      <c r="E448" t="inlineStr">
        <is>
          <t>FP</t>
        </is>
      </c>
      <c r="F448" t="n">
        <v>78</v>
      </c>
      <c r="G448" t="inlineStr">
        <is>
          <t>IN</t>
        </is>
      </c>
      <c r="H448">
        <f>IF(G448="OUT",F448,-F448)</f>
        <v>-78</v>
      </c>
      <c r="I448">
        <f>IF(AND(B448&gt;=DATE(2025,7,1),B448&lt;=DATE(2026,6,30)),1,0)</f>
        <v>1</v>
      </c>
      <c r="J448">
        <f>IF(B448&lt;=DATE(2026,6,30),1,0)</f>
        <v>1</v>
      </c>
      <c r="K448" t="inlineStr"/>
      <c r="L448" t="inlineStr">
        <is>
          <t>Yard</t>
        </is>
      </c>
      <c r="M448">
        <f>COUNTIFS('Asset Log'!$A$5:$A$1379,A448,'Asset Log'!$E$5:$E$1379,E448,'Asset Log'!$G$5:$G$1379,G448)</f>
        <v>1</v>
      </c>
    </row>
    <row r="449">
      <c r="A449" t="inlineStr">
        <is>
          <t>D71741</t>
        </is>
      </c>
      <c r="B449" s="11" t="n">
        <v>45936</v>
      </c>
      <c r="C449" t="inlineStr">
        <is>
          <t>183</t>
        </is>
      </c>
      <c r="D449" t="inlineStr">
        <is>
          <t>S0183</t>
        </is>
      </c>
      <c r="E449" t="inlineStr">
        <is>
          <t>FB</t>
        </is>
      </c>
      <c r="F449" t="n">
        <v>85</v>
      </c>
      <c r="G449" t="inlineStr">
        <is>
          <t>IN</t>
        </is>
      </c>
      <c r="H449">
        <f>IF(G449="OUT",F449,-F449)</f>
        <v>-85</v>
      </c>
      <c r="I449">
        <f>IF(AND(B449&gt;=DATE(2025,7,1),B449&lt;=DATE(2026,6,30)),1,0)</f>
        <v>1</v>
      </c>
      <c r="J449">
        <f>IF(B449&lt;=DATE(2026,6,30),1,0)</f>
        <v>1</v>
      </c>
      <c r="K449" t="inlineStr">
        <is>
          <t>Site text normalised</t>
        </is>
      </c>
      <c r="L449" t="inlineStr">
        <is>
          <t>Yard</t>
        </is>
      </c>
      <c r="M449">
        <f>COUNTIFS('Asset Log'!$A$5:$A$1379,A449,'Asset Log'!$E$5:$E$1379,E449,'Asset Log'!$G$5:$G$1379,G449)</f>
        <v>1</v>
      </c>
    </row>
    <row r="450">
      <c r="A450" t="inlineStr">
        <is>
          <t>D72231</t>
        </is>
      </c>
      <c r="B450" s="11" t="n">
        <v>45936</v>
      </c>
      <c r="C450" t="inlineStr">
        <is>
          <t>S0240</t>
        </is>
      </c>
      <c r="D450" t="inlineStr">
        <is>
          <t>S0240</t>
        </is>
      </c>
      <c r="E450" t="inlineStr">
        <is>
          <t>ST</t>
        </is>
      </c>
      <c r="F450" t="n">
        <v>1</v>
      </c>
      <c r="G450" t="inlineStr">
        <is>
          <t>OUT</t>
        </is>
      </c>
      <c r="H450">
        <f>IF(G450="OUT",F450,-F450)</f>
        <v>1</v>
      </c>
      <c r="I450">
        <f>IF(AND(B450&gt;=DATE(2025,7,1),B450&lt;=DATE(2026,6,30)),1,0)</f>
        <v>1</v>
      </c>
      <c r="J450">
        <f>IF(B450&lt;=DATE(2026,6,30),1,0)</f>
        <v>1</v>
      </c>
      <c r="K450" t="inlineStr"/>
      <c r="L450" t="inlineStr">
        <is>
          <t>Office</t>
        </is>
      </c>
      <c r="M450">
        <f>COUNTIFS('Asset Log'!$A$5:$A$1379,A450,'Asset Log'!$E$5:$E$1379,E450,'Asset Log'!$G$5:$G$1379,G450)</f>
        <v>1</v>
      </c>
    </row>
    <row r="451">
      <c r="A451" t="inlineStr">
        <is>
          <t>D70207</t>
        </is>
      </c>
      <c r="B451" s="11" t="n">
        <v>45938</v>
      </c>
      <c r="C451" t="inlineStr">
        <is>
          <t>S0022</t>
        </is>
      </c>
      <c r="D451" t="inlineStr">
        <is>
          <t>S0022</t>
        </is>
      </c>
      <c r="E451" t="inlineStr">
        <is>
          <t>FP</t>
        </is>
      </c>
      <c r="F451" t="n">
        <v>135</v>
      </c>
      <c r="G451" t="inlineStr">
        <is>
          <t>IN</t>
        </is>
      </c>
      <c r="H451">
        <f>IF(G451="OUT",F451,-F451)</f>
        <v>-135</v>
      </c>
      <c r="I451">
        <f>IF(AND(B451&gt;=DATE(2025,7,1),B451&lt;=DATE(2026,6,30)),1,0)</f>
        <v>1</v>
      </c>
      <c r="J451">
        <f>IF(B451&lt;=DATE(2026,6,30),1,0)</f>
        <v>1</v>
      </c>
      <c r="K451" t="inlineStr"/>
      <c r="L451" t="inlineStr">
        <is>
          <t>Office</t>
        </is>
      </c>
      <c r="M451">
        <f>COUNTIFS('Asset Log'!$A$5:$A$1379,A451,'Asset Log'!$E$5:$E$1379,E451,'Asset Log'!$G$5:$G$1379,G451)</f>
        <v>1</v>
      </c>
    </row>
    <row r="452">
      <c r="A452" t="inlineStr">
        <is>
          <t>D70211</t>
        </is>
      </c>
      <c r="B452" s="11" t="n">
        <v>45938</v>
      </c>
      <c r="C452" t="inlineStr">
        <is>
          <t>S0022</t>
        </is>
      </c>
      <c r="D452" t="inlineStr">
        <is>
          <t>S0022</t>
        </is>
      </c>
      <c r="E452" t="inlineStr">
        <is>
          <t>FB</t>
        </is>
      </c>
      <c r="F452" t="n">
        <v>148</v>
      </c>
      <c r="G452" t="inlineStr">
        <is>
          <t>IN</t>
        </is>
      </c>
      <c r="H452">
        <f>IF(G452="OUT",F452,-F452)</f>
        <v>-148</v>
      </c>
      <c r="I452">
        <f>IF(AND(B452&gt;=DATE(2025,7,1),B452&lt;=DATE(2026,6,30)),1,0)</f>
        <v>1</v>
      </c>
      <c r="J452">
        <f>IF(B452&lt;=DATE(2026,6,30),1,0)</f>
        <v>1</v>
      </c>
      <c r="K452" t="inlineStr"/>
      <c r="L452" t="inlineStr">
        <is>
          <t>Office</t>
        </is>
      </c>
      <c r="M452">
        <f>COUNTIFS('Asset Log'!$A$5:$A$1379,A452,'Asset Log'!$E$5:$E$1379,E452,'Asset Log'!$G$5:$G$1379,G452)</f>
        <v>1</v>
      </c>
    </row>
    <row r="453">
      <c r="A453" t="inlineStr">
        <is>
          <t>D70217</t>
        </is>
      </c>
      <c r="B453" s="11" t="n">
        <v>45938</v>
      </c>
      <c r="C453" t="inlineStr">
        <is>
          <t>S0022</t>
        </is>
      </c>
      <c r="D453" t="inlineStr">
        <is>
          <t>S0022</t>
        </is>
      </c>
      <c r="E453" t="inlineStr">
        <is>
          <t>BR</t>
        </is>
      </c>
      <c r="F453" t="n">
        <v>15</v>
      </c>
      <c r="G453" t="inlineStr">
        <is>
          <t>IN</t>
        </is>
      </c>
      <c r="H453">
        <f>IF(G453="OUT",F453,-F453)</f>
        <v>-15</v>
      </c>
      <c r="I453">
        <f>IF(AND(B453&gt;=DATE(2025,7,1),B453&lt;=DATE(2026,6,30)),1,0)</f>
        <v>1</v>
      </c>
      <c r="J453">
        <f>IF(B453&lt;=DATE(2026,6,30),1,0)</f>
        <v>1</v>
      </c>
      <c r="K453" t="inlineStr"/>
      <c r="L453" t="inlineStr">
        <is>
          <t>Yard</t>
        </is>
      </c>
      <c r="M453">
        <f>COUNTIFS('Asset Log'!$A$5:$A$1379,A453,'Asset Log'!$E$5:$E$1379,E453,'Asset Log'!$G$5:$G$1379,G453)</f>
        <v>1</v>
      </c>
    </row>
    <row r="454">
      <c r="A454" t="inlineStr">
        <is>
          <t>D72823</t>
        </is>
      </c>
      <c r="B454" s="11" t="n">
        <v>45938</v>
      </c>
      <c r="C454" t="inlineStr">
        <is>
          <t>S0533</t>
        </is>
      </c>
      <c r="D454" t="inlineStr">
        <is>
          <t>S0533</t>
        </is>
      </c>
      <c r="E454" t="inlineStr">
        <is>
          <t>TK</t>
        </is>
      </c>
      <c r="F454" t="n">
        <v>2</v>
      </c>
      <c r="G454" t="inlineStr">
        <is>
          <t>IN</t>
        </is>
      </c>
      <c r="H454">
        <f>IF(G454="OUT",F454,-F454)</f>
        <v>-2</v>
      </c>
      <c r="I454">
        <f>IF(AND(B454&gt;=DATE(2025,7,1),B454&lt;=DATE(2026,6,30)),1,0)</f>
        <v>1</v>
      </c>
      <c r="J454">
        <f>IF(B454&lt;=DATE(2026,6,30),1,0)</f>
        <v>1</v>
      </c>
      <c r="K454" t="inlineStr"/>
      <c r="L454" t="inlineStr">
        <is>
          <t>Office</t>
        </is>
      </c>
      <c r="M454">
        <f>COUNTIFS('Asset Log'!$A$5:$A$1379,A454,'Asset Log'!$E$5:$E$1379,E454,'Asset Log'!$G$5:$G$1379,G454)</f>
        <v>1</v>
      </c>
    </row>
    <row r="455">
      <c r="A455" t="inlineStr">
        <is>
          <t>D72203</t>
        </is>
      </c>
      <c r="B455" s="11" t="n">
        <v>45939</v>
      </c>
      <c r="C455" t="inlineStr">
        <is>
          <t>S0233</t>
        </is>
      </c>
      <c r="D455" t="inlineStr">
        <is>
          <t>S0233</t>
        </is>
      </c>
      <c r="E455" t="inlineStr">
        <is>
          <t>ST</t>
        </is>
      </c>
      <c r="F455" t="n">
        <v>2</v>
      </c>
      <c r="G455" t="inlineStr">
        <is>
          <t>OUT</t>
        </is>
      </c>
      <c r="H455">
        <f>IF(G455="OUT",F455,-F455)</f>
        <v>2</v>
      </c>
      <c r="I455">
        <f>IF(AND(B455&gt;=DATE(2025,7,1),B455&lt;=DATE(2026,6,30)),1,0)</f>
        <v>1</v>
      </c>
      <c r="J455">
        <f>IF(B455&lt;=DATE(2026,6,30),1,0)</f>
        <v>1</v>
      </c>
      <c r="K455" t="inlineStr"/>
      <c r="L455" t="inlineStr">
        <is>
          <t>Office</t>
        </is>
      </c>
      <c r="M455">
        <f>COUNTIFS('Asset Log'!$A$5:$A$1379,A455,'Asset Log'!$E$5:$E$1379,E455,'Asset Log'!$G$5:$G$1379,G455)</f>
        <v>1</v>
      </c>
    </row>
    <row r="456">
      <c r="A456" t="inlineStr">
        <is>
          <t>D72460</t>
        </is>
      </c>
      <c r="B456" s="11" t="n">
        <v>45939</v>
      </c>
      <c r="C456" t="inlineStr">
        <is>
          <t>297</t>
        </is>
      </c>
      <c r="D456" t="inlineStr">
        <is>
          <t>S0297</t>
        </is>
      </c>
      <c r="E456" t="inlineStr">
        <is>
          <t>TK</t>
        </is>
      </c>
      <c r="F456" t="n">
        <v>3</v>
      </c>
      <c r="G456" t="inlineStr">
        <is>
          <t>OUT</t>
        </is>
      </c>
      <c r="H456">
        <f>IF(G456="OUT",F456,-F456)</f>
        <v>3</v>
      </c>
      <c r="I456">
        <f>IF(AND(B456&gt;=DATE(2025,7,1),B456&lt;=DATE(2026,6,30)),1,0)</f>
        <v>1</v>
      </c>
      <c r="J456">
        <f>IF(B456&lt;=DATE(2026,6,30),1,0)</f>
        <v>1</v>
      </c>
      <c r="K456" t="inlineStr">
        <is>
          <t>Site text normalised</t>
        </is>
      </c>
      <c r="L456" t="inlineStr">
        <is>
          <t>Office</t>
        </is>
      </c>
      <c r="M456">
        <f>COUNTIFS('Asset Log'!$A$5:$A$1379,A456,'Asset Log'!$E$5:$E$1379,E456,'Asset Log'!$G$5:$G$1379,G456)</f>
        <v>1</v>
      </c>
    </row>
    <row r="457">
      <c r="A457" t="inlineStr">
        <is>
          <t>D72622</t>
        </is>
      </c>
      <c r="B457" s="11" t="n">
        <v>45939</v>
      </c>
      <c r="C457" t="inlineStr">
        <is>
          <t>S0406</t>
        </is>
      </c>
      <c r="D457" t="inlineStr">
        <is>
          <t>S0406</t>
        </is>
      </c>
      <c r="E457" t="inlineStr">
        <is>
          <t>TK</t>
        </is>
      </c>
      <c r="F457" t="n">
        <v>2</v>
      </c>
      <c r="G457" t="inlineStr">
        <is>
          <t>IN</t>
        </is>
      </c>
      <c r="H457">
        <f>IF(G457="OUT",F457,-F457)</f>
        <v>-2</v>
      </c>
      <c r="I457">
        <f>IF(AND(B457&gt;=DATE(2025,7,1),B457&lt;=DATE(2026,6,30)),1,0)</f>
        <v>1</v>
      </c>
      <c r="J457">
        <f>IF(B457&lt;=DATE(2026,6,30),1,0)</f>
        <v>1</v>
      </c>
      <c r="K457" t="inlineStr"/>
      <c r="L457" t="inlineStr">
        <is>
          <t>Office</t>
        </is>
      </c>
      <c r="M457">
        <f>COUNTIFS('Asset Log'!$A$5:$A$1379,A457,'Asset Log'!$E$5:$E$1379,E457,'Asset Log'!$G$5:$G$1379,G457)</f>
        <v>1</v>
      </c>
    </row>
    <row r="458">
      <c r="A458" t="inlineStr">
        <is>
          <t>D72725</t>
        </is>
      </c>
      <c r="B458" s="11" t="n">
        <v>45939</v>
      </c>
      <c r="C458" t="inlineStr">
        <is>
          <t>S0470</t>
        </is>
      </c>
      <c r="D458" t="inlineStr">
        <is>
          <t>S0470</t>
        </is>
      </c>
      <c r="E458" t="inlineStr">
        <is>
          <t>TK</t>
        </is>
      </c>
      <c r="F458" t="n">
        <v>3</v>
      </c>
      <c r="G458" t="inlineStr">
        <is>
          <t>IN</t>
        </is>
      </c>
      <c r="H458">
        <f>IF(G458="OUT",F458,-F458)</f>
        <v>-3</v>
      </c>
      <c r="I458">
        <f>IF(AND(B458&gt;=DATE(2025,7,1),B458&lt;=DATE(2026,6,30)),1,0)</f>
        <v>1</v>
      </c>
      <c r="J458">
        <f>IF(B458&lt;=DATE(2026,6,30),1,0)</f>
        <v>1</v>
      </c>
      <c r="K458" t="inlineStr"/>
      <c r="L458" t="inlineStr">
        <is>
          <t>Office</t>
        </is>
      </c>
      <c r="M458">
        <f>COUNTIFS('Asset Log'!$A$5:$A$1379,A458,'Asset Log'!$E$5:$E$1379,E458,'Asset Log'!$G$5:$G$1379,G458)</f>
        <v>1</v>
      </c>
    </row>
    <row r="459">
      <c r="A459" t="inlineStr">
        <is>
          <t>D71570</t>
        </is>
      </c>
      <c r="B459" s="11" t="n">
        <v>45941</v>
      </c>
      <c r="C459" t="inlineStr">
        <is>
          <t>S0163</t>
        </is>
      </c>
      <c r="D459" t="inlineStr">
        <is>
          <t>S0163</t>
        </is>
      </c>
      <c r="E459" t="inlineStr">
        <is>
          <t>FP</t>
        </is>
      </c>
      <c r="F459" t="n">
        <v>130</v>
      </c>
      <c r="G459" t="inlineStr">
        <is>
          <t>IN</t>
        </is>
      </c>
      <c r="H459">
        <f>IF(G459="OUT",F459,-F459)</f>
        <v>-130</v>
      </c>
      <c r="I459">
        <f>IF(AND(B459&gt;=DATE(2025,7,1),B459&lt;=DATE(2026,6,30)),1,0)</f>
        <v>1</v>
      </c>
      <c r="J459">
        <f>IF(B459&lt;=DATE(2026,6,30),1,0)</f>
        <v>1</v>
      </c>
      <c r="K459" t="inlineStr"/>
      <c r="L459" t="inlineStr">
        <is>
          <t>Office</t>
        </is>
      </c>
      <c r="M459">
        <f>COUNTIFS('Asset Log'!$A$5:$A$1379,A459,'Asset Log'!$E$5:$E$1379,E459,'Asset Log'!$G$5:$G$1379,G459)</f>
        <v>1</v>
      </c>
    </row>
    <row r="460">
      <c r="A460" t="inlineStr">
        <is>
          <t>D71574</t>
        </is>
      </c>
      <c r="B460" s="11" t="n">
        <v>45941</v>
      </c>
      <c r="C460" t="inlineStr">
        <is>
          <t>163</t>
        </is>
      </c>
      <c r="D460" t="inlineStr">
        <is>
          <t>S0163</t>
        </is>
      </c>
      <c r="E460" t="inlineStr">
        <is>
          <t>FB</t>
        </is>
      </c>
      <c r="F460" t="n">
        <v>143</v>
      </c>
      <c r="G460" t="inlineStr">
        <is>
          <t>IN</t>
        </is>
      </c>
      <c r="H460">
        <f>IF(G460="OUT",F460,-F460)</f>
        <v>-143</v>
      </c>
      <c r="I460">
        <f>IF(AND(B460&gt;=DATE(2025,7,1),B460&lt;=DATE(2026,6,30)),1,0)</f>
        <v>1</v>
      </c>
      <c r="J460">
        <f>IF(B460&lt;=DATE(2026,6,30),1,0)</f>
        <v>1</v>
      </c>
      <c r="K460" t="inlineStr">
        <is>
          <t>Site text normalised</t>
        </is>
      </c>
      <c r="L460" t="inlineStr">
        <is>
          <t>Yard</t>
        </is>
      </c>
      <c r="M460">
        <f>COUNTIFS('Asset Log'!$A$5:$A$1379,A460,'Asset Log'!$E$5:$E$1379,E460,'Asset Log'!$G$5:$G$1379,G460)</f>
        <v>1</v>
      </c>
    </row>
    <row r="461">
      <c r="A461" t="inlineStr">
        <is>
          <t>D72669</t>
        </is>
      </c>
      <c r="B461" s="11" t="n">
        <v>45941</v>
      </c>
      <c r="C461" t="inlineStr">
        <is>
          <t>S0434</t>
        </is>
      </c>
      <c r="D461" t="inlineStr">
        <is>
          <t>S0434</t>
        </is>
      </c>
      <c r="E461" t="inlineStr">
        <is>
          <t>TK</t>
        </is>
      </c>
      <c r="F461" t="n">
        <v>3</v>
      </c>
      <c r="G461" t="inlineStr">
        <is>
          <t>OUT</t>
        </is>
      </c>
      <c r="H461">
        <f>IF(G461="OUT",F461,-F461)</f>
        <v>3</v>
      </c>
      <c r="I461">
        <f>IF(AND(B461&gt;=DATE(2025,7,1),B461&lt;=DATE(2026,6,30)),1,0)</f>
        <v>1</v>
      </c>
      <c r="J461">
        <f>IF(B461&lt;=DATE(2026,6,30),1,0)</f>
        <v>1</v>
      </c>
      <c r="K461" t="inlineStr"/>
      <c r="L461" t="inlineStr">
        <is>
          <t>Driver</t>
        </is>
      </c>
      <c r="M461">
        <f>COUNTIFS('Asset Log'!$A$5:$A$1379,A461,'Asset Log'!$E$5:$E$1379,E461,'Asset Log'!$G$5:$G$1379,G461)</f>
        <v>1</v>
      </c>
    </row>
    <row r="462">
      <c r="A462" t="inlineStr">
        <is>
          <t>D72794</t>
        </is>
      </c>
      <c r="B462" s="11" t="n">
        <v>45941</v>
      </c>
      <c r="C462" t="inlineStr">
        <is>
          <t>S0515</t>
        </is>
      </c>
      <c r="D462" t="inlineStr">
        <is>
          <t>S0515</t>
        </is>
      </c>
      <c r="E462" t="inlineStr">
        <is>
          <t>TK</t>
        </is>
      </c>
      <c r="F462" t="n">
        <v>2</v>
      </c>
      <c r="G462" t="inlineStr">
        <is>
          <t>IN</t>
        </is>
      </c>
      <c r="H462">
        <f>IF(G462="OUT",F462,-F462)</f>
        <v>-2</v>
      </c>
      <c r="I462">
        <f>IF(AND(B462&gt;=DATE(2025,7,1),B462&lt;=DATE(2026,6,30)),1,0)</f>
        <v>1</v>
      </c>
      <c r="J462">
        <f>IF(B462&lt;=DATE(2026,6,30),1,0)</f>
        <v>1</v>
      </c>
      <c r="K462" t="inlineStr"/>
      <c r="L462" t="inlineStr">
        <is>
          <t>Office</t>
        </is>
      </c>
      <c r="M462">
        <f>COUNTIFS('Asset Log'!$A$5:$A$1379,A462,'Asset Log'!$E$5:$E$1379,E462,'Asset Log'!$G$5:$G$1379,G462)</f>
        <v>1</v>
      </c>
    </row>
    <row r="463">
      <c r="A463" t="inlineStr">
        <is>
          <t>D71369</t>
        </is>
      </c>
      <c r="B463" s="11" t="n">
        <v>45942</v>
      </c>
      <c r="C463" t="inlineStr">
        <is>
          <t>S0145</t>
        </is>
      </c>
      <c r="D463" t="inlineStr">
        <is>
          <t>S0145</t>
        </is>
      </c>
      <c r="E463" t="inlineStr">
        <is>
          <t>FP</t>
        </is>
      </c>
      <c r="F463" t="n">
        <v>88</v>
      </c>
      <c r="G463" t="inlineStr">
        <is>
          <t>IN</t>
        </is>
      </c>
      <c r="H463">
        <f>IF(G463="OUT",F463,-F463)</f>
        <v>-88</v>
      </c>
      <c r="I463">
        <f>IF(AND(B463&gt;=DATE(2025,7,1),B463&lt;=DATE(2026,6,30)),1,0)</f>
        <v>1</v>
      </c>
      <c r="J463">
        <f>IF(B463&lt;=DATE(2026,6,30),1,0)</f>
        <v>1</v>
      </c>
      <c r="K463" t="inlineStr"/>
      <c r="L463" t="inlineStr">
        <is>
          <t>Yard</t>
        </is>
      </c>
      <c r="M463">
        <f>COUNTIFS('Asset Log'!$A$5:$A$1379,A463,'Asset Log'!$E$5:$E$1379,E463,'Asset Log'!$G$5:$G$1379,G463)</f>
        <v>1</v>
      </c>
    </row>
    <row r="464">
      <c r="A464" t="inlineStr">
        <is>
          <t>D71375</t>
        </is>
      </c>
      <c r="B464" s="11" t="n">
        <v>45942</v>
      </c>
      <c r="C464" t="inlineStr">
        <is>
          <t>S0145</t>
        </is>
      </c>
      <c r="D464" t="inlineStr">
        <is>
          <t>S0145</t>
        </is>
      </c>
      <c r="E464" t="inlineStr">
        <is>
          <t>FB</t>
        </is>
      </c>
      <c r="F464" t="n">
        <v>96</v>
      </c>
      <c r="G464" t="inlineStr">
        <is>
          <t>IN</t>
        </is>
      </c>
      <c r="H464">
        <f>IF(G464="OUT",F464,-F464)</f>
        <v>-96</v>
      </c>
      <c r="I464">
        <f>IF(AND(B464&gt;=DATE(2025,7,1),B464&lt;=DATE(2026,6,30)),1,0)</f>
        <v>1</v>
      </c>
      <c r="J464">
        <f>IF(B464&lt;=DATE(2026,6,30),1,0)</f>
        <v>1</v>
      </c>
      <c r="K464" t="inlineStr"/>
      <c r="L464" t="inlineStr">
        <is>
          <t>Driver</t>
        </is>
      </c>
      <c r="M464">
        <f>COUNTIFS('Asset Log'!$A$5:$A$1379,A464,'Asset Log'!$E$5:$E$1379,E464,'Asset Log'!$G$5:$G$1379,G464)</f>
        <v>1</v>
      </c>
    </row>
    <row r="465">
      <c r="A465" t="inlineStr">
        <is>
          <t>D71881</t>
        </is>
      </c>
      <c r="B465" s="11" t="n">
        <v>45942</v>
      </c>
      <c r="C465" t="inlineStr">
        <is>
          <t>199</t>
        </is>
      </c>
      <c r="D465" t="inlineStr">
        <is>
          <t>S0199</t>
        </is>
      </c>
      <c r="E465" t="inlineStr">
        <is>
          <t>FP</t>
        </is>
      </c>
      <c r="F465" t="n">
        <v>22</v>
      </c>
      <c r="G465" t="inlineStr">
        <is>
          <t>OUT</t>
        </is>
      </c>
      <c r="H465">
        <f>IF(G465="OUT",F465,-F465)</f>
        <v>22</v>
      </c>
      <c r="I465">
        <f>IF(AND(B465&gt;=DATE(2025,7,1),B465&lt;=DATE(2026,6,30)),1,0)</f>
        <v>1</v>
      </c>
      <c r="J465">
        <f>IF(B465&lt;=DATE(2026,6,30),1,0)</f>
        <v>1</v>
      </c>
      <c r="K465" t="inlineStr">
        <is>
          <t>Site text normalised</t>
        </is>
      </c>
      <c r="L465" t="inlineStr">
        <is>
          <t>Office</t>
        </is>
      </c>
      <c r="M465">
        <f>COUNTIFS('Asset Log'!$A$5:$A$1379,A465,'Asset Log'!$E$5:$E$1379,E465,'Asset Log'!$G$5:$G$1379,G465)</f>
        <v>1</v>
      </c>
    </row>
    <row r="466">
      <c r="A466" t="inlineStr">
        <is>
          <t>D71886</t>
        </is>
      </c>
      <c r="B466" s="11" t="n">
        <v>45942</v>
      </c>
      <c r="C466" t="inlineStr">
        <is>
          <t>S0199</t>
        </is>
      </c>
      <c r="D466" t="inlineStr">
        <is>
          <t>S0199</t>
        </is>
      </c>
      <c r="E466" t="inlineStr">
        <is>
          <t>FB</t>
        </is>
      </c>
      <c r="F466" t="n">
        <v>24</v>
      </c>
      <c r="G466" t="inlineStr">
        <is>
          <t>OUT</t>
        </is>
      </c>
      <c r="H466">
        <f>IF(G466="OUT",F466,-F466)</f>
        <v>24</v>
      </c>
      <c r="I466">
        <f>IF(AND(B466&gt;=DATE(2025,7,1),B466&lt;=DATE(2026,6,30)),1,0)</f>
        <v>1</v>
      </c>
      <c r="J466">
        <f>IF(B466&lt;=DATE(2026,6,30),1,0)</f>
        <v>1</v>
      </c>
      <c r="K466" t="inlineStr"/>
      <c r="L466" t="inlineStr">
        <is>
          <t>Office</t>
        </is>
      </c>
      <c r="M466">
        <f>COUNTIFS('Asset Log'!$A$5:$A$1379,A466,'Asset Log'!$E$5:$E$1379,E466,'Asset Log'!$G$5:$G$1379,G466)</f>
        <v>1</v>
      </c>
    </row>
    <row r="467">
      <c r="A467" t="inlineStr">
        <is>
          <t>D72323</t>
        </is>
      </c>
      <c r="B467" s="11" t="n">
        <v>45942</v>
      </c>
      <c r="C467" t="inlineStr">
        <is>
          <t>S0262</t>
        </is>
      </c>
      <c r="D467" t="inlineStr">
        <is>
          <t>S0262</t>
        </is>
      </c>
      <c r="E467" t="inlineStr">
        <is>
          <t>ST</t>
        </is>
      </c>
      <c r="F467" t="n">
        <v>2</v>
      </c>
      <c r="G467" t="inlineStr">
        <is>
          <t>IN</t>
        </is>
      </c>
      <c r="H467">
        <f>IF(G467="OUT",F467,-F467)</f>
        <v>-2</v>
      </c>
      <c r="I467">
        <f>IF(AND(B467&gt;=DATE(2025,7,1),B467&lt;=DATE(2026,6,30)),1,0)</f>
        <v>1</v>
      </c>
      <c r="J467">
        <f>IF(B467&lt;=DATE(2026,6,30),1,0)</f>
        <v>1</v>
      </c>
      <c r="K467" t="inlineStr"/>
      <c r="L467" t="inlineStr">
        <is>
          <t>Office</t>
        </is>
      </c>
      <c r="M467">
        <f>COUNTIFS('Asset Log'!$A$5:$A$1379,A467,'Asset Log'!$E$5:$E$1379,E467,'Asset Log'!$G$5:$G$1379,G467)</f>
        <v>1</v>
      </c>
    </row>
    <row r="468">
      <c r="A468" t="inlineStr">
        <is>
          <t>D72206</t>
        </is>
      </c>
      <c r="B468" s="11" t="n">
        <v>45943</v>
      </c>
      <c r="C468" t="inlineStr">
        <is>
          <t>S0234</t>
        </is>
      </c>
      <c r="D468" t="inlineStr">
        <is>
          <t>S0234</t>
        </is>
      </c>
      <c r="E468" t="inlineStr">
        <is>
          <t>ST</t>
        </is>
      </c>
      <c r="F468" t="n">
        <v>1</v>
      </c>
      <c r="G468" t="inlineStr">
        <is>
          <t>OUT</t>
        </is>
      </c>
      <c r="H468">
        <f>IF(G468="OUT",F468,-F468)</f>
        <v>1</v>
      </c>
      <c r="I468">
        <f>IF(AND(B468&gt;=DATE(2025,7,1),B468&lt;=DATE(2026,6,30)),1,0)</f>
        <v>1</v>
      </c>
      <c r="J468">
        <f>IF(B468&lt;=DATE(2026,6,30),1,0)</f>
        <v>1</v>
      </c>
      <c r="K468" t="inlineStr"/>
      <c r="L468" t="inlineStr">
        <is>
          <t>Driver</t>
        </is>
      </c>
      <c r="M468">
        <f>COUNTIFS('Asset Log'!$A$5:$A$1379,A468,'Asset Log'!$E$5:$E$1379,E468,'Asset Log'!$G$5:$G$1379,G468)</f>
        <v>1</v>
      </c>
    </row>
    <row r="469">
      <c r="A469" t="inlineStr">
        <is>
          <t>D70004</t>
        </is>
      </c>
      <c r="B469" s="11" t="n">
        <v>45944</v>
      </c>
      <c r="C469" t="inlineStr">
        <is>
          <t>S0001</t>
        </is>
      </c>
      <c r="D469" t="inlineStr">
        <is>
          <t>S0001</t>
        </is>
      </c>
      <c r="E469" t="inlineStr">
        <is>
          <t>FP</t>
        </is>
      </c>
      <c r="F469" t="n">
        <v>37</v>
      </c>
      <c r="G469" t="inlineStr">
        <is>
          <t>OUT</t>
        </is>
      </c>
      <c r="H469">
        <f>IF(G469="OUT",F469,-F469)</f>
        <v>37</v>
      </c>
      <c r="I469">
        <f>IF(AND(B469&gt;=DATE(2025,7,1),B469&lt;=DATE(2026,6,30)),1,0)</f>
        <v>1</v>
      </c>
      <c r="J469">
        <f>IF(B469&lt;=DATE(2026,6,30),1,0)</f>
        <v>1</v>
      </c>
      <c r="K469" t="inlineStr"/>
      <c r="L469" t="inlineStr">
        <is>
          <t>Yard</t>
        </is>
      </c>
      <c r="M469">
        <f>COUNTIFS('Asset Log'!$A$5:$A$1379,A469,'Asset Log'!$E$5:$E$1379,E469,'Asset Log'!$G$5:$G$1379,G469)</f>
        <v>1</v>
      </c>
    </row>
    <row r="470">
      <c r="A470" t="inlineStr">
        <is>
          <t>D70012</t>
        </is>
      </c>
      <c r="B470" s="11" t="n">
        <v>45944</v>
      </c>
      <c r="C470" t="inlineStr">
        <is>
          <t>1</t>
        </is>
      </c>
      <c r="D470" t="inlineStr">
        <is>
          <t>S0001</t>
        </is>
      </c>
      <c r="E470" t="inlineStr">
        <is>
          <t>FB</t>
        </is>
      </c>
      <c r="F470" t="n">
        <v>37</v>
      </c>
      <c r="G470" t="inlineStr">
        <is>
          <t>OUT</t>
        </is>
      </c>
      <c r="H470">
        <f>IF(G470="OUT",F470,-F470)</f>
        <v>37</v>
      </c>
      <c r="I470">
        <f>IF(AND(B470&gt;=DATE(2025,7,1),B470&lt;=DATE(2026,6,30)),1,0)</f>
        <v>1</v>
      </c>
      <c r="J470">
        <f>IF(B470&lt;=DATE(2026,6,30),1,0)</f>
        <v>1</v>
      </c>
      <c r="K470" t="inlineStr">
        <is>
          <t>Site text normalised</t>
        </is>
      </c>
      <c r="L470" t="inlineStr">
        <is>
          <t>Yard</t>
        </is>
      </c>
      <c r="M470">
        <f>COUNTIFS('Asset Log'!$A$5:$A$1379,A470,'Asset Log'!$E$5:$E$1379,E470,'Asset Log'!$G$5:$G$1379,G470)</f>
        <v>1</v>
      </c>
    </row>
    <row r="471">
      <c r="A471" t="inlineStr">
        <is>
          <t>D71013</t>
        </is>
      </c>
      <c r="B471" s="11" t="n">
        <v>45944</v>
      </c>
      <c r="C471" t="inlineStr">
        <is>
          <t>S0109</t>
        </is>
      </c>
      <c r="D471" t="inlineStr">
        <is>
          <t>S0109</t>
        </is>
      </c>
      <c r="E471" t="inlineStr">
        <is>
          <t>FP</t>
        </is>
      </c>
      <c r="F471" t="n">
        <v>31</v>
      </c>
      <c r="G471" t="inlineStr">
        <is>
          <t>OUT</t>
        </is>
      </c>
      <c r="H471">
        <f>IF(G471="OUT",F471,-F471)</f>
        <v>31</v>
      </c>
      <c r="I471">
        <f>IF(AND(B471&gt;=DATE(2025,7,1),B471&lt;=DATE(2026,6,30)),1,0)</f>
        <v>1</v>
      </c>
      <c r="J471">
        <f>IF(B471&lt;=DATE(2026,6,30),1,0)</f>
        <v>1</v>
      </c>
      <c r="K471" t="inlineStr"/>
      <c r="L471" t="inlineStr">
        <is>
          <t>Office</t>
        </is>
      </c>
      <c r="M471">
        <f>COUNTIFS('Asset Log'!$A$5:$A$1379,A471,'Asset Log'!$E$5:$E$1379,E471,'Asset Log'!$G$5:$G$1379,G471)</f>
        <v>1</v>
      </c>
    </row>
    <row r="472">
      <c r="A472" t="inlineStr">
        <is>
          <t>D71019</t>
        </is>
      </c>
      <c r="B472" s="11" t="n">
        <v>45944</v>
      </c>
      <c r="C472" t="inlineStr">
        <is>
          <t>S0109</t>
        </is>
      </c>
      <c r="D472" t="inlineStr">
        <is>
          <t>S0109</t>
        </is>
      </c>
      <c r="E472" t="inlineStr">
        <is>
          <t>FB</t>
        </is>
      </c>
      <c r="F472" t="n">
        <v>34</v>
      </c>
      <c r="G472" t="inlineStr">
        <is>
          <t>OUT</t>
        </is>
      </c>
      <c r="H472">
        <f>IF(G472="OUT",F472,-F472)</f>
        <v>34</v>
      </c>
      <c r="I472">
        <f>IF(AND(B472&gt;=DATE(2025,7,1),B472&lt;=DATE(2026,6,30)),1,0)</f>
        <v>1</v>
      </c>
      <c r="J472">
        <f>IF(B472&lt;=DATE(2026,6,30),1,0)</f>
        <v>1</v>
      </c>
      <c r="K472" t="inlineStr"/>
      <c r="L472" t="inlineStr">
        <is>
          <t>Office</t>
        </is>
      </c>
      <c r="M472">
        <f>COUNTIFS('Asset Log'!$A$5:$A$1379,A472,'Asset Log'!$E$5:$E$1379,E472,'Asset Log'!$G$5:$G$1379,G472)</f>
        <v>1</v>
      </c>
    </row>
    <row r="473">
      <c r="A473" t="inlineStr">
        <is>
          <t>D71169</t>
        </is>
      </c>
      <c r="B473" s="11" t="n">
        <v>45945</v>
      </c>
      <c r="C473" t="inlineStr">
        <is>
          <t>S0123</t>
        </is>
      </c>
      <c r="D473" t="inlineStr">
        <is>
          <t>S0123</t>
        </is>
      </c>
      <c r="E473" t="inlineStr">
        <is>
          <t>FP</t>
        </is>
      </c>
      <c r="F473" t="n">
        <v>135</v>
      </c>
      <c r="G473" t="inlineStr">
        <is>
          <t>OUT</t>
        </is>
      </c>
      <c r="H473">
        <f>IF(G473="OUT",F473,-F473)</f>
        <v>135</v>
      </c>
      <c r="I473">
        <f>IF(AND(B473&gt;=DATE(2025,7,1),B473&lt;=DATE(2026,6,30)),1,0)</f>
        <v>1</v>
      </c>
      <c r="J473">
        <f>IF(B473&lt;=DATE(2026,6,30),1,0)</f>
        <v>1</v>
      </c>
      <c r="K473" t="inlineStr"/>
      <c r="L473" t="inlineStr">
        <is>
          <t>Office</t>
        </is>
      </c>
      <c r="M473">
        <f>COUNTIFS('Asset Log'!$A$5:$A$1379,A473,'Asset Log'!$E$5:$E$1379,E473,'Asset Log'!$G$5:$G$1379,G473)</f>
        <v>1</v>
      </c>
    </row>
    <row r="474">
      <c r="A474" t="inlineStr">
        <is>
          <t>D71176</t>
        </is>
      </c>
      <c r="B474" s="11" t="n">
        <v>45945</v>
      </c>
      <c r="C474" t="inlineStr">
        <is>
          <t>S0123</t>
        </is>
      </c>
      <c r="D474" t="inlineStr">
        <is>
          <t>S0123</t>
        </is>
      </c>
      <c r="E474" t="inlineStr">
        <is>
          <t>FB</t>
        </is>
      </c>
      <c r="F474" t="n">
        <v>148</v>
      </c>
      <c r="G474" t="inlineStr">
        <is>
          <t>OUT</t>
        </is>
      </c>
      <c r="H474">
        <f>IF(G474="OUT",F474,-F474)</f>
        <v>148</v>
      </c>
      <c r="I474">
        <f>IF(AND(B474&gt;=DATE(2025,7,1),B474&lt;=DATE(2026,6,30)),1,0)</f>
        <v>1</v>
      </c>
      <c r="J474">
        <f>IF(B474&lt;=DATE(2026,6,30),1,0)</f>
        <v>1</v>
      </c>
      <c r="K474" t="inlineStr"/>
      <c r="L474" t="inlineStr">
        <is>
          <t>Yard</t>
        </is>
      </c>
      <c r="M474">
        <f>COUNTIFS('Asset Log'!$A$5:$A$1379,A474,'Asset Log'!$E$5:$E$1379,E474,'Asset Log'!$G$5:$G$1379,G474)</f>
        <v>1</v>
      </c>
    </row>
    <row r="475">
      <c r="A475" t="inlineStr">
        <is>
          <t>D72329</t>
        </is>
      </c>
      <c r="B475" s="11" t="n">
        <v>45945</v>
      </c>
      <c r="C475" t="inlineStr">
        <is>
          <t>S0264</t>
        </is>
      </c>
      <c r="D475" t="inlineStr">
        <is>
          <t>S0264</t>
        </is>
      </c>
      <c r="E475" t="inlineStr">
        <is>
          <t>ST</t>
        </is>
      </c>
      <c r="F475" t="n">
        <v>6</v>
      </c>
      <c r="G475" t="inlineStr">
        <is>
          <t>OUT</t>
        </is>
      </c>
      <c r="H475">
        <f>IF(G475="OUT",F475,-F475)</f>
        <v>6</v>
      </c>
      <c r="I475">
        <f>IF(AND(B475&gt;=DATE(2025,7,1),B475&lt;=DATE(2026,6,30)),1,0)</f>
        <v>1</v>
      </c>
      <c r="J475">
        <f>IF(B475&lt;=DATE(2026,6,30),1,0)</f>
        <v>1</v>
      </c>
      <c r="K475" t="inlineStr"/>
      <c r="L475" t="inlineStr">
        <is>
          <t>Office</t>
        </is>
      </c>
      <c r="M475">
        <f>COUNTIFS('Asset Log'!$A$5:$A$1379,A475,'Asset Log'!$E$5:$E$1379,E475,'Asset Log'!$G$5:$G$1379,G475)</f>
        <v>1</v>
      </c>
    </row>
    <row r="476">
      <c r="A476" t="inlineStr">
        <is>
          <t>D70031</t>
        </is>
      </c>
      <c r="B476" s="11" t="n">
        <v>45946</v>
      </c>
      <c r="C476" t="inlineStr">
        <is>
          <t>S0004</t>
        </is>
      </c>
      <c r="D476" t="inlineStr">
        <is>
          <t>S0004</t>
        </is>
      </c>
      <c r="E476" t="inlineStr">
        <is>
          <t>FP</t>
        </is>
      </c>
      <c r="F476" t="n">
        <v>125</v>
      </c>
      <c r="G476" t="inlineStr">
        <is>
          <t>IN</t>
        </is>
      </c>
      <c r="H476">
        <f>IF(G476="OUT",F476,-F476)</f>
        <v>-125</v>
      </c>
      <c r="I476">
        <f>IF(AND(B476&gt;=DATE(2025,7,1),B476&lt;=DATE(2026,6,30)),1,0)</f>
        <v>1</v>
      </c>
      <c r="J476">
        <f>IF(B476&lt;=DATE(2026,6,30),1,0)</f>
        <v>1</v>
      </c>
      <c r="K476" t="inlineStr"/>
      <c r="L476" t="inlineStr">
        <is>
          <t>Office</t>
        </is>
      </c>
      <c r="M476">
        <f>COUNTIFS('Asset Log'!$A$5:$A$1379,A476,'Asset Log'!$E$5:$E$1379,E476,'Asset Log'!$G$5:$G$1379,G476)</f>
        <v>1</v>
      </c>
    </row>
    <row r="477">
      <c r="A477" t="inlineStr">
        <is>
          <t>D70035</t>
        </is>
      </c>
      <c r="B477" s="11" t="n">
        <v>45946</v>
      </c>
      <c r="C477" t="inlineStr">
        <is>
          <t>S0004</t>
        </is>
      </c>
      <c r="D477" t="inlineStr">
        <is>
          <t>S0004</t>
        </is>
      </c>
      <c r="E477" t="inlineStr">
        <is>
          <t>FB</t>
        </is>
      </c>
      <c r="F477" t="n">
        <v>137</v>
      </c>
      <c r="G477" t="inlineStr">
        <is>
          <t>IN</t>
        </is>
      </c>
      <c r="H477">
        <f>IF(G477="OUT",F477,-F477)</f>
        <v>-137</v>
      </c>
      <c r="I477">
        <f>IF(AND(B477&gt;=DATE(2025,7,1),B477&lt;=DATE(2026,6,30)),1,0)</f>
        <v>1</v>
      </c>
      <c r="J477">
        <f>IF(B477&lt;=DATE(2026,6,30),1,0)</f>
        <v>1</v>
      </c>
      <c r="K477" t="inlineStr"/>
      <c r="L477" t="inlineStr">
        <is>
          <t>Office</t>
        </is>
      </c>
      <c r="M477">
        <f>COUNTIFS('Asset Log'!$A$5:$A$1379,A477,'Asset Log'!$E$5:$E$1379,E477,'Asset Log'!$G$5:$G$1379,G477)</f>
        <v>1</v>
      </c>
    </row>
    <row r="478">
      <c r="A478" t="inlineStr">
        <is>
          <t>D70459</t>
        </is>
      </c>
      <c r="B478" s="11" t="n">
        <v>45946</v>
      </c>
      <c r="C478" t="inlineStr">
        <is>
          <t>S0049</t>
        </is>
      </c>
      <c r="D478" t="inlineStr">
        <is>
          <t>S0049</t>
        </is>
      </c>
      <c r="E478" t="inlineStr">
        <is>
          <t>FP</t>
        </is>
      </c>
      <c r="F478" t="n">
        <v>15</v>
      </c>
      <c r="G478" t="inlineStr">
        <is>
          <t>IN</t>
        </is>
      </c>
      <c r="H478">
        <f>IF(G478="OUT",F478,-F478)</f>
        <v>-15</v>
      </c>
      <c r="I478">
        <f>IF(AND(B478&gt;=DATE(2025,7,1),B478&lt;=DATE(2026,6,30)),1,0)</f>
        <v>1</v>
      </c>
      <c r="J478">
        <f>IF(B478&lt;=DATE(2026,6,30),1,0)</f>
        <v>1</v>
      </c>
      <c r="K478" t="inlineStr"/>
      <c r="L478" t="inlineStr">
        <is>
          <t>Yard</t>
        </is>
      </c>
      <c r="M478">
        <f>COUNTIFS('Asset Log'!$A$5:$A$1379,A478,'Asset Log'!$E$5:$E$1379,E478,'Asset Log'!$G$5:$G$1379,G478)</f>
        <v>1</v>
      </c>
    </row>
    <row r="479">
      <c r="A479" t="inlineStr">
        <is>
          <t>D70463</t>
        </is>
      </c>
      <c r="B479" s="11" t="n">
        <v>45946</v>
      </c>
      <c r="C479" t="inlineStr">
        <is>
          <t>S0049</t>
        </is>
      </c>
      <c r="D479" t="inlineStr">
        <is>
          <t>S0049</t>
        </is>
      </c>
      <c r="E479" t="inlineStr">
        <is>
          <t>FB</t>
        </is>
      </c>
      <c r="F479" t="n">
        <v>15</v>
      </c>
      <c r="G479" t="inlineStr">
        <is>
          <t>IN</t>
        </is>
      </c>
      <c r="H479">
        <f>IF(G479="OUT",F479,-F479)</f>
        <v>-15</v>
      </c>
      <c r="I479">
        <f>IF(AND(B479&gt;=DATE(2025,7,1),B479&lt;=DATE(2026,6,30)),1,0)</f>
        <v>1</v>
      </c>
      <c r="J479">
        <f>IF(B479&lt;=DATE(2026,6,30),1,0)</f>
        <v>1</v>
      </c>
      <c r="K479" t="inlineStr"/>
      <c r="L479" t="inlineStr">
        <is>
          <t>Driver</t>
        </is>
      </c>
      <c r="M479">
        <f>COUNTIFS('Asset Log'!$A$5:$A$1379,A479,'Asset Log'!$E$5:$E$1379,E479,'Asset Log'!$G$5:$G$1379,G479)</f>
        <v>1</v>
      </c>
    </row>
    <row r="480">
      <c r="A480" t="inlineStr">
        <is>
          <t>D72461</t>
        </is>
      </c>
      <c r="B480" s="11" t="n">
        <v>45946</v>
      </c>
      <c r="C480" t="inlineStr">
        <is>
          <t>S0297</t>
        </is>
      </c>
      <c r="D480" t="inlineStr">
        <is>
          <t>S0297</t>
        </is>
      </c>
      <c r="E480" t="inlineStr">
        <is>
          <t>TK</t>
        </is>
      </c>
      <c r="F480" t="n">
        <v>3</v>
      </c>
      <c r="G480" t="inlineStr">
        <is>
          <t>IN</t>
        </is>
      </c>
      <c r="H480">
        <f>IF(G480="OUT",F480,-F480)</f>
        <v>-3</v>
      </c>
      <c r="I480">
        <f>IF(AND(B480&gt;=DATE(2025,7,1),B480&lt;=DATE(2026,6,30)),1,0)</f>
        <v>1</v>
      </c>
      <c r="J480">
        <f>IF(B480&lt;=DATE(2026,6,30),1,0)</f>
        <v>1</v>
      </c>
      <c r="K480" t="inlineStr"/>
      <c r="L480" t="inlineStr">
        <is>
          <t>Office</t>
        </is>
      </c>
      <c r="M480">
        <f>COUNTIFS('Asset Log'!$A$5:$A$1379,A480,'Asset Log'!$E$5:$E$1379,E480,'Asset Log'!$G$5:$G$1379,G480)</f>
        <v>1</v>
      </c>
    </row>
    <row r="481">
      <c r="A481" t="inlineStr">
        <is>
          <t>D72518</t>
        </is>
      </c>
      <c r="B481" s="11" t="n">
        <v>45946</v>
      </c>
      <c r="C481" t="inlineStr">
        <is>
          <t>S0340</t>
        </is>
      </c>
      <c r="D481" t="inlineStr">
        <is>
          <t>S0340</t>
        </is>
      </c>
      <c r="E481" t="inlineStr">
        <is>
          <t>TK</t>
        </is>
      </c>
      <c r="F481" t="n">
        <v>3</v>
      </c>
      <c r="G481" t="inlineStr">
        <is>
          <t>OUT</t>
        </is>
      </c>
      <c r="H481">
        <f>IF(G481="OUT",F481,-F481)</f>
        <v>3</v>
      </c>
      <c r="I481">
        <f>IF(AND(B481&gt;=DATE(2025,7,1),B481&lt;=DATE(2026,6,30)),1,0)</f>
        <v>1</v>
      </c>
      <c r="J481">
        <f>IF(B481&lt;=DATE(2026,6,30),1,0)</f>
        <v>1</v>
      </c>
      <c r="K481" t="inlineStr"/>
      <c r="L481" t="inlineStr">
        <is>
          <t>Yard</t>
        </is>
      </c>
      <c r="M481">
        <f>COUNTIFS('Asset Log'!$A$5:$A$1379,A481,'Asset Log'!$E$5:$E$1379,E481,'Asset Log'!$G$5:$G$1379,G481)</f>
        <v>1</v>
      </c>
    </row>
    <row r="482">
      <c r="A482" t="inlineStr">
        <is>
          <t>D72401</t>
        </is>
      </c>
      <c r="B482" s="11" t="n">
        <v>45947</v>
      </c>
      <c r="C482" t="inlineStr">
        <is>
          <t>S0282 Heidelberg</t>
        </is>
      </c>
      <c r="D482" t="inlineStr">
        <is>
          <t>S0282</t>
        </is>
      </c>
      <c r="E482" t="inlineStr">
        <is>
          <t>ST</t>
        </is>
      </c>
      <c r="F482" t="n">
        <v>1</v>
      </c>
      <c r="G482" t="inlineStr">
        <is>
          <t>OUT</t>
        </is>
      </c>
      <c r="H482">
        <f>IF(G482="OUT",F482,-F482)</f>
        <v>1</v>
      </c>
      <c r="I482">
        <f>IF(AND(B482&gt;=DATE(2025,7,1),B482&lt;=DATE(2026,6,30)),1,0)</f>
        <v>1</v>
      </c>
      <c r="J482">
        <f>IF(B482&lt;=DATE(2026,6,30),1,0)</f>
        <v>1</v>
      </c>
      <c r="K482" t="inlineStr">
        <is>
          <t>Site text normalised</t>
        </is>
      </c>
      <c r="L482" t="inlineStr">
        <is>
          <t>Office</t>
        </is>
      </c>
      <c r="M482">
        <f>COUNTIFS('Asset Log'!$A$5:$A$1379,A482,'Asset Log'!$E$5:$E$1379,E482,'Asset Log'!$G$5:$G$1379,G482)</f>
        <v>1</v>
      </c>
    </row>
    <row r="483">
      <c r="A483" t="inlineStr">
        <is>
          <t>D72766</t>
        </is>
      </c>
      <c r="B483" s="11" t="n">
        <v>45947</v>
      </c>
      <c r="C483" t="inlineStr">
        <is>
          <t>S0499</t>
        </is>
      </c>
      <c r="D483" t="inlineStr">
        <is>
          <t>S0499</t>
        </is>
      </c>
      <c r="E483" t="inlineStr">
        <is>
          <t>TK</t>
        </is>
      </c>
      <c r="F483" t="n">
        <v>1</v>
      </c>
      <c r="G483" t="inlineStr">
        <is>
          <t>OUT</t>
        </is>
      </c>
      <c r="H483">
        <f>IF(G483="OUT",F483,-F483)</f>
        <v>1</v>
      </c>
      <c r="I483">
        <f>IF(AND(B483&gt;=DATE(2025,7,1),B483&lt;=DATE(2026,6,30)),1,0)</f>
        <v>1</v>
      </c>
      <c r="J483">
        <f>IF(B483&lt;=DATE(2026,6,30),1,0)</f>
        <v>1</v>
      </c>
      <c r="K483" t="inlineStr"/>
      <c r="L483" t="inlineStr">
        <is>
          <t>Yard</t>
        </is>
      </c>
      <c r="M483">
        <f>COUNTIFS('Asset Log'!$A$5:$A$1379,A483,'Asset Log'!$E$5:$E$1379,E483,'Asset Log'!$G$5:$G$1379,G483)</f>
        <v>1</v>
      </c>
    </row>
    <row r="484">
      <c r="A484" t="inlineStr">
        <is>
          <t>D72672</t>
        </is>
      </c>
      <c r="B484" s="11" t="n">
        <v>45948</v>
      </c>
      <c r="C484" t="inlineStr">
        <is>
          <t>S0434</t>
        </is>
      </c>
      <c r="D484" t="inlineStr">
        <is>
          <t>S0434</t>
        </is>
      </c>
      <c r="E484" t="inlineStr">
        <is>
          <t>TK</t>
        </is>
      </c>
      <c r="F484" t="n">
        <v>3</v>
      </c>
      <c r="G484" t="inlineStr">
        <is>
          <t>IN</t>
        </is>
      </c>
      <c r="H484">
        <f>IF(G484="OUT",F484,-F484)</f>
        <v>-3</v>
      </c>
      <c r="I484">
        <f>IF(AND(B484&gt;=DATE(2025,7,1),B484&lt;=DATE(2026,6,30)),1,0)</f>
        <v>1</v>
      </c>
      <c r="J484">
        <f>IF(B484&lt;=DATE(2026,6,30),1,0)</f>
        <v>1</v>
      </c>
      <c r="K484" t="inlineStr"/>
      <c r="L484" t="inlineStr">
        <is>
          <t>Yard</t>
        </is>
      </c>
      <c r="M484">
        <f>COUNTIFS('Asset Log'!$A$5:$A$1379,A484,'Asset Log'!$E$5:$E$1379,E484,'Asset Log'!$G$5:$G$1379,G484)</f>
        <v>1</v>
      </c>
    </row>
    <row r="485">
      <c r="A485" t="inlineStr">
        <is>
          <t>D70412</t>
        </is>
      </c>
      <c r="B485" s="11" t="n">
        <v>45949</v>
      </c>
      <c r="C485" t="inlineStr">
        <is>
          <t>S0044</t>
        </is>
      </c>
      <c r="D485" t="inlineStr">
        <is>
          <t>S0044</t>
        </is>
      </c>
      <c r="E485" t="inlineStr">
        <is>
          <t>FP</t>
        </is>
      </c>
      <c r="F485" t="n">
        <v>137</v>
      </c>
      <c r="G485" t="inlineStr">
        <is>
          <t>OUT</t>
        </is>
      </c>
      <c r="H485">
        <f>IF(G485="OUT",F485,-F485)</f>
        <v>137</v>
      </c>
      <c r="I485">
        <f>IF(AND(B485&gt;=DATE(2025,7,1),B485&lt;=DATE(2026,6,30)),1,0)</f>
        <v>1</v>
      </c>
      <c r="J485">
        <f>IF(B485&lt;=DATE(2026,6,30),1,0)</f>
        <v>1</v>
      </c>
      <c r="K485" t="inlineStr"/>
      <c r="L485" t="inlineStr">
        <is>
          <t>Office</t>
        </is>
      </c>
      <c r="M485">
        <f>COUNTIFS('Asset Log'!$A$5:$A$1379,A485,'Asset Log'!$E$5:$E$1379,E485,'Asset Log'!$G$5:$G$1379,G485)</f>
        <v>1</v>
      </c>
    </row>
    <row r="486">
      <c r="A486" t="inlineStr">
        <is>
          <t>D70417</t>
        </is>
      </c>
      <c r="B486" s="11" t="n">
        <v>45949</v>
      </c>
      <c r="C486" t="inlineStr">
        <is>
          <t>S0044</t>
        </is>
      </c>
      <c r="D486" t="inlineStr">
        <is>
          <t>S0044</t>
        </is>
      </c>
      <c r="E486" t="inlineStr">
        <is>
          <t>FB</t>
        </is>
      </c>
      <c r="F486" t="n">
        <v>150</v>
      </c>
      <c r="G486" t="inlineStr">
        <is>
          <t>OUT</t>
        </is>
      </c>
      <c r="H486">
        <f>IF(G486="OUT",F486,-F486)</f>
        <v>150</v>
      </c>
      <c r="I486">
        <f>IF(AND(B486&gt;=DATE(2025,7,1),B486&lt;=DATE(2026,6,30)),1,0)</f>
        <v>1</v>
      </c>
      <c r="J486">
        <f>IF(B486&lt;=DATE(2026,6,30),1,0)</f>
        <v>1</v>
      </c>
      <c r="K486" t="inlineStr"/>
      <c r="L486" t="inlineStr">
        <is>
          <t>Office</t>
        </is>
      </c>
      <c r="M486">
        <f>COUNTIFS('Asset Log'!$A$5:$A$1379,A486,'Asset Log'!$E$5:$E$1379,E486,'Asset Log'!$G$5:$G$1379,G486)</f>
        <v>1</v>
      </c>
    </row>
    <row r="487">
      <c r="A487" t="inlineStr">
        <is>
          <t>D70938</t>
        </is>
      </c>
      <c r="B487" s="11" t="n">
        <v>45949</v>
      </c>
      <c r="C487" t="inlineStr">
        <is>
          <t>S0101</t>
        </is>
      </c>
      <c r="D487" t="inlineStr">
        <is>
          <t>S0101</t>
        </is>
      </c>
      <c r="E487" t="inlineStr">
        <is>
          <t>FP</t>
        </is>
      </c>
      <c r="F487" t="n">
        <v>46</v>
      </c>
      <c r="G487" t="inlineStr">
        <is>
          <t>IN</t>
        </is>
      </c>
      <c r="H487">
        <f>IF(G487="OUT",F487,-F487)</f>
        <v>-46</v>
      </c>
      <c r="I487">
        <f>IF(AND(B487&gt;=DATE(2025,7,1),B487&lt;=DATE(2026,6,30)),1,0)</f>
        <v>1</v>
      </c>
      <c r="J487">
        <f>IF(B487&lt;=DATE(2026,6,30),1,0)</f>
        <v>1</v>
      </c>
      <c r="K487" t="inlineStr"/>
      <c r="L487" t="inlineStr">
        <is>
          <t>Office</t>
        </is>
      </c>
      <c r="M487">
        <f>COUNTIFS('Asset Log'!$A$5:$A$1379,A487,'Asset Log'!$E$5:$E$1379,E487,'Asset Log'!$G$5:$G$1379,G487)</f>
        <v>1</v>
      </c>
    </row>
    <row r="488">
      <c r="A488" t="inlineStr">
        <is>
          <t>D70944</t>
        </is>
      </c>
      <c r="B488" s="11" t="n">
        <v>45949</v>
      </c>
      <c r="C488" t="inlineStr">
        <is>
          <t>S0101</t>
        </is>
      </c>
      <c r="D488" t="inlineStr">
        <is>
          <t>S0101</t>
        </is>
      </c>
      <c r="E488" t="inlineStr">
        <is>
          <t>FB</t>
        </is>
      </c>
      <c r="F488" t="n">
        <v>56</v>
      </c>
      <c r="G488" t="inlineStr">
        <is>
          <t>IN</t>
        </is>
      </c>
      <c r="H488">
        <f>IF(G488="OUT",F488,-F488)</f>
        <v>-56</v>
      </c>
      <c r="I488">
        <f>IF(AND(B488&gt;=DATE(2025,7,1),B488&lt;=DATE(2026,6,30)),1,0)</f>
        <v>1</v>
      </c>
      <c r="J488">
        <f>IF(B488&lt;=DATE(2026,6,30),1,0)</f>
        <v>1</v>
      </c>
      <c r="K488" t="inlineStr"/>
      <c r="L488" t="inlineStr">
        <is>
          <t>Office</t>
        </is>
      </c>
      <c r="M488">
        <f>COUNTIFS('Asset Log'!$A$5:$A$1379,A488,'Asset Log'!$E$5:$E$1379,E488,'Asset Log'!$G$5:$G$1379,G488)</f>
        <v>1</v>
      </c>
    </row>
    <row r="489">
      <c r="A489" t="inlineStr">
        <is>
          <t>D70946</t>
        </is>
      </c>
      <c r="B489" s="11" t="n">
        <v>45949</v>
      </c>
      <c r="C489" t="inlineStr">
        <is>
          <t>S0101</t>
        </is>
      </c>
      <c r="D489" t="inlineStr">
        <is>
          <t>S0101</t>
        </is>
      </c>
      <c r="E489" t="inlineStr">
        <is>
          <t>FP</t>
        </is>
      </c>
      <c r="F489" t="n">
        <v>5</v>
      </c>
      <c r="G489" t="inlineStr">
        <is>
          <t>LOST</t>
        </is>
      </c>
      <c r="H489">
        <f>IF(G489="OUT",F489,-F489)</f>
        <v>-5</v>
      </c>
      <c r="I489">
        <f>IF(AND(B489&gt;=DATE(2025,7,1),B489&lt;=DATE(2026,6,30)),1,0)</f>
        <v>1</v>
      </c>
      <c r="J489">
        <f>IF(B489&lt;=DATE(2026,6,30),1,0)</f>
        <v>1</v>
      </c>
      <c r="K489" t="inlineStr"/>
      <c r="L489" t="inlineStr">
        <is>
          <t>Office</t>
        </is>
      </c>
      <c r="M489">
        <f>COUNTIFS('Asset Log'!$A$5:$A$1379,A489,'Asset Log'!$E$5:$E$1379,E489,'Asset Log'!$G$5:$G$1379,G489)</f>
        <v>1</v>
      </c>
    </row>
    <row r="490">
      <c r="A490" t="inlineStr">
        <is>
          <t>D71206</t>
        </is>
      </c>
      <c r="B490" s="11" t="n">
        <v>45950</v>
      </c>
      <c r="C490" t="inlineStr">
        <is>
          <t>126</t>
        </is>
      </c>
      <c r="D490" t="inlineStr">
        <is>
          <t>S0126</t>
        </is>
      </c>
      <c r="E490" t="inlineStr">
        <is>
          <t>FP</t>
        </is>
      </c>
      <c r="F490" t="n">
        <v>129</v>
      </c>
      <c r="G490" t="inlineStr">
        <is>
          <t>OUT</t>
        </is>
      </c>
      <c r="H490">
        <f>IF(G490="OUT",F490,-F490)</f>
        <v>129</v>
      </c>
      <c r="I490">
        <f>IF(AND(B490&gt;=DATE(2025,7,1),B490&lt;=DATE(2026,6,30)),1,0)</f>
        <v>1</v>
      </c>
      <c r="J490">
        <f>IF(B490&lt;=DATE(2026,6,30),1,0)</f>
        <v>1</v>
      </c>
      <c r="K490" t="inlineStr">
        <is>
          <t>Site text normalised</t>
        </is>
      </c>
      <c r="L490" t="inlineStr">
        <is>
          <t>Driver</t>
        </is>
      </c>
      <c r="M490">
        <f>COUNTIFS('Asset Log'!$A$5:$A$1379,A490,'Asset Log'!$E$5:$E$1379,E490,'Asset Log'!$G$5:$G$1379,G490)</f>
        <v>1</v>
      </c>
    </row>
    <row r="491">
      <c r="A491" t="inlineStr">
        <is>
          <t>D71212</t>
        </is>
      </c>
      <c r="B491" s="11" t="n">
        <v>45950</v>
      </c>
      <c r="C491" t="inlineStr">
        <is>
          <t>S0126</t>
        </is>
      </c>
      <c r="D491" t="inlineStr">
        <is>
          <t>S0126</t>
        </is>
      </c>
      <c r="E491" t="inlineStr">
        <is>
          <t>FB</t>
        </is>
      </c>
      <c r="F491" t="n">
        <v>141</v>
      </c>
      <c r="G491" t="inlineStr">
        <is>
          <t>OUT</t>
        </is>
      </c>
      <c r="H491">
        <f>IF(G491="OUT",F491,-F491)</f>
        <v>141</v>
      </c>
      <c r="I491">
        <f>IF(AND(B491&gt;=DATE(2025,7,1),B491&lt;=DATE(2026,6,30)),1,0)</f>
        <v>1</v>
      </c>
      <c r="J491">
        <f>IF(B491&lt;=DATE(2026,6,30),1,0)</f>
        <v>1</v>
      </c>
      <c r="K491" t="inlineStr"/>
      <c r="L491" t="inlineStr">
        <is>
          <t>Office</t>
        </is>
      </c>
      <c r="M491">
        <f>COUNTIFS('Asset Log'!$A$5:$A$1379,A491,'Asset Log'!$E$5:$E$1379,E491,'Asset Log'!$G$5:$G$1379,G491)</f>
        <v>1</v>
      </c>
    </row>
    <row r="492">
      <c r="A492" t="inlineStr">
        <is>
          <t>D70989</t>
        </is>
      </c>
      <c r="B492" s="11" t="n">
        <v>45951</v>
      </c>
      <c r="C492" t="inlineStr">
        <is>
          <t>S0107</t>
        </is>
      </c>
      <c r="D492" t="inlineStr">
        <is>
          <t>S0107</t>
        </is>
      </c>
      <c r="E492" t="inlineStr">
        <is>
          <t>FP</t>
        </is>
      </c>
      <c r="F492" t="n">
        <v>106</v>
      </c>
      <c r="G492" t="inlineStr">
        <is>
          <t>OUT</t>
        </is>
      </c>
      <c r="H492">
        <f>IF(G492="OUT",F492,-F492)</f>
        <v>106</v>
      </c>
      <c r="I492">
        <f>IF(AND(B492&gt;=DATE(2025,7,1),B492&lt;=DATE(2026,6,30)),1,0)</f>
        <v>1</v>
      </c>
      <c r="J492">
        <f>IF(B492&lt;=DATE(2026,6,30),1,0)</f>
        <v>1</v>
      </c>
      <c r="K492" t="inlineStr"/>
      <c r="L492" t="inlineStr">
        <is>
          <t>Office</t>
        </is>
      </c>
      <c r="M492">
        <f>COUNTIFS('Asset Log'!$A$5:$A$1379,A492,'Asset Log'!$E$5:$E$1379,E492,'Asset Log'!$G$5:$G$1379,G492)</f>
        <v>1</v>
      </c>
    </row>
    <row r="493">
      <c r="A493" t="inlineStr">
        <is>
          <t>D70994</t>
        </is>
      </c>
      <c r="B493" s="11" t="n">
        <v>45951</v>
      </c>
      <c r="C493" t="inlineStr">
        <is>
          <t>S0107</t>
        </is>
      </c>
      <c r="D493" t="inlineStr">
        <is>
          <t>S0107</t>
        </is>
      </c>
      <c r="E493" t="inlineStr">
        <is>
          <t>FB</t>
        </is>
      </c>
      <c r="F493" t="n">
        <v>116</v>
      </c>
      <c r="G493" t="inlineStr">
        <is>
          <t>OUT</t>
        </is>
      </c>
      <c r="H493">
        <f>IF(G493="OUT",F493,-F493)</f>
        <v>116</v>
      </c>
      <c r="I493">
        <f>IF(AND(B493&gt;=DATE(2025,7,1),B493&lt;=DATE(2026,6,30)),1,0)</f>
        <v>1</v>
      </c>
      <c r="J493">
        <f>IF(B493&lt;=DATE(2026,6,30),1,0)</f>
        <v>1</v>
      </c>
      <c r="K493" t="inlineStr"/>
      <c r="L493" t="inlineStr">
        <is>
          <t>Office</t>
        </is>
      </c>
      <c r="M493">
        <f>COUNTIFS('Asset Log'!$A$5:$A$1379,A493,'Asset Log'!$E$5:$E$1379,E493,'Asset Log'!$G$5:$G$1379,G493)</f>
        <v>1</v>
      </c>
    </row>
    <row r="494">
      <c r="A494" t="inlineStr">
        <is>
          <t>D72029</t>
        </is>
      </c>
      <c r="B494" s="11" t="n">
        <v>45951</v>
      </c>
      <c r="C494" t="inlineStr">
        <is>
          <t>s214</t>
        </is>
      </c>
      <c r="D494" t="inlineStr">
        <is>
          <t>S0214</t>
        </is>
      </c>
      <c r="E494" t="inlineStr">
        <is>
          <t>FP</t>
        </is>
      </c>
      <c r="F494" t="n">
        <v>147</v>
      </c>
      <c r="G494" t="inlineStr">
        <is>
          <t>IN</t>
        </is>
      </c>
      <c r="H494">
        <f>IF(G494="OUT",F494,-F494)</f>
        <v>-147</v>
      </c>
      <c r="I494">
        <f>IF(AND(B494&gt;=DATE(2025,7,1),B494&lt;=DATE(2026,6,30)),1,0)</f>
        <v>1</v>
      </c>
      <c r="J494">
        <f>IF(B494&lt;=DATE(2026,6,30),1,0)</f>
        <v>1</v>
      </c>
      <c r="K494" t="inlineStr">
        <is>
          <t>Site text normalised</t>
        </is>
      </c>
      <c r="L494" t="inlineStr">
        <is>
          <t>Office</t>
        </is>
      </c>
      <c r="M494">
        <f>COUNTIFS('Asset Log'!$A$5:$A$1379,A494,'Asset Log'!$E$5:$E$1379,E494,'Asset Log'!$G$5:$G$1379,G494)</f>
        <v>1</v>
      </c>
    </row>
    <row r="495">
      <c r="A495" t="inlineStr">
        <is>
          <t>D72031</t>
        </is>
      </c>
      <c r="B495" s="11" t="n">
        <v>45951</v>
      </c>
      <c r="C495" t="inlineStr">
        <is>
          <t>S0214</t>
        </is>
      </c>
      <c r="D495" t="inlineStr">
        <is>
          <t>S0214</t>
        </is>
      </c>
      <c r="E495" t="inlineStr">
        <is>
          <t>FB</t>
        </is>
      </c>
      <c r="F495" t="n">
        <v>161</v>
      </c>
      <c r="G495" t="inlineStr">
        <is>
          <t>IN</t>
        </is>
      </c>
      <c r="H495">
        <f>IF(G495="OUT",F495,-F495)</f>
        <v>-161</v>
      </c>
      <c r="I495">
        <f>IF(AND(B495&gt;=DATE(2025,7,1),B495&lt;=DATE(2026,6,30)),1,0)</f>
        <v>1</v>
      </c>
      <c r="J495">
        <f>IF(B495&lt;=DATE(2026,6,30),1,0)</f>
        <v>1</v>
      </c>
      <c r="K495" t="inlineStr"/>
      <c r="L495" t="inlineStr">
        <is>
          <t>Office</t>
        </is>
      </c>
      <c r="M495">
        <f>COUNTIFS('Asset Log'!$A$5:$A$1379,A495,'Asset Log'!$E$5:$E$1379,E495,'Asset Log'!$G$5:$G$1379,G495)</f>
        <v>1</v>
      </c>
    </row>
    <row r="496">
      <c r="A496" t="inlineStr">
        <is>
          <t>D72804</t>
        </is>
      </c>
      <c r="B496" s="11" t="n">
        <v>45951</v>
      </c>
      <c r="C496" t="inlineStr">
        <is>
          <t>S0520</t>
        </is>
      </c>
      <c r="D496" t="inlineStr">
        <is>
          <t>S0520</t>
        </is>
      </c>
      <c r="E496" t="inlineStr">
        <is>
          <t>TK</t>
        </is>
      </c>
      <c r="F496" t="n">
        <v>2</v>
      </c>
      <c r="G496" t="inlineStr">
        <is>
          <t>IN</t>
        </is>
      </c>
      <c r="H496">
        <f>IF(G496="OUT",F496,-F496)</f>
        <v>-2</v>
      </c>
      <c r="I496">
        <f>IF(AND(B496&gt;=DATE(2025,7,1),B496&lt;=DATE(2026,6,30)),1,0)</f>
        <v>1</v>
      </c>
      <c r="J496">
        <f>IF(B496&lt;=DATE(2026,6,30),1,0)</f>
        <v>1</v>
      </c>
      <c r="K496" t="inlineStr"/>
      <c r="L496" t="inlineStr">
        <is>
          <t>Office</t>
        </is>
      </c>
      <c r="M496">
        <f>COUNTIFS('Asset Log'!$A$5:$A$1379,A496,'Asset Log'!$E$5:$E$1379,E496,'Asset Log'!$G$5:$G$1379,G496)</f>
        <v>1</v>
      </c>
    </row>
    <row r="497">
      <c r="A497" t="inlineStr">
        <is>
          <t>D72331</t>
        </is>
      </c>
      <c r="B497" s="11" t="n">
        <v>45952</v>
      </c>
      <c r="C497" t="inlineStr">
        <is>
          <t>S0264</t>
        </is>
      </c>
      <c r="D497" t="inlineStr">
        <is>
          <t>S0264</t>
        </is>
      </c>
      <c r="E497" t="inlineStr">
        <is>
          <t>ST</t>
        </is>
      </c>
      <c r="F497" t="n">
        <v>6</v>
      </c>
      <c r="G497" t="inlineStr">
        <is>
          <t>IN</t>
        </is>
      </c>
      <c r="H497">
        <f>IF(G497="OUT",F497,-F497)</f>
        <v>-6</v>
      </c>
      <c r="I497">
        <f>IF(AND(B497&gt;=DATE(2025,7,1),B497&lt;=DATE(2026,6,30)),1,0)</f>
        <v>1</v>
      </c>
      <c r="J497">
        <f>IF(B497&lt;=DATE(2026,6,30),1,0)</f>
        <v>1</v>
      </c>
      <c r="K497" t="inlineStr"/>
      <c r="L497" t="inlineStr">
        <is>
          <t>Office</t>
        </is>
      </c>
      <c r="M497">
        <f>COUNTIFS('Asset Log'!$A$5:$A$1379,A497,'Asset Log'!$E$5:$E$1379,E497,'Asset Log'!$G$5:$G$1379,G497)</f>
        <v>1</v>
      </c>
    </row>
    <row r="498">
      <c r="A498" t="inlineStr">
        <is>
          <t>D72407</t>
        </is>
      </c>
      <c r="B498" s="11" t="n">
        <v>45952</v>
      </c>
      <c r="C498" t="inlineStr">
        <is>
          <t>S0284</t>
        </is>
      </c>
      <c r="D498" t="inlineStr">
        <is>
          <t>S0284</t>
        </is>
      </c>
      <c r="E498" t="inlineStr">
        <is>
          <t>ST</t>
        </is>
      </c>
      <c r="F498" t="n">
        <v>6</v>
      </c>
      <c r="G498" t="inlineStr">
        <is>
          <t>OUT</t>
        </is>
      </c>
      <c r="H498">
        <f>IF(G498="OUT",F498,-F498)</f>
        <v>6</v>
      </c>
      <c r="I498">
        <f>IF(AND(B498&gt;=DATE(2025,7,1),B498&lt;=DATE(2026,6,30)),1,0)</f>
        <v>1</v>
      </c>
      <c r="J498">
        <f>IF(B498&lt;=DATE(2026,6,30),1,0)</f>
        <v>1</v>
      </c>
      <c r="K498" t="inlineStr"/>
      <c r="L498" t="inlineStr">
        <is>
          <t>Yard</t>
        </is>
      </c>
      <c r="M498">
        <f>COUNTIFS('Asset Log'!$A$5:$A$1379,A498,'Asset Log'!$E$5:$E$1379,E498,'Asset Log'!$G$5:$G$1379,G498)</f>
        <v>1</v>
      </c>
    </row>
    <row r="499">
      <c r="A499" t="inlineStr">
        <is>
          <t>D72420</t>
        </is>
      </c>
      <c r="B499" s="11" t="n">
        <v>45952</v>
      </c>
      <c r="C499" t="inlineStr">
        <is>
          <t>S0287</t>
        </is>
      </c>
      <c r="D499" t="inlineStr">
        <is>
          <t>S0287</t>
        </is>
      </c>
      <c r="E499" t="inlineStr">
        <is>
          <t>ST</t>
        </is>
      </c>
      <c r="F499" t="n">
        <v>2</v>
      </c>
      <c r="G499" t="inlineStr">
        <is>
          <t>OUT</t>
        </is>
      </c>
      <c r="H499">
        <f>IF(G499="OUT",F499,-F499)</f>
        <v>2</v>
      </c>
      <c r="I499">
        <f>IF(AND(B499&gt;=DATE(2025,7,1),B499&lt;=DATE(2026,6,30)),1,0)</f>
        <v>1</v>
      </c>
      <c r="J499">
        <f>IF(B499&lt;=DATE(2026,6,30),1,0)</f>
        <v>1</v>
      </c>
      <c r="K499" t="inlineStr"/>
      <c r="L499" t="inlineStr">
        <is>
          <t>Driver</t>
        </is>
      </c>
      <c r="M499">
        <f>COUNTIFS('Asset Log'!$A$5:$A$1379,A499,'Asset Log'!$E$5:$E$1379,E499,'Asset Log'!$G$5:$G$1379,G499)</f>
        <v>1</v>
      </c>
    </row>
    <row r="500">
      <c r="A500" t="inlineStr">
        <is>
          <t>D72600</t>
        </is>
      </c>
      <c r="B500" s="11" t="n">
        <v>45952</v>
      </c>
      <c r="C500" t="inlineStr">
        <is>
          <t>S0393</t>
        </is>
      </c>
      <c r="D500" t="inlineStr">
        <is>
          <t>S0393</t>
        </is>
      </c>
      <c r="E500" t="inlineStr">
        <is>
          <t>TK</t>
        </is>
      </c>
      <c r="F500" t="n">
        <v>1</v>
      </c>
      <c r="G500" t="inlineStr">
        <is>
          <t>IN</t>
        </is>
      </c>
      <c r="H500">
        <f>IF(G500="OUT",F500,-F500)</f>
        <v>-1</v>
      </c>
      <c r="I500">
        <f>IF(AND(B500&gt;=DATE(2025,7,1),B500&lt;=DATE(2026,6,30)),1,0)</f>
        <v>1</v>
      </c>
      <c r="J500">
        <f>IF(B500&lt;=DATE(2026,6,30),1,0)</f>
        <v>1</v>
      </c>
      <c r="K500" t="inlineStr"/>
      <c r="L500" t="inlineStr">
        <is>
          <t>Office</t>
        </is>
      </c>
      <c r="M500">
        <f>COUNTIFS('Asset Log'!$A$5:$A$1379,A500,'Asset Log'!$E$5:$E$1379,E500,'Asset Log'!$G$5:$G$1379,G500)</f>
        <v>1</v>
      </c>
    </row>
    <row r="501">
      <c r="A501" t="inlineStr">
        <is>
          <t>D71310</t>
        </is>
      </c>
      <c r="B501" s="11" t="n">
        <v>45953</v>
      </c>
      <c r="C501" t="inlineStr">
        <is>
          <t>S0138</t>
        </is>
      </c>
      <c r="D501" t="inlineStr">
        <is>
          <t>S0138</t>
        </is>
      </c>
      <c r="E501" t="inlineStr">
        <is>
          <t>FP</t>
        </is>
      </c>
      <c r="F501" t="n">
        <v>22</v>
      </c>
      <c r="G501" t="inlineStr">
        <is>
          <t>OUT</t>
        </is>
      </c>
      <c r="H501">
        <f>IF(G501="OUT",F501,-F501)</f>
        <v>22</v>
      </c>
      <c r="I501">
        <f>IF(AND(B501&gt;=DATE(2025,7,1),B501&lt;=DATE(2026,6,30)),1,0)</f>
        <v>1</v>
      </c>
      <c r="J501">
        <f>IF(B501&lt;=DATE(2026,6,30),1,0)</f>
        <v>1</v>
      </c>
      <c r="K501" t="inlineStr"/>
      <c r="L501" t="inlineStr">
        <is>
          <t>Office</t>
        </is>
      </c>
      <c r="M501">
        <f>COUNTIFS('Asset Log'!$A$5:$A$1379,A501,'Asset Log'!$E$5:$E$1379,E501,'Asset Log'!$G$5:$G$1379,G501)</f>
        <v>1</v>
      </c>
    </row>
    <row r="502">
      <c r="A502" t="inlineStr">
        <is>
          <t>D71313</t>
        </is>
      </c>
      <c r="B502" s="11" t="n">
        <v>45953</v>
      </c>
      <c r="C502" t="inlineStr">
        <is>
          <t>s138</t>
        </is>
      </c>
      <c r="D502" t="inlineStr">
        <is>
          <t>S0138</t>
        </is>
      </c>
      <c r="E502" t="inlineStr">
        <is>
          <t>FB</t>
        </is>
      </c>
      <c r="F502" t="n">
        <v>24</v>
      </c>
      <c r="G502" t="inlineStr">
        <is>
          <t>OUT</t>
        </is>
      </c>
      <c r="H502">
        <f>IF(G502="OUT",F502,-F502)</f>
        <v>24</v>
      </c>
      <c r="I502">
        <f>IF(AND(B502&gt;=DATE(2025,7,1),B502&lt;=DATE(2026,6,30)),1,0)</f>
        <v>1</v>
      </c>
      <c r="J502">
        <f>IF(B502&lt;=DATE(2026,6,30),1,0)</f>
        <v>1</v>
      </c>
      <c r="K502" t="inlineStr">
        <is>
          <t>Site text normalised</t>
        </is>
      </c>
      <c r="L502" t="inlineStr">
        <is>
          <t>Office</t>
        </is>
      </c>
      <c r="M502">
        <f>COUNTIFS('Asset Log'!$A$5:$A$1379,A502,'Asset Log'!$E$5:$E$1379,E502,'Asset Log'!$G$5:$G$1379,G502)</f>
        <v>1</v>
      </c>
    </row>
    <row r="503">
      <c r="A503" t="inlineStr">
        <is>
          <t>D70672</t>
        </is>
      </c>
      <c r="B503" s="11" t="n">
        <v>45954</v>
      </c>
      <c r="C503" t="inlineStr">
        <is>
          <t>S0027</t>
        </is>
      </c>
      <c r="D503" t="inlineStr">
        <is>
          <t>S0072</t>
        </is>
      </c>
      <c r="E503" t="inlineStr">
        <is>
          <t>FP</t>
        </is>
      </c>
      <c r="F503" t="n">
        <v>63</v>
      </c>
      <c r="G503" t="inlineStr">
        <is>
          <t>IN</t>
        </is>
      </c>
      <c r="H503">
        <f>IF(G503="OUT",F503,-F503)</f>
        <v>-63</v>
      </c>
      <c r="I503">
        <f>IF(AND(B503&gt;=DATE(2025,7,1),B503&lt;=DATE(2026,6,30)),1,0)</f>
        <v>1</v>
      </c>
      <c r="J503">
        <f>IF(B503&lt;=DATE(2026,6,30),1,0)</f>
        <v>1</v>
      </c>
      <c r="K503" t="inlineStr">
        <is>
          <t>Site corrected from S0027 (return before the job started)</t>
        </is>
      </c>
      <c r="L503" t="inlineStr">
        <is>
          <t>Office</t>
        </is>
      </c>
      <c r="M503">
        <f>COUNTIFS('Asset Log'!$A$5:$A$1379,A503,'Asset Log'!$E$5:$E$1379,E503,'Asset Log'!$G$5:$G$1379,G503)</f>
        <v>1</v>
      </c>
    </row>
    <row r="504">
      <c r="A504" t="inlineStr">
        <is>
          <t>D70676</t>
        </is>
      </c>
      <c r="B504" s="11" t="n">
        <v>45954</v>
      </c>
      <c r="C504" t="inlineStr">
        <is>
          <t>S0072</t>
        </is>
      </c>
      <c r="D504" t="inlineStr">
        <is>
          <t>S0072</t>
        </is>
      </c>
      <c r="E504" t="inlineStr">
        <is>
          <t>FB</t>
        </is>
      </c>
      <c r="F504" t="n">
        <v>69</v>
      </c>
      <c r="G504" t="inlineStr">
        <is>
          <t>IN</t>
        </is>
      </c>
      <c r="H504">
        <f>IF(G504="OUT",F504,-F504)</f>
        <v>-69</v>
      </c>
      <c r="I504">
        <f>IF(AND(B504&gt;=DATE(2025,7,1),B504&lt;=DATE(2026,6,30)),1,0)</f>
        <v>1</v>
      </c>
      <c r="J504">
        <f>IF(B504&lt;=DATE(2026,6,30),1,0)</f>
        <v>1</v>
      </c>
      <c r="K504" t="inlineStr"/>
      <c r="L504" t="inlineStr">
        <is>
          <t>Office</t>
        </is>
      </c>
      <c r="M504">
        <f>COUNTIFS('Asset Log'!$A$5:$A$1379,A504,'Asset Log'!$E$5:$E$1379,E504,'Asset Log'!$G$5:$G$1379,G504)</f>
        <v>1</v>
      </c>
    </row>
    <row r="505">
      <c r="A505" t="inlineStr">
        <is>
          <t>D71278</t>
        </is>
      </c>
      <c r="B505" s="11" t="n">
        <v>45954</v>
      </c>
      <c r="C505" t="inlineStr">
        <is>
          <t>S0135</t>
        </is>
      </c>
      <c r="D505" t="inlineStr">
        <is>
          <t>S0135</t>
        </is>
      </c>
      <c r="E505" t="inlineStr">
        <is>
          <t>FP</t>
        </is>
      </c>
      <c r="F505" t="n">
        <v>65</v>
      </c>
      <c r="G505" t="inlineStr">
        <is>
          <t>OUT</t>
        </is>
      </c>
      <c r="H505">
        <f>IF(G505="OUT",F505,-F505)</f>
        <v>65</v>
      </c>
      <c r="I505">
        <f>IF(AND(B505&gt;=DATE(2025,7,1),B505&lt;=DATE(2026,6,30)),1,0)</f>
        <v>1</v>
      </c>
      <c r="J505">
        <f>IF(B505&lt;=DATE(2026,6,30),1,0)</f>
        <v>1</v>
      </c>
      <c r="K505" t="inlineStr"/>
      <c r="L505" t="inlineStr">
        <is>
          <t>Driver</t>
        </is>
      </c>
      <c r="M505">
        <f>COUNTIFS('Asset Log'!$A$5:$A$1379,A505,'Asset Log'!$E$5:$E$1379,E505,'Asset Log'!$G$5:$G$1379,G505)</f>
        <v>1</v>
      </c>
    </row>
    <row r="506">
      <c r="A506" t="inlineStr">
        <is>
          <t>D71281</t>
        </is>
      </c>
      <c r="B506" s="11" t="n">
        <v>45954</v>
      </c>
      <c r="C506" t="inlineStr">
        <is>
          <t>S0135</t>
        </is>
      </c>
      <c r="D506" t="inlineStr">
        <is>
          <t>S0135</t>
        </is>
      </c>
      <c r="E506" t="inlineStr">
        <is>
          <t>FB</t>
        </is>
      </c>
      <c r="F506" t="n">
        <v>71</v>
      </c>
      <c r="G506" t="inlineStr">
        <is>
          <t>OUT</t>
        </is>
      </c>
      <c r="H506">
        <f>IF(G506="OUT",F506,-F506)</f>
        <v>71</v>
      </c>
      <c r="I506">
        <f>IF(AND(B506&gt;=DATE(2025,7,1),B506&lt;=DATE(2026,6,30)),1,0)</f>
        <v>1</v>
      </c>
      <c r="J506">
        <f>IF(B506&lt;=DATE(2026,6,30),1,0)</f>
        <v>1</v>
      </c>
      <c r="K506" t="inlineStr"/>
      <c r="L506" t="inlineStr">
        <is>
          <t>Yard</t>
        </is>
      </c>
      <c r="M506">
        <f>COUNTIFS('Asset Log'!$A$5:$A$1379,A506,'Asset Log'!$E$5:$E$1379,E506,'Asset Log'!$G$5:$G$1379,G506)</f>
        <v>1</v>
      </c>
    </row>
    <row r="507">
      <c r="A507" t="inlineStr">
        <is>
          <t>D71285</t>
        </is>
      </c>
      <c r="B507" s="11" t="n">
        <v>45954</v>
      </c>
      <c r="C507" t="inlineStr">
        <is>
          <t>S0135</t>
        </is>
      </c>
      <c r="D507" t="inlineStr">
        <is>
          <t>S0135</t>
        </is>
      </c>
      <c r="E507" t="inlineStr">
        <is>
          <t>BR</t>
        </is>
      </c>
      <c r="F507" t="n">
        <v>11</v>
      </c>
      <c r="G507" t="inlineStr">
        <is>
          <t>OUT</t>
        </is>
      </c>
      <c r="H507">
        <f>IF(G507="OUT",F507,-F507)</f>
        <v>11</v>
      </c>
      <c r="I507">
        <f>IF(AND(B507&gt;=DATE(2025,7,1),B507&lt;=DATE(2026,6,30)),1,0)</f>
        <v>1</v>
      </c>
      <c r="J507">
        <f>IF(B507&lt;=DATE(2026,6,30),1,0)</f>
        <v>1</v>
      </c>
      <c r="K507" t="inlineStr"/>
      <c r="L507" t="inlineStr">
        <is>
          <t>Office</t>
        </is>
      </c>
      <c r="M507">
        <f>COUNTIFS('Asset Log'!$A$5:$A$1379,A507,'Asset Log'!$E$5:$E$1379,E507,'Asset Log'!$G$5:$G$1379,G507)</f>
        <v>1</v>
      </c>
    </row>
    <row r="508">
      <c r="A508" t="inlineStr">
        <is>
          <t>D72062</t>
        </is>
      </c>
      <c r="B508" s="11" t="n">
        <v>45954</v>
      </c>
      <c r="C508" t="inlineStr">
        <is>
          <t>S0218</t>
        </is>
      </c>
      <c r="D508" t="inlineStr">
        <is>
          <t>S0218</t>
        </is>
      </c>
      <c r="E508" t="inlineStr">
        <is>
          <t>FP</t>
        </is>
      </c>
      <c r="F508" t="n">
        <v>119</v>
      </c>
      <c r="G508" t="inlineStr">
        <is>
          <t>IN</t>
        </is>
      </c>
      <c r="H508">
        <f>IF(G508="OUT",F508,-F508)</f>
        <v>-119</v>
      </c>
      <c r="I508">
        <f>IF(AND(B508&gt;=DATE(2025,7,1),B508&lt;=DATE(2026,6,30)),1,0)</f>
        <v>1</v>
      </c>
      <c r="J508">
        <f>IF(B508&lt;=DATE(2026,6,30),1,0)</f>
        <v>1</v>
      </c>
      <c r="K508" t="inlineStr"/>
      <c r="L508" t="inlineStr">
        <is>
          <t>Office</t>
        </is>
      </c>
      <c r="M508">
        <f>COUNTIFS('Asset Log'!$A$5:$A$1379,A508,'Asset Log'!$E$5:$E$1379,E508,'Asset Log'!$G$5:$G$1379,G508)</f>
        <v>1</v>
      </c>
    </row>
    <row r="509">
      <c r="A509" t="inlineStr">
        <is>
          <t>D72067</t>
        </is>
      </c>
      <c r="B509" s="11" t="n">
        <v>45954</v>
      </c>
      <c r="C509" t="inlineStr">
        <is>
          <t>S0218</t>
        </is>
      </c>
      <c r="D509" t="inlineStr">
        <is>
          <t>S0218</t>
        </is>
      </c>
      <c r="E509" t="inlineStr">
        <is>
          <t>FB</t>
        </is>
      </c>
      <c r="F509" t="n">
        <v>130</v>
      </c>
      <c r="G509" t="inlineStr">
        <is>
          <t>IN</t>
        </is>
      </c>
      <c r="H509">
        <f>IF(G509="OUT",F509,-F509)</f>
        <v>-130</v>
      </c>
      <c r="I509">
        <f>IF(AND(B509&gt;=DATE(2025,7,1),B509&lt;=DATE(2026,6,30)),1,0)</f>
        <v>1</v>
      </c>
      <c r="J509">
        <f>IF(B509&lt;=DATE(2026,6,30),1,0)</f>
        <v>1</v>
      </c>
      <c r="K509" t="inlineStr"/>
      <c r="L509" t="inlineStr">
        <is>
          <t>Driver</t>
        </is>
      </c>
      <c r="M509">
        <f>COUNTIFS('Asset Log'!$A$5:$A$1379,A509,'Asset Log'!$E$5:$E$1379,E509,'Asset Log'!$G$5:$G$1379,G509)</f>
        <v>1</v>
      </c>
    </row>
    <row r="510">
      <c r="A510" t="inlineStr">
        <is>
          <t>D72069</t>
        </is>
      </c>
      <c r="B510" s="11" t="n">
        <v>45954</v>
      </c>
      <c r="C510" t="inlineStr">
        <is>
          <t>S0218</t>
        </is>
      </c>
      <c r="D510" t="inlineStr">
        <is>
          <t>S0218</t>
        </is>
      </c>
      <c r="E510" t="inlineStr">
        <is>
          <t>BR</t>
        </is>
      </c>
      <c r="F510" t="n">
        <v>13</v>
      </c>
      <c r="G510" t="inlineStr">
        <is>
          <t>IN</t>
        </is>
      </c>
      <c r="H510">
        <f>IF(G510="OUT",F510,-F510)</f>
        <v>-13</v>
      </c>
      <c r="I510">
        <f>IF(AND(B510&gt;=DATE(2025,7,1),B510&lt;=DATE(2026,6,30)),1,0)</f>
        <v>1</v>
      </c>
      <c r="J510">
        <f>IF(B510&lt;=DATE(2026,6,30),1,0)</f>
        <v>1</v>
      </c>
      <c r="K510" t="inlineStr"/>
      <c r="L510" t="inlineStr">
        <is>
          <t>Driver</t>
        </is>
      </c>
      <c r="M510">
        <f>COUNTIFS('Asset Log'!$A$5:$A$1379,A510,'Asset Log'!$E$5:$E$1379,E510,'Asset Log'!$G$5:$G$1379,G510)</f>
        <v>1</v>
      </c>
    </row>
    <row r="511">
      <c r="A511" t="inlineStr">
        <is>
          <t>D72769</t>
        </is>
      </c>
      <c r="B511" s="11" t="n">
        <v>45954</v>
      </c>
      <c r="C511" t="inlineStr">
        <is>
          <t>S0499</t>
        </is>
      </c>
      <c r="D511" t="inlineStr">
        <is>
          <t>S0499</t>
        </is>
      </c>
      <c r="E511" t="inlineStr">
        <is>
          <t>TK</t>
        </is>
      </c>
      <c r="F511" t="n">
        <v>1</v>
      </c>
      <c r="G511" t="inlineStr">
        <is>
          <t>IN</t>
        </is>
      </c>
      <c r="H511">
        <f>IF(G511="OUT",F511,-F511)</f>
        <v>-1</v>
      </c>
      <c r="I511">
        <f>IF(AND(B511&gt;=DATE(2025,7,1),B511&lt;=DATE(2026,6,30)),1,0)</f>
        <v>1</v>
      </c>
      <c r="J511">
        <f>IF(B511&lt;=DATE(2026,6,30),1,0)</f>
        <v>1</v>
      </c>
      <c r="K511" t="inlineStr"/>
      <c r="L511" t="inlineStr">
        <is>
          <t>Office</t>
        </is>
      </c>
      <c r="M511">
        <f>COUNTIFS('Asset Log'!$A$5:$A$1379,A511,'Asset Log'!$E$5:$E$1379,E511,'Asset Log'!$G$5:$G$1379,G511)</f>
        <v>1</v>
      </c>
    </row>
    <row r="512">
      <c r="A512" t="inlineStr">
        <is>
          <t>D70796</t>
        </is>
      </c>
      <c r="B512" s="11" t="n">
        <v>45955</v>
      </c>
      <c r="C512" t="inlineStr">
        <is>
          <t>S0085</t>
        </is>
      </c>
      <c r="D512" t="inlineStr">
        <is>
          <t>S0085</t>
        </is>
      </c>
      <c r="E512" t="inlineStr">
        <is>
          <t>FP</t>
        </is>
      </c>
      <c r="F512" t="n">
        <v>52</v>
      </c>
      <c r="G512" t="inlineStr">
        <is>
          <t>IN</t>
        </is>
      </c>
      <c r="H512">
        <f>IF(G512="OUT",F512,-F512)</f>
        <v>-52</v>
      </c>
      <c r="I512">
        <f>IF(AND(B512&gt;=DATE(2025,7,1),B512&lt;=DATE(2026,6,30)),1,0)</f>
        <v>1</v>
      </c>
      <c r="J512">
        <f>IF(B512&lt;=DATE(2026,6,30),1,0)</f>
        <v>1</v>
      </c>
      <c r="K512" t="inlineStr"/>
      <c r="L512" t="inlineStr">
        <is>
          <t>Office</t>
        </is>
      </c>
      <c r="M512">
        <f>COUNTIFS('Asset Log'!$A$5:$A$1379,A512,'Asset Log'!$E$5:$E$1379,E512,'Asset Log'!$G$5:$G$1379,G512)</f>
        <v>1</v>
      </c>
    </row>
    <row r="513">
      <c r="A513" t="inlineStr">
        <is>
          <t>D70803</t>
        </is>
      </c>
      <c r="B513" s="11" t="n">
        <v>45955</v>
      </c>
      <c r="C513" t="inlineStr">
        <is>
          <t>S0085</t>
        </is>
      </c>
      <c r="D513" t="inlineStr">
        <is>
          <t>S0085</t>
        </is>
      </c>
      <c r="E513" t="inlineStr">
        <is>
          <t>FB</t>
        </is>
      </c>
      <c r="F513" t="n">
        <v>52</v>
      </c>
      <c r="G513" t="inlineStr">
        <is>
          <t>IN</t>
        </is>
      </c>
      <c r="H513">
        <f>IF(G513="OUT",F513,-F513)</f>
        <v>-52</v>
      </c>
      <c r="I513">
        <f>IF(AND(B513&gt;=DATE(2025,7,1),B513&lt;=DATE(2026,6,30)),1,0)</f>
        <v>1</v>
      </c>
      <c r="J513">
        <f>IF(B513&lt;=DATE(2026,6,30),1,0)</f>
        <v>1</v>
      </c>
      <c r="K513" t="inlineStr"/>
      <c r="L513" t="inlineStr">
        <is>
          <t>Office</t>
        </is>
      </c>
      <c r="M513">
        <f>COUNTIFS('Asset Log'!$A$5:$A$1379,A513,'Asset Log'!$E$5:$E$1379,E513,'Asset Log'!$G$5:$G$1379,G513)</f>
        <v>1</v>
      </c>
    </row>
    <row r="514">
      <c r="A514" t="inlineStr">
        <is>
          <t>D72319</t>
        </is>
      </c>
      <c r="B514" s="11" t="n">
        <v>45957</v>
      </c>
      <c r="C514" t="inlineStr">
        <is>
          <t>S0261</t>
        </is>
      </c>
      <c r="D514" t="inlineStr">
        <is>
          <t>S0261</t>
        </is>
      </c>
      <c r="E514" t="inlineStr">
        <is>
          <t>ST</t>
        </is>
      </c>
      <c r="F514" t="n">
        <v>4</v>
      </c>
      <c r="G514" t="inlineStr">
        <is>
          <t>IN</t>
        </is>
      </c>
      <c r="H514">
        <f>IF(G514="OUT",F514,-F514)</f>
        <v>-4</v>
      </c>
      <c r="I514">
        <f>IF(AND(B514&gt;=DATE(2025,7,1),B514&lt;=DATE(2026,6,30)),1,0)</f>
        <v>1</v>
      </c>
      <c r="J514">
        <f>IF(B514&lt;=DATE(2026,6,30),1,0)</f>
        <v>1</v>
      </c>
      <c r="K514" t="inlineStr"/>
      <c r="L514" t="inlineStr">
        <is>
          <t>Yard</t>
        </is>
      </c>
      <c r="M514">
        <f>COUNTIFS('Asset Log'!$A$5:$A$1379,A514,'Asset Log'!$E$5:$E$1379,E514,'Asset Log'!$G$5:$G$1379,G514)</f>
        <v>1</v>
      </c>
    </row>
    <row r="515">
      <c r="A515" t="inlineStr">
        <is>
          <t>D70498</t>
        </is>
      </c>
      <c r="B515" s="11" t="n">
        <v>45958</v>
      </c>
      <c r="C515" t="inlineStr">
        <is>
          <t>S0054</t>
        </is>
      </c>
      <c r="D515" t="inlineStr">
        <is>
          <t>S0054</t>
        </is>
      </c>
      <c r="E515" t="inlineStr">
        <is>
          <t>FP</t>
        </is>
      </c>
      <c r="F515" t="n">
        <v>28</v>
      </c>
      <c r="G515" t="inlineStr">
        <is>
          <t>IN</t>
        </is>
      </c>
      <c r="H515">
        <f>IF(G515="OUT",F515,-F515)</f>
        <v>-28</v>
      </c>
      <c r="I515">
        <f>IF(AND(B515&gt;=DATE(2025,7,1),B515&lt;=DATE(2026,6,30)),1,0)</f>
        <v>1</v>
      </c>
      <c r="J515">
        <f>IF(B515&lt;=DATE(2026,6,30),1,0)</f>
        <v>1</v>
      </c>
      <c r="K515" t="inlineStr"/>
      <c r="L515" t="inlineStr">
        <is>
          <t>Office</t>
        </is>
      </c>
      <c r="M515">
        <f>COUNTIFS('Asset Log'!$A$5:$A$1379,A515,'Asset Log'!$E$5:$E$1379,E515,'Asset Log'!$G$5:$G$1379,G515)</f>
        <v>1</v>
      </c>
    </row>
    <row r="516">
      <c r="A516" t="inlineStr">
        <is>
          <t>D70502</t>
        </is>
      </c>
      <c r="B516" s="11" t="n">
        <v>45958</v>
      </c>
      <c r="C516" t="inlineStr">
        <is>
          <t>S0054</t>
        </is>
      </c>
      <c r="D516" t="inlineStr">
        <is>
          <t>S0054</t>
        </is>
      </c>
      <c r="E516" t="inlineStr">
        <is>
          <t>FB</t>
        </is>
      </c>
      <c r="F516" t="n">
        <v>30</v>
      </c>
      <c r="G516" t="inlineStr">
        <is>
          <t>IN</t>
        </is>
      </c>
      <c r="H516">
        <f>IF(G516="OUT",F516,-F516)</f>
        <v>-30</v>
      </c>
      <c r="I516">
        <f>IF(AND(B516&gt;=DATE(2025,7,1),B516&lt;=DATE(2026,6,30)),1,0)</f>
        <v>1</v>
      </c>
      <c r="J516">
        <f>IF(B516&lt;=DATE(2026,6,30),1,0)</f>
        <v>1</v>
      </c>
      <c r="K516" t="inlineStr"/>
      <c r="L516" t="inlineStr">
        <is>
          <t>Yard</t>
        </is>
      </c>
      <c r="M516">
        <f>COUNTIFS('Asset Log'!$A$5:$A$1379,A516,'Asset Log'!$E$5:$E$1379,E516,'Asset Log'!$G$5:$G$1379,G516)</f>
        <v>1</v>
      </c>
    </row>
    <row r="517">
      <c r="A517" t="inlineStr">
        <is>
          <t>D70507</t>
        </is>
      </c>
      <c r="B517" s="11" t="n">
        <v>45958</v>
      </c>
      <c r="C517" t="inlineStr">
        <is>
          <t>S0054</t>
        </is>
      </c>
      <c r="D517" t="inlineStr">
        <is>
          <t>S0054</t>
        </is>
      </c>
      <c r="E517" t="inlineStr">
        <is>
          <t>BR</t>
        </is>
      </c>
      <c r="F517" t="n">
        <v>23</v>
      </c>
      <c r="G517" t="inlineStr">
        <is>
          <t>IN</t>
        </is>
      </c>
      <c r="H517">
        <f>IF(G517="OUT",F517,-F517)</f>
        <v>-23</v>
      </c>
      <c r="I517">
        <f>IF(AND(B517&gt;=DATE(2025,7,1),B517&lt;=DATE(2026,6,30)),1,0)</f>
        <v>1</v>
      </c>
      <c r="J517">
        <f>IF(B517&lt;=DATE(2026,6,30),1,0)</f>
        <v>1</v>
      </c>
      <c r="K517" t="inlineStr"/>
      <c r="L517" t="inlineStr">
        <is>
          <t>Office</t>
        </is>
      </c>
      <c r="M517">
        <f>COUNTIFS('Asset Log'!$A$5:$A$1379,A517,'Asset Log'!$E$5:$E$1379,E517,'Asset Log'!$G$5:$G$1379,G517)</f>
        <v>1</v>
      </c>
    </row>
    <row r="518">
      <c r="A518" t="inlineStr">
        <is>
          <t>D71415</t>
        </is>
      </c>
      <c r="B518" s="11" t="n">
        <v>45958</v>
      </c>
      <c r="C518" t="inlineStr">
        <is>
          <t>S0149</t>
        </is>
      </c>
      <c r="D518" t="inlineStr">
        <is>
          <t>S0149</t>
        </is>
      </c>
      <c r="E518" t="inlineStr">
        <is>
          <t>FP</t>
        </is>
      </c>
      <c r="F518" t="n">
        <v>15</v>
      </c>
      <c r="G518" t="inlineStr">
        <is>
          <t>OUT</t>
        </is>
      </c>
      <c r="H518">
        <f>IF(G518="OUT",F518,-F518)</f>
        <v>15</v>
      </c>
      <c r="I518">
        <f>IF(AND(B518&gt;=DATE(2025,7,1),B518&lt;=DATE(2026,6,30)),1,0)</f>
        <v>1</v>
      </c>
      <c r="J518">
        <f>IF(B518&lt;=DATE(2026,6,30),1,0)</f>
        <v>1</v>
      </c>
      <c r="K518" t="inlineStr"/>
      <c r="L518" t="inlineStr">
        <is>
          <t>Office</t>
        </is>
      </c>
      <c r="M518">
        <f>COUNTIFS('Asset Log'!$A$5:$A$1379,A518,'Asset Log'!$E$5:$E$1379,E518,'Asset Log'!$G$5:$G$1379,G518)</f>
        <v>1</v>
      </c>
    </row>
    <row r="519">
      <c r="A519" t="inlineStr">
        <is>
          <t>D71418</t>
        </is>
      </c>
      <c r="B519" s="11" t="n">
        <v>45958</v>
      </c>
      <c r="C519" t="inlineStr">
        <is>
          <t>S0149</t>
        </is>
      </c>
      <c r="D519" t="inlineStr">
        <is>
          <t>S0149</t>
        </is>
      </c>
      <c r="E519" t="inlineStr">
        <is>
          <t>FB</t>
        </is>
      </c>
      <c r="F519" t="n">
        <v>16</v>
      </c>
      <c r="G519" t="inlineStr">
        <is>
          <t>OUT</t>
        </is>
      </c>
      <c r="H519">
        <f>IF(G519="OUT",F519,-F519)</f>
        <v>16</v>
      </c>
      <c r="I519">
        <f>IF(AND(B519&gt;=DATE(2025,7,1),B519&lt;=DATE(2026,6,30)),1,0)</f>
        <v>1</v>
      </c>
      <c r="J519">
        <f>IF(B519&lt;=DATE(2026,6,30),1,0)</f>
        <v>1</v>
      </c>
      <c r="K519" t="inlineStr"/>
      <c r="L519" t="inlineStr">
        <is>
          <t>Office</t>
        </is>
      </c>
      <c r="M519">
        <f>COUNTIFS('Asset Log'!$A$5:$A$1379,A519,'Asset Log'!$E$5:$E$1379,E519,'Asset Log'!$G$5:$G$1379,G519)</f>
        <v>1</v>
      </c>
    </row>
    <row r="520">
      <c r="A520" t="inlineStr">
        <is>
          <t>D71423</t>
        </is>
      </c>
      <c r="B520" s="11" t="n">
        <v>45958</v>
      </c>
      <c r="C520" t="inlineStr">
        <is>
          <t>s149</t>
        </is>
      </c>
      <c r="D520" t="inlineStr">
        <is>
          <t>S0149</t>
        </is>
      </c>
      <c r="E520" t="inlineStr">
        <is>
          <t>BR</t>
        </is>
      </c>
      <c r="F520" t="n">
        <v>22</v>
      </c>
      <c r="G520" t="inlineStr">
        <is>
          <t>OUT</t>
        </is>
      </c>
      <c r="H520">
        <f>IF(G520="OUT",F520,-F520)</f>
        <v>22</v>
      </c>
      <c r="I520">
        <f>IF(AND(B520&gt;=DATE(2025,7,1),B520&lt;=DATE(2026,6,30)),1,0)</f>
        <v>1</v>
      </c>
      <c r="J520">
        <f>IF(B520&lt;=DATE(2026,6,30),1,0)</f>
        <v>1</v>
      </c>
      <c r="K520" t="inlineStr">
        <is>
          <t>Site text normalised</t>
        </is>
      </c>
      <c r="L520" t="inlineStr">
        <is>
          <t>Driver</t>
        </is>
      </c>
      <c r="M520">
        <f>COUNTIFS('Asset Log'!$A$5:$A$1379,A520,'Asset Log'!$E$5:$E$1379,E520,'Asset Log'!$G$5:$G$1379,G520)</f>
        <v>1</v>
      </c>
    </row>
    <row r="521">
      <c r="A521" t="inlineStr">
        <is>
          <t>D71695</t>
        </is>
      </c>
      <c r="B521" s="11" t="n">
        <v>45959</v>
      </c>
      <c r="C521" t="inlineStr">
        <is>
          <t>S0179</t>
        </is>
      </c>
      <c r="D521" t="inlineStr">
        <is>
          <t>S0179</t>
        </is>
      </c>
      <c r="E521" t="inlineStr">
        <is>
          <t>FP</t>
        </is>
      </c>
      <c r="F521" t="n">
        <v>115</v>
      </c>
      <c r="G521" t="inlineStr">
        <is>
          <t>OUT</t>
        </is>
      </c>
      <c r="H521">
        <f>IF(G521="OUT",F521,-F521)</f>
        <v>115</v>
      </c>
      <c r="I521">
        <f>IF(AND(B521&gt;=DATE(2025,7,1),B521&lt;=DATE(2026,6,30)),1,0)</f>
        <v>1</v>
      </c>
      <c r="J521">
        <f>IF(B521&lt;=DATE(2026,6,30),1,0)</f>
        <v>1</v>
      </c>
      <c r="K521" t="inlineStr"/>
      <c r="L521" t="inlineStr">
        <is>
          <t>Office</t>
        </is>
      </c>
      <c r="M521">
        <f>COUNTIFS('Asset Log'!$A$5:$A$1379,A521,'Asset Log'!$E$5:$E$1379,E521,'Asset Log'!$G$5:$G$1379,G521)</f>
        <v>1</v>
      </c>
    </row>
    <row r="522">
      <c r="A522" t="inlineStr">
        <is>
          <t>D71699</t>
        </is>
      </c>
      <c r="B522" s="11" t="n">
        <v>45959</v>
      </c>
      <c r="C522" t="inlineStr">
        <is>
          <t>S0179</t>
        </is>
      </c>
      <c r="D522" t="inlineStr">
        <is>
          <t>S0179</t>
        </is>
      </c>
      <c r="E522" t="inlineStr">
        <is>
          <t>FB</t>
        </is>
      </c>
      <c r="F522" t="n">
        <v>126</v>
      </c>
      <c r="G522" t="inlineStr">
        <is>
          <t>OUT</t>
        </is>
      </c>
      <c r="H522">
        <f>IF(G522="OUT",F522,-F522)</f>
        <v>126</v>
      </c>
      <c r="I522">
        <f>IF(AND(B522&gt;=DATE(2025,7,1),B522&lt;=DATE(2026,6,30)),1,0)</f>
        <v>1</v>
      </c>
      <c r="J522">
        <f>IF(B522&lt;=DATE(2026,6,30),1,0)</f>
        <v>1</v>
      </c>
      <c r="K522" t="inlineStr"/>
      <c r="L522" t="inlineStr">
        <is>
          <t>Driver</t>
        </is>
      </c>
      <c r="M522">
        <f>COUNTIFS('Asset Log'!$A$5:$A$1379,A522,'Asset Log'!$E$5:$E$1379,E522,'Asset Log'!$G$5:$G$1379,G522)</f>
        <v>1</v>
      </c>
    </row>
    <row r="523">
      <c r="A523" t="inlineStr">
        <is>
          <t>D71706</t>
        </is>
      </c>
      <c r="B523" s="11" t="n">
        <v>45959</v>
      </c>
      <c r="C523" t="inlineStr">
        <is>
          <t>S0179</t>
        </is>
      </c>
      <c r="D523" t="inlineStr">
        <is>
          <t>S0179</t>
        </is>
      </c>
      <c r="E523" t="inlineStr">
        <is>
          <t>BR</t>
        </is>
      </c>
      <c r="F523" t="n">
        <v>9</v>
      </c>
      <c r="G523" t="inlineStr">
        <is>
          <t>OUT</t>
        </is>
      </c>
      <c r="H523">
        <f>IF(G523="OUT",F523,-F523)</f>
        <v>9</v>
      </c>
      <c r="I523">
        <f>IF(AND(B523&gt;=DATE(2025,7,1),B523&lt;=DATE(2026,6,30)),1,0)</f>
        <v>1</v>
      </c>
      <c r="J523">
        <f>IF(B523&lt;=DATE(2026,6,30),1,0)</f>
        <v>1</v>
      </c>
      <c r="K523" t="inlineStr"/>
      <c r="L523" t="inlineStr">
        <is>
          <t>Office</t>
        </is>
      </c>
      <c r="M523">
        <f>COUNTIFS('Asset Log'!$A$5:$A$1379,A523,'Asset Log'!$E$5:$E$1379,E523,'Asset Log'!$G$5:$G$1379,G523)</f>
        <v>1</v>
      </c>
    </row>
    <row r="524">
      <c r="A524" t="inlineStr">
        <is>
          <t>D72098</t>
        </is>
      </c>
      <c r="B524" s="11" t="n">
        <v>45959</v>
      </c>
      <c r="C524" t="inlineStr">
        <is>
          <t>S0222</t>
        </is>
      </c>
      <c r="D524" t="inlineStr">
        <is>
          <t>S0222</t>
        </is>
      </c>
      <c r="E524" t="inlineStr">
        <is>
          <t>FP</t>
        </is>
      </c>
      <c r="F524" t="n">
        <v>122</v>
      </c>
      <c r="G524" t="inlineStr">
        <is>
          <t>OUT</t>
        </is>
      </c>
      <c r="H524">
        <f>IF(G524="OUT",F524,-F524)</f>
        <v>122</v>
      </c>
      <c r="I524">
        <f>IF(AND(B524&gt;=DATE(2025,7,1),B524&lt;=DATE(2026,6,30)),1,0)</f>
        <v>1</v>
      </c>
      <c r="J524">
        <f>IF(B524&lt;=DATE(2026,6,30),1,0)</f>
        <v>1</v>
      </c>
      <c r="K524" t="inlineStr"/>
      <c r="L524" t="inlineStr">
        <is>
          <t>Yard</t>
        </is>
      </c>
      <c r="M524">
        <f>COUNTIFS('Asset Log'!$A$5:$A$1379,A524,'Asset Log'!$E$5:$E$1379,E524,'Asset Log'!$G$5:$G$1379,G524)</f>
        <v>1</v>
      </c>
    </row>
    <row r="525">
      <c r="A525" t="inlineStr">
        <is>
          <t>D72104</t>
        </is>
      </c>
      <c r="B525" s="11" t="n">
        <v>45959</v>
      </c>
      <c r="C525" t="inlineStr">
        <is>
          <t>S0222</t>
        </is>
      </c>
      <c r="D525" t="inlineStr">
        <is>
          <t>S0222</t>
        </is>
      </c>
      <c r="E525" t="inlineStr">
        <is>
          <t>FB</t>
        </is>
      </c>
      <c r="F525" t="n">
        <v>134</v>
      </c>
      <c r="G525" t="inlineStr">
        <is>
          <t>OUT</t>
        </is>
      </c>
      <c r="H525">
        <f>IF(G525="OUT",F525,-F525)</f>
        <v>134</v>
      </c>
      <c r="I525">
        <f>IF(AND(B525&gt;=DATE(2025,7,1),B525&lt;=DATE(2026,6,30)),1,0)</f>
        <v>1</v>
      </c>
      <c r="J525">
        <f>IF(B525&lt;=DATE(2026,6,30),1,0)</f>
        <v>1</v>
      </c>
      <c r="K525" t="inlineStr"/>
      <c r="L525" t="inlineStr">
        <is>
          <t>Office</t>
        </is>
      </c>
      <c r="M525">
        <f>COUNTIFS('Asset Log'!$A$5:$A$1379,A525,'Asset Log'!$E$5:$E$1379,E525,'Asset Log'!$G$5:$G$1379,G525)</f>
        <v>1</v>
      </c>
    </row>
    <row r="526">
      <c r="A526" t="inlineStr">
        <is>
          <t>D72422</t>
        </is>
      </c>
      <c r="B526" s="11" t="n">
        <v>45959</v>
      </c>
      <c r="C526" t="inlineStr">
        <is>
          <t>S0287</t>
        </is>
      </c>
      <c r="D526" t="inlineStr">
        <is>
          <t>S0287</t>
        </is>
      </c>
      <c r="E526" t="inlineStr">
        <is>
          <t>ST</t>
        </is>
      </c>
      <c r="F526" t="n">
        <v>2</v>
      </c>
      <c r="G526" t="inlineStr">
        <is>
          <t>IN</t>
        </is>
      </c>
      <c r="H526">
        <f>IF(G526="OUT",F526,-F526)</f>
        <v>-2</v>
      </c>
      <c r="I526">
        <f>IF(AND(B526&gt;=DATE(2025,7,1),B526&lt;=DATE(2026,6,30)),1,0)</f>
        <v>1</v>
      </c>
      <c r="J526">
        <f>IF(B526&lt;=DATE(2026,6,30),1,0)</f>
        <v>1</v>
      </c>
      <c r="K526" t="inlineStr"/>
      <c r="L526" t="inlineStr">
        <is>
          <t>Driver</t>
        </is>
      </c>
      <c r="M526">
        <f>COUNTIFS('Asset Log'!$A$5:$A$1379,A526,'Asset Log'!$E$5:$E$1379,E526,'Asset Log'!$G$5:$G$1379,G526)</f>
        <v>1</v>
      </c>
    </row>
    <row r="527">
      <c r="A527" t="inlineStr">
        <is>
          <t>D72805</t>
        </is>
      </c>
      <c r="B527" s="11" t="n">
        <v>45959</v>
      </c>
      <c r="C527" t="inlineStr">
        <is>
          <t>S0524</t>
        </is>
      </c>
      <c r="D527" t="inlineStr">
        <is>
          <t>S0524</t>
        </is>
      </c>
      <c r="E527" t="inlineStr">
        <is>
          <t>TK</t>
        </is>
      </c>
      <c r="F527" t="n">
        <v>3</v>
      </c>
      <c r="G527" t="inlineStr">
        <is>
          <t>OUT</t>
        </is>
      </c>
      <c r="H527">
        <f>IF(G527="OUT",F527,-F527)</f>
        <v>3</v>
      </c>
      <c r="I527">
        <f>IF(AND(B527&gt;=DATE(2025,7,1),B527&lt;=DATE(2026,6,30)),1,0)</f>
        <v>1</v>
      </c>
      <c r="J527">
        <f>IF(B527&lt;=DATE(2026,6,30),1,0)</f>
        <v>1</v>
      </c>
      <c r="K527" t="inlineStr"/>
      <c r="L527" t="inlineStr">
        <is>
          <t>Office</t>
        </is>
      </c>
      <c r="M527">
        <f>COUNTIFS('Asset Log'!$A$5:$A$1379,A527,'Asset Log'!$E$5:$E$1379,E527,'Asset Log'!$G$5:$G$1379,G527)</f>
        <v>1</v>
      </c>
    </row>
    <row r="528">
      <c r="A528" t="inlineStr">
        <is>
          <t>D70974</t>
        </is>
      </c>
      <c r="B528" s="11" t="n">
        <v>45961</v>
      </c>
      <c r="C528" t="inlineStr">
        <is>
          <t>S0105</t>
        </is>
      </c>
      <c r="D528" t="inlineStr">
        <is>
          <t>S0105</t>
        </is>
      </c>
      <c r="E528" t="inlineStr">
        <is>
          <t>FP</t>
        </is>
      </c>
      <c r="F528" t="n">
        <v>59</v>
      </c>
      <c r="G528" t="inlineStr">
        <is>
          <t>OUT</t>
        </is>
      </c>
      <c r="H528">
        <f>IF(G528="OUT",F528,-F528)</f>
        <v>59</v>
      </c>
      <c r="I528">
        <f>IF(AND(B528&gt;=DATE(2025,7,1),B528&lt;=DATE(2026,6,30)),1,0)</f>
        <v>1</v>
      </c>
      <c r="J528">
        <f>IF(B528&lt;=DATE(2026,6,30),1,0)</f>
        <v>1</v>
      </c>
      <c r="K528" t="inlineStr"/>
      <c r="L528" t="inlineStr">
        <is>
          <t>Driver</t>
        </is>
      </c>
      <c r="M528">
        <f>COUNTIFS('Asset Log'!$A$5:$A$1379,A528,'Asset Log'!$E$5:$E$1379,E528,'Asset Log'!$G$5:$G$1379,G528)</f>
        <v>1</v>
      </c>
    </row>
    <row r="529">
      <c r="A529" t="inlineStr">
        <is>
          <t>D70978</t>
        </is>
      </c>
      <c r="B529" s="11" t="n">
        <v>45961</v>
      </c>
      <c r="C529" t="inlineStr">
        <is>
          <t>s105</t>
        </is>
      </c>
      <c r="D529" t="inlineStr">
        <is>
          <t>S0105</t>
        </is>
      </c>
      <c r="E529" t="inlineStr">
        <is>
          <t>FB</t>
        </is>
      </c>
      <c r="F529" t="n">
        <v>64</v>
      </c>
      <c r="G529" t="inlineStr">
        <is>
          <t>OUT</t>
        </is>
      </c>
      <c r="H529">
        <f>IF(G529="OUT",F529,-F529)</f>
        <v>64</v>
      </c>
      <c r="I529">
        <f>IF(AND(B529&gt;=DATE(2025,7,1),B529&lt;=DATE(2026,6,30)),1,0)</f>
        <v>1</v>
      </c>
      <c r="J529">
        <f>IF(B529&lt;=DATE(2026,6,30),1,0)</f>
        <v>1</v>
      </c>
      <c r="K529" t="inlineStr">
        <is>
          <t>Site text normalised</t>
        </is>
      </c>
      <c r="L529" t="inlineStr">
        <is>
          <t>Office</t>
        </is>
      </c>
      <c r="M529">
        <f>COUNTIFS('Asset Log'!$A$5:$A$1379,A529,'Asset Log'!$E$5:$E$1379,E529,'Asset Log'!$G$5:$G$1379,G529)</f>
        <v>1</v>
      </c>
    </row>
    <row r="530">
      <c r="A530" t="inlineStr">
        <is>
          <t>D71395</t>
        </is>
      </c>
      <c r="B530" s="11" t="n">
        <v>45961</v>
      </c>
      <c r="C530" t="inlineStr">
        <is>
          <t>S0147</t>
        </is>
      </c>
      <c r="D530" t="inlineStr">
        <is>
          <t>S0147</t>
        </is>
      </c>
      <c r="E530" t="inlineStr">
        <is>
          <t>FP</t>
        </is>
      </c>
      <c r="F530" t="n">
        <v>27</v>
      </c>
      <c r="G530" t="inlineStr">
        <is>
          <t>IN</t>
        </is>
      </c>
      <c r="H530">
        <f>IF(G530="OUT",F530,-F530)</f>
        <v>-27</v>
      </c>
      <c r="I530">
        <f>IF(AND(B530&gt;=DATE(2025,7,1),B530&lt;=DATE(2026,6,30)),1,0)</f>
        <v>1</v>
      </c>
      <c r="J530">
        <f>IF(B530&lt;=DATE(2026,6,30),1,0)</f>
        <v>1</v>
      </c>
      <c r="K530" t="inlineStr"/>
      <c r="L530" t="inlineStr">
        <is>
          <t>Office</t>
        </is>
      </c>
      <c r="M530">
        <f>COUNTIFS('Asset Log'!$A$5:$A$1379,A530,'Asset Log'!$E$5:$E$1379,E530,'Asset Log'!$G$5:$G$1379,G530)</f>
        <v>1</v>
      </c>
    </row>
    <row r="531">
      <c r="A531" t="inlineStr">
        <is>
          <t>D71403</t>
        </is>
      </c>
      <c r="B531" s="11" t="n">
        <v>45961</v>
      </c>
      <c r="C531" t="inlineStr">
        <is>
          <t>S0147</t>
        </is>
      </c>
      <c r="D531" t="inlineStr">
        <is>
          <t>S0147</t>
        </is>
      </c>
      <c r="E531" t="inlineStr">
        <is>
          <t>FB</t>
        </is>
      </c>
      <c r="F531" t="n">
        <v>27</v>
      </c>
      <c r="G531" t="inlineStr">
        <is>
          <t>IN</t>
        </is>
      </c>
      <c r="H531">
        <f>IF(G531="OUT",F531,-F531)</f>
        <v>-27</v>
      </c>
      <c r="I531">
        <f>IF(AND(B531&gt;=DATE(2025,7,1),B531&lt;=DATE(2026,6,30)),1,0)</f>
        <v>1</v>
      </c>
      <c r="J531">
        <f>IF(B531&lt;=DATE(2026,6,30),1,0)</f>
        <v>1</v>
      </c>
      <c r="K531" t="inlineStr"/>
      <c r="L531" t="inlineStr">
        <is>
          <t>Driver</t>
        </is>
      </c>
      <c r="M531">
        <f>COUNTIFS('Asset Log'!$A$5:$A$1379,A531,'Asset Log'!$E$5:$E$1379,E531,'Asset Log'!$G$5:$G$1379,G531)</f>
        <v>1</v>
      </c>
    </row>
    <row r="532">
      <c r="A532" t="inlineStr">
        <is>
          <t>D70332</t>
        </is>
      </c>
      <c r="B532" s="11" t="n">
        <v>45962</v>
      </c>
      <c r="C532" t="inlineStr">
        <is>
          <t>S0036 Doncaster</t>
        </is>
      </c>
      <c r="D532" t="inlineStr">
        <is>
          <t>S0036</t>
        </is>
      </c>
      <c r="E532" t="inlineStr">
        <is>
          <t>FP</t>
        </is>
      </c>
      <c r="F532" t="n">
        <v>143</v>
      </c>
      <c r="G532" t="inlineStr">
        <is>
          <t>OUT</t>
        </is>
      </c>
      <c r="H532">
        <f>IF(G532="OUT",F532,-F532)</f>
        <v>143</v>
      </c>
      <c r="I532">
        <f>IF(AND(B532&gt;=DATE(2025,7,1),B532&lt;=DATE(2026,6,30)),1,0)</f>
        <v>1</v>
      </c>
      <c r="J532">
        <f>IF(B532&lt;=DATE(2026,6,30),1,0)</f>
        <v>1</v>
      </c>
      <c r="K532" t="inlineStr">
        <is>
          <t>Site text normalised</t>
        </is>
      </c>
      <c r="L532" t="inlineStr">
        <is>
          <t>Office</t>
        </is>
      </c>
      <c r="M532">
        <f>COUNTIFS('Asset Log'!$A$5:$A$1379,A532,'Asset Log'!$E$5:$E$1379,E532,'Asset Log'!$G$5:$G$1379,G532)</f>
        <v>1</v>
      </c>
    </row>
    <row r="533">
      <c r="A533" t="inlineStr">
        <is>
          <t>D70338</t>
        </is>
      </c>
      <c r="B533" s="11" t="n">
        <v>45962</v>
      </c>
      <c r="C533" t="inlineStr">
        <is>
          <t>S0036</t>
        </is>
      </c>
      <c r="D533" t="inlineStr">
        <is>
          <t>S0036</t>
        </is>
      </c>
      <c r="E533" t="inlineStr">
        <is>
          <t>FB</t>
        </is>
      </c>
      <c r="F533" t="n">
        <v>157</v>
      </c>
      <c r="G533" t="inlineStr">
        <is>
          <t>OUT</t>
        </is>
      </c>
      <c r="H533">
        <f>IF(G533="OUT",F533,-F533)</f>
        <v>157</v>
      </c>
      <c r="I533">
        <f>IF(AND(B533&gt;=DATE(2025,7,1),B533&lt;=DATE(2026,6,30)),1,0)</f>
        <v>1</v>
      </c>
      <c r="J533">
        <f>IF(B533&lt;=DATE(2026,6,30),1,0)</f>
        <v>1</v>
      </c>
      <c r="K533" t="inlineStr"/>
      <c r="L533" t="inlineStr">
        <is>
          <t>Yard</t>
        </is>
      </c>
      <c r="M533">
        <f>COUNTIFS('Asset Log'!$A$5:$A$1379,A533,'Asset Log'!$E$5:$E$1379,E533,'Asset Log'!$G$5:$G$1379,G533)</f>
        <v>1</v>
      </c>
    </row>
    <row r="534">
      <c r="A534" t="inlineStr">
        <is>
          <t>D72342</t>
        </is>
      </c>
      <c r="B534" s="11" t="n">
        <v>45964</v>
      </c>
      <c r="C534" t="inlineStr">
        <is>
          <t>S0268</t>
        </is>
      </c>
      <c r="D534" t="inlineStr">
        <is>
          <t>S0268</t>
        </is>
      </c>
      <c r="E534" t="inlineStr">
        <is>
          <t>ST</t>
        </is>
      </c>
      <c r="F534" t="n">
        <v>6</v>
      </c>
      <c r="G534" t="inlineStr">
        <is>
          <t>IN</t>
        </is>
      </c>
      <c r="H534">
        <f>IF(G534="OUT",F534,-F534)</f>
        <v>-6</v>
      </c>
      <c r="I534">
        <f>IF(AND(B534&gt;=DATE(2025,7,1),B534&lt;=DATE(2026,6,30)),1,0)</f>
        <v>1</v>
      </c>
      <c r="J534">
        <f>IF(B534&lt;=DATE(2026,6,30),1,0)</f>
        <v>1</v>
      </c>
      <c r="K534" t="inlineStr"/>
      <c r="L534" t="inlineStr">
        <is>
          <t>Office</t>
        </is>
      </c>
      <c r="M534">
        <f>COUNTIFS('Asset Log'!$A$5:$A$1379,A534,'Asset Log'!$E$5:$E$1379,E534,'Asset Log'!$G$5:$G$1379,G534)</f>
        <v>1</v>
      </c>
    </row>
    <row r="535">
      <c r="A535" t="inlineStr">
        <is>
          <t>D71356</t>
        </is>
      </c>
      <c r="B535" s="11" t="n">
        <v>45966</v>
      </c>
      <c r="C535" t="inlineStr">
        <is>
          <t>S0144</t>
        </is>
      </c>
      <c r="D535" t="inlineStr">
        <is>
          <t>S0144</t>
        </is>
      </c>
      <c r="E535" t="inlineStr">
        <is>
          <t>FP</t>
        </is>
      </c>
      <c r="F535" t="n">
        <v>83</v>
      </c>
      <c r="G535" t="inlineStr">
        <is>
          <t>OUT</t>
        </is>
      </c>
      <c r="H535">
        <f>IF(G535="OUT",F535,-F535)</f>
        <v>83</v>
      </c>
      <c r="I535">
        <f>IF(AND(B535&gt;=DATE(2025,7,1),B535&lt;=DATE(2026,6,30)),1,0)</f>
        <v>1</v>
      </c>
      <c r="J535">
        <f>IF(B535&lt;=DATE(2026,6,30),1,0)</f>
        <v>1</v>
      </c>
      <c r="K535" t="inlineStr"/>
      <c r="L535" t="inlineStr">
        <is>
          <t>Driver</t>
        </is>
      </c>
      <c r="M535">
        <f>COUNTIFS('Asset Log'!$A$5:$A$1379,A535,'Asset Log'!$E$5:$E$1379,E535,'Asset Log'!$G$5:$G$1379,G535)</f>
        <v>1</v>
      </c>
    </row>
    <row r="536">
      <c r="A536" t="inlineStr">
        <is>
          <t>D71361</t>
        </is>
      </c>
      <c r="B536" s="11" t="n">
        <v>45966</v>
      </c>
      <c r="C536" t="inlineStr">
        <is>
          <t>S0144</t>
        </is>
      </c>
      <c r="D536" t="inlineStr">
        <is>
          <t>S0144</t>
        </is>
      </c>
      <c r="E536" t="inlineStr">
        <is>
          <t>FB</t>
        </is>
      </c>
      <c r="F536" t="n">
        <v>91</v>
      </c>
      <c r="G536" t="inlineStr">
        <is>
          <t>OUT</t>
        </is>
      </c>
      <c r="H536">
        <f>IF(G536="OUT",F536,-F536)</f>
        <v>91</v>
      </c>
      <c r="I536">
        <f>IF(AND(B536&gt;=DATE(2025,7,1),B536&lt;=DATE(2026,6,30)),1,0)</f>
        <v>1</v>
      </c>
      <c r="J536">
        <f>IF(B536&lt;=DATE(2026,6,30),1,0)</f>
        <v>1</v>
      </c>
      <c r="K536" t="inlineStr"/>
      <c r="L536" t="inlineStr">
        <is>
          <t>Office</t>
        </is>
      </c>
      <c r="M536">
        <f>COUNTIFS('Asset Log'!$A$5:$A$1379,A536,'Asset Log'!$E$5:$E$1379,E536,'Asset Log'!$G$5:$G$1379,G536)</f>
        <v>1</v>
      </c>
    </row>
    <row r="537">
      <c r="A537" t="inlineStr">
        <is>
          <t>D71365</t>
        </is>
      </c>
      <c r="B537" s="11" t="n">
        <v>45966</v>
      </c>
      <c r="C537" t="inlineStr">
        <is>
          <t>S0144</t>
        </is>
      </c>
      <c r="D537" t="inlineStr">
        <is>
          <t>S0144</t>
        </is>
      </c>
      <c r="E537" t="inlineStr">
        <is>
          <t>BR</t>
        </is>
      </c>
      <c r="F537" t="n">
        <v>16</v>
      </c>
      <c r="G537" t="inlineStr">
        <is>
          <t>OUT</t>
        </is>
      </c>
      <c r="H537">
        <f>IF(G537="OUT",F537,-F537)</f>
        <v>16</v>
      </c>
      <c r="I537">
        <f>IF(AND(B537&gt;=DATE(2025,7,1),B537&lt;=DATE(2026,6,30)),1,0)</f>
        <v>1</v>
      </c>
      <c r="J537">
        <f>IF(B537&lt;=DATE(2026,6,30),1,0)</f>
        <v>1</v>
      </c>
      <c r="K537" t="inlineStr"/>
      <c r="L537" t="inlineStr">
        <is>
          <t>Driver</t>
        </is>
      </c>
      <c r="M537">
        <f>COUNTIFS('Asset Log'!$A$5:$A$1379,A537,'Asset Log'!$E$5:$E$1379,E537,'Asset Log'!$G$5:$G$1379,G537)</f>
        <v>1</v>
      </c>
    </row>
    <row r="538">
      <c r="A538" t="inlineStr">
        <is>
          <t>D71884</t>
        </is>
      </c>
      <c r="B538" s="11" t="n">
        <v>45966</v>
      </c>
      <c r="C538" t="inlineStr">
        <is>
          <t>s199</t>
        </is>
      </c>
      <c r="D538" t="inlineStr">
        <is>
          <t>S0199</t>
        </is>
      </c>
      <c r="E538" t="inlineStr">
        <is>
          <t>FP</t>
        </is>
      </c>
      <c r="F538" t="n">
        <v>22</v>
      </c>
      <c r="G538" t="inlineStr">
        <is>
          <t>IN</t>
        </is>
      </c>
      <c r="H538">
        <f>IF(G538="OUT",F538,-F538)</f>
        <v>-22</v>
      </c>
      <c r="I538">
        <f>IF(AND(B538&gt;=DATE(2025,7,1),B538&lt;=DATE(2026,6,30)),1,0)</f>
        <v>1</v>
      </c>
      <c r="J538">
        <f>IF(B538&lt;=DATE(2026,6,30),1,0)</f>
        <v>1</v>
      </c>
      <c r="K538" t="inlineStr">
        <is>
          <t>Site text normalised</t>
        </is>
      </c>
      <c r="L538" t="inlineStr">
        <is>
          <t>Office</t>
        </is>
      </c>
      <c r="M538">
        <f>COUNTIFS('Asset Log'!$A$5:$A$1379,A538,'Asset Log'!$E$5:$E$1379,E538,'Asset Log'!$G$5:$G$1379,G538)</f>
        <v>1</v>
      </c>
    </row>
    <row r="539">
      <c r="A539" t="inlineStr">
        <is>
          <t>D71887</t>
        </is>
      </c>
      <c r="B539" s="11" t="n">
        <v>45966</v>
      </c>
      <c r="C539" t="inlineStr">
        <is>
          <t>S0199</t>
        </is>
      </c>
      <c r="D539" t="inlineStr">
        <is>
          <t>S0199</t>
        </is>
      </c>
      <c r="E539" t="inlineStr">
        <is>
          <t>FB</t>
        </is>
      </c>
      <c r="F539" t="n">
        <v>24</v>
      </c>
      <c r="G539" t="inlineStr">
        <is>
          <t>IN</t>
        </is>
      </c>
      <c r="H539">
        <f>IF(G539="OUT",F539,-F539)</f>
        <v>-24</v>
      </c>
      <c r="I539">
        <f>IF(AND(B539&gt;=DATE(2025,7,1),B539&lt;=DATE(2026,6,30)),1,0)</f>
        <v>1</v>
      </c>
      <c r="J539">
        <f>IF(B539&lt;=DATE(2026,6,30),1,0)</f>
        <v>1</v>
      </c>
      <c r="K539" t="inlineStr"/>
      <c r="L539" t="inlineStr">
        <is>
          <t>Driver</t>
        </is>
      </c>
      <c r="M539">
        <f>COUNTIFS('Asset Log'!$A$5:$A$1379,A539,'Asset Log'!$E$5:$E$1379,E539,'Asset Log'!$G$5:$G$1379,G539)</f>
        <v>1</v>
      </c>
    </row>
    <row r="540">
      <c r="A540" t="inlineStr">
        <is>
          <t>D72409</t>
        </is>
      </c>
      <c r="B540" s="11" t="n">
        <v>45966</v>
      </c>
      <c r="C540" t="inlineStr">
        <is>
          <t>S0284</t>
        </is>
      </c>
      <c r="D540" t="inlineStr">
        <is>
          <t>S0284</t>
        </is>
      </c>
      <c r="E540" t="inlineStr">
        <is>
          <t>ST</t>
        </is>
      </c>
      <c r="F540" t="n">
        <v>6</v>
      </c>
      <c r="G540" t="inlineStr">
        <is>
          <t>IN</t>
        </is>
      </c>
      <c r="H540">
        <f>IF(G540="OUT",F540,-F540)</f>
        <v>-6</v>
      </c>
      <c r="I540">
        <f>IF(AND(B540&gt;=DATE(2025,7,1),B540&lt;=DATE(2026,6,30)),1,0)</f>
        <v>1</v>
      </c>
      <c r="J540">
        <f>IF(B540&lt;=DATE(2026,6,30),1,0)</f>
        <v>1</v>
      </c>
      <c r="K540" t="inlineStr"/>
      <c r="L540" t="inlineStr">
        <is>
          <t>Yard</t>
        </is>
      </c>
      <c r="M540">
        <f>COUNTIFS('Asset Log'!$A$5:$A$1379,A540,'Asset Log'!$E$5:$E$1379,E540,'Asset Log'!$G$5:$G$1379,G540)</f>
        <v>1</v>
      </c>
    </row>
    <row r="541">
      <c r="A541" t="inlineStr">
        <is>
          <t>D72213</t>
        </is>
      </c>
      <c r="B541" s="11" t="n">
        <v>45967</v>
      </c>
      <c r="C541" t="inlineStr">
        <is>
          <t>S0236</t>
        </is>
      </c>
      <c r="D541" t="inlineStr">
        <is>
          <t>S0236</t>
        </is>
      </c>
      <c r="E541" t="inlineStr">
        <is>
          <t>ST</t>
        </is>
      </c>
      <c r="F541" t="n">
        <v>2</v>
      </c>
      <c r="G541" t="inlineStr">
        <is>
          <t>OUT</t>
        </is>
      </c>
      <c r="H541">
        <f>IF(G541="OUT",F541,-F541)</f>
        <v>2</v>
      </c>
      <c r="I541">
        <f>IF(AND(B541&gt;=DATE(2025,7,1),B541&lt;=DATE(2026,6,30)),1,0)</f>
        <v>1</v>
      </c>
      <c r="J541">
        <f>IF(B541&lt;=DATE(2026,6,30),1,0)</f>
        <v>1</v>
      </c>
      <c r="K541" t="inlineStr"/>
      <c r="L541" t="inlineStr">
        <is>
          <t>Driver</t>
        </is>
      </c>
      <c r="M541">
        <f>COUNTIFS('Asset Log'!$A$5:$A$1379,A541,'Asset Log'!$E$5:$E$1379,E541,'Asset Log'!$G$5:$G$1379,G541)</f>
        <v>1</v>
      </c>
    </row>
    <row r="542">
      <c r="A542" t="inlineStr">
        <is>
          <t>D72585</t>
        </is>
      </c>
      <c r="B542" s="11" t="n">
        <v>45967</v>
      </c>
      <c r="C542" t="inlineStr">
        <is>
          <t>S0386</t>
        </is>
      </c>
      <c r="D542" t="inlineStr">
        <is>
          <t>S0386</t>
        </is>
      </c>
      <c r="E542" t="inlineStr">
        <is>
          <t>TK</t>
        </is>
      </c>
      <c r="F542" t="n">
        <v>1</v>
      </c>
      <c r="G542" t="inlineStr">
        <is>
          <t>OUT</t>
        </is>
      </c>
      <c r="H542">
        <f>IF(G542="OUT",F542,-F542)</f>
        <v>1</v>
      </c>
      <c r="I542">
        <f>IF(AND(B542&gt;=DATE(2025,7,1),B542&lt;=DATE(2026,6,30)),1,0)</f>
        <v>1</v>
      </c>
      <c r="J542">
        <f>IF(B542&lt;=DATE(2026,6,30),1,0)</f>
        <v>1</v>
      </c>
      <c r="K542" t="inlineStr"/>
      <c r="L542" t="inlineStr">
        <is>
          <t>Office</t>
        </is>
      </c>
      <c r="M542">
        <f>COUNTIFS('Asset Log'!$A$5:$A$1379,A542,'Asset Log'!$E$5:$E$1379,E542,'Asset Log'!$G$5:$G$1379,G542)</f>
        <v>1</v>
      </c>
    </row>
    <row r="543">
      <c r="A543" t="inlineStr">
        <is>
          <t>D71249</t>
        </is>
      </c>
      <c r="B543" s="11" t="n">
        <v>45969</v>
      </c>
      <c r="C543" t="inlineStr">
        <is>
          <t>S0130</t>
        </is>
      </c>
      <c r="D543" t="inlineStr">
        <is>
          <t>S0130</t>
        </is>
      </c>
      <c r="E543" t="inlineStr">
        <is>
          <t>FP</t>
        </is>
      </c>
      <c r="F543" t="n">
        <v>106</v>
      </c>
      <c r="G543" t="inlineStr">
        <is>
          <t>IN</t>
        </is>
      </c>
      <c r="H543">
        <f>IF(G543="OUT",F543,-F543)</f>
        <v>-106</v>
      </c>
      <c r="I543">
        <f>IF(AND(B543&gt;=DATE(2025,7,1),B543&lt;=DATE(2026,6,30)),1,0)</f>
        <v>1</v>
      </c>
      <c r="J543">
        <f>IF(B543&lt;=DATE(2026,6,30),1,0)</f>
        <v>1</v>
      </c>
      <c r="K543" t="inlineStr"/>
      <c r="L543" t="inlineStr">
        <is>
          <t>Office</t>
        </is>
      </c>
      <c r="M543">
        <f>COUNTIFS('Asset Log'!$A$5:$A$1379,A543,'Asset Log'!$E$5:$E$1379,E543,'Asset Log'!$G$5:$G$1379,G543)</f>
        <v>1</v>
      </c>
    </row>
    <row r="544">
      <c r="A544" t="inlineStr">
        <is>
          <t>D71253</t>
        </is>
      </c>
      <c r="B544" s="11" t="n">
        <v>45969</v>
      </c>
      <c r="C544" t="inlineStr">
        <is>
          <t>S0130</t>
        </is>
      </c>
      <c r="D544" t="inlineStr">
        <is>
          <t>S0130</t>
        </is>
      </c>
      <c r="E544" t="inlineStr">
        <is>
          <t>FB</t>
        </is>
      </c>
      <c r="F544" t="n">
        <v>116</v>
      </c>
      <c r="G544" t="inlineStr">
        <is>
          <t>IN</t>
        </is>
      </c>
      <c r="H544">
        <f>IF(G544="OUT",F544,-F544)</f>
        <v>-116</v>
      </c>
      <c r="I544">
        <f>IF(AND(B544&gt;=DATE(2025,7,1),B544&lt;=DATE(2026,6,30)),1,0)</f>
        <v>1</v>
      </c>
      <c r="J544">
        <f>IF(B544&lt;=DATE(2026,6,30),1,0)</f>
        <v>1</v>
      </c>
      <c r="K544" t="inlineStr"/>
      <c r="L544" t="inlineStr">
        <is>
          <t>Yard</t>
        </is>
      </c>
      <c r="M544">
        <f>COUNTIFS('Asset Log'!$A$5:$A$1379,A544,'Asset Log'!$E$5:$E$1379,E544,'Asset Log'!$G$5:$G$1379,G544)</f>
        <v>1</v>
      </c>
    </row>
    <row r="545">
      <c r="A545" t="inlineStr">
        <is>
          <t>D71585</t>
        </is>
      </c>
      <c r="B545" s="11" t="n">
        <v>45969</v>
      </c>
      <c r="C545" t="inlineStr">
        <is>
          <t>S0165</t>
        </is>
      </c>
      <c r="D545" t="inlineStr">
        <is>
          <t>S0165</t>
        </is>
      </c>
      <c r="E545" t="inlineStr">
        <is>
          <t>FP</t>
        </is>
      </c>
      <c r="F545" t="n">
        <v>140</v>
      </c>
      <c r="G545" t="inlineStr">
        <is>
          <t>OUT</t>
        </is>
      </c>
      <c r="H545">
        <f>IF(G545="OUT",F545,-F545)</f>
        <v>140</v>
      </c>
      <c r="I545">
        <f>IF(AND(B545&gt;=DATE(2025,7,1),B545&lt;=DATE(2026,6,30)),1,0)</f>
        <v>1</v>
      </c>
      <c r="J545">
        <f>IF(B545&lt;=DATE(2026,6,30),1,0)</f>
        <v>1</v>
      </c>
      <c r="K545" t="inlineStr"/>
      <c r="L545" t="inlineStr">
        <is>
          <t>Driver</t>
        </is>
      </c>
      <c r="M545">
        <f>COUNTIFS('Asset Log'!$A$5:$A$1379,A545,'Asset Log'!$E$5:$E$1379,E545,'Asset Log'!$G$5:$G$1379,G545)</f>
        <v>1</v>
      </c>
    </row>
    <row r="546">
      <c r="A546" t="inlineStr">
        <is>
          <t>D71587</t>
        </is>
      </c>
      <c r="B546" s="11" t="n">
        <v>45969</v>
      </c>
      <c r="C546" t="inlineStr">
        <is>
          <t>S0165</t>
        </is>
      </c>
      <c r="D546" t="inlineStr">
        <is>
          <t>S0165</t>
        </is>
      </c>
      <c r="E546" t="inlineStr">
        <is>
          <t>FB</t>
        </is>
      </c>
      <c r="F546" t="n">
        <v>154</v>
      </c>
      <c r="G546" t="inlineStr">
        <is>
          <t>OUT</t>
        </is>
      </c>
      <c r="H546">
        <f>IF(G546="OUT",F546,-F546)</f>
        <v>154</v>
      </c>
      <c r="I546">
        <f>IF(AND(B546&gt;=DATE(2025,7,1),B546&lt;=DATE(2026,6,30)),1,0)</f>
        <v>1</v>
      </c>
      <c r="J546">
        <f>IF(B546&lt;=DATE(2026,6,30),1,0)</f>
        <v>1</v>
      </c>
      <c r="K546" t="inlineStr"/>
      <c r="L546" t="inlineStr">
        <is>
          <t>Driver</t>
        </is>
      </c>
      <c r="M546">
        <f>COUNTIFS('Asset Log'!$A$5:$A$1379,A546,'Asset Log'!$E$5:$E$1379,E546,'Asset Log'!$G$5:$G$1379,G546)</f>
        <v>1</v>
      </c>
    </row>
    <row r="547">
      <c r="A547" t="inlineStr">
        <is>
          <t>D71711</t>
        </is>
      </c>
      <c r="B547" s="11" t="n">
        <v>45969</v>
      </c>
      <c r="C547" t="inlineStr">
        <is>
          <t>S0180</t>
        </is>
      </c>
      <c r="D547" t="inlineStr">
        <is>
          <t>S0180</t>
        </is>
      </c>
      <c r="E547" t="inlineStr">
        <is>
          <t>FP</t>
        </is>
      </c>
      <c r="F547" t="n">
        <v>34</v>
      </c>
      <c r="G547" t="inlineStr">
        <is>
          <t>OUT</t>
        </is>
      </c>
      <c r="H547">
        <f>IF(G547="OUT",F547,-F547)</f>
        <v>34</v>
      </c>
      <c r="I547">
        <f>IF(AND(B547&gt;=DATE(2025,7,1),B547&lt;=DATE(2026,6,30)),1,0)</f>
        <v>1</v>
      </c>
      <c r="J547">
        <f>IF(B547&lt;=DATE(2026,6,30),1,0)</f>
        <v>1</v>
      </c>
      <c r="K547" t="inlineStr"/>
      <c r="L547" t="inlineStr">
        <is>
          <t>Driver</t>
        </is>
      </c>
      <c r="M547">
        <f>COUNTIFS('Asset Log'!$A$5:$A$1379,A547,'Asset Log'!$E$5:$E$1379,E547,'Asset Log'!$G$5:$G$1379,G547)</f>
        <v>1</v>
      </c>
    </row>
    <row r="548">
      <c r="A548" t="inlineStr">
        <is>
          <t>D71715</t>
        </is>
      </c>
      <c r="B548" s="11" t="n">
        <v>45969</v>
      </c>
      <c r="C548" t="inlineStr">
        <is>
          <t>180</t>
        </is>
      </c>
      <c r="D548" t="inlineStr">
        <is>
          <t>S0180</t>
        </is>
      </c>
      <c r="E548" t="inlineStr">
        <is>
          <t>FB</t>
        </is>
      </c>
      <c r="F548" t="n">
        <v>37</v>
      </c>
      <c r="G548" t="inlineStr">
        <is>
          <t>OUT</t>
        </is>
      </c>
      <c r="H548">
        <f>IF(G548="OUT",F548,-F548)</f>
        <v>37</v>
      </c>
      <c r="I548">
        <f>IF(AND(B548&gt;=DATE(2025,7,1),B548&lt;=DATE(2026,6,30)),1,0)</f>
        <v>1</v>
      </c>
      <c r="J548">
        <f>IF(B548&lt;=DATE(2026,6,30),1,0)</f>
        <v>1</v>
      </c>
      <c r="K548" t="inlineStr">
        <is>
          <t>Site text normalised</t>
        </is>
      </c>
      <c r="L548" t="inlineStr">
        <is>
          <t>Yard</t>
        </is>
      </c>
      <c r="M548">
        <f>COUNTIFS('Asset Log'!$A$5:$A$1379,A548,'Asset Log'!$E$5:$E$1379,E548,'Asset Log'!$G$5:$G$1379,G548)</f>
        <v>1</v>
      </c>
    </row>
    <row r="549">
      <c r="A549" t="inlineStr">
        <is>
          <t>D71720</t>
        </is>
      </c>
      <c r="B549" s="11" t="n">
        <v>45969</v>
      </c>
      <c r="C549" t="inlineStr">
        <is>
          <t>S0180 Coburg</t>
        </is>
      </c>
      <c r="D549" t="inlineStr">
        <is>
          <t>S0180</t>
        </is>
      </c>
      <c r="E549" t="inlineStr">
        <is>
          <t>BR</t>
        </is>
      </c>
      <c r="F549" t="n">
        <v>16</v>
      </c>
      <c r="G549" t="inlineStr">
        <is>
          <t>OUT</t>
        </is>
      </c>
      <c r="H549">
        <f>IF(G549="OUT",F549,-F549)</f>
        <v>16</v>
      </c>
      <c r="I549">
        <f>IF(AND(B549&gt;=DATE(2025,7,1),B549&lt;=DATE(2026,6,30)),1,0)</f>
        <v>1</v>
      </c>
      <c r="J549">
        <f>IF(B549&lt;=DATE(2026,6,30),1,0)</f>
        <v>1</v>
      </c>
      <c r="K549" t="inlineStr">
        <is>
          <t>Site text normalised</t>
        </is>
      </c>
      <c r="L549" t="inlineStr">
        <is>
          <t>Office</t>
        </is>
      </c>
      <c r="M549">
        <f>COUNTIFS('Asset Log'!$A$5:$A$1379,A549,'Asset Log'!$E$5:$E$1379,E549,'Asset Log'!$G$5:$G$1379,G549)</f>
        <v>1</v>
      </c>
    </row>
    <row r="550">
      <c r="A550" t="inlineStr">
        <is>
          <t>D71841</t>
        </is>
      </c>
      <c r="B550" s="11" t="n">
        <v>45969</v>
      </c>
      <c r="C550" t="inlineStr">
        <is>
          <t>S0195</t>
        </is>
      </c>
      <c r="D550" t="inlineStr">
        <is>
          <t>S0195</t>
        </is>
      </c>
      <c r="E550" t="inlineStr">
        <is>
          <t>FP</t>
        </is>
      </c>
      <c r="F550" t="n">
        <v>16</v>
      </c>
      <c r="G550" t="inlineStr">
        <is>
          <t>OUT</t>
        </is>
      </c>
      <c r="H550">
        <f>IF(G550="OUT",F550,-F550)</f>
        <v>16</v>
      </c>
      <c r="I550">
        <f>IF(AND(B550&gt;=DATE(2025,7,1),B550&lt;=DATE(2026,6,30)),1,0)</f>
        <v>1</v>
      </c>
      <c r="J550">
        <f>IF(B550&lt;=DATE(2026,6,30),1,0)</f>
        <v>1</v>
      </c>
      <c r="K550" t="inlineStr"/>
      <c r="L550" t="inlineStr">
        <is>
          <t>Driver</t>
        </is>
      </c>
      <c r="M550">
        <f>COUNTIFS('Asset Log'!$A$5:$A$1379,A550,'Asset Log'!$E$5:$E$1379,E550,'Asset Log'!$G$5:$G$1379,G550)</f>
        <v>1</v>
      </c>
    </row>
    <row r="551">
      <c r="A551" t="inlineStr">
        <is>
          <t>D71846</t>
        </is>
      </c>
      <c r="B551" s="11" t="n">
        <v>45969</v>
      </c>
      <c r="C551" t="inlineStr">
        <is>
          <t>S0195</t>
        </is>
      </c>
      <c r="D551" t="inlineStr">
        <is>
          <t>S0195</t>
        </is>
      </c>
      <c r="E551" t="inlineStr">
        <is>
          <t>FB</t>
        </is>
      </c>
      <c r="F551" t="n">
        <v>17</v>
      </c>
      <c r="G551" t="inlineStr">
        <is>
          <t>OUT</t>
        </is>
      </c>
      <c r="H551">
        <f>IF(G551="OUT",F551,-F551)</f>
        <v>17</v>
      </c>
      <c r="I551">
        <f>IF(AND(B551&gt;=DATE(2025,7,1),B551&lt;=DATE(2026,6,30)),1,0)</f>
        <v>1</v>
      </c>
      <c r="J551">
        <f>IF(B551&lt;=DATE(2026,6,30),1,0)</f>
        <v>1</v>
      </c>
      <c r="K551" t="inlineStr"/>
      <c r="L551" t="inlineStr">
        <is>
          <t>Yard</t>
        </is>
      </c>
      <c r="M551">
        <f>COUNTIFS('Asset Log'!$A$5:$A$1379,A551,'Asset Log'!$E$5:$E$1379,E551,'Asset Log'!$G$5:$G$1379,G551)</f>
        <v>1</v>
      </c>
    </row>
    <row r="552">
      <c r="A552" t="inlineStr">
        <is>
          <t>D72000</t>
        </is>
      </c>
      <c r="B552" s="11" t="n">
        <v>45969</v>
      </c>
      <c r="C552" t="inlineStr">
        <is>
          <t>S0212</t>
        </is>
      </c>
      <c r="D552" t="inlineStr">
        <is>
          <t>S0212</t>
        </is>
      </c>
      <c r="E552" t="inlineStr">
        <is>
          <t>FP</t>
        </is>
      </c>
      <c r="F552" t="n">
        <v>93</v>
      </c>
      <c r="G552" t="inlineStr">
        <is>
          <t>OUT</t>
        </is>
      </c>
      <c r="H552">
        <f>IF(G552="OUT",F552,-F552)</f>
        <v>93</v>
      </c>
      <c r="I552">
        <f>IF(AND(B552&gt;=DATE(2025,7,1),B552&lt;=DATE(2026,6,30)),1,0)</f>
        <v>1</v>
      </c>
      <c r="J552">
        <f>IF(B552&lt;=DATE(2026,6,30),1,0)</f>
        <v>1</v>
      </c>
      <c r="K552" t="inlineStr"/>
      <c r="L552" t="inlineStr">
        <is>
          <t>Driver</t>
        </is>
      </c>
      <c r="M552">
        <f>COUNTIFS('Asset Log'!$A$5:$A$1379,A552,'Asset Log'!$E$5:$E$1379,E552,'Asset Log'!$G$5:$G$1379,G552)</f>
        <v>1</v>
      </c>
    </row>
    <row r="553">
      <c r="A553" t="inlineStr">
        <is>
          <t>D72004</t>
        </is>
      </c>
      <c r="B553" s="11" t="n">
        <v>45969</v>
      </c>
      <c r="C553" t="inlineStr">
        <is>
          <t>S0212</t>
        </is>
      </c>
      <c r="D553" t="inlineStr">
        <is>
          <t>S0212</t>
        </is>
      </c>
      <c r="E553" t="inlineStr">
        <is>
          <t>FB</t>
        </is>
      </c>
      <c r="F553" t="n">
        <v>102</v>
      </c>
      <c r="G553" t="inlineStr">
        <is>
          <t>OUT</t>
        </is>
      </c>
      <c r="H553">
        <f>IF(G553="OUT",F553,-F553)</f>
        <v>102</v>
      </c>
      <c r="I553">
        <f>IF(AND(B553&gt;=DATE(2025,7,1),B553&lt;=DATE(2026,6,30)),1,0)</f>
        <v>1</v>
      </c>
      <c r="J553">
        <f>IF(B553&lt;=DATE(2026,6,30),1,0)</f>
        <v>1</v>
      </c>
      <c r="K553" t="inlineStr"/>
      <c r="L553" t="inlineStr">
        <is>
          <t>Office</t>
        </is>
      </c>
      <c r="M553">
        <f>COUNTIFS('Asset Log'!$A$5:$A$1379,A553,'Asset Log'!$E$5:$E$1379,E553,'Asset Log'!$G$5:$G$1379,G553)</f>
        <v>1</v>
      </c>
    </row>
    <row r="554">
      <c r="A554" t="inlineStr">
        <is>
          <t>D72008</t>
        </is>
      </c>
      <c r="B554" s="11" t="n">
        <v>45969</v>
      </c>
      <c r="C554" t="inlineStr">
        <is>
          <t>S0212</t>
        </is>
      </c>
      <c r="D554" t="inlineStr">
        <is>
          <t>S0212</t>
        </is>
      </c>
      <c r="E554" t="inlineStr">
        <is>
          <t>BR</t>
        </is>
      </c>
      <c r="F554" t="n">
        <v>6</v>
      </c>
      <c r="G554" t="inlineStr">
        <is>
          <t>OUT</t>
        </is>
      </c>
      <c r="H554">
        <f>IF(G554="OUT",F554,-F554)</f>
        <v>6</v>
      </c>
      <c r="I554">
        <f>IF(AND(B554&gt;=DATE(2025,7,1),B554&lt;=DATE(2026,6,30)),1,0)</f>
        <v>1</v>
      </c>
      <c r="J554">
        <f>IF(B554&lt;=DATE(2026,6,30),1,0)</f>
        <v>1</v>
      </c>
      <c r="K554" t="inlineStr"/>
      <c r="L554" t="inlineStr">
        <is>
          <t>Driver</t>
        </is>
      </c>
      <c r="M554">
        <f>COUNTIFS('Asset Log'!$A$5:$A$1379,A554,'Asset Log'!$E$5:$E$1379,E554,'Asset Log'!$G$5:$G$1379,G554)</f>
        <v>1</v>
      </c>
    </row>
    <row r="555">
      <c r="A555" t="inlineStr">
        <is>
          <t>D72527</t>
        </is>
      </c>
      <c r="B555" s="11" t="n">
        <v>45969</v>
      </c>
      <c r="C555" t="inlineStr">
        <is>
          <t>S0346</t>
        </is>
      </c>
      <c r="D555" t="inlineStr">
        <is>
          <t>S0346</t>
        </is>
      </c>
      <c r="E555" t="inlineStr">
        <is>
          <t>TK</t>
        </is>
      </c>
      <c r="F555" t="n">
        <v>1</v>
      </c>
      <c r="G555" t="inlineStr">
        <is>
          <t>IN</t>
        </is>
      </c>
      <c r="H555">
        <f>IF(G555="OUT",F555,-F555)</f>
        <v>-1</v>
      </c>
      <c r="I555">
        <f>IF(AND(B555&gt;=DATE(2025,7,1),B555&lt;=DATE(2026,6,30)),1,0)</f>
        <v>1</v>
      </c>
      <c r="J555">
        <f>IF(B555&lt;=DATE(2026,6,30),1,0)</f>
        <v>1</v>
      </c>
      <c r="K555" t="inlineStr"/>
      <c r="L555" t="inlineStr">
        <is>
          <t>Yard</t>
        </is>
      </c>
      <c r="M555">
        <f>COUNTIFS('Asset Log'!$A$5:$A$1379,A555,'Asset Log'!$E$5:$E$1379,E555,'Asset Log'!$G$5:$G$1379,G555)</f>
        <v>1</v>
      </c>
    </row>
    <row r="556">
      <c r="A556" t="inlineStr">
        <is>
          <t>D71015</t>
        </is>
      </c>
      <c r="B556" s="11" t="n">
        <v>45970</v>
      </c>
      <c r="C556" t="inlineStr">
        <is>
          <t>S0109</t>
        </is>
      </c>
      <c r="D556" t="inlineStr">
        <is>
          <t>S0109</t>
        </is>
      </c>
      <c r="E556" t="inlineStr">
        <is>
          <t>FP</t>
        </is>
      </c>
      <c r="F556" t="n">
        <v>35</v>
      </c>
      <c r="G556" t="inlineStr">
        <is>
          <t>OUT</t>
        </is>
      </c>
      <c r="H556">
        <f>IF(G556="OUT",F556,-F556)</f>
        <v>35</v>
      </c>
      <c r="I556">
        <f>IF(AND(B556&gt;=DATE(2025,7,1),B556&lt;=DATE(2026,6,30)),1,0)</f>
        <v>1</v>
      </c>
      <c r="J556">
        <f>IF(B556&lt;=DATE(2026,6,30),1,0)</f>
        <v>1</v>
      </c>
      <c r="K556" t="inlineStr"/>
      <c r="L556" t="inlineStr">
        <is>
          <t>Yard</t>
        </is>
      </c>
      <c r="M556">
        <f>COUNTIFS('Asset Log'!$A$5:$A$1379,A556,'Asset Log'!$E$5:$E$1379,E556,'Asset Log'!$G$5:$G$1379,G556)</f>
        <v>1</v>
      </c>
    </row>
    <row r="557">
      <c r="A557" t="inlineStr">
        <is>
          <t>D71021</t>
        </is>
      </c>
      <c r="B557" s="11" t="n">
        <v>45970</v>
      </c>
      <c r="C557" t="inlineStr">
        <is>
          <t>S0109</t>
        </is>
      </c>
      <c r="D557" t="inlineStr">
        <is>
          <t>S0109</t>
        </is>
      </c>
      <c r="E557" t="inlineStr">
        <is>
          <t>FB</t>
        </is>
      </c>
      <c r="F557" t="n">
        <v>35</v>
      </c>
      <c r="G557" t="inlineStr">
        <is>
          <t>OUT</t>
        </is>
      </c>
      <c r="H557">
        <f>IF(G557="OUT",F557,-F557)</f>
        <v>35</v>
      </c>
      <c r="I557">
        <f>IF(AND(B557&gt;=DATE(2025,7,1),B557&lt;=DATE(2026,6,30)),1,0)</f>
        <v>1</v>
      </c>
      <c r="J557">
        <f>IF(B557&lt;=DATE(2026,6,30),1,0)</f>
        <v>1</v>
      </c>
      <c r="K557" t="inlineStr"/>
      <c r="L557" t="inlineStr">
        <is>
          <t>Driver</t>
        </is>
      </c>
      <c r="M557">
        <f>COUNTIFS('Asset Log'!$A$5:$A$1379,A557,'Asset Log'!$E$5:$E$1379,E557,'Asset Log'!$G$5:$G$1379,G557)</f>
        <v>1</v>
      </c>
    </row>
    <row r="558">
      <c r="A558" t="inlineStr">
        <is>
          <t>D72512</t>
        </is>
      </c>
      <c r="B558" s="11" t="n">
        <v>45970</v>
      </c>
      <c r="C558" t="inlineStr">
        <is>
          <t>S0337</t>
        </is>
      </c>
      <c r="D558" t="inlineStr">
        <is>
          <t>S0337</t>
        </is>
      </c>
      <c r="E558" t="inlineStr">
        <is>
          <t>TK</t>
        </is>
      </c>
      <c r="F558" t="n">
        <v>2</v>
      </c>
      <c r="G558" t="inlineStr">
        <is>
          <t>IN</t>
        </is>
      </c>
      <c r="H558">
        <f>IF(G558="OUT",F558,-F558)</f>
        <v>-2</v>
      </c>
      <c r="I558">
        <f>IF(AND(B558&gt;=DATE(2025,7,1),B558&lt;=DATE(2026,6,30)),1,0)</f>
        <v>1</v>
      </c>
      <c r="J558">
        <f>IF(B558&lt;=DATE(2026,6,30),1,0)</f>
        <v>1</v>
      </c>
      <c r="K558" t="inlineStr"/>
      <c r="L558" t="inlineStr">
        <is>
          <t>Office</t>
        </is>
      </c>
      <c r="M558">
        <f>COUNTIFS('Asset Log'!$A$5:$A$1379,A558,'Asset Log'!$E$5:$E$1379,E558,'Asset Log'!$G$5:$G$1379,G558)</f>
        <v>1</v>
      </c>
    </row>
    <row r="559">
      <c r="A559" t="inlineStr">
        <is>
          <t>D72194</t>
        </is>
      </c>
      <c r="B559" s="11" t="n">
        <v>45971</v>
      </c>
      <c r="C559" t="inlineStr">
        <is>
          <t>S0232</t>
        </is>
      </c>
      <c r="D559" t="inlineStr">
        <is>
          <t>S0232</t>
        </is>
      </c>
      <c r="E559" t="inlineStr">
        <is>
          <t>FP</t>
        </is>
      </c>
      <c r="F559" t="n">
        <v>50</v>
      </c>
      <c r="G559" t="inlineStr">
        <is>
          <t>IN</t>
        </is>
      </c>
      <c r="H559">
        <f>IF(G559="OUT",F559,-F559)</f>
        <v>-50</v>
      </c>
      <c r="I559">
        <f>IF(AND(B559&gt;=DATE(2025,7,1),B559&lt;=DATE(2026,6,30)),1,0)</f>
        <v>1</v>
      </c>
      <c r="J559">
        <f>IF(B559&lt;=DATE(2026,6,30),1,0)</f>
        <v>1</v>
      </c>
      <c r="K559" t="inlineStr"/>
      <c r="L559" t="inlineStr">
        <is>
          <t>Office</t>
        </is>
      </c>
      <c r="M559">
        <f>COUNTIFS('Asset Log'!$A$5:$A$1379,A559,'Asset Log'!$E$5:$E$1379,E559,'Asset Log'!$G$5:$G$1379,G559)</f>
        <v>1</v>
      </c>
    </row>
    <row r="560">
      <c r="A560" t="inlineStr">
        <is>
          <t>D72201</t>
        </is>
      </c>
      <c r="B560" s="11" t="n">
        <v>45971</v>
      </c>
      <c r="C560" t="inlineStr">
        <is>
          <t>232</t>
        </is>
      </c>
      <c r="D560" t="inlineStr">
        <is>
          <t>S0232</t>
        </is>
      </c>
      <c r="E560" t="inlineStr">
        <is>
          <t>FB</t>
        </is>
      </c>
      <c r="F560" t="n">
        <v>50</v>
      </c>
      <c r="G560" t="inlineStr">
        <is>
          <t>IN</t>
        </is>
      </c>
      <c r="H560">
        <f>IF(G560="OUT",F560,-F560)</f>
        <v>-50</v>
      </c>
      <c r="I560">
        <f>IF(AND(B560&gt;=DATE(2025,7,1),B560&lt;=DATE(2026,6,30)),1,0)</f>
        <v>1</v>
      </c>
      <c r="J560">
        <f>IF(B560&lt;=DATE(2026,6,30),1,0)</f>
        <v>1</v>
      </c>
      <c r="K560" t="inlineStr">
        <is>
          <t>Site text normalised</t>
        </is>
      </c>
      <c r="L560" t="inlineStr">
        <is>
          <t>Office</t>
        </is>
      </c>
      <c r="M560">
        <f>COUNTIFS('Asset Log'!$A$5:$A$1379,A560,'Asset Log'!$E$5:$E$1379,E560,'Asset Log'!$G$5:$G$1379,G560)</f>
        <v>1</v>
      </c>
    </row>
    <row r="561">
      <c r="A561" t="inlineStr">
        <is>
          <t>D72209</t>
        </is>
      </c>
      <c r="B561" s="11" t="n">
        <v>45971</v>
      </c>
      <c r="C561" t="inlineStr">
        <is>
          <t>S0234</t>
        </is>
      </c>
      <c r="D561" t="inlineStr">
        <is>
          <t>S0234</t>
        </is>
      </c>
      <c r="E561" t="inlineStr">
        <is>
          <t>ST</t>
        </is>
      </c>
      <c r="F561" t="n">
        <v>1</v>
      </c>
      <c r="G561" t="inlineStr">
        <is>
          <t>IN</t>
        </is>
      </c>
      <c r="H561">
        <f>IF(G561="OUT",F561,-F561)</f>
        <v>-1</v>
      </c>
      <c r="I561">
        <f>IF(AND(B561&gt;=DATE(2025,7,1),B561&lt;=DATE(2026,6,30)),1,0)</f>
        <v>1</v>
      </c>
      <c r="J561">
        <f>IF(B561&lt;=DATE(2026,6,30),1,0)</f>
        <v>1</v>
      </c>
      <c r="K561" t="inlineStr"/>
      <c r="L561" t="inlineStr">
        <is>
          <t>Driver</t>
        </is>
      </c>
      <c r="M561">
        <f>COUNTIFS('Asset Log'!$A$5:$A$1379,A561,'Asset Log'!$E$5:$E$1379,E561,'Asset Log'!$G$5:$G$1379,G561)</f>
        <v>1</v>
      </c>
    </row>
    <row r="562">
      <c r="A562" t="inlineStr">
        <is>
          <t>D72492</t>
        </is>
      </c>
      <c r="B562" s="11" t="n">
        <v>45971</v>
      </c>
      <c r="C562" t="inlineStr">
        <is>
          <t>S0331</t>
        </is>
      </c>
      <c r="D562" t="inlineStr">
        <is>
          <t>S0331</t>
        </is>
      </c>
      <c r="E562" t="inlineStr">
        <is>
          <t>TK</t>
        </is>
      </c>
      <c r="F562" t="n">
        <v>1</v>
      </c>
      <c r="G562" t="inlineStr">
        <is>
          <t>OUT</t>
        </is>
      </c>
      <c r="H562">
        <f>IF(G562="OUT",F562,-F562)</f>
        <v>1</v>
      </c>
      <c r="I562">
        <f>IF(AND(B562&gt;=DATE(2025,7,1),B562&lt;=DATE(2026,6,30)),1,0)</f>
        <v>1</v>
      </c>
      <c r="J562">
        <f>IF(B562&lt;=DATE(2026,6,30),1,0)</f>
        <v>1</v>
      </c>
      <c r="K562" t="inlineStr"/>
      <c r="L562" t="inlineStr">
        <is>
          <t>Office</t>
        </is>
      </c>
      <c r="M562">
        <f>COUNTIFS('Asset Log'!$A$5:$A$1379,A562,'Asset Log'!$E$5:$E$1379,E562,'Asset Log'!$G$5:$G$1379,G562)</f>
        <v>1</v>
      </c>
    </row>
    <row r="563">
      <c r="A563" t="inlineStr">
        <is>
          <t>D70992</t>
        </is>
      </c>
      <c r="B563" s="11" t="n">
        <v>45972</v>
      </c>
      <c r="C563" t="inlineStr">
        <is>
          <t>S0107</t>
        </is>
      </c>
      <c r="D563" t="inlineStr">
        <is>
          <t>S0107</t>
        </is>
      </c>
      <c r="E563" t="inlineStr">
        <is>
          <t>FP</t>
        </is>
      </c>
      <c r="F563" t="n">
        <v>106</v>
      </c>
      <c r="G563" t="inlineStr">
        <is>
          <t>IN</t>
        </is>
      </c>
      <c r="H563">
        <f>IF(G563="OUT",F563,-F563)</f>
        <v>-106</v>
      </c>
      <c r="I563">
        <f>IF(AND(B563&gt;=DATE(2025,7,1),B563&lt;=DATE(2026,6,30)),1,0)</f>
        <v>1</v>
      </c>
      <c r="J563">
        <f>IF(B563&lt;=DATE(2026,6,30),1,0)</f>
        <v>1</v>
      </c>
      <c r="K563" t="inlineStr"/>
      <c r="L563" t="inlineStr">
        <is>
          <t>Driver</t>
        </is>
      </c>
      <c r="M563">
        <f>COUNTIFS('Asset Log'!$A$5:$A$1379,A563,'Asset Log'!$E$5:$E$1379,E563,'Asset Log'!$G$5:$G$1379,G563)</f>
        <v>1</v>
      </c>
    </row>
    <row r="564">
      <c r="A564" t="inlineStr">
        <is>
          <t>D70997</t>
        </is>
      </c>
      <c r="B564" s="11" t="n">
        <v>45972</v>
      </c>
      <c r="C564" t="inlineStr">
        <is>
          <t>S0107</t>
        </is>
      </c>
      <c r="D564" t="inlineStr">
        <is>
          <t>S0107</t>
        </is>
      </c>
      <c r="E564" t="inlineStr">
        <is>
          <t>FB</t>
        </is>
      </c>
      <c r="F564" t="n">
        <v>116</v>
      </c>
      <c r="G564" t="inlineStr">
        <is>
          <t>IN</t>
        </is>
      </c>
      <c r="H564">
        <f>IF(G564="OUT",F564,-F564)</f>
        <v>-116</v>
      </c>
      <c r="I564">
        <f>IF(AND(B564&gt;=DATE(2025,7,1),B564&lt;=DATE(2026,6,30)),1,0)</f>
        <v>1</v>
      </c>
      <c r="J564">
        <f>IF(B564&lt;=DATE(2026,6,30),1,0)</f>
        <v>1</v>
      </c>
      <c r="K564" t="inlineStr"/>
      <c r="L564" t="inlineStr">
        <is>
          <t>Office</t>
        </is>
      </c>
      <c r="M564">
        <f>COUNTIFS('Asset Log'!$A$5:$A$1379,A564,'Asset Log'!$E$5:$E$1379,E564,'Asset Log'!$G$5:$G$1379,G564)</f>
        <v>1</v>
      </c>
    </row>
    <row r="565">
      <c r="A565" t="inlineStr">
        <is>
          <t>D71311</t>
        </is>
      </c>
      <c r="B565" s="11" t="n">
        <v>45972</v>
      </c>
      <c r="C565" t="inlineStr">
        <is>
          <t>S0138</t>
        </is>
      </c>
      <c r="D565" t="inlineStr">
        <is>
          <t>S0138</t>
        </is>
      </c>
      <c r="E565" t="inlineStr">
        <is>
          <t>FP</t>
        </is>
      </c>
      <c r="F565" t="n">
        <v>22</v>
      </c>
      <c r="G565" t="inlineStr">
        <is>
          <t>IN</t>
        </is>
      </c>
      <c r="H565">
        <f>IF(G565="OUT",F565,-F565)</f>
        <v>-22</v>
      </c>
      <c r="I565">
        <f>IF(AND(B565&gt;=DATE(2025,7,1),B565&lt;=DATE(2026,6,30)),1,0)</f>
        <v>1</v>
      </c>
      <c r="J565">
        <f>IF(B565&lt;=DATE(2026,6,30),1,0)</f>
        <v>1</v>
      </c>
      <c r="K565" t="inlineStr"/>
      <c r="L565" t="inlineStr">
        <is>
          <t>Office</t>
        </is>
      </c>
      <c r="M565">
        <f>COUNTIFS('Asset Log'!$A$5:$A$1379,A565,'Asset Log'!$E$5:$E$1379,E565,'Asset Log'!$G$5:$G$1379,G565)</f>
        <v>1</v>
      </c>
    </row>
    <row r="566">
      <c r="A566" t="inlineStr">
        <is>
          <t>D71315</t>
        </is>
      </c>
      <c r="B566" s="11" t="n">
        <v>45972</v>
      </c>
      <c r="C566" t="inlineStr">
        <is>
          <t>S0138</t>
        </is>
      </c>
      <c r="D566" t="inlineStr">
        <is>
          <t>S0138</t>
        </is>
      </c>
      <c r="E566" t="inlineStr">
        <is>
          <t>FB</t>
        </is>
      </c>
      <c r="F566" t="n">
        <v>24</v>
      </c>
      <c r="G566" t="inlineStr">
        <is>
          <t>IN</t>
        </is>
      </c>
      <c r="H566">
        <f>IF(G566="OUT",F566,-F566)</f>
        <v>-24</v>
      </c>
      <c r="I566">
        <f>IF(AND(B566&gt;=DATE(2025,7,1),B566&lt;=DATE(2026,6,30)),1,0)</f>
        <v>1</v>
      </c>
      <c r="J566">
        <f>IF(B566&lt;=DATE(2026,6,30),1,0)</f>
        <v>1</v>
      </c>
      <c r="K566" t="inlineStr"/>
      <c r="L566" t="inlineStr">
        <is>
          <t>Driver</t>
        </is>
      </c>
      <c r="M566">
        <f>COUNTIFS('Asset Log'!$A$5:$A$1379,A566,'Asset Log'!$E$5:$E$1379,E566,'Asset Log'!$G$5:$G$1379,G566)</f>
        <v>1</v>
      </c>
    </row>
    <row r="567">
      <c r="A567" t="inlineStr">
        <is>
          <t>D71416</t>
        </is>
      </c>
      <c r="B567" s="11" t="n">
        <v>45972</v>
      </c>
      <c r="C567" t="inlineStr">
        <is>
          <t>S0149</t>
        </is>
      </c>
      <c r="D567" t="inlineStr">
        <is>
          <t>S0149</t>
        </is>
      </c>
      <c r="E567" t="inlineStr">
        <is>
          <t>FP</t>
        </is>
      </c>
      <c r="F567" t="n">
        <v>15</v>
      </c>
      <c r="G567" t="inlineStr">
        <is>
          <t>IN</t>
        </is>
      </c>
      <c r="H567">
        <f>IF(G567="OUT",F567,-F567)</f>
        <v>-15</v>
      </c>
      <c r="I567">
        <f>IF(AND(B567&gt;=DATE(2025,7,1),B567&lt;=DATE(2026,6,30)),1,0)</f>
        <v>1</v>
      </c>
      <c r="J567">
        <f>IF(B567&lt;=DATE(2026,6,30),1,0)</f>
        <v>1</v>
      </c>
      <c r="K567" t="inlineStr"/>
      <c r="L567" t="inlineStr">
        <is>
          <t>Office</t>
        </is>
      </c>
      <c r="M567">
        <f>COUNTIFS('Asset Log'!$A$5:$A$1379,A567,'Asset Log'!$E$5:$E$1379,E567,'Asset Log'!$G$5:$G$1379,G567)</f>
        <v>1</v>
      </c>
    </row>
    <row r="568">
      <c r="A568" t="inlineStr">
        <is>
          <t>D71420</t>
        </is>
      </c>
      <c r="B568" s="11" t="n">
        <v>45972</v>
      </c>
      <c r="C568" t="inlineStr">
        <is>
          <t>S0149</t>
        </is>
      </c>
      <c r="D568" t="inlineStr">
        <is>
          <t>S0149</t>
        </is>
      </c>
      <c r="E568" t="inlineStr">
        <is>
          <t>FB</t>
        </is>
      </c>
      <c r="F568" t="n">
        <v>16</v>
      </c>
      <c r="G568" t="inlineStr">
        <is>
          <t>IN</t>
        </is>
      </c>
      <c r="H568">
        <f>IF(G568="OUT",F568,-F568)</f>
        <v>-16</v>
      </c>
      <c r="I568">
        <f>IF(AND(B568&gt;=DATE(2025,7,1),B568&lt;=DATE(2026,6,30)),1,0)</f>
        <v>1</v>
      </c>
      <c r="J568">
        <f>IF(B568&lt;=DATE(2026,6,30),1,0)</f>
        <v>1</v>
      </c>
      <c r="K568" t="inlineStr"/>
      <c r="L568" t="inlineStr">
        <is>
          <t>Office</t>
        </is>
      </c>
      <c r="M568">
        <f>COUNTIFS('Asset Log'!$A$5:$A$1379,A568,'Asset Log'!$E$5:$E$1379,E568,'Asset Log'!$G$5:$G$1379,G568)</f>
        <v>1</v>
      </c>
    </row>
    <row r="569">
      <c r="A569" t="inlineStr">
        <is>
          <t>D71424</t>
        </is>
      </c>
      <c r="B569" s="11" t="n">
        <v>45972</v>
      </c>
      <c r="C569" t="inlineStr">
        <is>
          <t>S0149</t>
        </is>
      </c>
      <c r="D569" t="inlineStr">
        <is>
          <t>S0149</t>
        </is>
      </c>
      <c r="E569" t="inlineStr">
        <is>
          <t>BR</t>
        </is>
      </c>
      <c r="F569" t="n">
        <v>22</v>
      </c>
      <c r="G569" t="inlineStr">
        <is>
          <t>IN</t>
        </is>
      </c>
      <c r="H569">
        <f>IF(G569="OUT",F569,-F569)</f>
        <v>-22</v>
      </c>
      <c r="I569">
        <f>IF(AND(B569&gt;=DATE(2025,7,1),B569&lt;=DATE(2026,6,30)),1,0)</f>
        <v>1</v>
      </c>
      <c r="J569">
        <f>IF(B569&lt;=DATE(2026,6,30),1,0)</f>
        <v>1</v>
      </c>
      <c r="K569" t="inlineStr"/>
      <c r="L569" t="inlineStr">
        <is>
          <t>Office</t>
        </is>
      </c>
      <c r="M569">
        <f>COUNTIFS('Asset Log'!$A$5:$A$1379,A569,'Asset Log'!$E$5:$E$1379,E569,'Asset Log'!$G$5:$G$1379,G569)</f>
        <v>1</v>
      </c>
    </row>
    <row r="570">
      <c r="A570" t="inlineStr">
        <is>
          <t>D71521</t>
        </is>
      </c>
      <c r="B570" s="11" t="n">
        <v>45973</v>
      </c>
      <c r="C570" t="inlineStr">
        <is>
          <t>S0159</t>
        </is>
      </c>
      <c r="D570" t="inlineStr">
        <is>
          <t>S0159</t>
        </is>
      </c>
      <c r="E570" t="inlineStr">
        <is>
          <t>FP</t>
        </is>
      </c>
      <c r="F570" t="n">
        <v>37</v>
      </c>
      <c r="G570" t="inlineStr">
        <is>
          <t>OUT</t>
        </is>
      </c>
      <c r="H570">
        <f>IF(G570="OUT",F570,-F570)</f>
        <v>37</v>
      </c>
      <c r="I570">
        <f>IF(AND(B570&gt;=DATE(2025,7,1),B570&lt;=DATE(2026,6,30)),1,0)</f>
        <v>1</v>
      </c>
      <c r="J570">
        <f>IF(B570&lt;=DATE(2026,6,30),1,0)</f>
        <v>1</v>
      </c>
      <c r="K570" t="inlineStr"/>
      <c r="L570" t="inlineStr">
        <is>
          <t>Yard</t>
        </is>
      </c>
      <c r="M570">
        <f>COUNTIFS('Asset Log'!$A$5:$A$1379,A570,'Asset Log'!$E$5:$E$1379,E570,'Asset Log'!$G$5:$G$1379,G570)</f>
        <v>1</v>
      </c>
    </row>
    <row r="571">
      <c r="A571" t="inlineStr">
        <is>
          <t>D71529</t>
        </is>
      </c>
      <c r="B571" s="11" t="n">
        <v>45973</v>
      </c>
      <c r="C571" t="inlineStr">
        <is>
          <t>S0159</t>
        </is>
      </c>
      <c r="D571" t="inlineStr">
        <is>
          <t>S0159</t>
        </is>
      </c>
      <c r="E571" t="inlineStr">
        <is>
          <t>FB</t>
        </is>
      </c>
      <c r="F571" t="n">
        <v>40</v>
      </c>
      <c r="G571" t="inlineStr">
        <is>
          <t>OUT</t>
        </is>
      </c>
      <c r="H571">
        <f>IF(G571="OUT",F571,-F571)</f>
        <v>40</v>
      </c>
      <c r="I571">
        <f>IF(AND(B571&gt;=DATE(2025,7,1),B571&lt;=DATE(2026,6,30)),1,0)</f>
        <v>1</v>
      </c>
      <c r="J571">
        <f>IF(B571&lt;=DATE(2026,6,30),1,0)</f>
        <v>1</v>
      </c>
      <c r="K571" t="inlineStr"/>
      <c r="L571" t="inlineStr">
        <is>
          <t>Driver</t>
        </is>
      </c>
      <c r="M571">
        <f>COUNTIFS('Asset Log'!$A$5:$A$1379,A571,'Asset Log'!$E$5:$E$1379,E571,'Asset Log'!$G$5:$G$1379,G571)</f>
        <v>1</v>
      </c>
    </row>
    <row r="572">
      <c r="A572" t="inlineStr">
        <is>
          <t>D72806</t>
        </is>
      </c>
      <c r="B572" s="11" t="n">
        <v>45973</v>
      </c>
      <c r="C572" t="inlineStr">
        <is>
          <t>S0524</t>
        </is>
      </c>
      <c r="D572" t="inlineStr">
        <is>
          <t>S0524</t>
        </is>
      </c>
      <c r="E572" t="inlineStr">
        <is>
          <t>TK</t>
        </is>
      </c>
      <c r="F572" t="n">
        <v>3</v>
      </c>
      <c r="G572" t="inlineStr">
        <is>
          <t>IN</t>
        </is>
      </c>
      <c r="H572">
        <f>IF(G572="OUT",F572,-F572)</f>
        <v>-3</v>
      </c>
      <c r="I572">
        <f>IF(AND(B572&gt;=DATE(2025,7,1),B572&lt;=DATE(2026,6,30)),1,0)</f>
        <v>1</v>
      </c>
      <c r="J572">
        <f>IF(B572&lt;=DATE(2026,6,30),1,0)</f>
        <v>1</v>
      </c>
      <c r="K572" t="inlineStr"/>
      <c r="L572" t="inlineStr">
        <is>
          <t>Office</t>
        </is>
      </c>
      <c r="M572">
        <f>COUNTIFS('Asset Log'!$A$5:$A$1379,A572,'Asset Log'!$E$5:$E$1379,E572,'Asset Log'!$G$5:$G$1379,G572)</f>
        <v>1</v>
      </c>
    </row>
    <row r="573">
      <c r="A573" t="inlineStr">
        <is>
          <t>D70551</t>
        </is>
      </c>
      <c r="B573" s="11" t="n">
        <v>45974</v>
      </c>
      <c r="C573" t="inlineStr">
        <is>
          <t>S0061</t>
        </is>
      </c>
      <c r="D573" t="inlineStr">
        <is>
          <t>S0061</t>
        </is>
      </c>
      <c r="E573" t="inlineStr">
        <is>
          <t>FP</t>
        </is>
      </c>
      <c r="F573" t="n">
        <v>127</v>
      </c>
      <c r="G573" t="inlineStr">
        <is>
          <t>OUT</t>
        </is>
      </c>
      <c r="H573">
        <f>IF(G573="OUT",F573,-F573)</f>
        <v>127</v>
      </c>
      <c r="I573">
        <f>IF(AND(B573&gt;=DATE(2025,7,1),B573&lt;=DATE(2026,6,30)),1,0)</f>
        <v>1</v>
      </c>
      <c r="J573">
        <f>IF(B573&lt;=DATE(2026,6,30),1,0)</f>
        <v>1</v>
      </c>
      <c r="K573" t="inlineStr"/>
      <c r="L573" t="inlineStr">
        <is>
          <t>Office</t>
        </is>
      </c>
      <c r="M573">
        <f>COUNTIFS('Asset Log'!$A$5:$A$1379,A573,'Asset Log'!$E$5:$E$1379,E573,'Asset Log'!$G$5:$G$1379,G573)</f>
        <v>1</v>
      </c>
    </row>
    <row r="574">
      <c r="A574" t="inlineStr">
        <is>
          <t>D70557</t>
        </is>
      </c>
      <c r="B574" s="11" t="n">
        <v>45974</v>
      </c>
      <c r="C574" t="inlineStr">
        <is>
          <t>S0061</t>
        </is>
      </c>
      <c r="D574" t="inlineStr">
        <is>
          <t>S0061</t>
        </is>
      </c>
      <c r="E574" t="inlineStr">
        <is>
          <t>FB</t>
        </is>
      </c>
      <c r="F574" t="n">
        <v>139</v>
      </c>
      <c r="G574" t="inlineStr">
        <is>
          <t>OUT</t>
        </is>
      </c>
      <c r="H574">
        <f>IF(G574="OUT",F574,-F574)</f>
        <v>139</v>
      </c>
      <c r="I574">
        <f>IF(AND(B574&gt;=DATE(2025,7,1),B574&lt;=DATE(2026,6,30)),1,0)</f>
        <v>1</v>
      </c>
      <c r="J574">
        <f>IF(B574&lt;=DATE(2026,6,30),1,0)</f>
        <v>1</v>
      </c>
      <c r="K574" t="inlineStr"/>
      <c r="L574" t="inlineStr">
        <is>
          <t>Office</t>
        </is>
      </c>
      <c r="M574">
        <f>COUNTIFS('Asset Log'!$A$5:$A$1379,A574,'Asset Log'!$E$5:$E$1379,E574,'Asset Log'!$G$5:$G$1379,G574)</f>
        <v>1</v>
      </c>
    </row>
    <row r="575">
      <c r="A575" t="inlineStr">
        <is>
          <t>D70561</t>
        </is>
      </c>
      <c r="B575" s="11" t="n">
        <v>45974</v>
      </c>
      <c r="C575" t="inlineStr">
        <is>
          <t>61</t>
        </is>
      </c>
      <c r="D575" t="inlineStr">
        <is>
          <t>S0061</t>
        </is>
      </c>
      <c r="E575" t="inlineStr">
        <is>
          <t>BR</t>
        </is>
      </c>
      <c r="F575" t="n">
        <v>12</v>
      </c>
      <c r="G575" t="inlineStr">
        <is>
          <t>OUT</t>
        </is>
      </c>
      <c r="H575">
        <f>IF(G575="OUT",F575,-F575)</f>
        <v>12</v>
      </c>
      <c r="I575">
        <f>IF(AND(B575&gt;=DATE(2025,7,1),B575&lt;=DATE(2026,6,30)),1,0)</f>
        <v>1</v>
      </c>
      <c r="J575">
        <f>IF(B575&lt;=DATE(2026,6,30),1,0)</f>
        <v>1</v>
      </c>
      <c r="K575" t="inlineStr">
        <is>
          <t>Site text normalised</t>
        </is>
      </c>
      <c r="L575" t="inlineStr">
        <is>
          <t>Office</t>
        </is>
      </c>
      <c r="M575">
        <f>COUNTIFS('Asset Log'!$A$5:$A$1379,A575,'Asset Log'!$E$5:$E$1379,E575,'Asset Log'!$G$5:$G$1379,G575)</f>
        <v>1</v>
      </c>
    </row>
    <row r="576">
      <c r="A576" t="inlineStr">
        <is>
          <t>D71262</t>
        </is>
      </c>
      <c r="B576" s="11" t="n">
        <v>45974</v>
      </c>
      <c r="C576" t="inlineStr">
        <is>
          <t>S0132</t>
        </is>
      </c>
      <c r="D576" t="inlineStr">
        <is>
          <t>S0132</t>
        </is>
      </c>
      <c r="E576" t="inlineStr">
        <is>
          <t>FP</t>
        </is>
      </c>
      <c r="F576" t="n">
        <v>146</v>
      </c>
      <c r="G576" t="inlineStr">
        <is>
          <t>OUT</t>
        </is>
      </c>
      <c r="H576">
        <f>IF(G576="OUT",F576,-F576)</f>
        <v>146</v>
      </c>
      <c r="I576">
        <f>IF(AND(B576&gt;=DATE(2025,7,1),B576&lt;=DATE(2026,6,30)),1,0)</f>
        <v>1</v>
      </c>
      <c r="J576">
        <f>IF(B576&lt;=DATE(2026,6,30),1,0)</f>
        <v>1</v>
      </c>
      <c r="K576" t="inlineStr"/>
      <c r="L576" t="inlineStr">
        <is>
          <t>Driver</t>
        </is>
      </c>
      <c r="M576">
        <f>COUNTIFS('Asset Log'!$A$5:$A$1379,A576,'Asset Log'!$E$5:$E$1379,E576,'Asset Log'!$G$5:$G$1379,G576)</f>
        <v>1</v>
      </c>
    </row>
    <row r="577">
      <c r="A577" t="inlineStr">
        <is>
          <t>D71266</t>
        </is>
      </c>
      <c r="B577" s="11" t="n">
        <v>45974</v>
      </c>
      <c r="C577" t="inlineStr">
        <is>
          <t>S0132</t>
        </is>
      </c>
      <c r="D577" t="inlineStr">
        <is>
          <t>S0132</t>
        </is>
      </c>
      <c r="E577" t="inlineStr">
        <is>
          <t>FB</t>
        </is>
      </c>
      <c r="F577" t="n">
        <v>160</v>
      </c>
      <c r="G577" t="inlineStr">
        <is>
          <t>OUT</t>
        </is>
      </c>
      <c r="H577">
        <f>IF(G577="OUT",F577,-F577)</f>
        <v>160</v>
      </c>
      <c r="I577">
        <f>IF(AND(B577&gt;=DATE(2025,7,1),B577&lt;=DATE(2026,6,30)),1,0)</f>
        <v>1</v>
      </c>
      <c r="J577">
        <f>IF(B577&lt;=DATE(2026,6,30),1,0)</f>
        <v>1</v>
      </c>
      <c r="K577" t="inlineStr"/>
      <c r="L577" t="inlineStr">
        <is>
          <t>Yard</t>
        </is>
      </c>
      <c r="M577">
        <f>COUNTIFS('Asset Log'!$A$5:$A$1379,A577,'Asset Log'!$E$5:$E$1379,E577,'Asset Log'!$G$5:$G$1379,G577)</f>
        <v>1</v>
      </c>
    </row>
    <row r="578">
      <c r="A578" t="inlineStr">
        <is>
          <t>D71812</t>
        </is>
      </c>
      <c r="B578" s="11" t="n">
        <v>45974</v>
      </c>
      <c r="C578" t="inlineStr">
        <is>
          <t>S0192</t>
        </is>
      </c>
      <c r="D578" t="inlineStr">
        <is>
          <t>S0192</t>
        </is>
      </c>
      <c r="E578" t="inlineStr">
        <is>
          <t>FP</t>
        </is>
      </c>
      <c r="F578" t="n">
        <v>149</v>
      </c>
      <c r="G578" t="inlineStr">
        <is>
          <t>OUT</t>
        </is>
      </c>
      <c r="H578">
        <f>IF(G578="OUT",F578,-F578)</f>
        <v>149</v>
      </c>
      <c r="I578">
        <f>IF(AND(B578&gt;=DATE(2025,7,1),B578&lt;=DATE(2026,6,30)),1,0)</f>
        <v>1</v>
      </c>
      <c r="J578">
        <f>IF(B578&lt;=DATE(2026,6,30),1,0)</f>
        <v>1</v>
      </c>
      <c r="K578" t="inlineStr"/>
      <c r="L578" t="inlineStr">
        <is>
          <t>Office</t>
        </is>
      </c>
      <c r="M578">
        <f>COUNTIFS('Asset Log'!$A$5:$A$1379,A578,'Asset Log'!$E$5:$E$1379,E578,'Asset Log'!$G$5:$G$1379,G578)</f>
        <v>1</v>
      </c>
    </row>
    <row r="579">
      <c r="A579" t="inlineStr">
        <is>
          <t>D71816</t>
        </is>
      </c>
      <c r="B579" s="11" t="n">
        <v>45974</v>
      </c>
      <c r="C579" t="inlineStr">
        <is>
          <t>S0192</t>
        </is>
      </c>
      <c r="D579" t="inlineStr">
        <is>
          <t>S0192</t>
        </is>
      </c>
      <c r="E579" t="inlineStr">
        <is>
          <t>FB</t>
        </is>
      </c>
      <c r="F579" t="n">
        <v>163</v>
      </c>
      <c r="G579" t="inlineStr">
        <is>
          <t>OUT</t>
        </is>
      </c>
      <c r="H579">
        <f>IF(G579="OUT",F579,-F579)</f>
        <v>163</v>
      </c>
      <c r="I579">
        <f>IF(AND(B579&gt;=DATE(2025,7,1),B579&lt;=DATE(2026,6,30)),1,0)</f>
        <v>1</v>
      </c>
      <c r="J579">
        <f>IF(B579&lt;=DATE(2026,6,30),1,0)</f>
        <v>1</v>
      </c>
      <c r="K579" t="inlineStr"/>
      <c r="L579" t="inlineStr">
        <is>
          <t>Office</t>
        </is>
      </c>
      <c r="M579">
        <f>COUNTIFS('Asset Log'!$A$5:$A$1379,A579,'Asset Log'!$E$5:$E$1379,E579,'Asset Log'!$G$5:$G$1379,G579)</f>
        <v>1</v>
      </c>
    </row>
    <row r="580">
      <c r="A580" t="inlineStr">
        <is>
          <t>D72047</t>
        </is>
      </c>
      <c r="B580" s="11" t="n">
        <v>45974</v>
      </c>
      <c r="C580" t="inlineStr">
        <is>
          <t>s216</t>
        </is>
      </c>
      <c r="D580" t="inlineStr">
        <is>
          <t>S0216</t>
        </is>
      </c>
      <c r="E580" t="inlineStr">
        <is>
          <t>FP</t>
        </is>
      </c>
      <c r="F580" t="n">
        <v>102</v>
      </c>
      <c r="G580" t="inlineStr">
        <is>
          <t>IN</t>
        </is>
      </c>
      <c r="H580">
        <f>IF(G580="OUT",F580,-F580)</f>
        <v>-102</v>
      </c>
      <c r="I580">
        <f>IF(AND(B580&gt;=DATE(2025,7,1),B580&lt;=DATE(2026,6,30)),1,0)</f>
        <v>1</v>
      </c>
      <c r="J580">
        <f>IF(B580&lt;=DATE(2026,6,30),1,0)</f>
        <v>1</v>
      </c>
      <c r="K580" t="inlineStr">
        <is>
          <t>Site text normalised</t>
        </is>
      </c>
      <c r="L580" t="inlineStr">
        <is>
          <t>Office</t>
        </is>
      </c>
      <c r="M580">
        <f>COUNTIFS('Asset Log'!$A$5:$A$1379,A580,'Asset Log'!$E$5:$E$1379,E580,'Asset Log'!$G$5:$G$1379,G580)</f>
        <v>1</v>
      </c>
    </row>
    <row r="581">
      <c r="A581" t="inlineStr">
        <is>
          <t>D72050</t>
        </is>
      </c>
      <c r="B581" s="11" t="n">
        <v>45974</v>
      </c>
      <c r="C581" t="inlineStr">
        <is>
          <t>S0216</t>
        </is>
      </c>
      <c r="D581" t="inlineStr">
        <is>
          <t>S0216</t>
        </is>
      </c>
      <c r="E581" t="inlineStr">
        <is>
          <t>FB</t>
        </is>
      </c>
      <c r="F581" t="n">
        <v>112</v>
      </c>
      <c r="G581" t="inlineStr">
        <is>
          <t>IN</t>
        </is>
      </c>
      <c r="H581">
        <f>IF(G581="OUT",F581,-F581)</f>
        <v>-112</v>
      </c>
      <c r="I581">
        <f>IF(AND(B581&gt;=DATE(2025,7,1),B581&lt;=DATE(2026,6,30)),1,0)</f>
        <v>1</v>
      </c>
      <c r="J581">
        <f>IF(B581&lt;=DATE(2026,6,30),1,0)</f>
        <v>1</v>
      </c>
      <c r="K581" t="inlineStr"/>
      <c r="L581" t="inlineStr">
        <is>
          <t>Yard</t>
        </is>
      </c>
      <c r="M581">
        <f>COUNTIFS('Asset Log'!$A$5:$A$1379,A581,'Asset Log'!$E$5:$E$1379,E581,'Asset Log'!$G$5:$G$1379,G581)</f>
        <v>1</v>
      </c>
    </row>
    <row r="582">
      <c r="A582" t="inlineStr">
        <is>
          <t>D72259</t>
        </is>
      </c>
      <c r="B582" s="11" t="n">
        <v>45974</v>
      </c>
      <c r="C582" t="inlineStr">
        <is>
          <t>S0247</t>
        </is>
      </c>
      <c r="D582" t="inlineStr">
        <is>
          <t>S0247</t>
        </is>
      </c>
      <c r="E582" t="inlineStr">
        <is>
          <t>ST</t>
        </is>
      </c>
      <c r="F582" t="n">
        <v>2</v>
      </c>
      <c r="G582" t="inlineStr">
        <is>
          <t>IN</t>
        </is>
      </c>
      <c r="H582">
        <f>IF(G582="OUT",F582,-F582)</f>
        <v>-2</v>
      </c>
      <c r="I582">
        <f>IF(AND(B582&gt;=DATE(2025,7,1),B582&lt;=DATE(2026,6,30)),1,0)</f>
        <v>1</v>
      </c>
      <c r="J582">
        <f>IF(B582&lt;=DATE(2026,6,30),1,0)</f>
        <v>1</v>
      </c>
      <c r="K582" t="inlineStr"/>
      <c r="L582" t="inlineStr">
        <is>
          <t>Office</t>
        </is>
      </c>
      <c r="M582">
        <f>COUNTIFS('Asset Log'!$A$5:$A$1379,A582,'Asset Log'!$E$5:$E$1379,E582,'Asset Log'!$G$5:$G$1379,G582)</f>
        <v>1</v>
      </c>
    </row>
    <row r="583">
      <c r="A583" t="inlineStr">
        <is>
          <t>D72506</t>
        </is>
      </c>
      <c r="B583" s="11" t="n">
        <v>45974</v>
      </c>
      <c r="C583" t="inlineStr">
        <is>
          <t>s336</t>
        </is>
      </c>
      <c r="D583" t="inlineStr">
        <is>
          <t>S0336</t>
        </is>
      </c>
      <c r="E583" t="inlineStr">
        <is>
          <t>TK</t>
        </is>
      </c>
      <c r="F583" t="n">
        <v>1</v>
      </c>
      <c r="G583" t="inlineStr">
        <is>
          <t>OUT</t>
        </is>
      </c>
      <c r="H583">
        <f>IF(G583="OUT",F583,-F583)</f>
        <v>1</v>
      </c>
      <c r="I583">
        <f>IF(AND(B583&gt;=DATE(2025,7,1),B583&lt;=DATE(2026,6,30)),1,0)</f>
        <v>1</v>
      </c>
      <c r="J583">
        <f>IF(B583&lt;=DATE(2026,6,30),1,0)</f>
        <v>1</v>
      </c>
      <c r="K583" t="inlineStr">
        <is>
          <t>Site text normalised</t>
        </is>
      </c>
      <c r="L583" t="inlineStr">
        <is>
          <t>Office</t>
        </is>
      </c>
      <c r="M583">
        <f>COUNTIFS('Asset Log'!$A$5:$A$1379,A583,'Asset Log'!$E$5:$E$1379,E583,'Asset Log'!$G$5:$G$1379,G583)</f>
        <v>1</v>
      </c>
    </row>
    <row r="584">
      <c r="A584" t="inlineStr">
        <is>
          <t>D72521</t>
        </is>
      </c>
      <c r="B584" s="11" t="n">
        <v>45974</v>
      </c>
      <c r="C584" t="inlineStr">
        <is>
          <t>340</t>
        </is>
      </c>
      <c r="D584" t="inlineStr">
        <is>
          <t>S0340</t>
        </is>
      </c>
      <c r="E584" t="inlineStr">
        <is>
          <t>TK</t>
        </is>
      </c>
      <c r="F584" t="n">
        <v>3</v>
      </c>
      <c r="G584" t="inlineStr">
        <is>
          <t>IN</t>
        </is>
      </c>
      <c r="H584">
        <f>IF(G584="OUT",F584,-F584)</f>
        <v>-3</v>
      </c>
      <c r="I584">
        <f>IF(AND(B584&gt;=DATE(2025,7,1),B584&lt;=DATE(2026,6,30)),1,0)</f>
        <v>1</v>
      </c>
      <c r="J584">
        <f>IF(B584&lt;=DATE(2026,6,30),1,0)</f>
        <v>1</v>
      </c>
      <c r="K584" t="inlineStr">
        <is>
          <t>Site text normalised</t>
        </is>
      </c>
      <c r="L584" t="inlineStr">
        <is>
          <t>Driver</t>
        </is>
      </c>
      <c r="M584">
        <f>COUNTIFS('Asset Log'!$A$5:$A$1379,A584,'Asset Log'!$E$5:$E$1379,E584,'Asset Log'!$G$5:$G$1379,G584)</f>
        <v>1</v>
      </c>
    </row>
    <row r="585">
      <c r="A585" t="inlineStr">
        <is>
          <t>D70977</t>
        </is>
      </c>
      <c r="B585" s="11" t="n">
        <v>45975</v>
      </c>
      <c r="C585" t="inlineStr">
        <is>
          <t>S0105</t>
        </is>
      </c>
      <c r="D585" t="inlineStr">
        <is>
          <t>S0105</t>
        </is>
      </c>
      <c r="E585" t="inlineStr">
        <is>
          <t>FP</t>
        </is>
      </c>
      <c r="F585" t="n">
        <v>59</v>
      </c>
      <c r="G585" t="inlineStr">
        <is>
          <t>IN</t>
        </is>
      </c>
      <c r="H585">
        <f>IF(G585="OUT",F585,-F585)</f>
        <v>-59</v>
      </c>
      <c r="I585">
        <f>IF(AND(B585&gt;=DATE(2025,7,1),B585&lt;=DATE(2026,6,30)),1,0)</f>
        <v>1</v>
      </c>
      <c r="J585">
        <f>IF(B585&lt;=DATE(2026,6,30),1,0)</f>
        <v>1</v>
      </c>
      <c r="K585" t="inlineStr"/>
      <c r="L585" t="inlineStr">
        <is>
          <t>Yard</t>
        </is>
      </c>
      <c r="M585">
        <f>COUNTIFS('Asset Log'!$A$5:$A$1379,A585,'Asset Log'!$E$5:$E$1379,E585,'Asset Log'!$G$5:$G$1379,G585)</f>
        <v>1</v>
      </c>
    </row>
    <row r="586">
      <c r="A586" t="inlineStr">
        <is>
          <t>D70980</t>
        </is>
      </c>
      <c r="B586" s="11" t="n">
        <v>45975</v>
      </c>
      <c r="C586" t="inlineStr">
        <is>
          <t>105</t>
        </is>
      </c>
      <c r="D586" t="inlineStr">
        <is>
          <t>S0105</t>
        </is>
      </c>
      <c r="E586" t="inlineStr">
        <is>
          <t>FB</t>
        </is>
      </c>
      <c r="F586" t="n">
        <v>64</v>
      </c>
      <c r="G586" t="inlineStr">
        <is>
          <t>IN</t>
        </is>
      </c>
      <c r="H586">
        <f>IF(G586="OUT",F586,-F586)</f>
        <v>-64</v>
      </c>
      <c r="I586">
        <f>IF(AND(B586&gt;=DATE(2025,7,1),B586&lt;=DATE(2026,6,30)),1,0)</f>
        <v>1</v>
      </c>
      <c r="J586">
        <f>IF(B586&lt;=DATE(2026,6,30),1,0)</f>
        <v>1</v>
      </c>
      <c r="K586" t="inlineStr">
        <is>
          <t>Site text normalised</t>
        </is>
      </c>
      <c r="L586" t="inlineStr">
        <is>
          <t>Driver</t>
        </is>
      </c>
      <c r="M586">
        <f>COUNTIFS('Asset Log'!$A$5:$A$1379,A586,'Asset Log'!$E$5:$E$1379,E586,'Asset Log'!$G$5:$G$1379,G586)</f>
        <v>1</v>
      </c>
    </row>
    <row r="587">
      <c r="A587" t="inlineStr">
        <is>
          <t>D71037</t>
        </is>
      </c>
      <c r="B587" s="11" t="n">
        <v>45975</v>
      </c>
      <c r="C587" t="inlineStr">
        <is>
          <t>s111</t>
        </is>
      </c>
      <c r="D587" t="inlineStr">
        <is>
          <t>S0111</t>
        </is>
      </c>
      <c r="E587" t="inlineStr">
        <is>
          <t>FP</t>
        </is>
      </c>
      <c r="F587" t="n">
        <v>35</v>
      </c>
      <c r="G587" t="inlineStr">
        <is>
          <t>OUT</t>
        </is>
      </c>
      <c r="H587">
        <f>IF(G587="OUT",F587,-F587)</f>
        <v>35</v>
      </c>
      <c r="I587">
        <f>IF(AND(B587&gt;=DATE(2025,7,1),B587&lt;=DATE(2026,6,30)),1,0)</f>
        <v>1</v>
      </c>
      <c r="J587">
        <f>IF(B587&lt;=DATE(2026,6,30),1,0)</f>
        <v>1</v>
      </c>
      <c r="K587" t="inlineStr">
        <is>
          <t>Site text normalised</t>
        </is>
      </c>
      <c r="L587" t="inlineStr">
        <is>
          <t>Driver</t>
        </is>
      </c>
      <c r="M587">
        <f>COUNTIFS('Asset Log'!$A$5:$A$1379,A587,'Asset Log'!$E$5:$E$1379,E587,'Asset Log'!$G$5:$G$1379,G587)</f>
        <v>1</v>
      </c>
    </row>
    <row r="588">
      <c r="A588" t="inlineStr">
        <is>
          <t>D71041</t>
        </is>
      </c>
      <c r="B588" s="11" t="n">
        <v>45975</v>
      </c>
      <c r="C588" t="inlineStr">
        <is>
          <t>S0111</t>
        </is>
      </c>
      <c r="D588" t="inlineStr">
        <is>
          <t>S0111</t>
        </is>
      </c>
      <c r="E588" t="inlineStr">
        <is>
          <t>FB</t>
        </is>
      </c>
      <c r="F588" t="n">
        <v>38</v>
      </c>
      <c r="G588" t="inlineStr">
        <is>
          <t>OUT</t>
        </is>
      </c>
      <c r="H588">
        <f>IF(G588="OUT",F588,-F588)</f>
        <v>38</v>
      </c>
      <c r="I588">
        <f>IF(AND(B588&gt;=DATE(2025,7,1),B588&lt;=DATE(2026,6,30)),1,0)</f>
        <v>1</v>
      </c>
      <c r="J588">
        <f>IF(B588&lt;=DATE(2026,6,30),1,0)</f>
        <v>1</v>
      </c>
      <c r="K588" t="inlineStr"/>
      <c r="L588" t="inlineStr">
        <is>
          <t>Yard</t>
        </is>
      </c>
      <c r="M588">
        <f>COUNTIFS('Asset Log'!$A$5:$A$1379,A588,'Asset Log'!$E$5:$E$1379,E588,'Asset Log'!$G$5:$G$1379,G588)</f>
        <v>1</v>
      </c>
    </row>
    <row r="589">
      <c r="A589" t="inlineStr">
        <is>
          <t>D71457</t>
        </is>
      </c>
      <c r="B589" s="11" t="n">
        <v>45975</v>
      </c>
      <c r="C589" t="inlineStr">
        <is>
          <t>S0153</t>
        </is>
      </c>
      <c r="D589" t="inlineStr">
        <is>
          <t>S0153</t>
        </is>
      </c>
      <c r="E589" t="inlineStr">
        <is>
          <t>FP</t>
        </is>
      </c>
      <c r="F589" t="n">
        <v>40</v>
      </c>
      <c r="G589" t="inlineStr">
        <is>
          <t>OUT</t>
        </is>
      </c>
      <c r="H589">
        <f>IF(G589="OUT",F589,-F589)</f>
        <v>40</v>
      </c>
      <c r="I589">
        <f>IF(AND(B589&gt;=DATE(2025,7,1),B589&lt;=DATE(2026,6,30)),1,0)</f>
        <v>1</v>
      </c>
      <c r="J589">
        <f>IF(B589&lt;=DATE(2026,6,30),1,0)</f>
        <v>1</v>
      </c>
      <c r="K589" t="inlineStr"/>
      <c r="L589" t="inlineStr">
        <is>
          <t>Driver</t>
        </is>
      </c>
      <c r="M589">
        <f>COUNTIFS('Asset Log'!$A$5:$A$1379,A589,'Asset Log'!$E$5:$E$1379,E589,'Asset Log'!$G$5:$G$1379,G589)</f>
        <v>1</v>
      </c>
    </row>
    <row r="590">
      <c r="A590" t="inlineStr">
        <is>
          <t>D71463</t>
        </is>
      </c>
      <c r="B590" s="11" t="n">
        <v>45975</v>
      </c>
      <c r="C590" t="inlineStr">
        <is>
          <t>S0153</t>
        </is>
      </c>
      <c r="D590" t="inlineStr">
        <is>
          <t>S0153</t>
        </is>
      </c>
      <c r="E590" t="inlineStr">
        <is>
          <t>FB</t>
        </is>
      </c>
      <c r="F590" t="n">
        <v>44</v>
      </c>
      <c r="G590" t="inlineStr">
        <is>
          <t>OUT</t>
        </is>
      </c>
      <c r="H590">
        <f>IF(G590="OUT",F590,-F590)</f>
        <v>44</v>
      </c>
      <c r="I590">
        <f>IF(AND(B590&gt;=DATE(2025,7,1),B590&lt;=DATE(2026,6,30)),1,0)</f>
        <v>1</v>
      </c>
      <c r="J590">
        <f>IF(B590&lt;=DATE(2026,6,30),1,0)</f>
        <v>1</v>
      </c>
      <c r="K590" t="inlineStr"/>
      <c r="L590" t="inlineStr">
        <is>
          <t>Office</t>
        </is>
      </c>
      <c r="M590">
        <f>COUNTIFS('Asset Log'!$A$5:$A$1379,A590,'Asset Log'!$E$5:$E$1379,E590,'Asset Log'!$G$5:$G$1379,G590)</f>
        <v>1</v>
      </c>
    </row>
    <row r="591">
      <c r="A591" t="inlineStr">
        <is>
          <t>D72444</t>
        </is>
      </c>
      <c r="B591" s="11" t="n">
        <v>45975</v>
      </c>
      <c r="C591" t="inlineStr">
        <is>
          <t>S0293</t>
        </is>
      </c>
      <c r="D591" t="inlineStr">
        <is>
          <t>S0293</t>
        </is>
      </c>
      <c r="E591" t="inlineStr">
        <is>
          <t>ST</t>
        </is>
      </c>
      <c r="F591" t="n">
        <v>6</v>
      </c>
      <c r="G591" t="inlineStr">
        <is>
          <t>OUT</t>
        </is>
      </c>
      <c r="H591">
        <f>IF(G591="OUT",F591,-F591)</f>
        <v>6</v>
      </c>
      <c r="I591">
        <f>IF(AND(B591&gt;=DATE(2025,7,1),B591&lt;=DATE(2026,6,30)),1,0)</f>
        <v>1</v>
      </c>
      <c r="J591">
        <f>IF(B591&lt;=DATE(2026,6,30),1,0)</f>
        <v>1</v>
      </c>
      <c r="K591" t="inlineStr"/>
      <c r="L591" t="inlineStr">
        <is>
          <t>Office</t>
        </is>
      </c>
      <c r="M591">
        <f>COUNTIFS('Asset Log'!$A$5:$A$1379,A591,'Asset Log'!$E$5:$E$1379,E591,'Asset Log'!$G$5:$G$1379,G591)</f>
        <v>1</v>
      </c>
    </row>
    <row r="592">
      <c r="A592" t="inlineStr">
        <is>
          <t>D72629</t>
        </is>
      </c>
      <c r="B592" s="11" t="n">
        <v>45975</v>
      </c>
      <c r="C592" t="inlineStr">
        <is>
          <t>S0408</t>
        </is>
      </c>
      <c r="D592" t="inlineStr">
        <is>
          <t>S0408</t>
        </is>
      </c>
      <c r="E592" t="inlineStr">
        <is>
          <t>TK</t>
        </is>
      </c>
      <c r="F592" t="n">
        <v>3</v>
      </c>
      <c r="G592" t="inlineStr">
        <is>
          <t>OUT</t>
        </is>
      </c>
      <c r="H592">
        <f>IF(G592="OUT",F592,-F592)</f>
        <v>3</v>
      </c>
      <c r="I592">
        <f>IF(AND(B592&gt;=DATE(2025,7,1),B592&lt;=DATE(2026,6,30)),1,0)</f>
        <v>1</v>
      </c>
      <c r="J592">
        <f>IF(B592&lt;=DATE(2026,6,30),1,0)</f>
        <v>1</v>
      </c>
      <c r="K592" t="inlineStr"/>
      <c r="L592" t="inlineStr">
        <is>
          <t>Office</t>
        </is>
      </c>
      <c r="M592">
        <f>COUNTIFS('Asset Log'!$A$5:$A$1379,A592,'Asset Log'!$E$5:$E$1379,E592,'Asset Log'!$G$5:$G$1379,G592)</f>
        <v>1</v>
      </c>
    </row>
    <row r="593">
      <c r="A593" t="inlineStr">
        <is>
          <t>D72109</t>
        </is>
      </c>
      <c r="B593" s="11" t="n">
        <v>45976</v>
      </c>
      <c r="C593" t="inlineStr">
        <is>
          <t>S0223</t>
        </is>
      </c>
      <c r="D593" t="inlineStr">
        <is>
          <t>S0223</t>
        </is>
      </c>
      <c r="E593" t="inlineStr">
        <is>
          <t>FP</t>
        </is>
      </c>
      <c r="F593" t="n">
        <v>25</v>
      </c>
      <c r="G593" t="inlineStr">
        <is>
          <t>OUT</t>
        </is>
      </c>
      <c r="H593">
        <f>IF(G593="OUT",F593,-F593)</f>
        <v>25</v>
      </c>
      <c r="I593">
        <f>IF(AND(B593&gt;=DATE(2025,7,1),B593&lt;=DATE(2026,6,30)),1,0)</f>
        <v>1</v>
      </c>
      <c r="J593">
        <f>IF(B593&lt;=DATE(2026,6,30),1,0)</f>
        <v>1</v>
      </c>
      <c r="K593" t="inlineStr"/>
      <c r="L593" t="inlineStr">
        <is>
          <t>Office</t>
        </is>
      </c>
      <c r="M593">
        <f>COUNTIFS('Asset Log'!$A$5:$A$1379,A593,'Asset Log'!$E$5:$E$1379,E593,'Asset Log'!$G$5:$G$1379,G593)</f>
        <v>1</v>
      </c>
    </row>
    <row r="594">
      <c r="A594" t="inlineStr">
        <is>
          <t>D72114</t>
        </is>
      </c>
      <c r="B594" s="11" t="n">
        <v>45976</v>
      </c>
      <c r="C594" t="inlineStr">
        <is>
          <t>S0223</t>
        </is>
      </c>
      <c r="D594" t="inlineStr">
        <is>
          <t>S0223</t>
        </is>
      </c>
      <c r="E594" t="inlineStr">
        <is>
          <t>FB</t>
        </is>
      </c>
      <c r="F594" t="n">
        <v>27</v>
      </c>
      <c r="G594" t="inlineStr">
        <is>
          <t>OUT</t>
        </is>
      </c>
      <c r="H594">
        <f>IF(G594="OUT",F594,-F594)</f>
        <v>27</v>
      </c>
      <c r="I594">
        <f>IF(AND(B594&gt;=DATE(2025,7,1),B594&lt;=DATE(2026,6,30)),1,0)</f>
        <v>1</v>
      </c>
      <c r="J594">
        <f>IF(B594&lt;=DATE(2026,6,30),1,0)</f>
        <v>1</v>
      </c>
      <c r="K594" t="inlineStr"/>
      <c r="L594" t="inlineStr">
        <is>
          <t>Yard</t>
        </is>
      </c>
      <c r="M594">
        <f>COUNTIFS('Asset Log'!$A$5:$A$1379,A594,'Asset Log'!$E$5:$E$1379,E594,'Asset Log'!$G$5:$G$1379,G594)</f>
        <v>1</v>
      </c>
    </row>
    <row r="595">
      <c r="A595" t="inlineStr">
        <is>
          <t>D70892</t>
        </is>
      </c>
      <c r="B595" s="11" t="n">
        <v>45977</v>
      </c>
      <c r="C595" t="inlineStr">
        <is>
          <t>S0095</t>
        </is>
      </c>
      <c r="D595" t="inlineStr">
        <is>
          <t>S0095</t>
        </is>
      </c>
      <c r="E595" t="inlineStr">
        <is>
          <t>FP</t>
        </is>
      </c>
      <c r="F595" t="n">
        <v>129</v>
      </c>
      <c r="G595" t="inlineStr">
        <is>
          <t>OUT</t>
        </is>
      </c>
      <c r="H595">
        <f>IF(G595="OUT",F595,-F595)</f>
        <v>129</v>
      </c>
      <c r="I595">
        <f>IF(AND(B595&gt;=DATE(2025,7,1),B595&lt;=DATE(2026,6,30)),1,0)</f>
        <v>1</v>
      </c>
      <c r="J595">
        <f>IF(B595&lt;=DATE(2026,6,30),1,0)</f>
        <v>1</v>
      </c>
      <c r="K595" t="inlineStr"/>
      <c r="L595" t="inlineStr">
        <is>
          <t>Office</t>
        </is>
      </c>
      <c r="M595">
        <f>COUNTIFS('Asset Log'!$A$5:$A$1379,A595,'Asset Log'!$E$5:$E$1379,E595,'Asset Log'!$G$5:$G$1379,G595)</f>
        <v>1</v>
      </c>
    </row>
    <row r="596">
      <c r="A596" t="inlineStr">
        <is>
          <t>D70894</t>
        </is>
      </c>
      <c r="B596" s="11" t="n">
        <v>45977</v>
      </c>
      <c r="C596" t="inlineStr">
        <is>
          <t>S0095</t>
        </is>
      </c>
      <c r="D596" t="inlineStr">
        <is>
          <t>S0095</t>
        </is>
      </c>
      <c r="E596" t="inlineStr">
        <is>
          <t>FB</t>
        </is>
      </c>
      <c r="F596" t="n">
        <v>141</v>
      </c>
      <c r="G596" t="inlineStr">
        <is>
          <t>OUT</t>
        </is>
      </c>
      <c r="H596">
        <f>IF(G596="OUT",F596,-F596)</f>
        <v>141</v>
      </c>
      <c r="I596">
        <f>IF(AND(B596&gt;=DATE(2025,7,1),B596&lt;=DATE(2026,6,30)),1,0)</f>
        <v>1</v>
      </c>
      <c r="J596">
        <f>IF(B596&lt;=DATE(2026,6,30),1,0)</f>
        <v>1</v>
      </c>
      <c r="K596" t="inlineStr"/>
      <c r="L596" t="inlineStr">
        <is>
          <t>Driver</t>
        </is>
      </c>
      <c r="M596">
        <f>COUNTIFS('Asset Log'!$A$5:$A$1379,A596,'Asset Log'!$E$5:$E$1379,E596,'Asset Log'!$G$5:$G$1379,G596)</f>
        <v>1</v>
      </c>
    </row>
    <row r="597">
      <c r="A597" t="inlineStr">
        <is>
          <t>D71076</t>
        </is>
      </c>
      <c r="B597" s="11" t="n">
        <v>45977</v>
      </c>
      <c r="C597" t="inlineStr">
        <is>
          <t>S0115</t>
        </is>
      </c>
      <c r="D597" t="inlineStr">
        <is>
          <t>S0115</t>
        </is>
      </c>
      <c r="E597" t="inlineStr">
        <is>
          <t>FP</t>
        </is>
      </c>
      <c r="F597" t="n">
        <v>81</v>
      </c>
      <c r="G597" t="inlineStr">
        <is>
          <t>IN</t>
        </is>
      </c>
      <c r="H597">
        <f>IF(G597="OUT",F597,-F597)</f>
        <v>-81</v>
      </c>
      <c r="I597">
        <f>IF(AND(B597&gt;=DATE(2025,7,1),B597&lt;=DATE(2026,6,30)),1,0)</f>
        <v>1</v>
      </c>
      <c r="J597">
        <f>IF(B597&lt;=DATE(2026,6,30),1,0)</f>
        <v>1</v>
      </c>
      <c r="K597" t="inlineStr"/>
      <c r="L597" t="inlineStr">
        <is>
          <t>Office</t>
        </is>
      </c>
      <c r="M597">
        <f>COUNTIFS('Asset Log'!$A$5:$A$1379,A597,'Asset Log'!$E$5:$E$1379,E597,'Asset Log'!$G$5:$G$1379,G597)</f>
        <v>1</v>
      </c>
    </row>
    <row r="598">
      <c r="A598" t="inlineStr">
        <is>
          <t>D71080</t>
        </is>
      </c>
      <c r="B598" s="11" t="n">
        <v>45977</v>
      </c>
      <c r="C598" t="inlineStr">
        <is>
          <t>S0115</t>
        </is>
      </c>
      <c r="D598" t="inlineStr">
        <is>
          <t>S0115</t>
        </is>
      </c>
      <c r="E598" t="inlineStr">
        <is>
          <t>FB</t>
        </is>
      </c>
      <c r="F598" t="n">
        <v>89</v>
      </c>
      <c r="G598" t="inlineStr">
        <is>
          <t>IN</t>
        </is>
      </c>
      <c r="H598">
        <f>IF(G598="OUT",F598,-F598)</f>
        <v>-89</v>
      </c>
      <c r="I598">
        <f>IF(AND(B598&gt;=DATE(2025,7,1),B598&lt;=DATE(2026,6,30)),1,0)</f>
        <v>1</v>
      </c>
      <c r="J598">
        <f>IF(B598&lt;=DATE(2026,6,30),1,0)</f>
        <v>1</v>
      </c>
      <c r="K598" t="inlineStr"/>
      <c r="L598" t="inlineStr">
        <is>
          <t>Driver</t>
        </is>
      </c>
      <c r="M598">
        <f>COUNTIFS('Asset Log'!$A$5:$A$1379,A598,'Asset Log'!$E$5:$E$1379,E598,'Asset Log'!$G$5:$G$1379,G598)</f>
        <v>1</v>
      </c>
    </row>
    <row r="599">
      <c r="A599" t="inlineStr">
        <is>
          <t>D71553</t>
        </is>
      </c>
      <c r="B599" s="11" t="n">
        <v>45977</v>
      </c>
      <c r="C599" t="inlineStr">
        <is>
          <t>s161</t>
        </is>
      </c>
      <c r="D599" t="inlineStr">
        <is>
          <t>S0161</t>
        </is>
      </c>
      <c r="E599" t="inlineStr">
        <is>
          <t>FP</t>
        </is>
      </c>
      <c r="F599" t="n">
        <v>131</v>
      </c>
      <c r="G599" t="inlineStr">
        <is>
          <t>IN</t>
        </is>
      </c>
      <c r="H599">
        <f>IF(G599="OUT",F599,-F599)</f>
        <v>-131</v>
      </c>
      <c r="I599">
        <f>IF(AND(B599&gt;=DATE(2025,7,1),B599&lt;=DATE(2026,6,30)),1,0)</f>
        <v>1</v>
      </c>
      <c r="J599">
        <f>IF(B599&lt;=DATE(2026,6,30),1,0)</f>
        <v>1</v>
      </c>
      <c r="K599" t="inlineStr">
        <is>
          <t>Site text normalised</t>
        </is>
      </c>
      <c r="L599" t="inlineStr">
        <is>
          <t>Office</t>
        </is>
      </c>
      <c r="M599">
        <f>COUNTIFS('Asset Log'!$A$5:$A$1379,A599,'Asset Log'!$E$5:$E$1379,E599,'Asset Log'!$G$5:$G$1379,G599)</f>
        <v>1</v>
      </c>
    </row>
    <row r="600">
      <c r="A600" t="inlineStr">
        <is>
          <t>D71559</t>
        </is>
      </c>
      <c r="B600" s="11" t="n">
        <v>45977</v>
      </c>
      <c r="C600" t="inlineStr">
        <is>
          <t>S0161</t>
        </is>
      </c>
      <c r="D600" t="inlineStr">
        <is>
          <t>S0161</t>
        </is>
      </c>
      <c r="E600" t="inlineStr">
        <is>
          <t>FB</t>
        </is>
      </c>
      <c r="F600" t="n">
        <v>144</v>
      </c>
      <c r="G600" t="inlineStr">
        <is>
          <t>IN</t>
        </is>
      </c>
      <c r="H600">
        <f>IF(G600="OUT",F600,-F600)</f>
        <v>-144</v>
      </c>
      <c r="I600">
        <f>IF(AND(B600&gt;=DATE(2025,7,1),B600&lt;=DATE(2026,6,30)),1,0)</f>
        <v>1</v>
      </c>
      <c r="J600">
        <f>IF(B600&lt;=DATE(2026,6,30),1,0)</f>
        <v>1</v>
      </c>
      <c r="K600" t="inlineStr"/>
      <c r="L600" t="inlineStr">
        <is>
          <t>Yard</t>
        </is>
      </c>
      <c r="M600">
        <f>COUNTIFS('Asset Log'!$A$5:$A$1379,A600,'Asset Log'!$E$5:$E$1379,E600,'Asset Log'!$G$5:$G$1379,G600)</f>
        <v>1</v>
      </c>
    </row>
    <row r="601">
      <c r="A601" t="inlineStr">
        <is>
          <t>D72082</t>
        </is>
      </c>
      <c r="B601" s="11" t="n">
        <v>45979</v>
      </c>
      <c r="C601" t="inlineStr">
        <is>
          <t>S0220</t>
        </is>
      </c>
      <c r="D601" t="inlineStr">
        <is>
          <t>S0220</t>
        </is>
      </c>
      <c r="E601" t="inlineStr">
        <is>
          <t>FP</t>
        </is>
      </c>
      <c r="F601" t="n">
        <v>114</v>
      </c>
      <c r="G601" t="inlineStr">
        <is>
          <t>OUT</t>
        </is>
      </c>
      <c r="H601">
        <f>IF(G601="OUT",F601,-F601)</f>
        <v>114</v>
      </c>
      <c r="I601">
        <f>IF(AND(B601&gt;=DATE(2025,7,1),B601&lt;=DATE(2026,6,30)),1,0)</f>
        <v>1</v>
      </c>
      <c r="J601">
        <f>IF(B601&lt;=DATE(2026,6,30),1,0)</f>
        <v>1</v>
      </c>
      <c r="K601" t="inlineStr"/>
      <c r="L601" t="inlineStr">
        <is>
          <t>Office</t>
        </is>
      </c>
      <c r="M601">
        <f>COUNTIFS('Asset Log'!$A$5:$A$1379,A601,'Asset Log'!$E$5:$E$1379,E601,'Asset Log'!$G$5:$G$1379,G601)</f>
        <v>1</v>
      </c>
    </row>
    <row r="602">
      <c r="A602" t="inlineStr">
        <is>
          <t>D72086</t>
        </is>
      </c>
      <c r="B602" s="11" t="n">
        <v>45979</v>
      </c>
      <c r="C602" t="inlineStr">
        <is>
          <t>S0220</t>
        </is>
      </c>
      <c r="D602" t="inlineStr">
        <is>
          <t>S0220</t>
        </is>
      </c>
      <c r="E602" t="inlineStr">
        <is>
          <t>FB</t>
        </is>
      </c>
      <c r="F602" t="n">
        <v>125</v>
      </c>
      <c r="G602" t="inlineStr">
        <is>
          <t>OUT</t>
        </is>
      </c>
      <c r="H602">
        <f>IF(G602="OUT",F602,-F602)</f>
        <v>125</v>
      </c>
      <c r="I602">
        <f>IF(AND(B602&gt;=DATE(2025,7,1),B602&lt;=DATE(2026,6,30)),1,0)</f>
        <v>1</v>
      </c>
      <c r="J602">
        <f>IF(B602&lt;=DATE(2026,6,30),1,0)</f>
        <v>1</v>
      </c>
      <c r="K602" t="inlineStr"/>
      <c r="L602" t="inlineStr">
        <is>
          <t>Office</t>
        </is>
      </c>
      <c r="M602">
        <f>COUNTIFS('Asset Log'!$A$5:$A$1379,A602,'Asset Log'!$E$5:$E$1379,E602,'Asset Log'!$G$5:$G$1379,G602)</f>
        <v>1</v>
      </c>
    </row>
    <row r="603">
      <c r="A603" t="inlineStr">
        <is>
          <t>D70637</t>
        </is>
      </c>
      <c r="B603" s="11" t="n">
        <v>45981</v>
      </c>
      <c r="C603" t="inlineStr">
        <is>
          <t>S0068</t>
        </is>
      </c>
      <c r="D603" t="inlineStr">
        <is>
          <t>S0068</t>
        </is>
      </c>
      <c r="E603" t="inlineStr">
        <is>
          <t>FP</t>
        </is>
      </c>
      <c r="F603" t="n">
        <v>38</v>
      </c>
      <c r="G603" t="inlineStr">
        <is>
          <t>IN</t>
        </is>
      </c>
      <c r="H603">
        <f>IF(G603="OUT",F603,-F603)</f>
        <v>-38</v>
      </c>
      <c r="I603">
        <f>IF(AND(B603&gt;=DATE(2025,7,1),B603&lt;=DATE(2026,6,30)),1,0)</f>
        <v>1</v>
      </c>
      <c r="J603">
        <f>IF(B603&lt;=DATE(2026,6,30),1,0)</f>
        <v>1</v>
      </c>
      <c r="K603" t="inlineStr"/>
      <c r="L603" t="inlineStr">
        <is>
          <t>Yard</t>
        </is>
      </c>
      <c r="M603">
        <f>COUNTIFS('Asset Log'!$A$5:$A$1379,A603,'Asset Log'!$E$5:$E$1379,E603,'Asset Log'!$G$5:$G$1379,G603)</f>
        <v>1</v>
      </c>
    </row>
    <row r="604">
      <c r="A604" t="inlineStr">
        <is>
          <t>D70639</t>
        </is>
      </c>
      <c r="B604" s="11" t="n">
        <v>45981</v>
      </c>
      <c r="C604" t="inlineStr">
        <is>
          <t>S0068</t>
        </is>
      </c>
      <c r="D604" t="inlineStr">
        <is>
          <t>S0068</t>
        </is>
      </c>
      <c r="E604" t="inlineStr">
        <is>
          <t>FB</t>
        </is>
      </c>
      <c r="F604" t="n">
        <v>41</v>
      </c>
      <c r="G604" t="inlineStr">
        <is>
          <t>IN</t>
        </is>
      </c>
      <c r="H604">
        <f>IF(G604="OUT",F604,-F604)</f>
        <v>-41</v>
      </c>
      <c r="I604">
        <f>IF(AND(B604&gt;=DATE(2025,7,1),B604&lt;=DATE(2026,6,30)),1,0)</f>
        <v>1</v>
      </c>
      <c r="J604">
        <f>IF(B604&lt;=DATE(2026,6,30),1,0)</f>
        <v>1</v>
      </c>
      <c r="K604" t="inlineStr"/>
      <c r="L604" t="inlineStr">
        <is>
          <t>Yard</t>
        </is>
      </c>
      <c r="M604">
        <f>COUNTIFS('Asset Log'!$A$5:$A$1379,A604,'Asset Log'!$E$5:$E$1379,E604,'Asset Log'!$G$5:$G$1379,G604)</f>
        <v>1</v>
      </c>
    </row>
    <row r="605">
      <c r="A605" t="inlineStr">
        <is>
          <t>D71814</t>
        </is>
      </c>
      <c r="B605" s="11" t="n">
        <v>45981</v>
      </c>
      <c r="C605" t="inlineStr">
        <is>
          <t>S0192</t>
        </is>
      </c>
      <c r="D605" t="inlineStr">
        <is>
          <t>S0192</t>
        </is>
      </c>
      <c r="E605" t="inlineStr">
        <is>
          <t>FP</t>
        </is>
      </c>
      <c r="F605" t="n">
        <v>149</v>
      </c>
      <c r="G605" t="inlineStr">
        <is>
          <t>IN</t>
        </is>
      </c>
      <c r="H605">
        <f>IF(G605="OUT",F605,-F605)</f>
        <v>-149</v>
      </c>
      <c r="I605">
        <f>IF(AND(B605&gt;=DATE(2025,7,1),B605&lt;=DATE(2026,6,30)),1,0)</f>
        <v>1</v>
      </c>
      <c r="J605">
        <f>IF(B605&lt;=DATE(2026,6,30),1,0)</f>
        <v>1</v>
      </c>
      <c r="K605" t="inlineStr"/>
      <c r="L605" t="inlineStr">
        <is>
          <t>Driver</t>
        </is>
      </c>
      <c r="M605">
        <f>COUNTIFS('Asset Log'!$A$5:$A$1379,A605,'Asset Log'!$E$5:$E$1379,E605,'Asset Log'!$G$5:$G$1379,G605)</f>
        <v>1</v>
      </c>
    </row>
    <row r="606">
      <c r="A606" t="inlineStr">
        <is>
          <t>D71819</t>
        </is>
      </c>
      <c r="B606" s="11" t="n">
        <v>45981</v>
      </c>
      <c r="C606" t="inlineStr">
        <is>
          <t>S0192</t>
        </is>
      </c>
      <c r="D606" t="inlineStr">
        <is>
          <t>S0192</t>
        </is>
      </c>
      <c r="E606" t="inlineStr">
        <is>
          <t>FB</t>
        </is>
      </c>
      <c r="F606" t="n">
        <v>163</v>
      </c>
      <c r="G606" t="inlineStr">
        <is>
          <t>IN</t>
        </is>
      </c>
      <c r="H606">
        <f>IF(G606="OUT",F606,-F606)</f>
        <v>-163</v>
      </c>
      <c r="I606">
        <f>IF(AND(B606&gt;=DATE(2025,7,1),B606&lt;=DATE(2026,6,30)),1,0)</f>
        <v>1</v>
      </c>
      <c r="J606">
        <f>IF(B606&lt;=DATE(2026,6,30),1,0)</f>
        <v>1</v>
      </c>
      <c r="K606" t="inlineStr"/>
      <c r="L606" t="inlineStr">
        <is>
          <t>Driver</t>
        </is>
      </c>
      <c r="M606">
        <f>COUNTIFS('Asset Log'!$A$5:$A$1379,A606,'Asset Log'!$E$5:$E$1379,E606,'Asset Log'!$G$5:$G$1379,G606)</f>
        <v>1</v>
      </c>
    </row>
    <row r="607">
      <c r="A607" t="inlineStr">
        <is>
          <t>D72441</t>
        </is>
      </c>
      <c r="B607" s="11" t="n">
        <v>45981</v>
      </c>
      <c r="C607" t="inlineStr">
        <is>
          <t>S0292</t>
        </is>
      </c>
      <c r="D607" t="inlineStr">
        <is>
          <t>S0292</t>
        </is>
      </c>
      <c r="E607" t="inlineStr">
        <is>
          <t>ST</t>
        </is>
      </c>
      <c r="F607" t="n">
        <v>1</v>
      </c>
      <c r="G607" t="inlineStr">
        <is>
          <t>OUT</t>
        </is>
      </c>
      <c r="H607">
        <f>IF(G607="OUT",F607,-F607)</f>
        <v>1</v>
      </c>
      <c r="I607">
        <f>IF(AND(B607&gt;=DATE(2025,7,1),B607&lt;=DATE(2026,6,30)),1,0)</f>
        <v>1</v>
      </c>
      <c r="J607">
        <f>IF(B607&lt;=DATE(2026,6,30),1,0)</f>
        <v>1</v>
      </c>
      <c r="K607" t="inlineStr"/>
      <c r="L607" t="inlineStr">
        <is>
          <t>Driver</t>
        </is>
      </c>
      <c r="M607">
        <f>COUNTIFS('Asset Log'!$A$5:$A$1379,A607,'Asset Log'!$E$5:$E$1379,E607,'Asset Log'!$G$5:$G$1379,G607)</f>
        <v>1</v>
      </c>
    </row>
    <row r="608">
      <c r="A608" t="inlineStr">
        <is>
          <t>D72508</t>
        </is>
      </c>
      <c r="B608" s="11" t="n">
        <v>45981</v>
      </c>
      <c r="C608" t="inlineStr">
        <is>
          <t>s336</t>
        </is>
      </c>
      <c r="D608" t="inlineStr">
        <is>
          <t>S0336</t>
        </is>
      </c>
      <c r="E608" t="inlineStr">
        <is>
          <t>TK</t>
        </is>
      </c>
      <c r="F608" t="n">
        <v>1</v>
      </c>
      <c r="G608" t="inlineStr">
        <is>
          <t>IN</t>
        </is>
      </c>
      <c r="H608">
        <f>IF(G608="OUT",F608,-F608)</f>
        <v>-1</v>
      </c>
      <c r="I608">
        <f>IF(AND(B608&gt;=DATE(2025,7,1),B608&lt;=DATE(2026,6,30)),1,0)</f>
        <v>1</v>
      </c>
      <c r="J608">
        <f>IF(B608&lt;=DATE(2026,6,30),1,0)</f>
        <v>1</v>
      </c>
      <c r="K608" t="inlineStr">
        <is>
          <t>Site text normalised</t>
        </is>
      </c>
      <c r="L608" t="inlineStr">
        <is>
          <t>Office</t>
        </is>
      </c>
      <c r="M608">
        <f>COUNTIFS('Asset Log'!$A$5:$A$1379,A608,'Asset Log'!$E$5:$E$1379,E608,'Asset Log'!$G$5:$G$1379,G608)</f>
        <v>1</v>
      </c>
    </row>
    <row r="609">
      <c r="A609" t="inlineStr">
        <is>
          <t>D72375</t>
        </is>
      </c>
      <c r="B609" s="11" t="n">
        <v>45982</v>
      </c>
      <c r="C609" t="inlineStr">
        <is>
          <t>S0276</t>
        </is>
      </c>
      <c r="D609" t="inlineStr">
        <is>
          <t>S0276</t>
        </is>
      </c>
      <c r="E609" t="inlineStr">
        <is>
          <t>ST</t>
        </is>
      </c>
      <c r="F609" t="n">
        <v>2</v>
      </c>
      <c r="G609" t="inlineStr">
        <is>
          <t>OUT</t>
        </is>
      </c>
      <c r="H609">
        <f>IF(G609="OUT",F609,-F609)</f>
        <v>2</v>
      </c>
      <c r="I609">
        <f>IF(AND(B609&gt;=DATE(2025,7,1),B609&lt;=DATE(2026,6,30)),1,0)</f>
        <v>1</v>
      </c>
      <c r="J609">
        <f>IF(B609&lt;=DATE(2026,6,30),1,0)</f>
        <v>1</v>
      </c>
      <c r="K609" t="inlineStr"/>
      <c r="L609" t="inlineStr">
        <is>
          <t>Office</t>
        </is>
      </c>
      <c r="M609">
        <f>COUNTIFS('Asset Log'!$A$5:$A$1379,A609,'Asset Log'!$E$5:$E$1379,E609,'Asset Log'!$G$5:$G$1379,G609)</f>
        <v>1</v>
      </c>
    </row>
    <row r="610">
      <c r="A610" t="inlineStr">
        <is>
          <t>D71851</t>
        </is>
      </c>
      <c r="B610" s="11" t="n">
        <v>45984</v>
      </c>
      <c r="C610" t="inlineStr">
        <is>
          <t>196</t>
        </is>
      </c>
      <c r="D610" t="inlineStr">
        <is>
          <t>S0196</t>
        </is>
      </c>
      <c r="E610" t="inlineStr">
        <is>
          <t>FP</t>
        </is>
      </c>
      <c r="F610" t="n">
        <v>122</v>
      </c>
      <c r="G610" t="inlineStr">
        <is>
          <t>OUT</t>
        </is>
      </c>
      <c r="H610">
        <f>IF(G610="OUT",F610,-F610)</f>
        <v>122</v>
      </c>
      <c r="I610">
        <f>IF(AND(B610&gt;=DATE(2025,7,1),B610&lt;=DATE(2026,6,30)),1,0)</f>
        <v>1</v>
      </c>
      <c r="J610">
        <f>IF(B610&lt;=DATE(2026,6,30),1,0)</f>
        <v>1</v>
      </c>
      <c r="K610" t="inlineStr">
        <is>
          <t>Site text normalised</t>
        </is>
      </c>
      <c r="L610" t="inlineStr">
        <is>
          <t>Driver</t>
        </is>
      </c>
      <c r="M610">
        <f>COUNTIFS('Asset Log'!$A$5:$A$1379,A610,'Asset Log'!$E$5:$E$1379,E610,'Asset Log'!$G$5:$G$1379,G610)</f>
        <v>1</v>
      </c>
    </row>
    <row r="611">
      <c r="A611" t="inlineStr">
        <is>
          <t>D71857</t>
        </is>
      </c>
      <c r="B611" s="11" t="n">
        <v>45984</v>
      </c>
      <c r="C611" t="inlineStr">
        <is>
          <t>s196</t>
        </is>
      </c>
      <c r="D611" t="inlineStr">
        <is>
          <t>S0196</t>
        </is>
      </c>
      <c r="E611" t="inlineStr">
        <is>
          <t>FB</t>
        </is>
      </c>
      <c r="F611" t="n">
        <v>134</v>
      </c>
      <c r="G611" t="inlineStr">
        <is>
          <t>OUT</t>
        </is>
      </c>
      <c r="H611">
        <f>IF(G611="OUT",F611,-F611)</f>
        <v>134</v>
      </c>
      <c r="I611">
        <f>IF(AND(B611&gt;=DATE(2025,7,1),B611&lt;=DATE(2026,6,30)),1,0)</f>
        <v>1</v>
      </c>
      <c r="J611">
        <f>IF(B611&lt;=DATE(2026,6,30),1,0)</f>
        <v>1</v>
      </c>
      <c r="K611" t="inlineStr">
        <is>
          <t>Site text normalised</t>
        </is>
      </c>
      <c r="L611" t="inlineStr">
        <is>
          <t>Driver</t>
        </is>
      </c>
      <c r="M611">
        <f>COUNTIFS('Asset Log'!$A$5:$A$1379,A611,'Asset Log'!$E$5:$E$1379,E611,'Asset Log'!$G$5:$G$1379,G611)</f>
        <v>1</v>
      </c>
    </row>
    <row r="612">
      <c r="A612" t="inlineStr">
        <is>
          <t>D72291</t>
        </is>
      </c>
      <c r="B612" s="11" t="n">
        <v>45984</v>
      </c>
      <c r="C612" t="inlineStr">
        <is>
          <t>S0255</t>
        </is>
      </c>
      <c r="D612" t="inlineStr">
        <is>
          <t>S0255</t>
        </is>
      </c>
      <c r="E612" t="inlineStr">
        <is>
          <t>ST</t>
        </is>
      </c>
      <c r="F612" t="n">
        <v>3</v>
      </c>
      <c r="G612" t="inlineStr">
        <is>
          <t>OUT</t>
        </is>
      </c>
      <c r="H612">
        <f>IF(G612="OUT",F612,-F612)</f>
        <v>3</v>
      </c>
      <c r="I612">
        <f>IF(AND(B612&gt;=DATE(2025,7,1),B612&lt;=DATE(2026,6,30)),1,0)</f>
        <v>1</v>
      </c>
      <c r="J612">
        <f>IF(B612&lt;=DATE(2026,6,30),1,0)</f>
        <v>1</v>
      </c>
      <c r="K612" t="inlineStr"/>
      <c r="L612" t="inlineStr">
        <is>
          <t>Yard</t>
        </is>
      </c>
      <c r="M612">
        <f>COUNTIFS('Asset Log'!$A$5:$A$1379,A612,'Asset Log'!$E$5:$E$1379,E612,'Asset Log'!$G$5:$G$1379,G612)</f>
        <v>1</v>
      </c>
    </row>
    <row r="613">
      <c r="A613" t="inlineStr">
        <is>
          <t>D72497</t>
        </is>
      </c>
      <c r="B613" s="11" t="n">
        <v>45984</v>
      </c>
      <c r="C613" t="inlineStr">
        <is>
          <t>S0332</t>
        </is>
      </c>
      <c r="D613" t="inlineStr">
        <is>
          <t>S0332</t>
        </is>
      </c>
      <c r="E613" t="inlineStr">
        <is>
          <t>TK</t>
        </is>
      </c>
      <c r="F613" t="n">
        <v>3</v>
      </c>
      <c r="G613" t="inlineStr">
        <is>
          <t>OUT</t>
        </is>
      </c>
      <c r="H613">
        <f>IF(G613="OUT",F613,-F613)</f>
        <v>3</v>
      </c>
      <c r="I613">
        <f>IF(AND(B613&gt;=DATE(2025,7,1),B613&lt;=DATE(2026,6,30)),1,0)</f>
        <v>1</v>
      </c>
      <c r="J613">
        <f>IF(B613&lt;=DATE(2026,6,30),1,0)</f>
        <v>1</v>
      </c>
      <c r="K613" t="inlineStr"/>
      <c r="L613" t="inlineStr">
        <is>
          <t>Driver</t>
        </is>
      </c>
      <c r="M613">
        <f>COUNTIFS('Asset Log'!$A$5:$A$1379,A613,'Asset Log'!$E$5:$E$1379,E613,'Asset Log'!$G$5:$G$1379,G613)</f>
        <v>1</v>
      </c>
    </row>
    <row r="614">
      <c r="A614" t="inlineStr">
        <is>
          <t>D71359</t>
        </is>
      </c>
      <c r="B614" s="11" t="n">
        <v>45985</v>
      </c>
      <c r="C614" t="inlineStr">
        <is>
          <t>s144</t>
        </is>
      </c>
      <c r="D614" t="inlineStr">
        <is>
          <t>S0144</t>
        </is>
      </c>
      <c r="E614" t="inlineStr">
        <is>
          <t>FP</t>
        </is>
      </c>
      <c r="F614" t="n">
        <v>83</v>
      </c>
      <c r="G614" t="inlineStr">
        <is>
          <t>IN</t>
        </is>
      </c>
      <c r="H614">
        <f>IF(G614="OUT",F614,-F614)</f>
        <v>-83</v>
      </c>
      <c r="I614">
        <f>IF(AND(B614&gt;=DATE(2025,7,1),B614&lt;=DATE(2026,6,30)),1,0)</f>
        <v>1</v>
      </c>
      <c r="J614">
        <f>IF(B614&lt;=DATE(2026,6,30),1,0)</f>
        <v>1</v>
      </c>
      <c r="K614" t="inlineStr">
        <is>
          <t>Site text normalised</t>
        </is>
      </c>
      <c r="L614" t="inlineStr">
        <is>
          <t>Driver</t>
        </is>
      </c>
      <c r="M614">
        <f>COUNTIFS('Asset Log'!$A$5:$A$1379,A614,'Asset Log'!$E$5:$E$1379,E614,'Asset Log'!$G$5:$G$1379,G614)</f>
        <v>1</v>
      </c>
    </row>
    <row r="615">
      <c r="A615" t="inlineStr">
        <is>
          <t>D71362</t>
        </is>
      </c>
      <c r="B615" s="11" t="n">
        <v>45985</v>
      </c>
      <c r="C615" t="inlineStr">
        <is>
          <t>S0144</t>
        </is>
      </c>
      <c r="D615" t="inlineStr">
        <is>
          <t>S0144</t>
        </is>
      </c>
      <c r="E615" t="inlineStr">
        <is>
          <t>FB</t>
        </is>
      </c>
      <c r="F615" t="n">
        <v>91</v>
      </c>
      <c r="G615" t="inlineStr">
        <is>
          <t>IN</t>
        </is>
      </c>
      <c r="H615">
        <f>IF(G615="OUT",F615,-F615)</f>
        <v>-91</v>
      </c>
      <c r="I615">
        <f>IF(AND(B615&gt;=DATE(2025,7,1),B615&lt;=DATE(2026,6,30)),1,0)</f>
        <v>1</v>
      </c>
      <c r="J615">
        <f>IF(B615&lt;=DATE(2026,6,30),1,0)</f>
        <v>1</v>
      </c>
      <c r="K615" t="inlineStr"/>
      <c r="L615" t="inlineStr">
        <is>
          <t>Office</t>
        </is>
      </c>
      <c r="M615">
        <f>COUNTIFS('Asset Log'!$A$5:$A$1379,A615,'Asset Log'!$E$5:$E$1379,E615,'Asset Log'!$G$5:$G$1379,G615)</f>
        <v>1</v>
      </c>
    </row>
    <row r="616">
      <c r="A616" t="inlineStr">
        <is>
          <t>D71367</t>
        </is>
      </c>
      <c r="B616" s="11" t="n">
        <v>45985</v>
      </c>
      <c r="C616" t="inlineStr">
        <is>
          <t>S0144</t>
        </is>
      </c>
      <c r="D616" t="inlineStr">
        <is>
          <t>S0144</t>
        </is>
      </c>
      <c r="E616" t="inlineStr">
        <is>
          <t>BR</t>
        </is>
      </c>
      <c r="F616" t="n">
        <v>16</v>
      </c>
      <c r="G616" t="inlineStr">
        <is>
          <t>IN</t>
        </is>
      </c>
      <c r="H616">
        <f>IF(G616="OUT",F616,-F616)</f>
        <v>-16</v>
      </c>
      <c r="I616">
        <f>IF(AND(B616&gt;=DATE(2025,7,1),B616&lt;=DATE(2026,6,30)),1,0)</f>
        <v>1</v>
      </c>
      <c r="J616">
        <f>IF(B616&lt;=DATE(2026,6,30),1,0)</f>
        <v>1</v>
      </c>
      <c r="K616" t="inlineStr"/>
      <c r="L616" t="inlineStr">
        <is>
          <t>Yard</t>
        </is>
      </c>
      <c r="M616">
        <f>COUNTIFS('Asset Log'!$A$5:$A$1379,A616,'Asset Log'!$E$5:$E$1379,E616,'Asset Log'!$G$5:$G$1379,G616)</f>
        <v>1</v>
      </c>
    </row>
    <row r="617">
      <c r="A617" t="inlineStr">
        <is>
          <t>D70243</t>
        </is>
      </c>
      <c r="B617" s="11" t="n">
        <v>45987</v>
      </c>
      <c r="C617" t="inlineStr">
        <is>
          <t>S0026</t>
        </is>
      </c>
      <c r="D617" t="inlineStr">
        <is>
          <t>S0026</t>
        </is>
      </c>
      <c r="E617" t="inlineStr">
        <is>
          <t>FP</t>
        </is>
      </c>
      <c r="F617" t="n">
        <v>87</v>
      </c>
      <c r="G617" t="inlineStr">
        <is>
          <t>OUT</t>
        </is>
      </c>
      <c r="H617">
        <f>IF(G617="OUT",F617,-F617)</f>
        <v>87</v>
      </c>
      <c r="I617">
        <f>IF(AND(B617&gt;=DATE(2025,7,1),B617&lt;=DATE(2026,6,30)),1,0)</f>
        <v>1</v>
      </c>
      <c r="J617">
        <f>IF(B617&lt;=DATE(2026,6,30),1,0)</f>
        <v>1</v>
      </c>
      <c r="K617" t="inlineStr"/>
      <c r="L617" t="inlineStr">
        <is>
          <t>Driver</t>
        </is>
      </c>
      <c r="M617">
        <f>COUNTIFS('Asset Log'!$A$5:$A$1379,A617,'Asset Log'!$E$5:$E$1379,E617,'Asset Log'!$G$5:$G$1379,G617)</f>
        <v>1</v>
      </c>
    </row>
    <row r="618">
      <c r="A618" t="inlineStr">
        <is>
          <t>D70249</t>
        </is>
      </c>
      <c r="B618" s="11" t="n">
        <v>45987</v>
      </c>
      <c r="C618" t="inlineStr">
        <is>
          <t>S0026</t>
        </is>
      </c>
      <c r="D618" t="inlineStr">
        <is>
          <t>S0026</t>
        </is>
      </c>
      <c r="E618" t="inlineStr">
        <is>
          <t>FB</t>
        </is>
      </c>
      <c r="F618" t="n">
        <v>95</v>
      </c>
      <c r="G618" t="inlineStr">
        <is>
          <t>OUT</t>
        </is>
      </c>
      <c r="H618">
        <f>IF(G618="OUT",F618,-F618)</f>
        <v>95</v>
      </c>
      <c r="I618">
        <f>IF(AND(B618&gt;=DATE(2025,7,1),B618&lt;=DATE(2026,6,30)),1,0)</f>
        <v>1</v>
      </c>
      <c r="J618">
        <f>IF(B618&lt;=DATE(2026,6,30),1,0)</f>
        <v>1</v>
      </c>
      <c r="K618" t="inlineStr"/>
      <c r="L618" t="inlineStr">
        <is>
          <t>Office</t>
        </is>
      </c>
      <c r="M618">
        <f>COUNTIFS('Asset Log'!$A$5:$A$1379,A618,'Asset Log'!$E$5:$E$1379,E618,'Asset Log'!$G$5:$G$1379,G618)</f>
        <v>1</v>
      </c>
    </row>
    <row r="619">
      <c r="A619" t="inlineStr">
        <is>
          <t>D70312</t>
        </is>
      </c>
      <c r="B619" s="11" t="n">
        <v>45987</v>
      </c>
      <c r="C619" t="inlineStr">
        <is>
          <t>S0034</t>
        </is>
      </c>
      <c r="D619" t="inlineStr">
        <is>
          <t>S0034</t>
        </is>
      </c>
      <c r="E619" t="inlineStr">
        <is>
          <t>FP</t>
        </is>
      </c>
      <c r="F619" t="n">
        <v>28</v>
      </c>
      <c r="G619" t="inlineStr">
        <is>
          <t>OUT</t>
        </is>
      </c>
      <c r="H619">
        <f>IF(G619="OUT",F619,-F619)</f>
        <v>28</v>
      </c>
      <c r="I619">
        <f>IF(AND(B619&gt;=DATE(2025,7,1),B619&lt;=DATE(2026,6,30)),1,0)</f>
        <v>1</v>
      </c>
      <c r="J619">
        <f>IF(B619&lt;=DATE(2026,6,30),1,0)</f>
        <v>1</v>
      </c>
      <c r="K619" t="inlineStr"/>
      <c r="L619" t="inlineStr">
        <is>
          <t>Driver</t>
        </is>
      </c>
      <c r="M619">
        <f>COUNTIFS('Asset Log'!$A$5:$A$1379,A619,'Asset Log'!$E$5:$E$1379,E619,'Asset Log'!$G$5:$G$1379,G619)</f>
        <v>1</v>
      </c>
    </row>
    <row r="620">
      <c r="A620" t="inlineStr">
        <is>
          <t>D70315</t>
        </is>
      </c>
      <c r="B620" s="11" t="n">
        <v>45987</v>
      </c>
      <c r="C620" t="inlineStr">
        <is>
          <t>s034</t>
        </is>
      </c>
      <c r="D620" t="inlineStr">
        <is>
          <t>S0034</t>
        </is>
      </c>
      <c r="E620" t="inlineStr">
        <is>
          <t>FB</t>
        </is>
      </c>
      <c r="F620" t="n">
        <v>30</v>
      </c>
      <c r="G620" t="inlineStr">
        <is>
          <t>OUT</t>
        </is>
      </c>
      <c r="H620">
        <f>IF(G620="OUT",F620,-F620)</f>
        <v>30</v>
      </c>
      <c r="I620">
        <f>IF(AND(B620&gt;=DATE(2025,7,1),B620&lt;=DATE(2026,6,30)),1,0)</f>
        <v>1</v>
      </c>
      <c r="J620">
        <f>IF(B620&lt;=DATE(2026,6,30),1,0)</f>
        <v>1</v>
      </c>
      <c r="K620" t="inlineStr">
        <is>
          <t>Site text normalised</t>
        </is>
      </c>
      <c r="L620" t="inlineStr">
        <is>
          <t>Office</t>
        </is>
      </c>
      <c r="M620">
        <f>COUNTIFS('Asset Log'!$A$5:$A$1379,A620,'Asset Log'!$E$5:$E$1379,E620,'Asset Log'!$G$5:$G$1379,G620)</f>
        <v>1</v>
      </c>
    </row>
    <row r="621">
      <c r="A621" t="inlineStr">
        <is>
          <t>D70321</t>
        </is>
      </c>
      <c r="B621" s="11" t="n">
        <v>45987</v>
      </c>
      <c r="C621" t="inlineStr">
        <is>
          <t>S0034 Sunshine</t>
        </is>
      </c>
      <c r="D621" t="inlineStr">
        <is>
          <t>S0034</t>
        </is>
      </c>
      <c r="E621" t="inlineStr">
        <is>
          <t>BR</t>
        </is>
      </c>
      <c r="F621" t="n">
        <v>16</v>
      </c>
      <c r="G621" t="inlineStr">
        <is>
          <t>OUT</t>
        </is>
      </c>
      <c r="H621">
        <f>IF(G621="OUT",F621,-F621)</f>
        <v>16</v>
      </c>
      <c r="I621">
        <f>IF(AND(B621&gt;=DATE(2025,7,1),B621&lt;=DATE(2026,6,30)),1,0)</f>
        <v>1</v>
      </c>
      <c r="J621">
        <f>IF(B621&lt;=DATE(2026,6,30),1,0)</f>
        <v>1</v>
      </c>
      <c r="K621" t="inlineStr">
        <is>
          <t>Site text normalised</t>
        </is>
      </c>
      <c r="L621" t="inlineStr">
        <is>
          <t>Driver</t>
        </is>
      </c>
      <c r="M621">
        <f>COUNTIFS('Asset Log'!$A$5:$A$1379,A621,'Asset Log'!$E$5:$E$1379,E621,'Asset Log'!$G$5:$G$1379,G621)</f>
        <v>1</v>
      </c>
    </row>
    <row r="622">
      <c r="A622" t="inlineStr">
        <is>
          <t>D70414</t>
        </is>
      </c>
      <c r="B622" s="11" t="n">
        <v>45988</v>
      </c>
      <c r="C622" t="inlineStr">
        <is>
          <t>S0044</t>
        </is>
      </c>
      <c r="D622" t="inlineStr">
        <is>
          <t>S0044</t>
        </is>
      </c>
      <c r="E622" t="inlineStr">
        <is>
          <t>FP</t>
        </is>
      </c>
      <c r="F622" t="n">
        <v>137</v>
      </c>
      <c r="G622" t="inlineStr">
        <is>
          <t>IN</t>
        </is>
      </c>
      <c r="H622">
        <f>IF(G622="OUT",F622,-F622)</f>
        <v>-137</v>
      </c>
      <c r="I622">
        <f>IF(AND(B622&gt;=DATE(2025,7,1),B622&lt;=DATE(2026,6,30)),1,0)</f>
        <v>1</v>
      </c>
      <c r="J622">
        <f>IF(B622&lt;=DATE(2026,6,30),1,0)</f>
        <v>1</v>
      </c>
      <c r="K622" t="inlineStr"/>
      <c r="L622" t="inlineStr">
        <is>
          <t>Driver</t>
        </is>
      </c>
      <c r="M622">
        <f>COUNTIFS('Asset Log'!$A$5:$A$1379,A622,'Asset Log'!$E$5:$E$1379,E622,'Asset Log'!$G$5:$G$1379,G622)</f>
        <v>1</v>
      </c>
    </row>
    <row r="623">
      <c r="A623" t="inlineStr">
        <is>
          <t>D70418</t>
        </is>
      </c>
      <c r="B623" s="11" t="n">
        <v>45988</v>
      </c>
      <c r="C623" t="inlineStr">
        <is>
          <t>s044</t>
        </is>
      </c>
      <c r="D623" t="inlineStr">
        <is>
          <t>S0044</t>
        </is>
      </c>
      <c r="E623" t="inlineStr">
        <is>
          <t>FB</t>
        </is>
      </c>
      <c r="F623" t="n">
        <v>150</v>
      </c>
      <c r="G623" t="inlineStr">
        <is>
          <t>IN</t>
        </is>
      </c>
      <c r="H623">
        <f>IF(G623="OUT",F623,-F623)</f>
        <v>-150</v>
      </c>
      <c r="I623">
        <f>IF(AND(B623&gt;=DATE(2025,7,1),B623&lt;=DATE(2026,6,30)),1,0)</f>
        <v>1</v>
      </c>
      <c r="J623">
        <f>IF(B623&lt;=DATE(2026,6,30),1,0)</f>
        <v>1</v>
      </c>
      <c r="K623" t="inlineStr">
        <is>
          <t>Site text normalised</t>
        </is>
      </c>
      <c r="L623" t="inlineStr">
        <is>
          <t>Office</t>
        </is>
      </c>
      <c r="M623">
        <f>COUNTIFS('Asset Log'!$A$5:$A$1379,A623,'Asset Log'!$E$5:$E$1379,E623,'Asset Log'!$G$5:$G$1379,G623)</f>
        <v>1</v>
      </c>
    </row>
    <row r="624">
      <c r="A624" t="inlineStr">
        <is>
          <t>D71725</t>
        </is>
      </c>
      <c r="B624" s="11" t="n">
        <v>45988</v>
      </c>
      <c r="C624" t="inlineStr">
        <is>
          <t>S0181</t>
        </is>
      </c>
      <c r="D624" t="inlineStr">
        <is>
          <t>S0181</t>
        </is>
      </c>
      <c r="E624" t="inlineStr">
        <is>
          <t>FP</t>
        </is>
      </c>
      <c r="F624" t="n">
        <v>122</v>
      </c>
      <c r="G624" t="inlineStr">
        <is>
          <t>IN</t>
        </is>
      </c>
      <c r="H624">
        <f>IF(G624="OUT",F624,-F624)</f>
        <v>-122</v>
      </c>
      <c r="I624">
        <f>IF(AND(B624&gt;=DATE(2025,7,1),B624&lt;=DATE(2026,6,30)),1,0)</f>
        <v>1</v>
      </c>
      <c r="J624">
        <f>IF(B624&lt;=DATE(2026,6,30),1,0)</f>
        <v>1</v>
      </c>
      <c r="K624" t="inlineStr"/>
      <c r="L624" t="inlineStr">
        <is>
          <t>Office</t>
        </is>
      </c>
      <c r="M624">
        <f>COUNTIFS('Asset Log'!$A$5:$A$1379,A624,'Asset Log'!$E$5:$E$1379,E624,'Asset Log'!$G$5:$G$1379,G624)</f>
        <v>1</v>
      </c>
    </row>
    <row r="625">
      <c r="A625" t="inlineStr">
        <is>
          <t>D71731</t>
        </is>
      </c>
      <c r="B625" s="11" t="n">
        <v>45988</v>
      </c>
      <c r="C625" t="inlineStr">
        <is>
          <t>S0181</t>
        </is>
      </c>
      <c r="D625" t="inlineStr">
        <is>
          <t>S0181</t>
        </is>
      </c>
      <c r="E625" t="inlineStr">
        <is>
          <t>FB</t>
        </is>
      </c>
      <c r="F625" t="n">
        <v>134</v>
      </c>
      <c r="G625" t="inlineStr">
        <is>
          <t>IN</t>
        </is>
      </c>
      <c r="H625">
        <f>IF(G625="OUT",F625,-F625)</f>
        <v>-134</v>
      </c>
      <c r="I625">
        <f>IF(AND(B625&gt;=DATE(2025,7,1),B625&lt;=DATE(2026,6,30)),1,0)</f>
        <v>1</v>
      </c>
      <c r="J625">
        <f>IF(B625&lt;=DATE(2026,6,30),1,0)</f>
        <v>1</v>
      </c>
      <c r="K625" t="inlineStr"/>
      <c r="L625" t="inlineStr">
        <is>
          <t>Office</t>
        </is>
      </c>
      <c r="M625">
        <f>COUNTIFS('Asset Log'!$A$5:$A$1379,A625,'Asset Log'!$E$5:$E$1379,E625,'Asset Log'!$G$5:$G$1379,G625)</f>
        <v>1</v>
      </c>
    </row>
    <row r="626">
      <c r="A626" t="inlineStr">
        <is>
          <t>D72215</t>
        </is>
      </c>
      <c r="B626" s="11" t="n">
        <v>45988</v>
      </c>
      <c r="C626" t="inlineStr">
        <is>
          <t>S0236</t>
        </is>
      </c>
      <c r="D626" t="inlineStr">
        <is>
          <t>S0236</t>
        </is>
      </c>
      <c r="E626" t="inlineStr">
        <is>
          <t>ST</t>
        </is>
      </c>
      <c r="F626" t="n">
        <v>2</v>
      </c>
      <c r="G626" t="inlineStr">
        <is>
          <t>IN</t>
        </is>
      </c>
      <c r="H626">
        <f>IF(G626="OUT",F626,-F626)</f>
        <v>-2</v>
      </c>
      <c r="I626">
        <f>IF(AND(B626&gt;=DATE(2025,7,1),B626&lt;=DATE(2026,6,30)),1,0)</f>
        <v>1</v>
      </c>
      <c r="J626">
        <f>IF(B626&lt;=DATE(2026,6,30),1,0)</f>
        <v>1</v>
      </c>
      <c r="K626" t="inlineStr"/>
      <c r="L626" t="inlineStr">
        <is>
          <t>Office</t>
        </is>
      </c>
      <c r="M626">
        <f>COUNTIFS('Asset Log'!$A$5:$A$1379,A626,'Asset Log'!$E$5:$E$1379,E626,'Asset Log'!$G$5:$G$1379,G626)</f>
        <v>1</v>
      </c>
    </row>
    <row r="627">
      <c r="A627" t="inlineStr">
        <is>
          <t>D71316</t>
        </is>
      </c>
      <c r="B627" s="11" t="n">
        <v>45989</v>
      </c>
      <c r="C627" t="inlineStr">
        <is>
          <t>S0139</t>
        </is>
      </c>
      <c r="D627" t="inlineStr">
        <is>
          <t>S0139</t>
        </is>
      </c>
      <c r="E627" t="inlineStr">
        <is>
          <t>FP</t>
        </is>
      </c>
      <c r="F627" t="n">
        <v>70</v>
      </c>
      <c r="G627" t="inlineStr">
        <is>
          <t>OUT</t>
        </is>
      </c>
      <c r="H627">
        <f>IF(G627="OUT",F627,-F627)</f>
        <v>70</v>
      </c>
      <c r="I627">
        <f>IF(AND(B627&gt;=DATE(2025,7,1),B627&lt;=DATE(2026,6,30)),1,0)</f>
        <v>1</v>
      </c>
      <c r="J627">
        <f>IF(B627&lt;=DATE(2026,6,30),1,0)</f>
        <v>1</v>
      </c>
      <c r="K627" t="inlineStr"/>
      <c r="L627" t="inlineStr">
        <is>
          <t>Office</t>
        </is>
      </c>
      <c r="M627">
        <f>COUNTIFS('Asset Log'!$A$5:$A$1379,A627,'Asset Log'!$E$5:$E$1379,E627,'Asset Log'!$G$5:$G$1379,G627)</f>
        <v>1</v>
      </c>
    </row>
    <row r="628">
      <c r="A628" t="inlineStr">
        <is>
          <t>D71321</t>
        </is>
      </c>
      <c r="B628" s="11" t="n">
        <v>45989</v>
      </c>
      <c r="C628" t="inlineStr">
        <is>
          <t>S0139</t>
        </is>
      </c>
      <c r="D628" t="inlineStr">
        <is>
          <t>S0139</t>
        </is>
      </c>
      <c r="E628" t="inlineStr">
        <is>
          <t>FB</t>
        </is>
      </c>
      <c r="F628" t="n">
        <v>77</v>
      </c>
      <c r="G628" t="inlineStr">
        <is>
          <t>OUT</t>
        </is>
      </c>
      <c r="H628">
        <f>IF(G628="OUT",F628,-F628)</f>
        <v>77</v>
      </c>
      <c r="I628">
        <f>IF(AND(B628&gt;=DATE(2025,7,1),B628&lt;=DATE(2026,6,30)),1,0)</f>
        <v>1</v>
      </c>
      <c r="J628">
        <f>IF(B628&lt;=DATE(2026,6,30),1,0)</f>
        <v>1</v>
      </c>
      <c r="K628" t="inlineStr"/>
      <c r="L628" t="inlineStr">
        <is>
          <t>Yard</t>
        </is>
      </c>
      <c r="M628">
        <f>COUNTIFS('Asset Log'!$A$5:$A$1379,A628,'Asset Log'!$E$5:$E$1379,E628,'Asset Log'!$G$5:$G$1379,G628)</f>
        <v>1</v>
      </c>
    </row>
    <row r="629">
      <c r="A629" t="inlineStr">
        <is>
          <t>D72478</t>
        </is>
      </c>
      <c r="B629" s="11" t="n">
        <v>45990</v>
      </c>
      <c r="C629" t="inlineStr">
        <is>
          <t>305</t>
        </is>
      </c>
      <c r="D629" t="inlineStr">
        <is>
          <t>S0305</t>
        </is>
      </c>
      <c r="E629" t="inlineStr">
        <is>
          <t>TK</t>
        </is>
      </c>
      <c r="F629" t="n">
        <v>2</v>
      </c>
      <c r="G629" t="inlineStr">
        <is>
          <t>OUT</t>
        </is>
      </c>
      <c r="H629">
        <f>IF(G629="OUT",F629,-F629)</f>
        <v>2</v>
      </c>
      <c r="I629">
        <f>IF(AND(B629&gt;=DATE(2025,7,1),B629&lt;=DATE(2026,6,30)),1,0)</f>
        <v>1</v>
      </c>
      <c r="J629">
        <f>IF(B629&lt;=DATE(2026,6,30),1,0)</f>
        <v>1</v>
      </c>
      <c r="K629" t="inlineStr">
        <is>
          <t>Site text normalised</t>
        </is>
      </c>
      <c r="L629" t="inlineStr">
        <is>
          <t>Driver</t>
        </is>
      </c>
      <c r="M629">
        <f>COUNTIFS('Asset Log'!$A$5:$A$1379,A629,'Asset Log'!$E$5:$E$1379,E629,'Asset Log'!$G$5:$G$1379,G629)</f>
        <v>1</v>
      </c>
    </row>
    <row r="630">
      <c r="A630" t="inlineStr">
        <is>
          <t>D71831</t>
        </is>
      </c>
      <c r="B630" s="11" t="n">
        <v>45991</v>
      </c>
      <c r="C630" t="inlineStr">
        <is>
          <t>S0194</t>
        </is>
      </c>
      <c r="D630" t="inlineStr">
        <is>
          <t>S0194</t>
        </is>
      </c>
      <c r="E630" t="inlineStr">
        <is>
          <t>FP</t>
        </is>
      </c>
      <c r="F630" t="n">
        <v>66</v>
      </c>
      <c r="G630" t="inlineStr">
        <is>
          <t>OUT</t>
        </is>
      </c>
      <c r="H630">
        <f>IF(G630="OUT",F630,-F630)</f>
        <v>66</v>
      </c>
      <c r="I630">
        <f>IF(AND(B630&gt;=DATE(2025,7,1),B630&lt;=DATE(2026,6,30)),1,0)</f>
        <v>1</v>
      </c>
      <c r="J630">
        <f>IF(B630&lt;=DATE(2026,6,30),1,0)</f>
        <v>1</v>
      </c>
      <c r="K630" t="inlineStr"/>
      <c r="L630" t="inlineStr">
        <is>
          <t>Office</t>
        </is>
      </c>
      <c r="M630">
        <f>COUNTIFS('Asset Log'!$A$5:$A$1379,A630,'Asset Log'!$E$5:$E$1379,E630,'Asset Log'!$G$5:$G$1379,G630)</f>
        <v>1</v>
      </c>
    </row>
    <row r="631">
      <c r="A631" t="inlineStr">
        <is>
          <t>D71835</t>
        </is>
      </c>
      <c r="B631" s="11" t="n">
        <v>45991</v>
      </c>
      <c r="C631" t="inlineStr">
        <is>
          <t>S0194</t>
        </is>
      </c>
      <c r="D631" t="inlineStr">
        <is>
          <t>S0194</t>
        </is>
      </c>
      <c r="E631" t="inlineStr">
        <is>
          <t>FB</t>
        </is>
      </c>
      <c r="F631" t="n">
        <v>72</v>
      </c>
      <c r="G631" t="inlineStr">
        <is>
          <t>OUT</t>
        </is>
      </c>
      <c r="H631">
        <f>IF(G631="OUT",F631,-F631)</f>
        <v>72</v>
      </c>
      <c r="I631">
        <f>IF(AND(B631&gt;=DATE(2025,7,1),B631&lt;=DATE(2026,6,30)),1,0)</f>
        <v>1</v>
      </c>
      <c r="J631">
        <f>IF(B631&lt;=DATE(2026,6,30),1,0)</f>
        <v>1</v>
      </c>
      <c r="K631" t="inlineStr"/>
      <c r="L631" t="inlineStr">
        <is>
          <t>Office</t>
        </is>
      </c>
      <c r="M631">
        <f>COUNTIFS('Asset Log'!$A$5:$A$1379,A631,'Asset Log'!$E$5:$E$1379,E631,'Asset Log'!$G$5:$G$1379,G631)</f>
        <v>1</v>
      </c>
    </row>
    <row r="632">
      <c r="A632" t="inlineStr">
        <is>
          <t>D72003</t>
        </is>
      </c>
      <c r="B632" s="11" t="n">
        <v>45991</v>
      </c>
      <c r="C632" t="inlineStr">
        <is>
          <t>S0221</t>
        </is>
      </c>
      <c r="D632" t="inlineStr">
        <is>
          <t>S0212</t>
        </is>
      </c>
      <c r="E632" t="inlineStr">
        <is>
          <t>FP</t>
        </is>
      </c>
      <c r="F632" t="n">
        <v>88</v>
      </c>
      <c r="G632" t="inlineStr">
        <is>
          <t>IN</t>
        </is>
      </c>
      <c r="H632">
        <f>IF(G632="OUT",F632,-F632)</f>
        <v>-88</v>
      </c>
      <c r="I632">
        <f>IF(AND(B632&gt;=DATE(2025,7,1),B632&lt;=DATE(2026,6,30)),1,0)</f>
        <v>1</v>
      </c>
      <c r="J632">
        <f>IF(B632&lt;=DATE(2026,6,30),1,0)</f>
        <v>1</v>
      </c>
      <c r="K632" t="inlineStr">
        <is>
          <t>Site corrected from S0221 (return before the job started)</t>
        </is>
      </c>
      <c r="L632" t="inlineStr">
        <is>
          <t>Driver</t>
        </is>
      </c>
      <c r="M632">
        <f>COUNTIFS('Asset Log'!$A$5:$A$1379,A632,'Asset Log'!$E$5:$E$1379,E632,'Asset Log'!$G$5:$G$1379,G632)</f>
        <v>1</v>
      </c>
    </row>
    <row r="633">
      <c r="A633" t="inlineStr">
        <is>
          <t>D72005</t>
        </is>
      </c>
      <c r="B633" s="11" t="n">
        <v>45991</v>
      </c>
      <c r="C633" t="inlineStr">
        <is>
          <t>S0212</t>
        </is>
      </c>
      <c r="D633" t="inlineStr">
        <is>
          <t>S0212</t>
        </is>
      </c>
      <c r="E633" t="inlineStr">
        <is>
          <t>FB</t>
        </is>
      </c>
      <c r="F633" t="n">
        <v>102</v>
      </c>
      <c r="G633" t="inlineStr">
        <is>
          <t>IN</t>
        </is>
      </c>
      <c r="H633">
        <f>IF(G633="OUT",F633,-F633)</f>
        <v>-102</v>
      </c>
      <c r="I633">
        <f>IF(AND(B633&gt;=DATE(2025,7,1),B633&lt;=DATE(2026,6,30)),1,0)</f>
        <v>1</v>
      </c>
      <c r="J633">
        <f>IF(B633&lt;=DATE(2026,6,30),1,0)</f>
        <v>1</v>
      </c>
      <c r="K633" t="inlineStr"/>
      <c r="L633" t="inlineStr">
        <is>
          <t>Driver</t>
        </is>
      </c>
      <c r="M633">
        <f>COUNTIFS('Asset Log'!$A$5:$A$1379,A633,'Asset Log'!$E$5:$E$1379,E633,'Asset Log'!$G$5:$G$1379,G633)</f>
        <v>1</v>
      </c>
    </row>
    <row r="634">
      <c r="A634" t="inlineStr">
        <is>
          <t>D72010</t>
        </is>
      </c>
      <c r="B634" s="11" t="n">
        <v>45991</v>
      </c>
      <c r="C634" t="inlineStr">
        <is>
          <t>S0212</t>
        </is>
      </c>
      <c r="D634" t="inlineStr">
        <is>
          <t>S0212</t>
        </is>
      </c>
      <c r="E634" t="inlineStr">
        <is>
          <t>BR</t>
        </is>
      </c>
      <c r="F634" t="n">
        <v>6</v>
      </c>
      <c r="G634" t="inlineStr">
        <is>
          <t>IN</t>
        </is>
      </c>
      <c r="H634">
        <f>IF(G634="OUT",F634,-F634)</f>
        <v>-6</v>
      </c>
      <c r="I634">
        <f>IF(AND(B634&gt;=DATE(2025,7,1),B634&lt;=DATE(2026,6,30)),1,0)</f>
        <v>1</v>
      </c>
      <c r="J634">
        <f>IF(B634&lt;=DATE(2026,6,30),1,0)</f>
        <v>1</v>
      </c>
      <c r="K634" t="inlineStr"/>
      <c r="L634" t="inlineStr">
        <is>
          <t>Driver</t>
        </is>
      </c>
      <c r="M634">
        <f>COUNTIFS('Asset Log'!$A$5:$A$1379,A634,'Asset Log'!$E$5:$E$1379,E634,'Asset Log'!$G$5:$G$1379,G634)</f>
        <v>1</v>
      </c>
    </row>
    <row r="635">
      <c r="A635" t="inlineStr">
        <is>
          <t>D72012</t>
        </is>
      </c>
      <c r="B635" s="11" t="n">
        <v>45991</v>
      </c>
      <c r="C635" t="inlineStr">
        <is>
          <t>S0212</t>
        </is>
      </c>
      <c r="D635" t="inlineStr">
        <is>
          <t>S0212</t>
        </is>
      </c>
      <c r="E635" t="inlineStr">
        <is>
          <t>FP</t>
        </is>
      </c>
      <c r="F635" t="n">
        <v>5</v>
      </c>
      <c r="G635" t="inlineStr">
        <is>
          <t>LOST</t>
        </is>
      </c>
      <c r="H635">
        <f>IF(G635="OUT",F635,-F635)</f>
        <v>-5</v>
      </c>
      <c r="I635">
        <f>IF(AND(B635&gt;=DATE(2025,7,1),B635&lt;=DATE(2026,6,30)),1,0)</f>
        <v>1</v>
      </c>
      <c r="J635">
        <f>IF(B635&lt;=DATE(2026,6,30),1,0)</f>
        <v>1</v>
      </c>
      <c r="K635" t="inlineStr"/>
      <c r="L635" t="inlineStr">
        <is>
          <t>Office</t>
        </is>
      </c>
      <c r="M635">
        <f>COUNTIFS('Asset Log'!$A$5:$A$1379,A635,'Asset Log'!$E$5:$E$1379,E635,'Asset Log'!$G$5:$G$1379,G635)</f>
        <v>1</v>
      </c>
    </row>
    <row r="636">
      <c r="A636" t="inlineStr">
        <is>
          <t>D71392</t>
        </is>
      </c>
      <c r="B636" s="11" t="n">
        <v>45992</v>
      </c>
      <c r="C636" t="inlineStr">
        <is>
          <t>S0147</t>
        </is>
      </c>
      <c r="D636" t="inlineStr">
        <is>
          <t>S0147</t>
        </is>
      </c>
      <c r="E636" t="inlineStr">
        <is>
          <t>FP</t>
        </is>
      </c>
      <c r="F636" t="n">
        <v>8</v>
      </c>
      <c r="G636" t="inlineStr">
        <is>
          <t>OUT</t>
        </is>
      </c>
      <c r="H636">
        <f>IF(G636="OUT",F636,-F636)</f>
        <v>8</v>
      </c>
      <c r="I636">
        <f>IF(AND(B636&gt;=DATE(2025,7,1),B636&lt;=DATE(2026,6,30)),1,0)</f>
        <v>1</v>
      </c>
      <c r="J636">
        <f>IF(B636&lt;=DATE(2026,6,30),1,0)</f>
        <v>1</v>
      </c>
      <c r="K636" t="inlineStr"/>
      <c r="L636" t="inlineStr">
        <is>
          <t>Office</t>
        </is>
      </c>
      <c r="M636">
        <f>COUNTIFS('Asset Log'!$A$5:$A$1379,A636,'Asset Log'!$E$5:$E$1379,E636,'Asset Log'!$G$5:$G$1379,G636)</f>
        <v>1</v>
      </c>
    </row>
    <row r="637">
      <c r="A637" t="inlineStr">
        <is>
          <t>D71402</t>
        </is>
      </c>
      <c r="B637" s="11" t="n">
        <v>45992</v>
      </c>
      <c r="C637" t="inlineStr">
        <is>
          <t>S0147</t>
        </is>
      </c>
      <c r="D637" t="inlineStr">
        <is>
          <t>S0147</t>
        </is>
      </c>
      <c r="E637" t="inlineStr">
        <is>
          <t>FB</t>
        </is>
      </c>
      <c r="F637" t="n">
        <v>8</v>
      </c>
      <c r="G637" t="inlineStr">
        <is>
          <t>OUT</t>
        </is>
      </c>
      <c r="H637">
        <f>IF(G637="OUT",F637,-F637)</f>
        <v>8</v>
      </c>
      <c r="I637">
        <f>IF(AND(B637&gt;=DATE(2025,7,1),B637&lt;=DATE(2026,6,30)),1,0)</f>
        <v>1</v>
      </c>
      <c r="J637">
        <f>IF(B637&lt;=DATE(2026,6,30),1,0)</f>
        <v>1</v>
      </c>
      <c r="K637" t="inlineStr"/>
      <c r="L637" t="inlineStr">
        <is>
          <t>Office</t>
        </is>
      </c>
      <c r="M637">
        <f>COUNTIFS('Asset Log'!$A$5:$A$1379,A637,'Asset Log'!$E$5:$E$1379,E637,'Asset Log'!$G$5:$G$1379,G637)</f>
        <v>1</v>
      </c>
    </row>
    <row r="638">
      <c r="A638" t="inlineStr">
        <is>
          <t>D72495</t>
        </is>
      </c>
      <c r="B638" s="11" t="n">
        <v>45992</v>
      </c>
      <c r="C638" t="inlineStr">
        <is>
          <t>S0331</t>
        </is>
      </c>
      <c r="D638" t="inlineStr">
        <is>
          <t>S0331</t>
        </is>
      </c>
      <c r="E638" t="inlineStr">
        <is>
          <t>TK</t>
        </is>
      </c>
      <c r="F638" t="n">
        <v>1</v>
      </c>
      <c r="G638" t="inlineStr">
        <is>
          <t>IN</t>
        </is>
      </c>
      <c r="H638">
        <f>IF(G638="OUT",F638,-F638)</f>
        <v>-1</v>
      </c>
      <c r="I638">
        <f>IF(AND(B638&gt;=DATE(2025,7,1),B638&lt;=DATE(2026,6,30)),1,0)</f>
        <v>1</v>
      </c>
      <c r="J638">
        <f>IF(B638&lt;=DATE(2026,6,30),1,0)</f>
        <v>1</v>
      </c>
      <c r="K638" t="inlineStr"/>
      <c r="L638" t="inlineStr">
        <is>
          <t>Office</t>
        </is>
      </c>
      <c r="M638">
        <f>COUNTIFS('Asset Log'!$A$5:$A$1379,A638,'Asset Log'!$E$5:$E$1379,E638,'Asset Log'!$G$5:$G$1379,G638)</f>
        <v>1</v>
      </c>
    </row>
    <row r="639">
      <c r="A639" t="inlineStr">
        <is>
          <t>D72350</t>
        </is>
      </c>
      <c r="B639" s="11" t="n">
        <v>45993</v>
      </c>
      <c r="C639" t="inlineStr">
        <is>
          <t>S0270</t>
        </is>
      </c>
      <c r="D639" t="inlineStr">
        <is>
          <t>S0270</t>
        </is>
      </c>
      <c r="E639" t="inlineStr">
        <is>
          <t>ST</t>
        </is>
      </c>
      <c r="F639" t="n">
        <v>6</v>
      </c>
      <c r="G639" t="inlineStr">
        <is>
          <t>OUT</t>
        </is>
      </c>
      <c r="H639">
        <f>IF(G639="OUT",F639,-F639)</f>
        <v>6</v>
      </c>
      <c r="I639">
        <f>IF(AND(B639&gt;=DATE(2025,7,1),B639&lt;=DATE(2026,6,30)),1,0)</f>
        <v>1</v>
      </c>
      <c r="J639">
        <f>IF(B639&lt;=DATE(2026,6,30),1,0)</f>
        <v>1</v>
      </c>
      <c r="K639" t="inlineStr"/>
      <c r="L639" t="inlineStr">
        <is>
          <t>Yard</t>
        </is>
      </c>
      <c r="M639">
        <f>COUNTIFS('Asset Log'!$A$5:$A$1379,A639,'Asset Log'!$E$5:$E$1379,E639,'Asset Log'!$G$5:$G$1379,G639)</f>
        <v>1</v>
      </c>
    </row>
    <row r="640">
      <c r="A640" t="inlineStr">
        <is>
          <t>D70385</t>
        </is>
      </c>
      <c r="B640" s="11" t="n">
        <v>45994</v>
      </c>
      <c r="C640" t="inlineStr">
        <is>
          <t>S0041</t>
        </is>
      </c>
      <c r="D640" t="inlineStr">
        <is>
          <t>S0041</t>
        </is>
      </c>
      <c r="E640" t="inlineStr">
        <is>
          <t>FP</t>
        </is>
      </c>
      <c r="F640" t="n">
        <v>102</v>
      </c>
      <c r="G640" t="inlineStr">
        <is>
          <t>OUT</t>
        </is>
      </c>
      <c r="H640">
        <f>IF(G640="OUT",F640,-F640)</f>
        <v>102</v>
      </c>
      <c r="I640">
        <f>IF(AND(B640&gt;=DATE(2025,7,1),B640&lt;=DATE(2026,6,30)),1,0)</f>
        <v>1</v>
      </c>
      <c r="J640">
        <f>IF(B640&lt;=DATE(2026,6,30),1,0)</f>
        <v>1</v>
      </c>
      <c r="K640" t="inlineStr"/>
      <c r="L640" t="inlineStr">
        <is>
          <t>Driver</t>
        </is>
      </c>
      <c r="M640">
        <f>COUNTIFS('Asset Log'!$A$5:$A$1379,A640,'Asset Log'!$E$5:$E$1379,E640,'Asset Log'!$G$5:$G$1379,G640)</f>
        <v>1</v>
      </c>
    </row>
    <row r="641">
      <c r="A641" t="inlineStr">
        <is>
          <t>D70388</t>
        </is>
      </c>
      <c r="B641" s="11" t="n">
        <v>45994</v>
      </c>
      <c r="C641" t="inlineStr">
        <is>
          <t>S0041</t>
        </is>
      </c>
      <c r="D641" t="inlineStr">
        <is>
          <t>S0041</t>
        </is>
      </c>
      <c r="E641" t="inlineStr">
        <is>
          <t>FB</t>
        </is>
      </c>
      <c r="F641" t="n">
        <v>112</v>
      </c>
      <c r="G641" t="inlineStr">
        <is>
          <t>OUT</t>
        </is>
      </c>
      <c r="H641">
        <f>IF(G641="OUT",F641,-F641)</f>
        <v>112</v>
      </c>
      <c r="I641">
        <f>IF(AND(B641&gt;=DATE(2025,7,1),B641&lt;=DATE(2026,6,30)),1,0)</f>
        <v>1</v>
      </c>
      <c r="J641">
        <f>IF(B641&lt;=DATE(2026,6,30),1,0)</f>
        <v>1</v>
      </c>
      <c r="K641" t="inlineStr"/>
      <c r="L641" t="inlineStr">
        <is>
          <t>Office</t>
        </is>
      </c>
      <c r="M641">
        <f>COUNTIFS('Asset Log'!$A$5:$A$1379,A641,'Asset Log'!$E$5:$E$1379,E641,'Asset Log'!$G$5:$G$1379,G641)</f>
        <v>1</v>
      </c>
    </row>
    <row r="642">
      <c r="A642" t="inlineStr">
        <is>
          <t>D70394</t>
        </is>
      </c>
      <c r="B642" s="11" t="n">
        <v>45994</v>
      </c>
      <c r="C642" t="inlineStr">
        <is>
          <t>S0041</t>
        </is>
      </c>
      <c r="D642" t="inlineStr">
        <is>
          <t>S0041</t>
        </is>
      </c>
      <c r="E642" t="inlineStr">
        <is>
          <t>BR</t>
        </is>
      </c>
      <c r="F642" t="n">
        <v>13</v>
      </c>
      <c r="G642" t="inlineStr">
        <is>
          <t>OUT</t>
        </is>
      </c>
      <c r="H642">
        <f>IF(G642="OUT",F642,-F642)</f>
        <v>13</v>
      </c>
      <c r="I642">
        <f>IF(AND(B642&gt;=DATE(2025,7,1),B642&lt;=DATE(2026,6,30)),1,0)</f>
        <v>1</v>
      </c>
      <c r="J642">
        <f>IF(B642&lt;=DATE(2026,6,30),1,0)</f>
        <v>1</v>
      </c>
      <c r="K642" t="inlineStr"/>
      <c r="L642" t="inlineStr">
        <is>
          <t>Driver</t>
        </is>
      </c>
      <c r="M642">
        <f>COUNTIFS('Asset Log'!$A$5:$A$1379,A642,'Asset Log'!$E$5:$E$1379,E642,'Asset Log'!$G$5:$G$1379,G642)</f>
        <v>1</v>
      </c>
    </row>
    <row r="643">
      <c r="A643" t="inlineStr">
        <is>
          <t>D71656</t>
        </is>
      </c>
      <c r="B643" s="11" t="n">
        <v>45994</v>
      </c>
      <c r="C643" t="inlineStr">
        <is>
          <t>S0174</t>
        </is>
      </c>
      <c r="D643" t="inlineStr">
        <is>
          <t>S0174</t>
        </is>
      </c>
      <c r="E643" t="inlineStr">
        <is>
          <t>FP</t>
        </is>
      </c>
      <c r="F643" t="n">
        <v>116</v>
      </c>
      <c r="G643" t="inlineStr">
        <is>
          <t>OUT</t>
        </is>
      </c>
      <c r="H643">
        <f>IF(G643="OUT",F643,-F643)</f>
        <v>116</v>
      </c>
      <c r="I643">
        <f>IF(AND(B643&gt;=DATE(2025,7,1),B643&lt;=DATE(2026,6,30)),1,0)</f>
        <v>1</v>
      </c>
      <c r="J643">
        <f>IF(B643&lt;=DATE(2026,6,30),1,0)</f>
        <v>1</v>
      </c>
      <c r="K643" t="inlineStr"/>
      <c r="L643" t="inlineStr">
        <is>
          <t>Driver</t>
        </is>
      </c>
      <c r="M643">
        <f>COUNTIFS('Asset Log'!$A$5:$A$1379,A643,'Asset Log'!$E$5:$E$1379,E643,'Asset Log'!$G$5:$G$1379,G643)</f>
        <v>1</v>
      </c>
    </row>
    <row r="644">
      <c r="A644" t="inlineStr">
        <is>
          <t>D71660</t>
        </is>
      </c>
      <c r="B644" s="11" t="n">
        <v>45994</v>
      </c>
      <c r="C644" t="inlineStr">
        <is>
          <t>S0174</t>
        </is>
      </c>
      <c r="D644" t="inlineStr">
        <is>
          <t>S0174</t>
        </is>
      </c>
      <c r="E644" t="inlineStr">
        <is>
          <t>FB</t>
        </is>
      </c>
      <c r="F644" t="n">
        <v>127</v>
      </c>
      <c r="G644" t="inlineStr">
        <is>
          <t>OUT</t>
        </is>
      </c>
      <c r="H644">
        <f>IF(G644="OUT",F644,-F644)</f>
        <v>127</v>
      </c>
      <c r="I644">
        <f>IF(AND(B644&gt;=DATE(2025,7,1),B644&lt;=DATE(2026,6,30)),1,0)</f>
        <v>1</v>
      </c>
      <c r="J644">
        <f>IF(B644&lt;=DATE(2026,6,30),1,0)</f>
        <v>1</v>
      </c>
      <c r="K644" t="inlineStr"/>
      <c r="L644" t="inlineStr">
        <is>
          <t>Office</t>
        </is>
      </c>
      <c r="M644">
        <f>COUNTIFS('Asset Log'!$A$5:$A$1379,A644,'Asset Log'!$E$5:$E$1379,E644,'Asset Log'!$G$5:$G$1379,G644)</f>
        <v>1</v>
      </c>
    </row>
    <row r="645">
      <c r="A645" t="inlineStr">
        <is>
          <t>D72315</t>
        </is>
      </c>
      <c r="B645" s="11" t="n">
        <v>45995</v>
      </c>
      <c r="C645" t="inlineStr">
        <is>
          <t>S0260</t>
        </is>
      </c>
      <c r="D645" t="inlineStr">
        <is>
          <t>S0260</t>
        </is>
      </c>
      <c r="E645" t="inlineStr">
        <is>
          <t>ST</t>
        </is>
      </c>
      <c r="F645" t="n">
        <v>1</v>
      </c>
      <c r="G645" t="inlineStr">
        <is>
          <t>OUT</t>
        </is>
      </c>
      <c r="H645">
        <f>IF(G645="OUT",F645,-F645)</f>
        <v>1</v>
      </c>
      <c r="I645">
        <f>IF(AND(B645&gt;=DATE(2025,7,1),B645&lt;=DATE(2026,6,30)),1,0)</f>
        <v>1</v>
      </c>
      <c r="J645">
        <f>IF(B645&lt;=DATE(2026,6,30),1,0)</f>
        <v>1</v>
      </c>
      <c r="K645" t="inlineStr"/>
      <c r="L645" t="inlineStr">
        <is>
          <t>Driver</t>
        </is>
      </c>
      <c r="M645">
        <f>COUNTIFS('Asset Log'!$A$5:$A$1379,A645,'Asset Log'!$E$5:$E$1379,E645,'Asset Log'!$G$5:$G$1379,G645)</f>
        <v>1</v>
      </c>
    </row>
    <row r="646">
      <c r="A646" t="inlineStr">
        <is>
          <t>D72588</t>
        </is>
      </c>
      <c r="B646" s="11" t="n">
        <v>45995</v>
      </c>
      <c r="C646" t="inlineStr">
        <is>
          <t>S0386</t>
        </is>
      </c>
      <c r="D646" t="inlineStr">
        <is>
          <t>S0386</t>
        </is>
      </c>
      <c r="E646" t="inlineStr">
        <is>
          <t>TK</t>
        </is>
      </c>
      <c r="F646" t="n">
        <v>1</v>
      </c>
      <c r="G646" t="inlineStr">
        <is>
          <t>IN</t>
        </is>
      </c>
      <c r="H646">
        <f>IF(G646="OUT",F646,-F646)</f>
        <v>-1</v>
      </c>
      <c r="I646">
        <f>IF(AND(B646&gt;=DATE(2025,7,1),B646&lt;=DATE(2026,6,30)),1,0)</f>
        <v>1</v>
      </c>
      <c r="J646">
        <f>IF(B646&lt;=DATE(2026,6,30),1,0)</f>
        <v>1</v>
      </c>
      <c r="K646" t="inlineStr"/>
      <c r="L646" t="inlineStr">
        <is>
          <t>Yard</t>
        </is>
      </c>
      <c r="M646">
        <f>COUNTIFS('Asset Log'!$A$5:$A$1379,A646,'Asset Log'!$E$5:$E$1379,E646,'Asset Log'!$G$5:$G$1379,G646)</f>
        <v>1</v>
      </c>
    </row>
    <row r="647">
      <c r="A647" t="inlineStr">
        <is>
          <t>D71016</t>
        </is>
      </c>
      <c r="B647" s="11" t="n">
        <v>45996</v>
      </c>
      <c r="C647" t="inlineStr">
        <is>
          <t>S0109</t>
        </is>
      </c>
      <c r="D647" t="inlineStr">
        <is>
          <t>S0109</t>
        </is>
      </c>
      <c r="E647" t="inlineStr">
        <is>
          <t>FP</t>
        </is>
      </c>
      <c r="F647" t="n">
        <v>23</v>
      </c>
      <c r="G647" t="inlineStr">
        <is>
          <t>IN</t>
        </is>
      </c>
      <c r="H647">
        <f>IF(G647="OUT",F647,-F647)</f>
        <v>-23</v>
      </c>
      <c r="I647">
        <f>IF(AND(B647&gt;=DATE(2025,7,1),B647&lt;=DATE(2026,6,30)),1,0)</f>
        <v>1</v>
      </c>
      <c r="J647">
        <f>IF(B647&lt;=DATE(2026,6,30),1,0)</f>
        <v>1</v>
      </c>
      <c r="K647" t="inlineStr"/>
      <c r="L647" t="inlineStr">
        <is>
          <t>Driver</t>
        </is>
      </c>
      <c r="M647">
        <f>COUNTIFS('Asset Log'!$A$5:$A$1379,A647,'Asset Log'!$E$5:$E$1379,E647,'Asset Log'!$G$5:$G$1379,G647)</f>
        <v>1</v>
      </c>
    </row>
    <row r="648">
      <c r="A648" t="inlineStr">
        <is>
          <t>D71024</t>
        </is>
      </c>
      <c r="B648" s="11" t="n">
        <v>45996</v>
      </c>
      <c r="C648" t="inlineStr">
        <is>
          <t>S0109</t>
        </is>
      </c>
      <c r="D648" t="inlineStr">
        <is>
          <t>S0109</t>
        </is>
      </c>
      <c r="E648" t="inlineStr">
        <is>
          <t>FB</t>
        </is>
      </c>
      <c r="F648" t="n">
        <v>23</v>
      </c>
      <c r="G648" t="inlineStr">
        <is>
          <t>IN</t>
        </is>
      </c>
      <c r="H648">
        <f>IF(G648="OUT",F648,-F648)</f>
        <v>-23</v>
      </c>
      <c r="I648">
        <f>IF(AND(B648&gt;=DATE(2025,7,1),B648&lt;=DATE(2026,6,30)),1,0)</f>
        <v>1</v>
      </c>
      <c r="J648">
        <f>IF(B648&lt;=DATE(2026,6,30),1,0)</f>
        <v>1</v>
      </c>
      <c r="K648" t="inlineStr"/>
      <c r="L648" t="inlineStr">
        <is>
          <t>Driver</t>
        </is>
      </c>
      <c r="M648">
        <f>COUNTIFS('Asset Log'!$A$5:$A$1379,A648,'Asset Log'!$E$5:$E$1379,E648,'Asset Log'!$G$5:$G$1379,G648)</f>
        <v>1</v>
      </c>
    </row>
    <row r="649">
      <c r="A649" t="inlineStr">
        <is>
          <t>D72251</t>
        </is>
      </c>
      <c r="B649" s="11" t="n">
        <v>45996</v>
      </c>
      <c r="C649" t="inlineStr">
        <is>
          <t>S0246</t>
        </is>
      </c>
      <c r="D649" t="inlineStr">
        <is>
          <t>S0246</t>
        </is>
      </c>
      <c r="E649" t="inlineStr">
        <is>
          <t>ST</t>
        </is>
      </c>
      <c r="F649" t="n">
        <v>4</v>
      </c>
      <c r="G649" t="inlineStr">
        <is>
          <t>OUT</t>
        </is>
      </c>
      <c r="H649">
        <f>IF(G649="OUT",F649,-F649)</f>
        <v>4</v>
      </c>
      <c r="I649">
        <f>IF(AND(B649&gt;=DATE(2025,7,1),B649&lt;=DATE(2026,6,30)),1,0)</f>
        <v>1</v>
      </c>
      <c r="J649">
        <f>IF(B649&lt;=DATE(2026,6,30),1,0)</f>
        <v>1</v>
      </c>
      <c r="K649" t="inlineStr"/>
      <c r="L649" t="inlineStr">
        <is>
          <t>Office</t>
        </is>
      </c>
      <c r="M649">
        <f>COUNTIFS('Asset Log'!$A$5:$A$1379,A649,'Asset Log'!$E$5:$E$1379,E649,'Asset Log'!$G$5:$G$1379,G649)</f>
        <v>1</v>
      </c>
    </row>
    <row r="650">
      <c r="A650" t="inlineStr">
        <is>
          <t>D72271</t>
        </is>
      </c>
      <c r="B650" s="11" t="n">
        <v>45996</v>
      </c>
      <c r="C650" t="inlineStr">
        <is>
          <t>S0251</t>
        </is>
      </c>
      <c r="D650" t="inlineStr">
        <is>
          <t>S0251</t>
        </is>
      </c>
      <c r="E650" t="inlineStr">
        <is>
          <t>ST</t>
        </is>
      </c>
      <c r="F650" t="n">
        <v>1</v>
      </c>
      <c r="G650" t="inlineStr">
        <is>
          <t>OUT</t>
        </is>
      </c>
      <c r="H650">
        <f>IF(G650="OUT",F650,-F650)</f>
        <v>1</v>
      </c>
      <c r="I650">
        <f>IF(AND(B650&gt;=DATE(2025,7,1),B650&lt;=DATE(2026,6,30)),1,0)</f>
        <v>1</v>
      </c>
      <c r="J650">
        <f>IF(B650&lt;=DATE(2026,6,30),1,0)</f>
        <v>1</v>
      </c>
      <c r="K650" t="inlineStr"/>
      <c r="L650" t="inlineStr">
        <is>
          <t>Office</t>
        </is>
      </c>
      <c r="M650">
        <f>COUNTIFS('Asset Log'!$A$5:$A$1379,A650,'Asset Log'!$E$5:$E$1379,E650,'Asset Log'!$G$5:$G$1379,G650)</f>
        <v>1</v>
      </c>
    </row>
    <row r="651">
      <c r="A651" t="inlineStr">
        <is>
          <t>D71987</t>
        </is>
      </c>
      <c r="B651" s="11" t="n">
        <v>45997</v>
      </c>
      <c r="C651" t="inlineStr">
        <is>
          <t>S0211</t>
        </is>
      </c>
      <c r="D651" t="inlineStr">
        <is>
          <t>S0211</t>
        </is>
      </c>
      <c r="E651" t="inlineStr">
        <is>
          <t>FP</t>
        </is>
      </c>
      <c r="F651" t="n">
        <v>25</v>
      </c>
      <c r="G651" t="inlineStr">
        <is>
          <t>OUT</t>
        </is>
      </c>
      <c r="H651">
        <f>IF(G651="OUT",F651,-F651)</f>
        <v>25</v>
      </c>
      <c r="I651">
        <f>IF(AND(B651&gt;=DATE(2025,7,1),B651&lt;=DATE(2026,6,30)),1,0)</f>
        <v>1</v>
      </c>
      <c r="J651">
        <f>IF(B651&lt;=DATE(2026,6,30),1,0)</f>
        <v>1</v>
      </c>
      <c r="K651" t="inlineStr"/>
      <c r="L651" t="inlineStr">
        <is>
          <t>Driver</t>
        </is>
      </c>
      <c r="M651">
        <f>COUNTIFS('Asset Log'!$A$5:$A$1379,A651,'Asset Log'!$E$5:$E$1379,E651,'Asset Log'!$G$5:$G$1379,G651)</f>
        <v>1</v>
      </c>
    </row>
    <row r="652">
      <c r="A652" t="inlineStr">
        <is>
          <t>D71991</t>
        </is>
      </c>
      <c r="B652" s="11" t="n">
        <v>45997</v>
      </c>
      <c r="C652" t="inlineStr">
        <is>
          <t>S0211</t>
        </is>
      </c>
      <c r="D652" t="inlineStr">
        <is>
          <t>S0211</t>
        </is>
      </c>
      <c r="E652" t="inlineStr">
        <is>
          <t>FB</t>
        </is>
      </c>
      <c r="F652" t="n">
        <v>27</v>
      </c>
      <c r="G652" t="inlineStr">
        <is>
          <t>OUT</t>
        </is>
      </c>
      <c r="H652">
        <f>IF(G652="OUT",F652,-F652)</f>
        <v>27</v>
      </c>
      <c r="I652">
        <f>IF(AND(B652&gt;=DATE(2025,7,1),B652&lt;=DATE(2026,6,30)),1,0)</f>
        <v>1</v>
      </c>
      <c r="J652">
        <f>IF(B652&lt;=DATE(2026,6,30),1,0)</f>
        <v>1</v>
      </c>
      <c r="K652" t="inlineStr"/>
      <c r="L652" t="inlineStr">
        <is>
          <t>Office</t>
        </is>
      </c>
      <c r="M652">
        <f>COUNTIFS('Asset Log'!$A$5:$A$1379,A652,'Asset Log'!$E$5:$E$1379,E652,'Asset Log'!$G$5:$G$1379,G652)</f>
        <v>1</v>
      </c>
    </row>
    <row r="653">
      <c r="A653" t="inlineStr">
        <is>
          <t>D71997</t>
        </is>
      </c>
      <c r="B653" s="11" t="n">
        <v>45997</v>
      </c>
      <c r="C653" t="inlineStr">
        <is>
          <t>S0211</t>
        </is>
      </c>
      <c r="D653" t="inlineStr">
        <is>
          <t>S0211</t>
        </is>
      </c>
      <c r="E653" t="inlineStr">
        <is>
          <t>BR</t>
        </is>
      </c>
      <c r="F653" t="n">
        <v>21</v>
      </c>
      <c r="G653" t="inlineStr">
        <is>
          <t>OUT</t>
        </is>
      </c>
      <c r="H653">
        <f>IF(G653="OUT",F653,-F653)</f>
        <v>21</v>
      </c>
      <c r="I653">
        <f>IF(AND(B653&gt;=DATE(2025,7,1),B653&lt;=DATE(2026,6,30)),1,0)</f>
        <v>1</v>
      </c>
      <c r="J653">
        <f>IF(B653&lt;=DATE(2026,6,30),1,0)</f>
        <v>1</v>
      </c>
      <c r="K653" t="inlineStr"/>
      <c r="L653" t="inlineStr">
        <is>
          <t>Office</t>
        </is>
      </c>
      <c r="M653">
        <f>COUNTIFS('Asset Log'!$A$5:$A$1379,A653,'Asset Log'!$E$5:$E$1379,E653,'Asset Log'!$G$5:$G$1379,G653)</f>
        <v>1</v>
      </c>
    </row>
    <row r="654">
      <c r="A654" t="inlineStr">
        <is>
          <t>D72239</t>
        </is>
      </c>
      <c r="B654" s="11" t="n">
        <v>45998</v>
      </c>
      <c r="C654" t="inlineStr">
        <is>
          <t>S0243</t>
        </is>
      </c>
      <c r="D654" t="inlineStr">
        <is>
          <t>S0243</t>
        </is>
      </c>
      <c r="E654" t="inlineStr">
        <is>
          <t>ST</t>
        </is>
      </c>
      <c r="F654" t="n">
        <v>2</v>
      </c>
      <c r="G654" t="inlineStr">
        <is>
          <t>OUT</t>
        </is>
      </c>
      <c r="H654">
        <f>IF(G654="OUT",F654,-F654)</f>
        <v>2</v>
      </c>
      <c r="I654">
        <f>IF(AND(B654&gt;=DATE(2025,7,1),B654&lt;=DATE(2026,6,30)),1,0)</f>
        <v>1</v>
      </c>
      <c r="J654">
        <f>IF(B654&lt;=DATE(2026,6,30),1,0)</f>
        <v>1</v>
      </c>
      <c r="K654" t="inlineStr"/>
      <c r="L654" t="inlineStr">
        <is>
          <t>Office</t>
        </is>
      </c>
      <c r="M654">
        <f>COUNTIFS('Asset Log'!$A$5:$A$1379,A654,'Asset Log'!$E$5:$E$1379,E654,'Asset Log'!$G$5:$G$1379,G654)</f>
        <v>1</v>
      </c>
    </row>
    <row r="655">
      <c r="A655" t="inlineStr">
        <is>
          <t>D72293</t>
        </is>
      </c>
      <c r="B655" s="11" t="n">
        <v>45998</v>
      </c>
      <c r="C655" t="inlineStr">
        <is>
          <t>S0255</t>
        </is>
      </c>
      <c r="D655" t="inlineStr">
        <is>
          <t>S0255</t>
        </is>
      </c>
      <c r="E655" t="inlineStr">
        <is>
          <t>ST</t>
        </is>
      </c>
      <c r="F655" t="n">
        <v>3</v>
      </c>
      <c r="G655" t="inlineStr">
        <is>
          <t>IN</t>
        </is>
      </c>
      <c r="H655">
        <f>IF(G655="OUT",F655,-F655)</f>
        <v>-3</v>
      </c>
      <c r="I655">
        <f>IF(AND(B655&gt;=DATE(2025,7,1),B655&lt;=DATE(2026,6,30)),1,0)</f>
        <v>1</v>
      </c>
      <c r="J655">
        <f>IF(B655&lt;=DATE(2026,6,30),1,0)</f>
        <v>1</v>
      </c>
      <c r="K655" t="inlineStr"/>
      <c r="L655" t="inlineStr">
        <is>
          <t>Driver</t>
        </is>
      </c>
      <c r="M655">
        <f>COUNTIFS('Asset Log'!$A$5:$A$1379,A655,'Asset Log'!$E$5:$E$1379,E655,'Asset Log'!$G$5:$G$1379,G655)</f>
        <v>1</v>
      </c>
    </row>
    <row r="656">
      <c r="A656" t="inlineStr">
        <is>
          <t>D72777</t>
        </is>
      </c>
      <c r="B656" s="11" t="n">
        <v>45999</v>
      </c>
      <c r="C656" t="inlineStr">
        <is>
          <t>s501</t>
        </is>
      </c>
      <c r="D656" t="inlineStr">
        <is>
          <t>S0501</t>
        </is>
      </c>
      <c r="E656" t="inlineStr">
        <is>
          <t>TK</t>
        </is>
      </c>
      <c r="F656" t="n">
        <v>3</v>
      </c>
      <c r="G656" t="inlineStr">
        <is>
          <t>OUT</t>
        </is>
      </c>
      <c r="H656">
        <f>IF(G656="OUT",F656,-F656)</f>
        <v>3</v>
      </c>
      <c r="I656">
        <f>IF(AND(B656&gt;=DATE(2025,7,1),B656&lt;=DATE(2026,6,30)),1,0)</f>
        <v>1</v>
      </c>
      <c r="J656">
        <f>IF(B656&lt;=DATE(2026,6,30),1,0)</f>
        <v>1</v>
      </c>
      <c r="K656" t="inlineStr">
        <is>
          <t>Site text normalised</t>
        </is>
      </c>
      <c r="L656" t="inlineStr">
        <is>
          <t>Office</t>
        </is>
      </c>
      <c r="M656">
        <f>COUNTIFS('Asset Log'!$A$5:$A$1379,A656,'Asset Log'!$E$5:$E$1379,E656,'Asset Log'!$G$5:$G$1379,G656)</f>
        <v>1</v>
      </c>
    </row>
    <row r="657">
      <c r="A657" t="inlineStr">
        <is>
          <t>D71028</t>
        </is>
      </c>
      <c r="B657" s="11" t="n">
        <v>46000</v>
      </c>
      <c r="C657" t="inlineStr">
        <is>
          <t>S0110</t>
        </is>
      </c>
      <c r="D657" t="inlineStr">
        <is>
          <t>S0110</t>
        </is>
      </c>
      <c r="E657" t="inlineStr">
        <is>
          <t>FP</t>
        </is>
      </c>
      <c r="F657" t="n">
        <v>117</v>
      </c>
      <c r="G657" t="inlineStr">
        <is>
          <t>OUT</t>
        </is>
      </c>
      <c r="H657">
        <f>IF(G657="OUT",F657,-F657)</f>
        <v>117</v>
      </c>
      <c r="I657">
        <f>IF(AND(B657&gt;=DATE(2025,7,1),B657&lt;=DATE(2026,6,30)),1,0)</f>
        <v>1</v>
      </c>
      <c r="J657">
        <f>IF(B657&lt;=DATE(2026,6,30),1,0)</f>
        <v>1</v>
      </c>
      <c r="K657" t="inlineStr"/>
      <c r="L657" t="inlineStr">
        <is>
          <t>Driver</t>
        </is>
      </c>
      <c r="M657">
        <f>COUNTIFS('Asset Log'!$A$5:$A$1379,A657,'Asset Log'!$E$5:$E$1379,E657,'Asset Log'!$G$5:$G$1379,G657)</f>
        <v>1</v>
      </c>
    </row>
    <row r="658">
      <c r="A658" t="inlineStr">
        <is>
          <t>D71031</t>
        </is>
      </c>
      <c r="B658" s="11" t="n">
        <v>46000</v>
      </c>
      <c r="C658" t="inlineStr">
        <is>
          <t>S0110</t>
        </is>
      </c>
      <c r="D658" t="inlineStr">
        <is>
          <t>S0110</t>
        </is>
      </c>
      <c r="E658" t="inlineStr">
        <is>
          <t>FB</t>
        </is>
      </c>
      <c r="F658" t="n">
        <v>128</v>
      </c>
      <c r="G658" t="inlineStr">
        <is>
          <t>OUT</t>
        </is>
      </c>
      <c r="H658">
        <f>IF(G658="OUT",F658,-F658)</f>
        <v>128</v>
      </c>
      <c r="I658">
        <f>IF(AND(B658&gt;=DATE(2025,7,1),B658&lt;=DATE(2026,6,30)),1,0)</f>
        <v>1</v>
      </c>
      <c r="J658">
        <f>IF(B658&lt;=DATE(2026,6,30),1,0)</f>
        <v>1</v>
      </c>
      <c r="K658" t="inlineStr"/>
      <c r="L658" t="inlineStr">
        <is>
          <t>Office</t>
        </is>
      </c>
      <c r="M658">
        <f>COUNTIFS('Asset Log'!$A$5:$A$1379,A658,'Asset Log'!$E$5:$E$1379,E658,'Asset Log'!$G$5:$G$1379,G658)</f>
        <v>1</v>
      </c>
    </row>
    <row r="659">
      <c r="A659" t="inlineStr">
        <is>
          <t>D71319</t>
        </is>
      </c>
      <c r="B659" s="11" t="n">
        <v>46000</v>
      </c>
      <c r="C659" t="inlineStr">
        <is>
          <t>S0139</t>
        </is>
      </c>
      <c r="D659" t="inlineStr">
        <is>
          <t>S0139</t>
        </is>
      </c>
      <c r="E659" t="inlineStr">
        <is>
          <t>FP</t>
        </is>
      </c>
      <c r="F659" t="n">
        <v>70</v>
      </c>
      <c r="G659" t="inlineStr">
        <is>
          <t>IN</t>
        </is>
      </c>
      <c r="H659">
        <f>IF(G659="OUT",F659,-F659)</f>
        <v>-70</v>
      </c>
      <c r="I659">
        <f>IF(AND(B659&gt;=DATE(2025,7,1),B659&lt;=DATE(2026,6,30)),1,0)</f>
        <v>1</v>
      </c>
      <c r="J659">
        <f>IF(B659&lt;=DATE(2026,6,30),1,0)</f>
        <v>1</v>
      </c>
      <c r="K659" t="inlineStr"/>
      <c r="L659" t="inlineStr">
        <is>
          <t>Yard</t>
        </is>
      </c>
      <c r="M659">
        <f>COUNTIFS('Asset Log'!$A$5:$A$1379,A659,'Asset Log'!$E$5:$E$1379,E659,'Asset Log'!$G$5:$G$1379,G659)</f>
        <v>1</v>
      </c>
    </row>
    <row r="660">
      <c r="A660" t="inlineStr">
        <is>
          <t>D71323</t>
        </is>
      </c>
      <c r="B660" s="11" t="n">
        <v>46000</v>
      </c>
      <c r="C660" t="inlineStr">
        <is>
          <t>S0139</t>
        </is>
      </c>
      <c r="D660" t="inlineStr">
        <is>
          <t>S0139</t>
        </is>
      </c>
      <c r="E660" t="inlineStr">
        <is>
          <t>FB</t>
        </is>
      </c>
      <c r="F660" t="n">
        <v>77</v>
      </c>
      <c r="G660" t="inlineStr">
        <is>
          <t>IN</t>
        </is>
      </c>
      <c r="H660">
        <f>IF(G660="OUT",F660,-F660)</f>
        <v>-77</v>
      </c>
      <c r="I660">
        <f>IF(AND(B660&gt;=DATE(2025,7,1),B660&lt;=DATE(2026,6,30)),1,0)</f>
        <v>1</v>
      </c>
      <c r="J660">
        <f>IF(B660&lt;=DATE(2026,6,30),1,0)</f>
        <v>1</v>
      </c>
      <c r="K660" t="inlineStr"/>
      <c r="L660" t="inlineStr">
        <is>
          <t>Driver</t>
        </is>
      </c>
      <c r="M660">
        <f>COUNTIFS('Asset Log'!$A$5:$A$1379,A660,'Asset Log'!$E$5:$E$1379,E660,'Asset Log'!$G$5:$G$1379,G660)</f>
        <v>1</v>
      </c>
    </row>
    <row r="661">
      <c r="A661" t="inlineStr">
        <is>
          <t>D71522</t>
        </is>
      </c>
      <c r="B661" s="11" t="n">
        <v>46001</v>
      </c>
      <c r="C661" t="inlineStr">
        <is>
          <t>S0159 Oakleigh</t>
        </is>
      </c>
      <c r="D661" t="inlineStr">
        <is>
          <t>S0159</t>
        </is>
      </c>
      <c r="E661" t="inlineStr">
        <is>
          <t>FP</t>
        </is>
      </c>
      <c r="F661" t="n">
        <v>40</v>
      </c>
      <c r="G661" t="inlineStr">
        <is>
          <t>OUT</t>
        </is>
      </c>
      <c r="H661">
        <f>IF(G661="OUT",F661,-F661)</f>
        <v>40</v>
      </c>
      <c r="I661">
        <f>IF(AND(B661&gt;=DATE(2025,7,1),B661&lt;=DATE(2026,6,30)),1,0)</f>
        <v>1</v>
      </c>
      <c r="J661">
        <f>IF(B661&lt;=DATE(2026,6,30),1,0)</f>
        <v>1</v>
      </c>
      <c r="K661" t="inlineStr">
        <is>
          <t>Site text normalised</t>
        </is>
      </c>
      <c r="L661" t="inlineStr">
        <is>
          <t>Office</t>
        </is>
      </c>
      <c r="M661">
        <f>COUNTIFS('Asset Log'!$A$5:$A$1379,A661,'Asset Log'!$E$5:$E$1379,E661,'Asset Log'!$G$5:$G$1379,G661)</f>
        <v>1</v>
      </c>
    </row>
    <row r="662">
      <c r="A662" t="inlineStr">
        <is>
          <t>D71531</t>
        </is>
      </c>
      <c r="B662" s="11" t="n">
        <v>46001</v>
      </c>
      <c r="C662" t="inlineStr">
        <is>
          <t>S0159</t>
        </is>
      </c>
      <c r="D662" t="inlineStr">
        <is>
          <t>S0159</t>
        </is>
      </c>
      <c r="E662" t="inlineStr">
        <is>
          <t>FB</t>
        </is>
      </c>
      <c r="F662" t="n">
        <v>40</v>
      </c>
      <c r="G662" t="inlineStr">
        <is>
          <t>OUT</t>
        </is>
      </c>
      <c r="H662">
        <f>IF(G662="OUT",F662,-F662)</f>
        <v>40</v>
      </c>
      <c r="I662">
        <f>IF(AND(B662&gt;=DATE(2025,7,1),B662&lt;=DATE(2026,6,30)),1,0)</f>
        <v>1</v>
      </c>
      <c r="J662">
        <f>IF(B662&lt;=DATE(2026,6,30),1,0)</f>
        <v>1</v>
      </c>
      <c r="K662" t="inlineStr"/>
      <c r="L662" t="inlineStr">
        <is>
          <t>Office</t>
        </is>
      </c>
      <c r="M662">
        <f>COUNTIFS('Asset Log'!$A$5:$A$1379,A662,'Asset Log'!$E$5:$E$1379,E662,'Asset Log'!$G$5:$G$1379,G662)</f>
        <v>1</v>
      </c>
    </row>
    <row r="663">
      <c r="A663" t="inlineStr">
        <is>
          <t>D71658</t>
        </is>
      </c>
      <c r="B663" s="11" t="n">
        <v>46001</v>
      </c>
      <c r="C663" t="inlineStr">
        <is>
          <t>S0174</t>
        </is>
      </c>
      <c r="D663" t="inlineStr">
        <is>
          <t>S0174</t>
        </is>
      </c>
      <c r="E663" t="inlineStr">
        <is>
          <t>FP</t>
        </is>
      </c>
      <c r="F663" t="n">
        <v>116</v>
      </c>
      <c r="G663" t="inlineStr">
        <is>
          <t>IN</t>
        </is>
      </c>
      <c r="H663">
        <f>IF(G663="OUT",F663,-F663)</f>
        <v>-116</v>
      </c>
      <c r="I663">
        <f>IF(AND(B663&gt;=DATE(2025,7,1),B663&lt;=DATE(2026,6,30)),1,0)</f>
        <v>1</v>
      </c>
      <c r="J663">
        <f>IF(B663&lt;=DATE(2026,6,30),1,0)</f>
        <v>1</v>
      </c>
      <c r="K663" t="inlineStr"/>
      <c r="L663" t="inlineStr">
        <is>
          <t>Office</t>
        </is>
      </c>
      <c r="M663">
        <f>COUNTIFS('Asset Log'!$A$5:$A$1379,A663,'Asset Log'!$E$5:$E$1379,E663,'Asset Log'!$G$5:$G$1379,G663)</f>
        <v>1</v>
      </c>
    </row>
    <row r="664">
      <c r="A664" t="inlineStr">
        <is>
          <t>D71662</t>
        </is>
      </c>
      <c r="B664" s="11" t="n">
        <v>46001</v>
      </c>
      <c r="C664" t="inlineStr">
        <is>
          <t>s174</t>
        </is>
      </c>
      <c r="D664" t="inlineStr">
        <is>
          <t>S0174</t>
        </is>
      </c>
      <c r="E664" t="inlineStr">
        <is>
          <t>FB</t>
        </is>
      </c>
      <c r="F664" t="n">
        <v>127</v>
      </c>
      <c r="G664" t="inlineStr">
        <is>
          <t>IN</t>
        </is>
      </c>
      <c r="H664">
        <f>IF(G664="OUT",F664,-F664)</f>
        <v>-127</v>
      </c>
      <c r="I664">
        <f>IF(AND(B664&gt;=DATE(2025,7,1),B664&lt;=DATE(2026,6,30)),1,0)</f>
        <v>1</v>
      </c>
      <c r="J664">
        <f>IF(B664&lt;=DATE(2026,6,30),1,0)</f>
        <v>1</v>
      </c>
      <c r="K664" t="inlineStr">
        <is>
          <t>Site text normalised</t>
        </is>
      </c>
      <c r="L664" t="inlineStr">
        <is>
          <t>Office</t>
        </is>
      </c>
      <c r="M664">
        <f>COUNTIFS('Asset Log'!$A$5:$A$1379,A664,'Asset Log'!$E$5:$E$1379,E664,'Asset Log'!$G$5:$G$1379,G664)</f>
        <v>1</v>
      </c>
    </row>
    <row r="665">
      <c r="A665" t="inlineStr">
        <is>
          <t>D71889</t>
        </is>
      </c>
      <c r="B665" s="11" t="n">
        <v>46001</v>
      </c>
      <c r="C665" t="inlineStr">
        <is>
          <t>S0200 Carlton</t>
        </is>
      </c>
      <c r="D665" t="inlineStr">
        <is>
          <t>S0200</t>
        </is>
      </c>
      <c r="E665" t="inlineStr">
        <is>
          <t>FP</t>
        </is>
      </c>
      <c r="F665" t="n">
        <v>116</v>
      </c>
      <c r="G665" t="inlineStr">
        <is>
          <t>OUT</t>
        </is>
      </c>
      <c r="H665">
        <f>IF(G665="OUT",F665,-F665)</f>
        <v>116</v>
      </c>
      <c r="I665">
        <f>IF(AND(B665&gt;=DATE(2025,7,1),B665&lt;=DATE(2026,6,30)),1,0)</f>
        <v>1</v>
      </c>
      <c r="J665">
        <f>IF(B665&lt;=DATE(2026,6,30),1,0)</f>
        <v>1</v>
      </c>
      <c r="K665" t="inlineStr">
        <is>
          <t>Site text normalised</t>
        </is>
      </c>
      <c r="L665" t="inlineStr">
        <is>
          <t>Office</t>
        </is>
      </c>
      <c r="M665">
        <f>COUNTIFS('Asset Log'!$A$5:$A$1379,A665,'Asset Log'!$E$5:$E$1379,E665,'Asset Log'!$G$5:$G$1379,G665)</f>
        <v>1</v>
      </c>
    </row>
    <row r="666">
      <c r="A666" t="inlineStr">
        <is>
          <t>D71892</t>
        </is>
      </c>
      <c r="B666" s="11" t="n">
        <v>46001</v>
      </c>
      <c r="C666" t="inlineStr">
        <is>
          <t>s200</t>
        </is>
      </c>
      <c r="D666" t="inlineStr">
        <is>
          <t>S0200</t>
        </is>
      </c>
      <c r="E666" t="inlineStr">
        <is>
          <t>FB</t>
        </is>
      </c>
      <c r="F666" t="n">
        <v>127</v>
      </c>
      <c r="G666" t="inlineStr">
        <is>
          <t>OUT</t>
        </is>
      </c>
      <c r="H666">
        <f>IF(G666="OUT",F666,-F666)</f>
        <v>127</v>
      </c>
      <c r="I666">
        <f>IF(AND(B666&gt;=DATE(2025,7,1),B666&lt;=DATE(2026,6,30)),1,0)</f>
        <v>1</v>
      </c>
      <c r="J666">
        <f>IF(B666&lt;=DATE(2026,6,30),1,0)</f>
        <v>1</v>
      </c>
      <c r="K666" t="inlineStr">
        <is>
          <t>Site text normalised</t>
        </is>
      </c>
      <c r="L666" t="inlineStr">
        <is>
          <t>Driver</t>
        </is>
      </c>
      <c r="M666">
        <f>COUNTIFS('Asset Log'!$A$5:$A$1379,A666,'Asset Log'!$E$5:$E$1379,E666,'Asset Log'!$G$5:$G$1379,G666)</f>
        <v>1</v>
      </c>
    </row>
    <row r="667">
      <c r="A667" t="inlineStr">
        <is>
          <t>D72463</t>
        </is>
      </c>
      <c r="B667" s="11" t="n">
        <v>46002</v>
      </c>
      <c r="C667" t="inlineStr">
        <is>
          <t>S0298</t>
        </is>
      </c>
      <c r="D667" t="inlineStr">
        <is>
          <t>S0298</t>
        </is>
      </c>
      <c r="E667" t="inlineStr">
        <is>
          <t>TK</t>
        </is>
      </c>
      <c r="F667" t="n">
        <v>2</v>
      </c>
      <c r="G667" t="inlineStr">
        <is>
          <t>OUT</t>
        </is>
      </c>
      <c r="H667">
        <f>IF(G667="OUT",F667,-F667)</f>
        <v>2</v>
      </c>
      <c r="I667">
        <f>IF(AND(B667&gt;=DATE(2025,7,1),B667&lt;=DATE(2026,6,30)),1,0)</f>
        <v>1</v>
      </c>
      <c r="J667">
        <f>IF(B667&lt;=DATE(2026,6,30),1,0)</f>
        <v>1</v>
      </c>
      <c r="K667" t="inlineStr"/>
      <c r="L667" t="inlineStr">
        <is>
          <t>Driver</t>
        </is>
      </c>
      <c r="M667">
        <f>COUNTIFS('Asset Log'!$A$5:$A$1379,A667,'Asset Log'!$E$5:$E$1379,E667,'Asset Log'!$G$5:$G$1379,G667)</f>
        <v>1</v>
      </c>
    </row>
    <row r="668">
      <c r="A668" t="inlineStr">
        <is>
          <t>D72197</t>
        </is>
      </c>
      <c r="B668" s="11" t="n">
        <v>46003</v>
      </c>
      <c r="C668" t="inlineStr">
        <is>
          <t>S0232</t>
        </is>
      </c>
      <c r="D668" t="inlineStr">
        <is>
          <t>S0232</t>
        </is>
      </c>
      <c r="E668" t="inlineStr">
        <is>
          <t>FP</t>
        </is>
      </c>
      <c r="F668" t="n">
        <v>34</v>
      </c>
      <c r="G668" t="inlineStr">
        <is>
          <t>IN</t>
        </is>
      </c>
      <c r="H668">
        <f>IF(G668="OUT",F668,-F668)</f>
        <v>-34</v>
      </c>
      <c r="I668">
        <f>IF(AND(B668&gt;=DATE(2025,7,1),B668&lt;=DATE(2026,6,30)),1,0)</f>
        <v>1</v>
      </c>
      <c r="J668">
        <f>IF(B668&lt;=DATE(2026,6,30),1,0)</f>
        <v>1</v>
      </c>
      <c r="K668" t="inlineStr"/>
      <c r="L668" t="inlineStr">
        <is>
          <t>Driver</t>
        </is>
      </c>
      <c r="M668">
        <f>COUNTIFS('Asset Log'!$A$5:$A$1379,A668,'Asset Log'!$E$5:$E$1379,E668,'Asset Log'!$G$5:$G$1379,G668)</f>
        <v>1</v>
      </c>
    </row>
    <row r="669">
      <c r="A669" t="inlineStr">
        <is>
          <t>D72202</t>
        </is>
      </c>
      <c r="B669" s="11" t="n">
        <v>46003</v>
      </c>
      <c r="C669" t="inlineStr">
        <is>
          <t>S0232</t>
        </is>
      </c>
      <c r="D669" t="inlineStr">
        <is>
          <t>S0232</t>
        </is>
      </c>
      <c r="E669" t="inlineStr">
        <is>
          <t>FB</t>
        </is>
      </c>
      <c r="F669" t="n">
        <v>52</v>
      </c>
      <c r="G669" t="inlineStr">
        <is>
          <t>IN</t>
        </is>
      </c>
      <c r="H669">
        <f>IF(G669="OUT",F669,-F669)</f>
        <v>-52</v>
      </c>
      <c r="I669">
        <f>IF(AND(B669&gt;=DATE(2025,7,1),B669&lt;=DATE(2026,6,30)),1,0)</f>
        <v>1</v>
      </c>
      <c r="J669">
        <f>IF(B669&lt;=DATE(2026,6,30),1,0)</f>
        <v>1</v>
      </c>
      <c r="K669" t="inlineStr"/>
      <c r="L669" t="inlineStr">
        <is>
          <t>Driver</t>
        </is>
      </c>
      <c r="M669">
        <f>COUNTIFS('Asset Log'!$A$5:$A$1379,A669,'Asset Log'!$E$5:$E$1379,E669,'Asset Log'!$G$5:$G$1379,G669)</f>
        <v>1</v>
      </c>
    </row>
    <row r="670">
      <c r="A670" t="inlineStr">
        <is>
          <t>D72446</t>
        </is>
      </c>
      <c r="B670" s="11" t="n">
        <v>46003</v>
      </c>
      <c r="C670" t="inlineStr">
        <is>
          <t>S0293</t>
        </is>
      </c>
      <c r="D670" t="inlineStr">
        <is>
          <t>S0293</t>
        </is>
      </c>
      <c r="E670" t="inlineStr">
        <is>
          <t>ST</t>
        </is>
      </c>
      <c r="F670" t="n">
        <v>6</v>
      </c>
      <c r="G670" t="inlineStr">
        <is>
          <t>IN</t>
        </is>
      </c>
      <c r="H670">
        <f>IF(G670="OUT",F670,-F670)</f>
        <v>-6</v>
      </c>
      <c r="I670">
        <f>IF(AND(B670&gt;=DATE(2025,7,1),B670&lt;=DATE(2026,6,30)),1,0)</f>
        <v>1</v>
      </c>
      <c r="J670">
        <f>IF(B670&lt;=DATE(2026,6,30),1,0)</f>
        <v>1</v>
      </c>
      <c r="K670" t="inlineStr"/>
      <c r="L670" t="inlineStr">
        <is>
          <t>Office</t>
        </is>
      </c>
      <c r="M670">
        <f>COUNTIFS('Asset Log'!$A$5:$A$1379,A670,'Asset Log'!$E$5:$E$1379,E670,'Asset Log'!$G$5:$G$1379,G670)</f>
        <v>1</v>
      </c>
    </row>
    <row r="671">
      <c r="A671" t="inlineStr">
        <is>
          <t>D72631</t>
        </is>
      </c>
      <c r="B671" s="11" t="n">
        <v>46003</v>
      </c>
      <c r="C671" t="inlineStr">
        <is>
          <t>S0408</t>
        </is>
      </c>
      <c r="D671" t="inlineStr">
        <is>
          <t>S0408</t>
        </is>
      </c>
      <c r="E671" t="inlineStr">
        <is>
          <t>TK</t>
        </is>
      </c>
      <c r="F671" t="n">
        <v>3</v>
      </c>
      <c r="G671" t="inlineStr">
        <is>
          <t>IN</t>
        </is>
      </c>
      <c r="H671">
        <f>IF(G671="OUT",F671,-F671)</f>
        <v>-3</v>
      </c>
      <c r="I671">
        <f>IF(AND(B671&gt;=DATE(2025,7,1),B671&lt;=DATE(2026,6,30)),1,0)</f>
        <v>1</v>
      </c>
      <c r="J671">
        <f>IF(B671&lt;=DATE(2026,6,30),1,0)</f>
        <v>1</v>
      </c>
      <c r="K671" t="inlineStr"/>
      <c r="L671" t="inlineStr">
        <is>
          <t>Office</t>
        </is>
      </c>
      <c r="M671">
        <f>COUNTIFS('Asset Log'!$A$5:$A$1379,A671,'Asset Log'!$E$5:$E$1379,E671,'Asset Log'!$G$5:$G$1379,G671)</f>
        <v>1</v>
      </c>
    </row>
    <row r="672">
      <c r="A672" t="inlineStr">
        <is>
          <t>D70112</t>
        </is>
      </c>
      <c r="B672" s="11" t="n">
        <v>46004</v>
      </c>
      <c r="C672" t="inlineStr">
        <is>
          <t>s013</t>
        </is>
      </c>
      <c r="D672" t="inlineStr">
        <is>
          <t>S0013</t>
        </is>
      </c>
      <c r="E672" t="inlineStr">
        <is>
          <t>FP</t>
        </is>
      </c>
      <c r="F672" t="n">
        <v>110</v>
      </c>
      <c r="G672" t="inlineStr">
        <is>
          <t>OUT</t>
        </is>
      </c>
      <c r="H672">
        <f>IF(G672="OUT",F672,-F672)</f>
        <v>110</v>
      </c>
      <c r="I672">
        <f>IF(AND(B672&gt;=DATE(2025,7,1),B672&lt;=DATE(2026,6,30)),1,0)</f>
        <v>1</v>
      </c>
      <c r="J672">
        <f>IF(B672&lt;=DATE(2026,6,30),1,0)</f>
        <v>1</v>
      </c>
      <c r="K672" t="inlineStr">
        <is>
          <t>Site text normalised</t>
        </is>
      </c>
      <c r="L672" t="inlineStr">
        <is>
          <t>Office</t>
        </is>
      </c>
      <c r="M672">
        <f>COUNTIFS('Asset Log'!$A$5:$A$1379,A672,'Asset Log'!$E$5:$E$1379,E672,'Asset Log'!$G$5:$G$1379,G672)</f>
        <v>1</v>
      </c>
    </row>
    <row r="673">
      <c r="A673" t="inlineStr">
        <is>
          <t>D70115</t>
        </is>
      </c>
      <c r="B673" s="11" t="n">
        <v>46004</v>
      </c>
      <c r="C673" t="inlineStr">
        <is>
          <t>S0013</t>
        </is>
      </c>
      <c r="D673" t="inlineStr">
        <is>
          <t>S0013</t>
        </is>
      </c>
      <c r="E673" t="inlineStr">
        <is>
          <t>FB</t>
        </is>
      </c>
      <c r="F673" t="n">
        <v>121</v>
      </c>
      <c r="G673" t="inlineStr">
        <is>
          <t>OUT</t>
        </is>
      </c>
      <c r="H673">
        <f>IF(G673="OUT",F673,-F673)</f>
        <v>121</v>
      </c>
      <c r="I673">
        <f>IF(AND(B673&gt;=DATE(2025,7,1),B673&lt;=DATE(2026,6,30)),1,0)</f>
        <v>1</v>
      </c>
      <c r="J673">
        <f>IF(B673&lt;=DATE(2026,6,30),1,0)</f>
        <v>1</v>
      </c>
      <c r="K673" t="inlineStr"/>
      <c r="L673" t="inlineStr">
        <is>
          <t>Yard</t>
        </is>
      </c>
      <c r="M673">
        <f>COUNTIFS('Asset Log'!$A$5:$A$1379,A673,'Asset Log'!$E$5:$E$1379,E673,'Asset Log'!$G$5:$G$1379,G673)</f>
        <v>1</v>
      </c>
    </row>
    <row r="674">
      <c r="A674" t="inlineStr">
        <is>
          <t>D70118</t>
        </is>
      </c>
      <c r="B674" s="11" t="n">
        <v>46004</v>
      </c>
      <c r="C674" t="inlineStr">
        <is>
          <t>s013</t>
        </is>
      </c>
      <c r="D674" t="inlineStr">
        <is>
          <t>S0013</t>
        </is>
      </c>
      <c r="E674" t="inlineStr">
        <is>
          <t>BR</t>
        </is>
      </c>
      <c r="F674" t="n">
        <v>23</v>
      </c>
      <c r="G674" t="inlineStr">
        <is>
          <t>OUT</t>
        </is>
      </c>
      <c r="H674">
        <f>IF(G674="OUT",F674,-F674)</f>
        <v>23</v>
      </c>
      <c r="I674">
        <f>IF(AND(B674&gt;=DATE(2025,7,1),B674&lt;=DATE(2026,6,30)),1,0)</f>
        <v>1</v>
      </c>
      <c r="J674">
        <f>IF(B674&lt;=DATE(2026,6,30),1,0)</f>
        <v>1</v>
      </c>
      <c r="K674" t="inlineStr">
        <is>
          <t>Site text normalised</t>
        </is>
      </c>
      <c r="L674" t="inlineStr">
        <is>
          <t>Office</t>
        </is>
      </c>
      <c r="M674">
        <f>COUNTIFS('Asset Log'!$A$5:$A$1379,A674,'Asset Log'!$E$5:$E$1379,E674,'Asset Log'!$G$5:$G$1379,G674)</f>
        <v>1</v>
      </c>
    </row>
    <row r="675">
      <c r="A675" t="inlineStr">
        <is>
          <t>D71502</t>
        </is>
      </c>
      <c r="B675" s="11" t="n">
        <v>46004</v>
      </c>
      <c r="C675" t="inlineStr">
        <is>
          <t>S0157</t>
        </is>
      </c>
      <c r="D675" t="inlineStr">
        <is>
          <t>S0157</t>
        </is>
      </c>
      <c r="E675" t="inlineStr">
        <is>
          <t>FP</t>
        </is>
      </c>
      <c r="F675" t="n">
        <v>145</v>
      </c>
      <c r="G675" t="inlineStr">
        <is>
          <t>OUT</t>
        </is>
      </c>
      <c r="H675">
        <f>IF(G675="OUT",F675,-F675)</f>
        <v>145</v>
      </c>
      <c r="I675">
        <f>IF(AND(B675&gt;=DATE(2025,7,1),B675&lt;=DATE(2026,6,30)),1,0)</f>
        <v>1</v>
      </c>
      <c r="J675">
        <f>IF(B675&lt;=DATE(2026,6,30),1,0)</f>
        <v>1</v>
      </c>
      <c r="K675" t="inlineStr"/>
      <c r="L675" t="inlineStr">
        <is>
          <t>Office</t>
        </is>
      </c>
      <c r="M675">
        <f>COUNTIFS('Asset Log'!$A$5:$A$1379,A675,'Asset Log'!$E$5:$E$1379,E675,'Asset Log'!$G$5:$G$1379,G675)</f>
        <v>1</v>
      </c>
    </row>
    <row r="676">
      <c r="A676" t="inlineStr">
        <is>
          <t>D71505</t>
        </is>
      </c>
      <c r="B676" s="11" t="n">
        <v>46004</v>
      </c>
      <c r="C676" t="inlineStr">
        <is>
          <t>S0157</t>
        </is>
      </c>
      <c r="D676" t="inlineStr">
        <is>
          <t>S0157</t>
        </is>
      </c>
      <c r="E676" t="inlineStr">
        <is>
          <t>FB</t>
        </is>
      </c>
      <c r="F676" t="n">
        <v>159</v>
      </c>
      <c r="G676" t="inlineStr">
        <is>
          <t>OUT</t>
        </is>
      </c>
      <c r="H676">
        <f>IF(G676="OUT",F676,-F676)</f>
        <v>159</v>
      </c>
      <c r="I676">
        <f>IF(AND(B676&gt;=DATE(2025,7,1),B676&lt;=DATE(2026,6,30)),1,0)</f>
        <v>1</v>
      </c>
      <c r="J676">
        <f>IF(B676&lt;=DATE(2026,6,30),1,0)</f>
        <v>1</v>
      </c>
      <c r="K676" t="inlineStr"/>
      <c r="L676" t="inlineStr">
        <is>
          <t>Yard</t>
        </is>
      </c>
      <c r="M676">
        <f>COUNTIFS('Asset Log'!$A$5:$A$1379,A676,'Asset Log'!$E$5:$E$1379,E676,'Asset Log'!$G$5:$G$1379,G676)</f>
        <v>1</v>
      </c>
    </row>
    <row r="677">
      <c r="A677" t="inlineStr">
        <is>
          <t>D72326</t>
        </is>
      </c>
      <c r="B677" s="11" t="n">
        <v>46004</v>
      </c>
      <c r="C677" t="inlineStr">
        <is>
          <t>s263</t>
        </is>
      </c>
      <c r="D677" t="inlineStr">
        <is>
          <t>S0263</t>
        </is>
      </c>
      <c r="E677" t="inlineStr">
        <is>
          <t>ST</t>
        </is>
      </c>
      <c r="F677" t="n">
        <v>3</v>
      </c>
      <c r="G677" t="inlineStr">
        <is>
          <t>OUT</t>
        </is>
      </c>
      <c r="H677">
        <f>IF(G677="OUT",F677,-F677)</f>
        <v>3</v>
      </c>
      <c r="I677">
        <f>IF(AND(B677&gt;=DATE(2025,7,1),B677&lt;=DATE(2026,6,30)),1,0)</f>
        <v>1</v>
      </c>
      <c r="J677">
        <f>IF(B677&lt;=DATE(2026,6,30),1,0)</f>
        <v>1</v>
      </c>
      <c r="K677" t="inlineStr">
        <is>
          <t>Site text normalised</t>
        </is>
      </c>
      <c r="L677" t="inlineStr">
        <is>
          <t>Office</t>
        </is>
      </c>
      <c r="M677">
        <f>COUNTIFS('Asset Log'!$A$5:$A$1379,A677,'Asset Log'!$E$5:$E$1379,E677,'Asset Log'!$G$5:$G$1379,G677)</f>
        <v>1</v>
      </c>
    </row>
    <row r="678">
      <c r="A678" t="inlineStr">
        <is>
          <t>D72479</t>
        </is>
      </c>
      <c r="B678" s="11" t="n">
        <v>46004</v>
      </c>
      <c r="C678" t="inlineStr">
        <is>
          <t>S0305 Sunshine</t>
        </is>
      </c>
      <c r="D678" t="inlineStr">
        <is>
          <t>S0305</t>
        </is>
      </c>
      <c r="E678" t="inlineStr">
        <is>
          <t>TK</t>
        </is>
      </c>
      <c r="F678" t="n">
        <v>2</v>
      </c>
      <c r="G678" t="inlineStr">
        <is>
          <t>IN</t>
        </is>
      </c>
      <c r="H678">
        <f>IF(G678="OUT",F678,-F678)</f>
        <v>-2</v>
      </c>
      <c r="I678">
        <f>IF(AND(B678&gt;=DATE(2025,7,1),B678&lt;=DATE(2026,6,30)),1,0)</f>
        <v>1</v>
      </c>
      <c r="J678">
        <f>IF(B678&lt;=DATE(2026,6,30),1,0)</f>
        <v>1</v>
      </c>
      <c r="K678" t="inlineStr">
        <is>
          <t>Site text normalised</t>
        </is>
      </c>
      <c r="L678" t="inlineStr">
        <is>
          <t>Driver</t>
        </is>
      </c>
      <c r="M678">
        <f>COUNTIFS('Asset Log'!$A$5:$A$1379,A678,'Asset Log'!$E$5:$E$1379,E678,'Asset Log'!$G$5:$G$1379,G678)</f>
        <v>1</v>
      </c>
    </row>
    <row r="679">
      <c r="A679" t="inlineStr">
        <is>
          <t>D71834</t>
        </is>
      </c>
      <c r="B679" s="11" t="n">
        <v>46005</v>
      </c>
      <c r="C679" t="inlineStr">
        <is>
          <t>S0194</t>
        </is>
      </c>
      <c r="D679" t="inlineStr">
        <is>
          <t>S0194</t>
        </is>
      </c>
      <c r="E679" t="inlineStr">
        <is>
          <t>FP</t>
        </is>
      </c>
      <c r="F679" t="n">
        <v>61</v>
      </c>
      <c r="G679" t="inlineStr">
        <is>
          <t>IN</t>
        </is>
      </c>
      <c r="H679">
        <f>IF(G679="OUT",F679,-F679)</f>
        <v>-61</v>
      </c>
      <c r="I679">
        <f>IF(AND(B679&gt;=DATE(2025,7,1),B679&lt;=DATE(2026,6,30)),1,0)</f>
        <v>1</v>
      </c>
      <c r="J679">
        <f>IF(B679&lt;=DATE(2026,6,30),1,0)</f>
        <v>1</v>
      </c>
      <c r="K679" t="inlineStr"/>
      <c r="L679" t="inlineStr">
        <is>
          <t>Yard</t>
        </is>
      </c>
      <c r="M679">
        <f>COUNTIFS('Asset Log'!$A$5:$A$1379,A679,'Asset Log'!$E$5:$E$1379,E679,'Asset Log'!$G$5:$G$1379,G679)</f>
        <v>1</v>
      </c>
    </row>
    <row r="680">
      <c r="A680" t="inlineStr">
        <is>
          <t>D71838</t>
        </is>
      </c>
      <c r="B680" s="11" t="n">
        <v>46005</v>
      </c>
      <c r="C680" t="inlineStr">
        <is>
          <t>S0194</t>
        </is>
      </c>
      <c r="D680" t="inlineStr">
        <is>
          <t>S0194</t>
        </is>
      </c>
      <c r="E680" t="inlineStr">
        <is>
          <t>FB</t>
        </is>
      </c>
      <c r="F680" t="n">
        <v>72</v>
      </c>
      <c r="G680" t="inlineStr">
        <is>
          <t>IN</t>
        </is>
      </c>
      <c r="H680">
        <f>IF(G680="OUT",F680,-F680)</f>
        <v>-72</v>
      </c>
      <c r="I680">
        <f>IF(AND(B680&gt;=DATE(2025,7,1),B680&lt;=DATE(2026,6,30)),1,0)</f>
        <v>1</v>
      </c>
      <c r="J680">
        <f>IF(B680&lt;=DATE(2026,6,30),1,0)</f>
        <v>1</v>
      </c>
      <c r="K680" t="inlineStr"/>
      <c r="L680" t="inlineStr">
        <is>
          <t>Office</t>
        </is>
      </c>
      <c r="M680">
        <f>COUNTIFS('Asset Log'!$A$5:$A$1379,A680,'Asset Log'!$E$5:$E$1379,E680,'Asset Log'!$G$5:$G$1379,G680)</f>
        <v>1</v>
      </c>
    </row>
    <row r="681">
      <c r="A681" t="inlineStr">
        <is>
          <t>D71839</t>
        </is>
      </c>
      <c r="B681" s="11" t="n">
        <v>46005</v>
      </c>
      <c r="C681" t="inlineStr">
        <is>
          <t>S0194</t>
        </is>
      </c>
      <c r="D681" t="inlineStr">
        <is>
          <t>S0194</t>
        </is>
      </c>
      <c r="E681" t="inlineStr">
        <is>
          <t>FP</t>
        </is>
      </c>
      <c r="F681" t="n">
        <v>5</v>
      </c>
      <c r="G681" t="inlineStr">
        <is>
          <t>LOST</t>
        </is>
      </c>
      <c r="H681">
        <f>IF(G681="OUT",F681,-F681)</f>
        <v>-5</v>
      </c>
      <c r="I681">
        <f>IF(AND(B681&gt;=DATE(2025,7,1),B681&lt;=DATE(2026,6,30)),1,0)</f>
        <v>1</v>
      </c>
      <c r="J681">
        <f>IF(B681&lt;=DATE(2026,6,30),1,0)</f>
        <v>1</v>
      </c>
      <c r="K681" t="inlineStr"/>
      <c r="L681" t="inlineStr">
        <is>
          <t>Office</t>
        </is>
      </c>
      <c r="M681">
        <f>COUNTIFS('Asset Log'!$A$5:$A$1379,A681,'Asset Log'!$E$5:$E$1379,E681,'Asset Log'!$G$5:$G$1379,G681)</f>
        <v>1</v>
      </c>
    </row>
    <row r="682">
      <c r="A682" t="inlineStr">
        <is>
          <t>D72384</t>
        </is>
      </c>
      <c r="B682" s="11" t="n">
        <v>46006</v>
      </c>
      <c r="C682" t="inlineStr">
        <is>
          <t>S0278</t>
        </is>
      </c>
      <c r="D682" t="inlineStr">
        <is>
          <t>S0278</t>
        </is>
      </c>
      <c r="E682" t="inlineStr">
        <is>
          <t>ST</t>
        </is>
      </c>
      <c r="F682" t="n">
        <v>2</v>
      </c>
      <c r="G682" t="inlineStr">
        <is>
          <t>OUT</t>
        </is>
      </c>
      <c r="H682">
        <f>IF(G682="OUT",F682,-F682)</f>
        <v>2</v>
      </c>
      <c r="I682">
        <f>IF(AND(B682&gt;=DATE(2025,7,1),B682&lt;=DATE(2026,6,30)),1,0)</f>
        <v>1</v>
      </c>
      <c r="J682">
        <f>IF(B682&lt;=DATE(2026,6,30),1,0)</f>
        <v>1</v>
      </c>
      <c r="K682" t="inlineStr"/>
      <c r="L682" t="inlineStr">
        <is>
          <t>Yard</t>
        </is>
      </c>
      <c r="M682">
        <f>COUNTIFS('Asset Log'!$A$5:$A$1379,A682,'Asset Log'!$E$5:$E$1379,E682,'Asset Log'!$G$5:$G$1379,G682)</f>
        <v>1</v>
      </c>
    </row>
    <row r="683">
      <c r="A683" t="inlineStr">
        <is>
          <t>D71209</t>
        </is>
      </c>
      <c r="B683" s="11" t="n">
        <v>46007</v>
      </c>
      <c r="C683" t="inlineStr">
        <is>
          <t>S0126</t>
        </is>
      </c>
      <c r="D683" t="inlineStr">
        <is>
          <t>S0126</t>
        </is>
      </c>
      <c r="E683" t="inlineStr">
        <is>
          <t>FP</t>
        </is>
      </c>
      <c r="F683" t="n">
        <v>68</v>
      </c>
      <c r="G683" t="inlineStr">
        <is>
          <t>IN</t>
        </is>
      </c>
      <c r="H683">
        <f>IF(G683="OUT",F683,-F683)</f>
        <v>-68</v>
      </c>
      <c r="I683">
        <f>IF(AND(B683&gt;=DATE(2025,7,1),B683&lt;=DATE(2026,6,30)),1,0)</f>
        <v>1</v>
      </c>
      <c r="J683">
        <f>IF(B683&lt;=DATE(2026,6,30),1,0)</f>
        <v>1</v>
      </c>
      <c r="K683" t="inlineStr"/>
      <c r="L683" t="inlineStr">
        <is>
          <t>Driver</t>
        </is>
      </c>
      <c r="M683">
        <f>COUNTIFS('Asset Log'!$A$5:$A$1379,A683,'Asset Log'!$E$5:$E$1379,E683,'Asset Log'!$G$5:$G$1379,G683)</f>
        <v>1</v>
      </c>
    </row>
    <row r="684">
      <c r="A684" t="inlineStr">
        <is>
          <t>D71218</t>
        </is>
      </c>
      <c r="B684" s="11" t="n">
        <v>46007</v>
      </c>
      <c r="C684" t="inlineStr">
        <is>
          <t>S0126</t>
        </is>
      </c>
      <c r="D684" t="inlineStr">
        <is>
          <t>S0126</t>
        </is>
      </c>
      <c r="E684" t="inlineStr">
        <is>
          <t>FB</t>
        </is>
      </c>
      <c r="F684" t="n">
        <v>68</v>
      </c>
      <c r="G684" t="inlineStr">
        <is>
          <t>IN</t>
        </is>
      </c>
      <c r="H684">
        <f>IF(G684="OUT",F684,-F684)</f>
        <v>-68</v>
      </c>
      <c r="I684">
        <f>IF(AND(B684&gt;=DATE(2025,7,1),B684&lt;=DATE(2026,6,30)),1,0)</f>
        <v>1</v>
      </c>
      <c r="J684">
        <f>IF(B684&lt;=DATE(2026,6,30),1,0)</f>
        <v>1</v>
      </c>
      <c r="K684" t="inlineStr"/>
      <c r="L684" t="inlineStr">
        <is>
          <t>Driver</t>
        </is>
      </c>
      <c r="M684">
        <f>COUNTIFS('Asset Log'!$A$5:$A$1379,A684,'Asset Log'!$E$5:$E$1379,E684,'Asset Log'!$G$5:$G$1379,G684)</f>
        <v>1</v>
      </c>
    </row>
    <row r="685">
      <c r="A685" t="inlineStr">
        <is>
          <t>D71862</t>
        </is>
      </c>
      <c r="B685" s="11" t="n">
        <v>46007</v>
      </c>
      <c r="C685" t="inlineStr">
        <is>
          <t>S0197</t>
        </is>
      </c>
      <c r="D685" t="inlineStr">
        <is>
          <t>S0197</t>
        </is>
      </c>
      <c r="E685" t="inlineStr">
        <is>
          <t>FP</t>
        </is>
      </c>
      <c r="F685" t="n">
        <v>74</v>
      </c>
      <c r="G685" t="inlineStr">
        <is>
          <t>OUT</t>
        </is>
      </c>
      <c r="H685">
        <f>IF(G685="OUT",F685,-F685)</f>
        <v>74</v>
      </c>
      <c r="I685">
        <f>IF(AND(B685&gt;=DATE(2025,7,1),B685&lt;=DATE(2026,6,30)),1,0)</f>
        <v>1</v>
      </c>
      <c r="J685">
        <f>IF(B685&lt;=DATE(2026,6,30),1,0)</f>
        <v>1</v>
      </c>
      <c r="K685" t="inlineStr"/>
      <c r="L685" t="inlineStr">
        <is>
          <t>Yard</t>
        </is>
      </c>
      <c r="M685">
        <f>COUNTIFS('Asset Log'!$A$5:$A$1379,A685,'Asset Log'!$E$5:$E$1379,E685,'Asset Log'!$G$5:$G$1379,G685)</f>
        <v>1</v>
      </c>
    </row>
    <row r="686">
      <c r="A686" t="inlineStr">
        <is>
          <t>D71868</t>
        </is>
      </c>
      <c r="B686" s="11" t="n">
        <v>46007</v>
      </c>
      <c r="C686" t="inlineStr">
        <is>
          <t>S0197</t>
        </is>
      </c>
      <c r="D686" t="inlineStr">
        <is>
          <t>S0197</t>
        </is>
      </c>
      <c r="E686" t="inlineStr">
        <is>
          <t>FB</t>
        </is>
      </c>
      <c r="F686" t="n">
        <v>81</v>
      </c>
      <c r="G686" t="inlineStr">
        <is>
          <t>OUT</t>
        </is>
      </c>
      <c r="H686">
        <f>IF(G686="OUT",F686,-F686)</f>
        <v>81</v>
      </c>
      <c r="I686">
        <f>IF(AND(B686&gt;=DATE(2025,7,1),B686&lt;=DATE(2026,6,30)),1,0)</f>
        <v>1</v>
      </c>
      <c r="J686">
        <f>IF(B686&lt;=DATE(2026,6,30),1,0)</f>
        <v>1</v>
      </c>
      <c r="K686" t="inlineStr"/>
      <c r="L686" t="inlineStr">
        <is>
          <t>Driver</t>
        </is>
      </c>
      <c r="M686">
        <f>COUNTIFS('Asset Log'!$A$5:$A$1379,A686,'Asset Log'!$E$5:$E$1379,E686,'Asset Log'!$G$5:$G$1379,G686)</f>
        <v>1</v>
      </c>
    </row>
    <row r="687">
      <c r="A687" t="inlineStr">
        <is>
          <t>D71873</t>
        </is>
      </c>
      <c r="B687" s="11" t="n">
        <v>46007</v>
      </c>
      <c r="C687" t="inlineStr">
        <is>
          <t>S0197</t>
        </is>
      </c>
      <c r="D687" t="inlineStr">
        <is>
          <t>S0197</t>
        </is>
      </c>
      <c r="E687" t="inlineStr">
        <is>
          <t>BR</t>
        </is>
      </c>
      <c r="F687" t="n">
        <v>4</v>
      </c>
      <c r="G687" t="inlineStr">
        <is>
          <t>OUT</t>
        </is>
      </c>
      <c r="H687">
        <f>IF(G687="OUT",F687,-F687)</f>
        <v>4</v>
      </c>
      <c r="I687">
        <f>IF(AND(B687&gt;=DATE(2025,7,1),B687&lt;=DATE(2026,6,30)),1,0)</f>
        <v>1</v>
      </c>
      <c r="J687">
        <f>IF(B687&lt;=DATE(2026,6,30),1,0)</f>
        <v>1</v>
      </c>
      <c r="K687" t="inlineStr"/>
      <c r="L687" t="inlineStr">
        <is>
          <t>Office</t>
        </is>
      </c>
      <c r="M687">
        <f>COUNTIFS('Asset Log'!$A$5:$A$1379,A687,'Asset Log'!$E$5:$E$1379,E687,'Asset Log'!$G$5:$G$1379,G687)</f>
        <v>1</v>
      </c>
    </row>
    <row r="688">
      <c r="A688" t="inlineStr">
        <is>
          <t>D70246</t>
        </is>
      </c>
      <c r="B688" s="11" t="n">
        <v>46008</v>
      </c>
      <c r="C688" t="inlineStr">
        <is>
          <t>S0026</t>
        </is>
      </c>
      <c r="D688" t="inlineStr">
        <is>
          <t>S0026</t>
        </is>
      </c>
      <c r="E688" t="inlineStr">
        <is>
          <t>FP</t>
        </is>
      </c>
      <c r="F688" t="n">
        <v>82</v>
      </c>
      <c r="G688" t="inlineStr">
        <is>
          <t>IN</t>
        </is>
      </c>
      <c r="H688">
        <f>IF(G688="OUT",F688,-F688)</f>
        <v>-82</v>
      </c>
      <c r="I688">
        <f>IF(AND(B688&gt;=DATE(2025,7,1),B688&lt;=DATE(2026,6,30)),1,0)</f>
        <v>1</v>
      </c>
      <c r="J688">
        <f>IF(B688&lt;=DATE(2026,6,30),1,0)</f>
        <v>1</v>
      </c>
      <c r="K688" t="inlineStr"/>
      <c r="L688" t="inlineStr">
        <is>
          <t>Driver</t>
        </is>
      </c>
      <c r="M688">
        <f>COUNTIFS('Asset Log'!$A$5:$A$1379,A688,'Asset Log'!$E$5:$E$1379,E688,'Asset Log'!$G$5:$G$1379,G688)</f>
        <v>1</v>
      </c>
    </row>
    <row r="689">
      <c r="A689" t="inlineStr">
        <is>
          <t>D70250</t>
        </is>
      </c>
      <c r="B689" s="11" t="n">
        <v>46008</v>
      </c>
      <c r="C689" t="inlineStr">
        <is>
          <t>s026</t>
        </is>
      </c>
      <c r="D689" t="inlineStr">
        <is>
          <t>S0026</t>
        </is>
      </c>
      <c r="E689" t="inlineStr">
        <is>
          <t>FB</t>
        </is>
      </c>
      <c r="F689" t="n">
        <v>95</v>
      </c>
      <c r="G689" t="inlineStr">
        <is>
          <t>IN</t>
        </is>
      </c>
      <c r="H689">
        <f>IF(G689="OUT",F689,-F689)</f>
        <v>-95</v>
      </c>
      <c r="I689">
        <f>IF(AND(B689&gt;=DATE(2025,7,1),B689&lt;=DATE(2026,6,30)),1,0)</f>
        <v>1</v>
      </c>
      <c r="J689">
        <f>IF(B689&lt;=DATE(2026,6,30),1,0)</f>
        <v>1</v>
      </c>
      <c r="K689" t="inlineStr">
        <is>
          <t>Site text normalised</t>
        </is>
      </c>
      <c r="L689" t="inlineStr">
        <is>
          <t>Yard</t>
        </is>
      </c>
      <c r="M689">
        <f>COUNTIFS('Asset Log'!$A$5:$A$1379,A689,'Asset Log'!$E$5:$E$1379,E689,'Asset Log'!$G$5:$G$1379,G689)</f>
        <v>1</v>
      </c>
    </row>
    <row r="690">
      <c r="A690" t="inlineStr">
        <is>
          <t>D70251</t>
        </is>
      </c>
      <c r="B690" s="11" t="n">
        <v>46008</v>
      </c>
      <c r="C690" t="inlineStr">
        <is>
          <t>S0026 South Morang</t>
        </is>
      </c>
      <c r="D690" t="inlineStr">
        <is>
          <t>S0026</t>
        </is>
      </c>
      <c r="E690" t="inlineStr">
        <is>
          <t>FP</t>
        </is>
      </c>
      <c r="F690" t="n">
        <v>5</v>
      </c>
      <c r="G690" t="inlineStr">
        <is>
          <t>LOST</t>
        </is>
      </c>
      <c r="H690">
        <f>IF(G690="OUT",F690,-F690)</f>
        <v>-5</v>
      </c>
      <c r="I690">
        <f>IF(AND(B690&gt;=DATE(2025,7,1),B690&lt;=DATE(2026,6,30)),1,0)</f>
        <v>1</v>
      </c>
      <c r="J690">
        <f>IF(B690&lt;=DATE(2026,6,30),1,0)</f>
        <v>1</v>
      </c>
      <c r="K690" t="inlineStr">
        <is>
          <t>Site text normalised</t>
        </is>
      </c>
      <c r="L690" t="inlineStr">
        <is>
          <t>Office</t>
        </is>
      </c>
      <c r="M690">
        <f>COUNTIFS('Asset Log'!$A$5:$A$1379,A690,'Asset Log'!$E$5:$E$1379,E690,'Asset Log'!$G$5:$G$1379,G690)</f>
        <v>1</v>
      </c>
    </row>
    <row r="691">
      <c r="A691" t="inlineStr">
        <is>
          <t>D72563</t>
        </is>
      </c>
      <c r="B691" s="11" t="n">
        <v>46008</v>
      </c>
      <c r="C691" t="inlineStr">
        <is>
          <t>375</t>
        </is>
      </c>
      <c r="D691" t="inlineStr">
        <is>
          <t>S0375</t>
        </is>
      </c>
      <c r="E691" t="inlineStr">
        <is>
          <t>TK</t>
        </is>
      </c>
      <c r="F691" t="n">
        <v>1</v>
      </c>
      <c r="G691" t="inlineStr">
        <is>
          <t>OUT</t>
        </is>
      </c>
      <c r="H691">
        <f>IF(G691="OUT",F691,-F691)</f>
        <v>1</v>
      </c>
      <c r="I691">
        <f>IF(AND(B691&gt;=DATE(2025,7,1),B691&lt;=DATE(2026,6,30)),1,0)</f>
        <v>1</v>
      </c>
      <c r="J691">
        <f>IF(B691&lt;=DATE(2026,6,30),1,0)</f>
        <v>1</v>
      </c>
      <c r="K691" t="inlineStr">
        <is>
          <t>Site text normalised</t>
        </is>
      </c>
      <c r="L691" t="inlineStr">
        <is>
          <t>Driver</t>
        </is>
      </c>
      <c r="M691">
        <f>COUNTIFS('Asset Log'!$A$5:$A$1379,A691,'Asset Log'!$E$5:$E$1379,E691,'Asset Log'!$G$5:$G$1379,G691)</f>
        <v>1</v>
      </c>
    </row>
    <row r="692">
      <c r="A692" t="inlineStr">
        <is>
          <t>D70611</t>
        </is>
      </c>
      <c r="B692" s="11" t="n">
        <v>46009</v>
      </c>
      <c r="C692" t="inlineStr">
        <is>
          <t>S0066</t>
        </is>
      </c>
      <c r="D692" t="inlineStr">
        <is>
          <t>S0066</t>
        </is>
      </c>
      <c r="E692" t="inlineStr">
        <is>
          <t>FP</t>
        </is>
      </c>
      <c r="F692" t="n">
        <v>78</v>
      </c>
      <c r="G692" t="inlineStr">
        <is>
          <t>OUT</t>
        </is>
      </c>
      <c r="H692">
        <f>IF(G692="OUT",F692,-F692)</f>
        <v>78</v>
      </c>
      <c r="I692">
        <f>IF(AND(B692&gt;=DATE(2025,7,1),B692&lt;=DATE(2026,6,30)),1,0)</f>
        <v>1</v>
      </c>
      <c r="J692">
        <f>IF(B692&lt;=DATE(2026,6,30),1,0)</f>
        <v>1</v>
      </c>
      <c r="K692" t="inlineStr"/>
      <c r="L692" t="inlineStr">
        <is>
          <t>Office</t>
        </is>
      </c>
      <c r="M692">
        <f>COUNTIFS('Asset Log'!$A$5:$A$1379,A692,'Asset Log'!$E$5:$E$1379,E692,'Asset Log'!$G$5:$G$1379,G692)</f>
        <v>1</v>
      </c>
    </row>
    <row r="693">
      <c r="A693" t="inlineStr">
        <is>
          <t>D70617</t>
        </is>
      </c>
      <c r="B693" s="11" t="n">
        <v>46009</v>
      </c>
      <c r="C693" t="inlineStr">
        <is>
          <t>S0066</t>
        </is>
      </c>
      <c r="D693" t="inlineStr">
        <is>
          <t>S0066</t>
        </is>
      </c>
      <c r="E693" t="inlineStr">
        <is>
          <t>FB</t>
        </is>
      </c>
      <c r="F693" t="n">
        <v>85</v>
      </c>
      <c r="G693" t="inlineStr">
        <is>
          <t>OUT</t>
        </is>
      </c>
      <c r="H693">
        <f>IF(G693="OUT",F693,-F693)</f>
        <v>85</v>
      </c>
      <c r="I693">
        <f>IF(AND(B693&gt;=DATE(2025,7,1),B693&lt;=DATE(2026,6,30)),1,0)</f>
        <v>1</v>
      </c>
      <c r="J693">
        <f>IF(B693&lt;=DATE(2026,6,30),1,0)</f>
        <v>1</v>
      </c>
      <c r="K693" t="inlineStr"/>
      <c r="L693" t="inlineStr">
        <is>
          <t>Office</t>
        </is>
      </c>
      <c r="M693">
        <f>COUNTIFS('Asset Log'!$A$5:$A$1379,A693,'Asset Log'!$E$5:$E$1379,E693,'Asset Log'!$G$5:$G$1379,G693)</f>
        <v>1</v>
      </c>
    </row>
    <row r="694">
      <c r="A694" t="inlineStr">
        <is>
          <t>D71185</t>
        </is>
      </c>
      <c r="B694" s="11" t="n">
        <v>46009</v>
      </c>
      <c r="C694" t="inlineStr">
        <is>
          <t>S0124</t>
        </is>
      </c>
      <c r="D694" t="inlineStr">
        <is>
          <t>S0124</t>
        </is>
      </c>
      <c r="E694" t="inlineStr">
        <is>
          <t>FP</t>
        </is>
      </c>
      <c r="F694" t="n">
        <v>68</v>
      </c>
      <c r="G694" t="inlineStr">
        <is>
          <t>IN</t>
        </is>
      </c>
      <c r="H694">
        <f>IF(G694="OUT",F694,-F694)</f>
        <v>-68</v>
      </c>
      <c r="I694">
        <f>IF(AND(B694&gt;=DATE(2025,7,1),B694&lt;=DATE(2026,6,30)),1,0)</f>
        <v>1</v>
      </c>
      <c r="J694">
        <f>IF(B694&lt;=DATE(2026,6,30),1,0)</f>
        <v>1</v>
      </c>
      <c r="K694" t="inlineStr"/>
      <c r="L694" t="inlineStr">
        <is>
          <t>Yard</t>
        </is>
      </c>
      <c r="M694">
        <f>COUNTIFS('Asset Log'!$A$5:$A$1379,A694,'Asset Log'!$E$5:$E$1379,E694,'Asset Log'!$G$5:$G$1379,G694)</f>
        <v>1</v>
      </c>
    </row>
    <row r="695">
      <c r="A695" t="inlineStr">
        <is>
          <t>D71190</t>
        </is>
      </c>
      <c r="B695" s="11" t="n">
        <v>46009</v>
      </c>
      <c r="C695" t="inlineStr">
        <is>
          <t>s124</t>
        </is>
      </c>
      <c r="D695" t="inlineStr">
        <is>
          <t>S0124</t>
        </is>
      </c>
      <c r="E695" t="inlineStr">
        <is>
          <t>FB</t>
        </is>
      </c>
      <c r="F695" t="n">
        <v>68</v>
      </c>
      <c r="G695" t="inlineStr">
        <is>
          <t>IN</t>
        </is>
      </c>
      <c r="H695">
        <f>IF(G695="OUT",F695,-F695)</f>
        <v>-68</v>
      </c>
      <c r="I695">
        <f>IF(AND(B695&gt;=DATE(2025,7,1),B695&lt;=DATE(2026,6,30)),1,0)</f>
        <v>1</v>
      </c>
      <c r="J695">
        <f>IF(B695&lt;=DATE(2026,6,30),1,0)</f>
        <v>1</v>
      </c>
      <c r="K695" t="inlineStr">
        <is>
          <t>Site text normalised</t>
        </is>
      </c>
      <c r="L695" t="inlineStr">
        <is>
          <t>Yard</t>
        </is>
      </c>
      <c r="M695">
        <f>COUNTIFS('Asset Log'!$A$5:$A$1379,A695,'Asset Log'!$E$5:$E$1379,E695,'Asset Log'!$G$5:$G$1379,G695)</f>
        <v>1</v>
      </c>
    </row>
    <row r="696">
      <c r="A696" t="inlineStr">
        <is>
          <t>D72639</t>
        </is>
      </c>
      <c r="B696" s="11" t="n">
        <v>46009</v>
      </c>
      <c r="C696" t="inlineStr">
        <is>
          <t>s413</t>
        </is>
      </c>
      <c r="D696" t="inlineStr">
        <is>
          <t>S0413</t>
        </is>
      </c>
      <c r="E696" t="inlineStr">
        <is>
          <t>TK</t>
        </is>
      </c>
      <c r="F696" t="n">
        <v>1</v>
      </c>
      <c r="G696" t="inlineStr">
        <is>
          <t>OUT</t>
        </is>
      </c>
      <c r="H696">
        <f>IF(G696="OUT",F696,-F696)</f>
        <v>1</v>
      </c>
      <c r="I696">
        <f>IF(AND(B696&gt;=DATE(2025,7,1),B696&lt;=DATE(2026,6,30)),1,0)</f>
        <v>1</v>
      </c>
      <c r="J696">
        <f>IF(B696&lt;=DATE(2026,6,30),1,0)</f>
        <v>1</v>
      </c>
      <c r="K696" t="inlineStr">
        <is>
          <t>Site text normalised</t>
        </is>
      </c>
      <c r="L696" t="inlineStr">
        <is>
          <t>Yard</t>
        </is>
      </c>
      <c r="M696">
        <f>COUNTIFS('Asset Log'!$A$5:$A$1379,A696,'Asset Log'!$E$5:$E$1379,E696,'Asset Log'!$G$5:$G$1379,G696)</f>
        <v>1</v>
      </c>
    </row>
    <row r="697">
      <c r="A697" t="inlineStr">
        <is>
          <t>D72715</t>
        </is>
      </c>
      <c r="B697" s="11" t="n">
        <v>46009</v>
      </c>
      <c r="C697" t="inlineStr">
        <is>
          <t>S0461 Coburg</t>
        </is>
      </c>
      <c r="D697" t="inlineStr">
        <is>
          <t>S0461</t>
        </is>
      </c>
      <c r="E697" t="inlineStr">
        <is>
          <t>TK</t>
        </is>
      </c>
      <c r="F697" t="n">
        <v>1</v>
      </c>
      <c r="G697" t="inlineStr">
        <is>
          <t>OUT</t>
        </is>
      </c>
      <c r="H697">
        <f>IF(G697="OUT",F697,-F697)</f>
        <v>1</v>
      </c>
      <c r="I697">
        <f>IF(AND(B697&gt;=DATE(2025,7,1),B697&lt;=DATE(2026,6,30)),1,0)</f>
        <v>1</v>
      </c>
      <c r="J697">
        <f>IF(B697&lt;=DATE(2026,6,30),1,0)</f>
        <v>1</v>
      </c>
      <c r="K697" t="inlineStr">
        <is>
          <t>Site text normalised</t>
        </is>
      </c>
      <c r="L697" t="inlineStr">
        <is>
          <t>Driver</t>
        </is>
      </c>
      <c r="M697">
        <f>COUNTIFS('Asset Log'!$A$5:$A$1379,A697,'Asset Log'!$E$5:$E$1379,E697,'Asset Log'!$G$5:$G$1379,G697)</f>
        <v>1</v>
      </c>
    </row>
    <row r="698">
      <c r="A698" t="inlineStr">
        <is>
          <t>D70334</t>
        </is>
      </c>
      <c r="B698" s="11" t="n">
        <v>46010</v>
      </c>
      <c r="C698" t="inlineStr">
        <is>
          <t>S0036</t>
        </is>
      </c>
      <c r="D698" t="inlineStr">
        <is>
          <t>S0036</t>
        </is>
      </c>
      <c r="E698" t="inlineStr">
        <is>
          <t>FP</t>
        </is>
      </c>
      <c r="F698" t="n">
        <v>30</v>
      </c>
      <c r="G698" t="inlineStr">
        <is>
          <t>OUT</t>
        </is>
      </c>
      <c r="H698">
        <f>IF(G698="OUT",F698,-F698)</f>
        <v>30</v>
      </c>
      <c r="I698">
        <f>IF(AND(B698&gt;=DATE(2025,7,1),B698&lt;=DATE(2026,6,30)),1,0)</f>
        <v>1</v>
      </c>
      <c r="J698">
        <f>IF(B698&lt;=DATE(2026,6,30),1,0)</f>
        <v>1</v>
      </c>
      <c r="K698" t="inlineStr"/>
      <c r="L698" t="inlineStr">
        <is>
          <t>Yard</t>
        </is>
      </c>
      <c r="M698">
        <f>COUNTIFS('Asset Log'!$A$5:$A$1379,A698,'Asset Log'!$E$5:$E$1379,E698,'Asset Log'!$G$5:$G$1379,G698)</f>
        <v>1</v>
      </c>
    </row>
    <row r="699">
      <c r="A699" t="inlineStr">
        <is>
          <t>D70339</t>
        </is>
      </c>
      <c r="B699" s="11" t="n">
        <v>46010</v>
      </c>
      <c r="C699" t="inlineStr">
        <is>
          <t>S0036</t>
        </is>
      </c>
      <c r="D699" t="inlineStr">
        <is>
          <t>S0036</t>
        </is>
      </c>
      <c r="E699" t="inlineStr">
        <is>
          <t>FB</t>
        </is>
      </c>
      <c r="F699" t="n">
        <v>30</v>
      </c>
      <c r="G699" t="inlineStr">
        <is>
          <t>OUT</t>
        </is>
      </c>
      <c r="H699">
        <f>IF(G699="OUT",F699,-F699)</f>
        <v>30</v>
      </c>
      <c r="I699">
        <f>IF(AND(B699&gt;=DATE(2025,7,1),B699&lt;=DATE(2026,6,30)),1,0)</f>
        <v>1</v>
      </c>
      <c r="J699">
        <f>IF(B699&lt;=DATE(2026,6,30),1,0)</f>
        <v>1</v>
      </c>
      <c r="K699" t="inlineStr"/>
      <c r="L699" t="inlineStr">
        <is>
          <t>Office</t>
        </is>
      </c>
      <c r="M699">
        <f>COUNTIFS('Asset Log'!$A$5:$A$1379,A699,'Asset Log'!$E$5:$E$1379,E699,'Asset Log'!$G$5:$G$1379,G699)</f>
        <v>1</v>
      </c>
    </row>
    <row r="700">
      <c r="A700" t="inlineStr">
        <is>
          <t>D71525</t>
        </is>
      </c>
      <c r="B700" s="11" t="n">
        <v>46011</v>
      </c>
      <c r="C700" t="inlineStr">
        <is>
          <t>S0159</t>
        </is>
      </c>
      <c r="D700" t="inlineStr">
        <is>
          <t>S0159</t>
        </is>
      </c>
      <c r="E700" t="inlineStr">
        <is>
          <t>FP</t>
        </is>
      </c>
      <c r="F700" t="n">
        <v>32</v>
      </c>
      <c r="G700" t="inlineStr">
        <is>
          <t>IN</t>
        </is>
      </c>
      <c r="H700">
        <f>IF(G700="OUT",F700,-F700)</f>
        <v>-32</v>
      </c>
      <c r="I700">
        <f>IF(AND(B700&gt;=DATE(2025,7,1),B700&lt;=DATE(2026,6,30)),1,0)</f>
        <v>1</v>
      </c>
      <c r="J700">
        <f>IF(B700&lt;=DATE(2026,6,30),1,0)</f>
        <v>1</v>
      </c>
      <c r="K700" t="inlineStr"/>
      <c r="L700" t="inlineStr">
        <is>
          <t>Yard</t>
        </is>
      </c>
      <c r="M700">
        <f>COUNTIFS('Asset Log'!$A$5:$A$1379,A700,'Asset Log'!$E$5:$E$1379,E700,'Asset Log'!$G$5:$G$1379,G700)</f>
        <v>1</v>
      </c>
    </row>
    <row r="701">
      <c r="A701" t="inlineStr">
        <is>
          <t>D71532</t>
        </is>
      </c>
      <c r="B701" s="11" t="n">
        <v>46011</v>
      </c>
      <c r="C701" t="inlineStr">
        <is>
          <t>S0159</t>
        </is>
      </c>
      <c r="D701" t="inlineStr">
        <is>
          <t>S0159</t>
        </is>
      </c>
      <c r="E701" t="inlineStr">
        <is>
          <t>FB</t>
        </is>
      </c>
      <c r="F701" t="n">
        <v>32</v>
      </c>
      <c r="G701" t="inlineStr">
        <is>
          <t>IN</t>
        </is>
      </c>
      <c r="H701">
        <f>IF(G701="OUT",F701,-F701)</f>
        <v>-32</v>
      </c>
      <c r="I701">
        <f>IF(AND(B701&gt;=DATE(2025,7,1),B701&lt;=DATE(2026,6,30)),1,0)</f>
        <v>1</v>
      </c>
      <c r="J701">
        <f>IF(B701&lt;=DATE(2026,6,30),1,0)</f>
        <v>1</v>
      </c>
      <c r="K701" t="inlineStr"/>
      <c r="L701" t="inlineStr">
        <is>
          <t>Driver</t>
        </is>
      </c>
      <c r="M701">
        <f>COUNTIFS('Asset Log'!$A$5:$A$1379,A701,'Asset Log'!$E$5:$E$1379,E701,'Asset Log'!$G$5:$G$1379,G701)</f>
        <v>1</v>
      </c>
    </row>
    <row r="702">
      <c r="A702" t="inlineStr">
        <is>
          <t>D71577</t>
        </is>
      </c>
      <c r="B702" s="11" t="n">
        <v>46011</v>
      </c>
      <c r="C702" t="inlineStr">
        <is>
          <t>S0164</t>
        </is>
      </c>
      <c r="D702" t="inlineStr">
        <is>
          <t>S0164</t>
        </is>
      </c>
      <c r="E702" t="inlineStr">
        <is>
          <t>FP</t>
        </is>
      </c>
      <c r="F702" t="n">
        <v>57</v>
      </c>
      <c r="G702" t="inlineStr">
        <is>
          <t>OUT</t>
        </is>
      </c>
      <c r="H702">
        <f>IF(G702="OUT",F702,-F702)</f>
        <v>57</v>
      </c>
      <c r="I702">
        <f>IF(AND(B702&gt;=DATE(2025,7,1),B702&lt;=DATE(2026,6,30)),1,0)</f>
        <v>1</v>
      </c>
      <c r="J702">
        <f>IF(B702&lt;=DATE(2026,6,30),1,0)</f>
        <v>1</v>
      </c>
      <c r="K702" t="inlineStr"/>
      <c r="L702" t="inlineStr">
        <is>
          <t>Office</t>
        </is>
      </c>
      <c r="M702">
        <f>COUNTIFS('Asset Log'!$A$5:$A$1379,A702,'Asset Log'!$E$5:$E$1379,E702,'Asset Log'!$G$5:$G$1379,G702)</f>
        <v>1</v>
      </c>
    </row>
    <row r="703">
      <c r="A703" t="inlineStr">
        <is>
          <t>D71581</t>
        </is>
      </c>
      <c r="B703" s="11" t="n">
        <v>46011</v>
      </c>
      <c r="C703" t="inlineStr">
        <is>
          <t>164</t>
        </is>
      </c>
      <c r="D703" t="inlineStr">
        <is>
          <t>S0164</t>
        </is>
      </c>
      <c r="E703" t="inlineStr">
        <is>
          <t>FB</t>
        </is>
      </c>
      <c r="F703" t="n">
        <v>62</v>
      </c>
      <c r="G703" t="inlineStr">
        <is>
          <t>OUT</t>
        </is>
      </c>
      <c r="H703">
        <f>IF(G703="OUT",F703,-F703)</f>
        <v>62</v>
      </c>
      <c r="I703">
        <f>IF(AND(B703&gt;=DATE(2025,7,1),B703&lt;=DATE(2026,6,30)),1,0)</f>
        <v>1</v>
      </c>
      <c r="J703">
        <f>IF(B703&lt;=DATE(2026,6,30),1,0)</f>
        <v>1</v>
      </c>
      <c r="K703" t="inlineStr">
        <is>
          <t>Site text normalised</t>
        </is>
      </c>
      <c r="L703" t="inlineStr">
        <is>
          <t>Yard</t>
        </is>
      </c>
      <c r="M703">
        <f>COUNTIFS('Asset Log'!$A$5:$A$1379,A703,'Asset Log'!$E$5:$E$1379,E703,'Asset Log'!$G$5:$G$1379,G703)</f>
        <v>1</v>
      </c>
    </row>
    <row r="704">
      <c r="A704" t="inlineStr">
        <is>
          <t>D70998</t>
        </is>
      </c>
      <c r="B704" s="11" t="n">
        <v>46012</v>
      </c>
      <c r="C704" t="inlineStr">
        <is>
          <t>S0108</t>
        </is>
      </c>
      <c r="D704" t="inlineStr">
        <is>
          <t>S0108</t>
        </is>
      </c>
      <c r="E704" t="inlineStr">
        <is>
          <t>FP</t>
        </is>
      </c>
      <c r="F704" t="n">
        <v>92</v>
      </c>
      <c r="G704" t="inlineStr">
        <is>
          <t>OUT</t>
        </is>
      </c>
      <c r="H704">
        <f>IF(G704="OUT",F704,-F704)</f>
        <v>92</v>
      </c>
      <c r="I704">
        <f>IF(AND(B704&gt;=DATE(2025,7,1),B704&lt;=DATE(2026,6,30)),1,0)</f>
        <v>1</v>
      </c>
      <c r="J704">
        <f>IF(B704&lt;=DATE(2026,6,30),1,0)</f>
        <v>1</v>
      </c>
      <c r="K704" t="inlineStr"/>
      <c r="L704" t="inlineStr">
        <is>
          <t>Driver</t>
        </is>
      </c>
      <c r="M704">
        <f>COUNTIFS('Asset Log'!$A$5:$A$1379,A704,'Asset Log'!$E$5:$E$1379,E704,'Asset Log'!$G$5:$G$1379,G704)</f>
        <v>1</v>
      </c>
    </row>
    <row r="705">
      <c r="A705" t="inlineStr">
        <is>
          <t>D71003</t>
        </is>
      </c>
      <c r="B705" s="11" t="n">
        <v>46012</v>
      </c>
      <c r="C705" t="inlineStr">
        <is>
          <t>S0108</t>
        </is>
      </c>
      <c r="D705" t="inlineStr">
        <is>
          <t>S0108</t>
        </is>
      </c>
      <c r="E705" t="inlineStr">
        <is>
          <t>FB</t>
        </is>
      </c>
      <c r="F705" t="n">
        <v>101</v>
      </c>
      <c r="G705" t="inlineStr">
        <is>
          <t>OUT</t>
        </is>
      </c>
      <c r="H705">
        <f>IF(G705="OUT",F705,-F705)</f>
        <v>101</v>
      </c>
      <c r="I705">
        <f>IF(AND(B705&gt;=DATE(2025,7,1),B705&lt;=DATE(2026,6,30)),1,0)</f>
        <v>1</v>
      </c>
      <c r="J705">
        <f>IF(B705&lt;=DATE(2026,6,30),1,0)</f>
        <v>1</v>
      </c>
      <c r="K705" t="inlineStr"/>
      <c r="L705" t="inlineStr">
        <is>
          <t>Office</t>
        </is>
      </c>
      <c r="M705">
        <f>COUNTIFS('Asset Log'!$A$5:$A$1379,A705,'Asset Log'!$E$5:$E$1379,E705,'Asset Log'!$G$5:$G$1379,G705)</f>
        <v>1</v>
      </c>
    </row>
    <row r="706">
      <c r="A706" t="inlineStr">
        <is>
          <t>D71007</t>
        </is>
      </c>
      <c r="B706" s="11" t="n">
        <v>46012</v>
      </c>
      <c r="C706" t="inlineStr">
        <is>
          <t>S0108</t>
        </is>
      </c>
      <c r="D706" t="inlineStr">
        <is>
          <t>S0108</t>
        </is>
      </c>
      <c r="E706" t="inlineStr">
        <is>
          <t>BR</t>
        </is>
      </c>
      <c r="F706" t="n">
        <v>17</v>
      </c>
      <c r="G706" t="inlineStr">
        <is>
          <t>OUT</t>
        </is>
      </c>
      <c r="H706">
        <f>IF(G706="OUT",F706,-F706)</f>
        <v>17</v>
      </c>
      <c r="I706">
        <f>IF(AND(B706&gt;=DATE(2025,7,1),B706&lt;=DATE(2026,6,30)),1,0)</f>
        <v>1</v>
      </c>
      <c r="J706">
        <f>IF(B706&lt;=DATE(2026,6,30),1,0)</f>
        <v>1</v>
      </c>
      <c r="K706" t="inlineStr"/>
      <c r="L706" t="inlineStr">
        <is>
          <t>Driver</t>
        </is>
      </c>
      <c r="M706">
        <f>COUNTIFS('Asset Log'!$A$5:$A$1379,A706,'Asset Log'!$E$5:$E$1379,E706,'Asset Log'!$G$5:$G$1379,G706)</f>
        <v>1</v>
      </c>
    </row>
    <row r="707">
      <c r="A707" t="inlineStr">
        <is>
          <t>D72741</t>
        </is>
      </c>
      <c r="B707" s="11" t="n">
        <v>46012</v>
      </c>
      <c r="C707" t="inlineStr">
        <is>
          <t>S0488</t>
        </is>
      </c>
      <c r="D707" t="inlineStr">
        <is>
          <t>S0488</t>
        </is>
      </c>
      <c r="E707" t="inlineStr">
        <is>
          <t>TK</t>
        </is>
      </c>
      <c r="F707" t="n">
        <v>3</v>
      </c>
      <c r="G707" t="inlineStr">
        <is>
          <t>OUT</t>
        </is>
      </c>
      <c r="H707">
        <f>IF(G707="OUT",F707,-F707)</f>
        <v>3</v>
      </c>
      <c r="I707">
        <f>IF(AND(B707&gt;=DATE(2025,7,1),B707&lt;=DATE(2026,6,30)),1,0)</f>
        <v>1</v>
      </c>
      <c r="J707">
        <f>IF(B707&lt;=DATE(2026,6,30),1,0)</f>
        <v>1</v>
      </c>
      <c r="K707" t="inlineStr"/>
      <c r="L707" t="inlineStr">
        <is>
          <t>Driver</t>
        </is>
      </c>
      <c r="M707">
        <f>COUNTIFS('Asset Log'!$A$5:$A$1379,A707,'Asset Log'!$E$5:$E$1379,E707,'Asset Log'!$G$5:$G$1379,G707)</f>
        <v>1</v>
      </c>
    </row>
    <row r="708">
      <c r="A708" t="inlineStr">
        <is>
          <t>D72828</t>
        </is>
      </c>
      <c r="B708" s="11" t="n">
        <v>46012</v>
      </c>
      <c r="C708" t="inlineStr">
        <is>
          <t>S0545</t>
        </is>
      </c>
      <c r="D708" t="inlineStr">
        <is>
          <t>S0545</t>
        </is>
      </c>
      <c r="E708" t="inlineStr">
        <is>
          <t>TK</t>
        </is>
      </c>
      <c r="F708" t="n">
        <v>1</v>
      </c>
      <c r="G708" t="inlineStr">
        <is>
          <t>OUT</t>
        </is>
      </c>
      <c r="H708">
        <f>IF(G708="OUT",F708,-F708)</f>
        <v>1</v>
      </c>
      <c r="I708">
        <f>IF(AND(B708&gt;=DATE(2025,7,1),B708&lt;=DATE(2026,6,30)),1,0)</f>
        <v>1</v>
      </c>
      <c r="J708">
        <f>IF(B708&lt;=DATE(2026,6,30),1,0)</f>
        <v>1</v>
      </c>
      <c r="K708" t="inlineStr"/>
      <c r="L708" t="inlineStr">
        <is>
          <t>Office</t>
        </is>
      </c>
      <c r="M708">
        <f>COUNTIFS('Asset Log'!$A$5:$A$1379,A708,'Asset Log'!$E$5:$E$1379,E708,'Asset Log'!$G$5:$G$1379,G708)</f>
        <v>1</v>
      </c>
    </row>
    <row r="709">
      <c r="A709" t="inlineStr">
        <is>
          <t>D70025</t>
        </is>
      </c>
      <c r="B709" s="11" t="n">
        <v>46014</v>
      </c>
      <c r="C709" t="inlineStr">
        <is>
          <t>S0003</t>
        </is>
      </c>
      <c r="D709" t="inlineStr">
        <is>
          <t>S0003</t>
        </is>
      </c>
      <c r="E709" t="inlineStr">
        <is>
          <t>FP</t>
        </is>
      </c>
      <c r="F709" t="n">
        <v>152</v>
      </c>
      <c r="G709" t="inlineStr">
        <is>
          <t>IN</t>
        </is>
      </c>
      <c r="H709">
        <f>IF(G709="OUT",F709,-F709)</f>
        <v>-152</v>
      </c>
      <c r="I709">
        <f>IF(AND(B709&gt;=DATE(2025,7,1),B709&lt;=DATE(2026,6,30)),1,0)</f>
        <v>1</v>
      </c>
      <c r="J709">
        <f>IF(B709&lt;=DATE(2026,6,30),1,0)</f>
        <v>1</v>
      </c>
      <c r="K709" t="inlineStr"/>
      <c r="L709" t="inlineStr">
        <is>
          <t>Office</t>
        </is>
      </c>
      <c r="M709">
        <f>COUNTIFS('Asset Log'!$A$5:$A$1379,A709,'Asset Log'!$E$5:$E$1379,E709,'Asset Log'!$G$5:$G$1379,G709)</f>
        <v>1</v>
      </c>
    </row>
    <row r="710">
      <c r="A710" t="inlineStr">
        <is>
          <t>D70028</t>
        </is>
      </c>
      <c r="B710" s="11" t="n">
        <v>46014</v>
      </c>
      <c r="C710" t="inlineStr">
        <is>
          <t>S0003</t>
        </is>
      </c>
      <c r="D710" t="inlineStr">
        <is>
          <t>S0003</t>
        </is>
      </c>
      <c r="E710" t="inlineStr">
        <is>
          <t>FB</t>
        </is>
      </c>
      <c r="F710" t="n">
        <v>167</v>
      </c>
      <c r="G710" t="inlineStr">
        <is>
          <t>IN</t>
        </is>
      </c>
      <c r="H710">
        <f>IF(G710="OUT",F710,-F710)</f>
        <v>-167</v>
      </c>
      <c r="I710">
        <f>IF(AND(B710&gt;=DATE(2025,7,1),B710&lt;=DATE(2026,6,30)),1,0)</f>
        <v>1</v>
      </c>
      <c r="J710">
        <f>IF(B710&lt;=DATE(2026,6,30),1,0)</f>
        <v>1</v>
      </c>
      <c r="K710" t="inlineStr"/>
      <c r="L710" t="inlineStr">
        <is>
          <t>Office</t>
        </is>
      </c>
      <c r="M710">
        <f>COUNTIFS('Asset Log'!$A$5:$A$1379,A710,'Asset Log'!$E$5:$E$1379,E710,'Asset Log'!$G$5:$G$1379,G710)</f>
        <v>1</v>
      </c>
    </row>
    <row r="711">
      <c r="A711" t="inlineStr">
        <is>
          <t>D72101</t>
        </is>
      </c>
      <c r="B711" s="11" t="n">
        <v>46014</v>
      </c>
      <c r="C711" t="inlineStr">
        <is>
          <t>S0222</t>
        </is>
      </c>
      <c r="D711" t="inlineStr">
        <is>
          <t>S0222</t>
        </is>
      </c>
      <c r="E711" t="inlineStr">
        <is>
          <t>FP</t>
        </is>
      </c>
      <c r="F711" t="n">
        <v>122</v>
      </c>
      <c r="G711" t="inlineStr">
        <is>
          <t>IN</t>
        </is>
      </c>
      <c r="H711">
        <f>IF(G711="OUT",F711,-F711)</f>
        <v>-122</v>
      </c>
      <c r="I711">
        <f>IF(AND(B711&gt;=DATE(2025,7,1),B711&lt;=DATE(2026,6,30)),1,0)</f>
        <v>1</v>
      </c>
      <c r="J711">
        <f>IF(B711&lt;=DATE(2026,6,30),1,0)</f>
        <v>1</v>
      </c>
      <c r="K711" t="inlineStr"/>
      <c r="L711" t="inlineStr">
        <is>
          <t>Yard</t>
        </is>
      </c>
      <c r="M711">
        <f>COUNTIFS('Asset Log'!$A$5:$A$1379,A711,'Asset Log'!$E$5:$E$1379,E711,'Asset Log'!$G$5:$G$1379,G711)</f>
        <v>1</v>
      </c>
    </row>
    <row r="712">
      <c r="A712" t="inlineStr">
        <is>
          <t>D72107</t>
        </is>
      </c>
      <c r="B712" s="11" t="n">
        <v>46014</v>
      </c>
      <c r="C712" t="inlineStr">
        <is>
          <t>S0222</t>
        </is>
      </c>
      <c r="D712" t="inlineStr">
        <is>
          <t>S0222</t>
        </is>
      </c>
      <c r="E712" t="inlineStr">
        <is>
          <t>FB</t>
        </is>
      </c>
      <c r="F712" t="n">
        <v>134</v>
      </c>
      <c r="G712" t="inlineStr">
        <is>
          <t>IN</t>
        </is>
      </c>
      <c r="H712">
        <f>IF(G712="OUT",F712,-F712)</f>
        <v>-134</v>
      </c>
      <c r="I712">
        <f>IF(AND(B712&gt;=DATE(2025,7,1),B712&lt;=DATE(2026,6,30)),1,0)</f>
        <v>1</v>
      </c>
      <c r="J712">
        <f>IF(B712&lt;=DATE(2026,6,30),1,0)</f>
        <v>1</v>
      </c>
      <c r="K712" t="inlineStr"/>
      <c r="L712" t="inlineStr">
        <is>
          <t>Office</t>
        </is>
      </c>
      <c r="M712">
        <f>COUNTIFS('Asset Log'!$A$5:$A$1379,A712,'Asset Log'!$E$5:$E$1379,E712,'Asset Log'!$G$5:$G$1379,G712)</f>
        <v>1</v>
      </c>
    </row>
    <row r="713">
      <c r="A713" t="inlineStr">
        <is>
          <t>D72332</t>
        </is>
      </c>
      <c r="B713" s="11" t="n">
        <v>46014</v>
      </c>
      <c r="C713" t="inlineStr">
        <is>
          <t>s265</t>
        </is>
      </c>
      <c r="D713" t="inlineStr">
        <is>
          <t>S0265</t>
        </is>
      </c>
      <c r="E713" t="inlineStr">
        <is>
          <t>ST</t>
        </is>
      </c>
      <c r="F713" t="n">
        <v>1</v>
      </c>
      <c r="G713" t="inlineStr">
        <is>
          <t>OUT</t>
        </is>
      </c>
      <c r="H713">
        <f>IF(G713="OUT",F713,-F713)</f>
        <v>1</v>
      </c>
      <c r="I713">
        <f>IF(AND(B713&gt;=DATE(2025,7,1),B713&lt;=DATE(2026,6,30)),1,0)</f>
        <v>1</v>
      </c>
      <c r="J713">
        <f>IF(B713&lt;=DATE(2026,6,30),1,0)</f>
        <v>1</v>
      </c>
      <c r="K713" t="inlineStr">
        <is>
          <t>Site text normalised</t>
        </is>
      </c>
      <c r="L713" t="inlineStr">
        <is>
          <t>Office</t>
        </is>
      </c>
      <c r="M713">
        <f>COUNTIFS('Asset Log'!$A$5:$A$1379,A713,'Asset Log'!$E$5:$E$1379,E713,'Asset Log'!$G$5:$G$1379,G713)</f>
        <v>1</v>
      </c>
    </row>
    <row r="714">
      <c r="A714" t="inlineStr">
        <is>
          <t>D71030</t>
        </is>
      </c>
      <c r="B714" s="11" t="n">
        <v>46015</v>
      </c>
      <c r="C714" t="inlineStr">
        <is>
          <t>S0110</t>
        </is>
      </c>
      <c r="D714" t="inlineStr">
        <is>
          <t>S0110</t>
        </is>
      </c>
      <c r="E714" t="inlineStr">
        <is>
          <t>FP</t>
        </is>
      </c>
      <c r="F714" t="n">
        <v>117</v>
      </c>
      <c r="G714" t="inlineStr">
        <is>
          <t>IN</t>
        </is>
      </c>
      <c r="H714">
        <f>IF(G714="OUT",F714,-F714)</f>
        <v>-117</v>
      </c>
      <c r="I714">
        <f>IF(AND(B714&gt;=DATE(2025,7,1),B714&lt;=DATE(2026,6,30)),1,0)</f>
        <v>1</v>
      </c>
      <c r="J714">
        <f>IF(B714&lt;=DATE(2026,6,30),1,0)</f>
        <v>1</v>
      </c>
      <c r="K714" t="inlineStr"/>
      <c r="L714" t="inlineStr">
        <is>
          <t>Office</t>
        </is>
      </c>
      <c r="M714">
        <f>COUNTIFS('Asset Log'!$A$5:$A$1379,A714,'Asset Log'!$E$5:$E$1379,E714,'Asset Log'!$G$5:$G$1379,G714)</f>
        <v>1</v>
      </c>
    </row>
    <row r="715">
      <c r="A715" t="inlineStr">
        <is>
          <t>D71034</t>
        </is>
      </c>
      <c r="B715" s="11" t="n">
        <v>46015</v>
      </c>
      <c r="C715" t="inlineStr">
        <is>
          <t>S0110</t>
        </is>
      </c>
      <c r="D715" t="inlineStr">
        <is>
          <t>S0110</t>
        </is>
      </c>
      <c r="E715" t="inlineStr">
        <is>
          <t>FB</t>
        </is>
      </c>
      <c r="F715" t="n">
        <v>128</v>
      </c>
      <c r="G715" t="inlineStr">
        <is>
          <t>IN</t>
        </is>
      </c>
      <c r="H715">
        <f>IF(G715="OUT",F715,-F715)</f>
        <v>-128</v>
      </c>
      <c r="I715">
        <f>IF(AND(B715&gt;=DATE(2025,7,1),B715&lt;=DATE(2026,6,30)),1,0)</f>
        <v>1</v>
      </c>
      <c r="J715">
        <f>IF(B715&lt;=DATE(2026,6,30),1,0)</f>
        <v>1</v>
      </c>
      <c r="K715" t="inlineStr"/>
      <c r="L715" t="inlineStr">
        <is>
          <t>Yard</t>
        </is>
      </c>
      <c r="M715">
        <f>COUNTIFS('Asset Log'!$A$5:$A$1379,A715,'Asset Log'!$E$5:$E$1379,E715,'Asset Log'!$G$5:$G$1379,G715)</f>
        <v>1</v>
      </c>
    </row>
    <row r="716">
      <c r="A716" t="inlineStr">
        <is>
          <t>D71578</t>
        </is>
      </c>
      <c r="B716" s="11" t="n">
        <v>46015</v>
      </c>
      <c r="C716" t="inlineStr">
        <is>
          <t>S0164</t>
        </is>
      </c>
      <c r="D716" t="inlineStr">
        <is>
          <t>S0164</t>
        </is>
      </c>
      <c r="E716" t="inlineStr">
        <is>
          <t>FP</t>
        </is>
      </c>
      <c r="F716" t="n">
        <v>57</v>
      </c>
      <c r="G716" t="inlineStr">
        <is>
          <t>IN</t>
        </is>
      </c>
      <c r="H716">
        <f>IF(G716="OUT",F716,-F716)</f>
        <v>-57</v>
      </c>
      <c r="I716">
        <f>IF(AND(B716&gt;=DATE(2025,7,1),B716&lt;=DATE(2026,6,30)),1,0)</f>
        <v>1</v>
      </c>
      <c r="J716">
        <f>IF(B716&lt;=DATE(2026,6,30),1,0)</f>
        <v>1</v>
      </c>
      <c r="K716" t="inlineStr"/>
      <c r="L716" t="inlineStr">
        <is>
          <t>Office</t>
        </is>
      </c>
      <c r="M716">
        <f>COUNTIFS('Asset Log'!$A$5:$A$1379,A716,'Asset Log'!$E$5:$E$1379,E716,'Asset Log'!$G$5:$G$1379,G716)</f>
        <v>1</v>
      </c>
    </row>
    <row r="717">
      <c r="A717" t="inlineStr">
        <is>
          <t>D71583</t>
        </is>
      </c>
      <c r="B717" s="11" t="n">
        <v>46015</v>
      </c>
      <c r="C717" t="inlineStr">
        <is>
          <t>S0164</t>
        </is>
      </c>
      <c r="D717" t="inlineStr">
        <is>
          <t>S0164</t>
        </is>
      </c>
      <c r="E717" t="inlineStr">
        <is>
          <t>FB</t>
        </is>
      </c>
      <c r="F717" t="n">
        <v>62</v>
      </c>
      <c r="G717" t="inlineStr">
        <is>
          <t>IN</t>
        </is>
      </c>
      <c r="H717">
        <f>IF(G717="OUT",F717,-F717)</f>
        <v>-62</v>
      </c>
      <c r="I717">
        <f>IF(AND(B717&gt;=DATE(2025,7,1),B717&lt;=DATE(2026,6,30)),1,0)</f>
        <v>1</v>
      </c>
      <c r="J717">
        <f>IF(B717&lt;=DATE(2026,6,30),1,0)</f>
        <v>1</v>
      </c>
      <c r="K717" t="inlineStr"/>
      <c r="L717" t="inlineStr">
        <is>
          <t>Office</t>
        </is>
      </c>
      <c r="M717">
        <f>COUNTIFS('Asset Log'!$A$5:$A$1379,A717,'Asset Log'!$E$5:$E$1379,E717,'Asset Log'!$G$5:$G$1379,G717)</f>
        <v>1</v>
      </c>
    </row>
    <row r="718">
      <c r="A718" t="inlineStr">
        <is>
          <t>D70237</t>
        </is>
      </c>
      <c r="B718" s="11" t="n">
        <v>46016</v>
      </c>
      <c r="C718" t="inlineStr">
        <is>
          <t>S0025</t>
        </is>
      </c>
      <c r="D718" t="inlineStr">
        <is>
          <t>S0025</t>
        </is>
      </c>
      <c r="E718" t="inlineStr">
        <is>
          <t>FP</t>
        </is>
      </c>
      <c r="F718" t="n">
        <v>76</v>
      </c>
      <c r="G718" t="inlineStr">
        <is>
          <t>IN</t>
        </is>
      </c>
      <c r="H718">
        <f>IF(G718="OUT",F718,-F718)</f>
        <v>-76</v>
      </c>
      <c r="I718">
        <f>IF(AND(B718&gt;=DATE(2025,7,1),B718&lt;=DATE(2026,6,30)),1,0)</f>
        <v>1</v>
      </c>
      <c r="J718">
        <f>IF(B718&lt;=DATE(2026,6,30),1,0)</f>
        <v>1</v>
      </c>
      <c r="K718" t="inlineStr"/>
      <c r="L718" t="inlineStr">
        <is>
          <t>Driver</t>
        </is>
      </c>
      <c r="M718">
        <f>COUNTIFS('Asset Log'!$A$5:$A$1379,A718,'Asset Log'!$E$5:$E$1379,E718,'Asset Log'!$G$5:$G$1379,G718)</f>
        <v>1</v>
      </c>
    </row>
    <row r="719">
      <c r="A719" t="inlineStr">
        <is>
          <t>D70240</t>
        </is>
      </c>
      <c r="B719" s="11" t="n">
        <v>46016</v>
      </c>
      <c r="C719" t="inlineStr">
        <is>
          <t>S0025</t>
        </is>
      </c>
      <c r="D719" t="inlineStr">
        <is>
          <t>S0025</t>
        </is>
      </c>
      <c r="E719" t="inlineStr">
        <is>
          <t>FB</t>
        </is>
      </c>
      <c r="F719" t="n">
        <v>83</v>
      </c>
      <c r="G719" t="inlineStr">
        <is>
          <t>IN</t>
        </is>
      </c>
      <c r="H719">
        <f>IF(G719="OUT",F719,-F719)</f>
        <v>-83</v>
      </c>
      <c r="I719">
        <f>IF(AND(B719&gt;=DATE(2025,7,1),B719&lt;=DATE(2026,6,30)),1,0)</f>
        <v>1</v>
      </c>
      <c r="J719">
        <f>IF(B719&lt;=DATE(2026,6,30),1,0)</f>
        <v>1</v>
      </c>
      <c r="K719" t="inlineStr"/>
      <c r="L719" t="inlineStr">
        <is>
          <t>Yard</t>
        </is>
      </c>
      <c r="M719">
        <f>COUNTIFS('Asset Log'!$A$5:$A$1379,A719,'Asset Log'!$E$5:$E$1379,E719,'Asset Log'!$G$5:$G$1379,G719)</f>
        <v>1</v>
      </c>
    </row>
    <row r="720">
      <c r="A720" t="inlineStr">
        <is>
          <t>D71018</t>
        </is>
      </c>
      <c r="B720" s="11" t="n">
        <v>46016</v>
      </c>
      <c r="C720" t="inlineStr">
        <is>
          <t>109</t>
        </is>
      </c>
      <c r="D720" t="inlineStr">
        <is>
          <t>S0109</t>
        </is>
      </c>
      <c r="E720" t="inlineStr">
        <is>
          <t>FP</t>
        </is>
      </c>
      <c r="F720" t="n">
        <v>39</v>
      </c>
      <c r="G720" t="inlineStr">
        <is>
          <t>IN</t>
        </is>
      </c>
      <c r="H720">
        <f>IF(G720="OUT",F720,-F720)</f>
        <v>-39</v>
      </c>
      <c r="I720">
        <f>IF(AND(B720&gt;=DATE(2025,7,1),B720&lt;=DATE(2026,6,30)),1,0)</f>
        <v>1</v>
      </c>
      <c r="J720">
        <f>IF(B720&lt;=DATE(2026,6,30),1,0)</f>
        <v>1</v>
      </c>
      <c r="K720" t="inlineStr">
        <is>
          <t>Site text normalised</t>
        </is>
      </c>
      <c r="L720" t="inlineStr">
        <is>
          <t>Office</t>
        </is>
      </c>
      <c r="M720">
        <f>COUNTIFS('Asset Log'!$A$5:$A$1379,A720,'Asset Log'!$E$5:$E$1379,E720,'Asset Log'!$G$5:$G$1379,G720)</f>
        <v>1</v>
      </c>
    </row>
    <row r="721">
      <c r="A721" t="inlineStr">
        <is>
          <t>D71025</t>
        </is>
      </c>
      <c r="B721" s="11" t="n">
        <v>46016</v>
      </c>
      <c r="C721" t="inlineStr">
        <is>
          <t>S0109</t>
        </is>
      </c>
      <c r="D721" t="inlineStr">
        <is>
          <t>S0109</t>
        </is>
      </c>
      <c r="E721" t="inlineStr">
        <is>
          <t>FB</t>
        </is>
      </c>
      <c r="F721" t="n">
        <v>46</v>
      </c>
      <c r="G721" t="inlineStr">
        <is>
          <t>IN</t>
        </is>
      </c>
      <c r="H721">
        <f>IF(G721="OUT",F721,-F721)</f>
        <v>-46</v>
      </c>
      <c r="I721">
        <f>IF(AND(B721&gt;=DATE(2025,7,1),B721&lt;=DATE(2026,6,30)),1,0)</f>
        <v>1</v>
      </c>
      <c r="J721">
        <f>IF(B721&lt;=DATE(2026,6,30),1,0)</f>
        <v>1</v>
      </c>
      <c r="K721" t="inlineStr"/>
      <c r="L721" t="inlineStr">
        <is>
          <t>Office</t>
        </is>
      </c>
      <c r="M721">
        <f>COUNTIFS('Asset Log'!$A$5:$A$1379,A721,'Asset Log'!$E$5:$E$1379,E721,'Asset Log'!$G$5:$G$1379,G721)</f>
        <v>1</v>
      </c>
    </row>
    <row r="722">
      <c r="A722" t="inlineStr">
        <is>
          <t>D72316</t>
        </is>
      </c>
      <c r="B722" s="11" t="n">
        <v>46016</v>
      </c>
      <c r="C722" t="inlineStr">
        <is>
          <t>S0260</t>
        </is>
      </c>
      <c r="D722" t="inlineStr">
        <is>
          <t>S0260</t>
        </is>
      </c>
      <c r="E722" t="inlineStr">
        <is>
          <t>ST</t>
        </is>
      </c>
      <c r="F722" t="n">
        <v>1</v>
      </c>
      <c r="G722" t="inlineStr">
        <is>
          <t>IN</t>
        </is>
      </c>
      <c r="H722">
        <f>IF(G722="OUT",F722,-F722)</f>
        <v>-1</v>
      </c>
      <c r="I722">
        <f>IF(AND(B722&gt;=DATE(2025,7,1),B722&lt;=DATE(2026,6,30)),1,0)</f>
        <v>1</v>
      </c>
      <c r="J722">
        <f>IF(B722&lt;=DATE(2026,6,30),1,0)</f>
        <v>1</v>
      </c>
      <c r="K722" t="inlineStr"/>
      <c r="L722" t="inlineStr">
        <is>
          <t>Driver</t>
        </is>
      </c>
      <c r="M722">
        <f>COUNTIFS('Asset Log'!$A$5:$A$1379,A722,'Asset Log'!$E$5:$E$1379,E722,'Asset Log'!$G$5:$G$1379,G722)</f>
        <v>1</v>
      </c>
    </row>
    <row r="723">
      <c r="A723" t="inlineStr">
        <is>
          <t>D72652</t>
        </is>
      </c>
      <c r="B723" s="11" t="n">
        <v>46016</v>
      </c>
      <c r="C723" t="inlineStr">
        <is>
          <t>S0421</t>
        </is>
      </c>
      <c r="D723" t="inlineStr">
        <is>
          <t>S0421</t>
        </is>
      </c>
      <c r="E723" t="inlineStr">
        <is>
          <t>TK</t>
        </is>
      </c>
      <c r="F723" t="n">
        <v>3</v>
      </c>
      <c r="G723" t="inlineStr">
        <is>
          <t>OUT</t>
        </is>
      </c>
      <c r="H723">
        <f>IF(G723="OUT",F723,-F723)</f>
        <v>3</v>
      </c>
      <c r="I723">
        <f>IF(AND(B723&gt;=DATE(2025,7,1),B723&lt;=DATE(2026,6,30)),1,0)</f>
        <v>1</v>
      </c>
      <c r="J723">
        <f>IF(B723&lt;=DATE(2026,6,30),1,0)</f>
        <v>1</v>
      </c>
      <c r="K723" t="inlineStr"/>
      <c r="L723" t="inlineStr">
        <is>
          <t>Driver</t>
        </is>
      </c>
      <c r="M723">
        <f>COUNTIFS('Asset Log'!$A$5:$A$1379,A723,'Asset Log'!$E$5:$E$1379,E723,'Asset Log'!$G$5:$G$1379,G723)</f>
        <v>1</v>
      </c>
    </row>
    <row r="724">
      <c r="A724" t="inlineStr">
        <is>
          <t>D70955</t>
        </is>
      </c>
      <c r="B724" s="11" t="n">
        <v>46017</v>
      </c>
      <c r="C724" t="inlineStr">
        <is>
          <t>S0103 Sunshine</t>
        </is>
      </c>
      <c r="D724" t="inlineStr">
        <is>
          <t>S0103</t>
        </is>
      </c>
      <c r="E724" t="inlineStr">
        <is>
          <t>FP</t>
        </is>
      </c>
      <c r="F724" t="n">
        <v>21</v>
      </c>
      <c r="G724" t="inlineStr">
        <is>
          <t>OUT</t>
        </is>
      </c>
      <c r="H724">
        <f>IF(G724="OUT",F724,-F724)</f>
        <v>21</v>
      </c>
      <c r="I724">
        <f>IF(AND(B724&gt;=DATE(2025,7,1),B724&lt;=DATE(2026,6,30)),1,0)</f>
        <v>1</v>
      </c>
      <c r="J724">
        <f>IF(B724&lt;=DATE(2026,6,30),1,0)</f>
        <v>1</v>
      </c>
      <c r="K724" t="inlineStr">
        <is>
          <t>Site text normalised</t>
        </is>
      </c>
      <c r="L724" t="inlineStr">
        <is>
          <t>Office</t>
        </is>
      </c>
      <c r="M724">
        <f>COUNTIFS('Asset Log'!$A$5:$A$1379,A724,'Asset Log'!$E$5:$E$1379,E724,'Asset Log'!$G$5:$G$1379,G724)</f>
        <v>1</v>
      </c>
    </row>
    <row r="725">
      <c r="A725" t="inlineStr">
        <is>
          <t>D70959</t>
        </is>
      </c>
      <c r="B725" s="11" t="n">
        <v>46017</v>
      </c>
      <c r="C725" t="inlineStr">
        <is>
          <t>S0103</t>
        </is>
      </c>
      <c r="D725" t="inlineStr">
        <is>
          <t>S0103</t>
        </is>
      </c>
      <c r="E725" t="inlineStr">
        <is>
          <t>FB</t>
        </is>
      </c>
      <c r="F725" t="n">
        <v>23</v>
      </c>
      <c r="G725" t="inlineStr">
        <is>
          <t>OUT</t>
        </is>
      </c>
      <c r="H725">
        <f>IF(G725="OUT",F725,-F725)</f>
        <v>23</v>
      </c>
      <c r="I725">
        <f>IF(AND(B725&gt;=DATE(2025,7,1),B725&lt;=DATE(2026,6,30)),1,0)</f>
        <v>1</v>
      </c>
      <c r="J725">
        <f>IF(B725&lt;=DATE(2026,6,30),1,0)</f>
        <v>1</v>
      </c>
      <c r="K725" t="inlineStr"/>
      <c r="L725" t="inlineStr">
        <is>
          <t>Driver</t>
        </is>
      </c>
      <c r="M725">
        <f>COUNTIFS('Asset Log'!$A$5:$A$1379,A725,'Asset Log'!$E$5:$E$1379,E725,'Asset Log'!$G$5:$G$1379,G725)</f>
        <v>1</v>
      </c>
    </row>
    <row r="726">
      <c r="A726" t="inlineStr">
        <is>
          <t>D71406</t>
        </is>
      </c>
      <c r="B726" s="11" t="n">
        <v>46017</v>
      </c>
      <c r="C726" t="inlineStr">
        <is>
          <t>S0148</t>
        </is>
      </c>
      <c r="D726" t="inlineStr">
        <is>
          <t>S0148</t>
        </is>
      </c>
      <c r="E726" t="inlineStr">
        <is>
          <t>FP</t>
        </is>
      </c>
      <c r="F726" t="n">
        <v>155</v>
      </c>
      <c r="G726" t="inlineStr">
        <is>
          <t>OUT</t>
        </is>
      </c>
      <c r="H726">
        <f>IF(G726="OUT",F726,-F726)</f>
        <v>155</v>
      </c>
      <c r="I726">
        <f>IF(AND(B726&gt;=DATE(2025,7,1),B726&lt;=DATE(2026,6,30)),1,0)</f>
        <v>1</v>
      </c>
      <c r="J726">
        <f>IF(B726&lt;=DATE(2026,6,30),1,0)</f>
        <v>1</v>
      </c>
      <c r="K726" t="inlineStr"/>
      <c r="L726" t="inlineStr">
        <is>
          <t>Driver</t>
        </is>
      </c>
      <c r="M726">
        <f>COUNTIFS('Asset Log'!$A$5:$A$1379,A726,'Asset Log'!$E$5:$E$1379,E726,'Asset Log'!$G$5:$G$1379,G726)</f>
        <v>1</v>
      </c>
    </row>
    <row r="727">
      <c r="A727" t="inlineStr">
        <is>
          <t>D71412</t>
        </is>
      </c>
      <c r="B727" s="11" t="n">
        <v>46017</v>
      </c>
      <c r="C727" t="inlineStr">
        <is>
          <t>S0148</t>
        </is>
      </c>
      <c r="D727" t="inlineStr">
        <is>
          <t>S0148</t>
        </is>
      </c>
      <c r="E727" t="inlineStr">
        <is>
          <t>FB</t>
        </is>
      </c>
      <c r="F727" t="n">
        <v>170</v>
      </c>
      <c r="G727" t="inlineStr">
        <is>
          <t>OUT</t>
        </is>
      </c>
      <c r="H727">
        <f>IF(G727="OUT",F727,-F727)</f>
        <v>170</v>
      </c>
      <c r="I727">
        <f>IF(AND(B727&gt;=DATE(2025,7,1),B727&lt;=DATE(2026,6,30)),1,0)</f>
        <v>1</v>
      </c>
      <c r="J727">
        <f>IF(B727&lt;=DATE(2026,6,30),1,0)</f>
        <v>1</v>
      </c>
      <c r="K727" t="inlineStr"/>
      <c r="L727" t="inlineStr">
        <is>
          <t>Yard</t>
        </is>
      </c>
      <c r="M727">
        <f>COUNTIFS('Asset Log'!$A$5:$A$1379,A727,'Asset Log'!$E$5:$E$1379,E727,'Asset Log'!$G$5:$G$1379,G727)</f>
        <v>1</v>
      </c>
    </row>
    <row r="728">
      <c r="A728" t="inlineStr">
        <is>
          <t>D70113</t>
        </is>
      </c>
      <c r="B728" s="11" t="n">
        <v>46018</v>
      </c>
      <c r="C728" t="inlineStr">
        <is>
          <t>S0013</t>
        </is>
      </c>
      <c r="D728" t="inlineStr">
        <is>
          <t>S0013</t>
        </is>
      </c>
      <c r="E728" t="inlineStr">
        <is>
          <t>FP</t>
        </is>
      </c>
      <c r="F728" t="n">
        <v>110</v>
      </c>
      <c r="G728" t="inlineStr">
        <is>
          <t>IN</t>
        </is>
      </c>
      <c r="H728">
        <f>IF(G728="OUT",F728,-F728)</f>
        <v>-110</v>
      </c>
      <c r="I728">
        <f>IF(AND(B728&gt;=DATE(2025,7,1),B728&lt;=DATE(2026,6,30)),1,0)</f>
        <v>1</v>
      </c>
      <c r="J728">
        <f>IF(B728&lt;=DATE(2026,6,30),1,0)</f>
        <v>1</v>
      </c>
      <c r="K728" t="inlineStr"/>
      <c r="L728" t="inlineStr">
        <is>
          <t>Driver</t>
        </is>
      </c>
      <c r="M728">
        <f>COUNTIFS('Asset Log'!$A$5:$A$1379,A728,'Asset Log'!$E$5:$E$1379,E728,'Asset Log'!$G$5:$G$1379,G728)</f>
        <v>1</v>
      </c>
    </row>
    <row r="729">
      <c r="A729" t="inlineStr">
        <is>
          <t>D70116</t>
        </is>
      </c>
      <c r="B729" s="11" t="n">
        <v>46018</v>
      </c>
      <c r="C729" t="inlineStr">
        <is>
          <t>S0013</t>
        </is>
      </c>
      <c r="D729" t="inlineStr">
        <is>
          <t>S0013</t>
        </is>
      </c>
      <c r="E729" t="inlineStr">
        <is>
          <t>FB</t>
        </is>
      </c>
      <c r="F729" t="n">
        <v>121</v>
      </c>
      <c r="G729" t="inlineStr">
        <is>
          <t>IN</t>
        </is>
      </c>
      <c r="H729">
        <f>IF(G729="OUT",F729,-F729)</f>
        <v>-121</v>
      </c>
      <c r="I729">
        <f>IF(AND(B729&gt;=DATE(2025,7,1),B729&lt;=DATE(2026,6,30)),1,0)</f>
        <v>1</v>
      </c>
      <c r="J729">
        <f>IF(B729&lt;=DATE(2026,6,30),1,0)</f>
        <v>1</v>
      </c>
      <c r="K729" t="inlineStr"/>
      <c r="L729" t="inlineStr">
        <is>
          <t>Office</t>
        </is>
      </c>
      <c r="M729">
        <f>COUNTIFS('Asset Log'!$A$5:$A$1379,A729,'Asset Log'!$E$5:$E$1379,E729,'Asset Log'!$G$5:$G$1379,G729)</f>
        <v>1</v>
      </c>
    </row>
    <row r="730">
      <c r="A730" t="inlineStr">
        <is>
          <t>D70120</t>
        </is>
      </c>
      <c r="B730" s="11" t="n">
        <v>46018</v>
      </c>
      <c r="C730" t="inlineStr">
        <is>
          <t>S0013</t>
        </is>
      </c>
      <c r="D730" t="inlineStr">
        <is>
          <t>S0013</t>
        </is>
      </c>
      <c r="E730" t="inlineStr">
        <is>
          <t>BR</t>
        </is>
      </c>
      <c r="F730" t="n">
        <v>23</v>
      </c>
      <c r="G730" t="inlineStr">
        <is>
          <t>IN</t>
        </is>
      </c>
      <c r="H730">
        <f>IF(G730="OUT",F730,-F730)</f>
        <v>-23</v>
      </c>
      <c r="I730">
        <f>IF(AND(B730&gt;=DATE(2025,7,1),B730&lt;=DATE(2026,6,30)),1,0)</f>
        <v>1</v>
      </c>
      <c r="J730">
        <f>IF(B730&lt;=DATE(2026,6,30),1,0)</f>
        <v>1</v>
      </c>
      <c r="K730" t="inlineStr"/>
      <c r="L730" t="inlineStr">
        <is>
          <t>Office</t>
        </is>
      </c>
      <c r="M730">
        <f>COUNTIFS('Asset Log'!$A$5:$A$1379,A730,'Asset Log'!$E$5:$E$1379,E730,'Asset Log'!$G$5:$G$1379,G730)</f>
        <v>1</v>
      </c>
    </row>
    <row r="731">
      <c r="A731" t="inlineStr">
        <is>
          <t>D71460</t>
        </is>
      </c>
      <c r="B731" s="11" t="n">
        <v>46018</v>
      </c>
      <c r="C731" t="inlineStr">
        <is>
          <t>S0153</t>
        </is>
      </c>
      <c r="D731" t="inlineStr">
        <is>
          <t>S0153</t>
        </is>
      </c>
      <c r="E731" t="inlineStr">
        <is>
          <t>FP</t>
        </is>
      </c>
      <c r="F731" t="n">
        <v>35</v>
      </c>
      <c r="G731" t="inlineStr">
        <is>
          <t>IN</t>
        </is>
      </c>
      <c r="H731">
        <f>IF(G731="OUT",F731,-F731)</f>
        <v>-35</v>
      </c>
      <c r="I731">
        <f>IF(AND(B731&gt;=DATE(2025,7,1),B731&lt;=DATE(2026,6,30)),1,0)</f>
        <v>1</v>
      </c>
      <c r="J731">
        <f>IF(B731&lt;=DATE(2026,6,30),1,0)</f>
        <v>1</v>
      </c>
      <c r="K731" t="inlineStr"/>
      <c r="L731" t="inlineStr">
        <is>
          <t>Office</t>
        </is>
      </c>
      <c r="M731">
        <f>COUNTIFS('Asset Log'!$A$5:$A$1379,A731,'Asset Log'!$E$5:$E$1379,E731,'Asset Log'!$G$5:$G$1379,G731)</f>
        <v>1</v>
      </c>
    </row>
    <row r="732">
      <c r="A732" t="inlineStr">
        <is>
          <t>D71465</t>
        </is>
      </c>
      <c r="B732" s="11" t="n">
        <v>46018</v>
      </c>
      <c r="C732" t="inlineStr">
        <is>
          <t>S0153</t>
        </is>
      </c>
      <c r="D732" t="inlineStr">
        <is>
          <t>S0153</t>
        </is>
      </c>
      <c r="E732" t="inlineStr">
        <is>
          <t>FB</t>
        </is>
      </c>
      <c r="F732" t="n">
        <v>44</v>
      </c>
      <c r="G732" t="inlineStr">
        <is>
          <t>IN</t>
        </is>
      </c>
      <c r="H732">
        <f>IF(G732="OUT",F732,-F732)</f>
        <v>-44</v>
      </c>
      <c r="I732">
        <f>IF(AND(B732&gt;=DATE(2025,7,1),B732&lt;=DATE(2026,6,30)),1,0)</f>
        <v>1</v>
      </c>
      <c r="J732">
        <f>IF(B732&lt;=DATE(2026,6,30),1,0)</f>
        <v>1</v>
      </c>
      <c r="K732" t="inlineStr"/>
      <c r="L732" t="inlineStr">
        <is>
          <t>Office</t>
        </is>
      </c>
      <c r="M732">
        <f>COUNTIFS('Asset Log'!$A$5:$A$1379,A732,'Asset Log'!$E$5:$E$1379,E732,'Asset Log'!$G$5:$G$1379,G732)</f>
        <v>1</v>
      </c>
    </row>
    <row r="733">
      <c r="A733" t="inlineStr">
        <is>
          <t>D71468</t>
        </is>
      </c>
      <c r="B733" s="11" t="n">
        <v>46018</v>
      </c>
      <c r="C733" t="inlineStr">
        <is>
          <t>S0153</t>
        </is>
      </c>
      <c r="D733" t="inlineStr">
        <is>
          <t>S0153</t>
        </is>
      </c>
      <c r="E733" t="inlineStr">
        <is>
          <t>FP</t>
        </is>
      </c>
      <c r="F733" t="n">
        <v>5</v>
      </c>
      <c r="G733" t="inlineStr">
        <is>
          <t>LOST</t>
        </is>
      </c>
      <c r="H733">
        <f>IF(G733="OUT",F733,-F733)</f>
        <v>-5</v>
      </c>
      <c r="I733">
        <f>IF(AND(B733&gt;=DATE(2025,7,1),B733&lt;=DATE(2026,6,30)),1,0)</f>
        <v>1</v>
      </c>
      <c r="J733">
        <f>IF(B733&lt;=DATE(2026,6,30),1,0)</f>
        <v>1</v>
      </c>
      <c r="K733" t="inlineStr"/>
      <c r="L733" t="inlineStr">
        <is>
          <t>Office</t>
        </is>
      </c>
      <c r="M733">
        <f>COUNTIFS('Asset Log'!$A$5:$A$1379,A733,'Asset Log'!$E$5:$E$1379,E733,'Asset Log'!$G$5:$G$1379,G733)</f>
        <v>1</v>
      </c>
    </row>
    <row r="734">
      <c r="A734" t="inlineStr">
        <is>
          <t>D72480</t>
        </is>
      </c>
      <c r="B734" s="11" t="n">
        <v>46018</v>
      </c>
      <c r="C734" t="inlineStr">
        <is>
          <t>S0314</t>
        </is>
      </c>
      <c r="D734" t="inlineStr">
        <is>
          <t>S0314</t>
        </is>
      </c>
      <c r="E734" t="inlineStr">
        <is>
          <t>TK</t>
        </is>
      </c>
      <c r="F734" t="n">
        <v>1</v>
      </c>
      <c r="G734" t="inlineStr">
        <is>
          <t>OUT</t>
        </is>
      </c>
      <c r="H734">
        <f>IF(G734="OUT",F734,-F734)</f>
        <v>1</v>
      </c>
      <c r="I734">
        <f>IF(AND(B734&gt;=DATE(2025,7,1),B734&lt;=DATE(2026,6,30)),1,0)</f>
        <v>1</v>
      </c>
      <c r="J734">
        <f>IF(B734&lt;=DATE(2026,6,30),1,0)</f>
        <v>1</v>
      </c>
      <c r="K734" t="inlineStr"/>
      <c r="L734" t="inlineStr">
        <is>
          <t>Driver</t>
        </is>
      </c>
      <c r="M734">
        <f>COUNTIFS('Asset Log'!$A$5:$A$1379,A734,'Asset Log'!$E$5:$E$1379,E734,'Asset Log'!$G$5:$G$1379,G734)</f>
        <v>1</v>
      </c>
    </row>
    <row r="735">
      <c r="A735" t="inlineStr">
        <is>
          <t>D71186</t>
        </is>
      </c>
      <c r="B735" s="11" t="n">
        <v>46019</v>
      </c>
      <c r="C735" t="inlineStr">
        <is>
          <t>S0124</t>
        </is>
      </c>
      <c r="D735" t="inlineStr">
        <is>
          <t>S0124</t>
        </is>
      </c>
      <c r="E735" t="inlineStr">
        <is>
          <t>FP</t>
        </is>
      </c>
      <c r="F735" t="n">
        <v>70</v>
      </c>
      <c r="G735" t="inlineStr">
        <is>
          <t>IN</t>
        </is>
      </c>
      <c r="H735">
        <f>IF(G735="OUT",F735,-F735)</f>
        <v>-70</v>
      </c>
      <c r="I735">
        <f>IF(AND(B735&gt;=DATE(2025,7,1),B735&lt;=DATE(2026,6,30)),1,0)</f>
        <v>1</v>
      </c>
      <c r="J735">
        <f>IF(B735&lt;=DATE(2026,6,30),1,0)</f>
        <v>1</v>
      </c>
      <c r="K735" t="inlineStr"/>
      <c r="L735" t="inlineStr">
        <is>
          <t>Driver</t>
        </is>
      </c>
      <c r="M735">
        <f>COUNTIFS('Asset Log'!$A$5:$A$1379,A735,'Asset Log'!$E$5:$E$1379,E735,'Asset Log'!$G$5:$G$1379,G735)</f>
        <v>1</v>
      </c>
    </row>
    <row r="736">
      <c r="A736" t="inlineStr">
        <is>
          <t>D71192</t>
        </is>
      </c>
      <c r="B736" s="11" t="n">
        <v>46019</v>
      </c>
      <c r="C736" t="inlineStr">
        <is>
          <t>S0124</t>
        </is>
      </c>
      <c r="D736" t="inlineStr">
        <is>
          <t>S0124</t>
        </is>
      </c>
      <c r="E736" t="inlineStr">
        <is>
          <t>FB</t>
        </is>
      </c>
      <c r="F736" t="n">
        <v>83</v>
      </c>
      <c r="G736" t="inlineStr">
        <is>
          <t>IN</t>
        </is>
      </c>
      <c r="H736">
        <f>IF(G736="OUT",F736,-F736)</f>
        <v>-83</v>
      </c>
      <c r="I736">
        <f>IF(AND(B736&gt;=DATE(2025,7,1),B736&lt;=DATE(2026,6,30)),1,0)</f>
        <v>1</v>
      </c>
      <c r="J736">
        <f>IF(B736&lt;=DATE(2026,6,30),1,0)</f>
        <v>1</v>
      </c>
      <c r="K736" t="inlineStr"/>
      <c r="L736" t="inlineStr">
        <is>
          <t>Yard</t>
        </is>
      </c>
      <c r="M736">
        <f>COUNTIFS('Asset Log'!$A$5:$A$1379,A736,'Asset Log'!$E$5:$E$1379,E736,'Asset Log'!$G$5:$G$1379,G736)</f>
        <v>1</v>
      </c>
    </row>
    <row r="737">
      <c r="A737" t="inlineStr">
        <is>
          <t>D71196</t>
        </is>
      </c>
      <c r="B737" s="11" t="n">
        <v>46019</v>
      </c>
      <c r="C737" t="inlineStr">
        <is>
          <t>S0124</t>
        </is>
      </c>
      <c r="D737" t="inlineStr">
        <is>
          <t>S0124</t>
        </is>
      </c>
      <c r="E737" t="inlineStr">
        <is>
          <t>BR</t>
        </is>
      </c>
      <c r="F737" t="n">
        <v>4</v>
      </c>
      <c r="G737" t="inlineStr">
        <is>
          <t>IN</t>
        </is>
      </c>
      <c r="H737">
        <f>IF(G737="OUT",F737,-F737)</f>
        <v>-4</v>
      </c>
      <c r="I737">
        <f>IF(AND(B737&gt;=DATE(2025,7,1),B737&lt;=DATE(2026,6,30)),1,0)</f>
        <v>1</v>
      </c>
      <c r="J737">
        <f>IF(B737&lt;=DATE(2026,6,30),1,0)</f>
        <v>1</v>
      </c>
      <c r="K737" t="inlineStr"/>
      <c r="L737" t="inlineStr">
        <is>
          <t>Office</t>
        </is>
      </c>
      <c r="M737">
        <f>COUNTIFS('Asset Log'!$A$5:$A$1379,A737,'Asset Log'!$E$5:$E$1379,E737,'Asset Log'!$G$5:$G$1379,G737)</f>
        <v>1</v>
      </c>
    </row>
    <row r="738">
      <c r="A738" t="inlineStr">
        <is>
          <t>D72499</t>
        </is>
      </c>
      <c r="B738" s="11" t="n">
        <v>46019</v>
      </c>
      <c r="C738" t="inlineStr">
        <is>
          <t>S0332</t>
        </is>
      </c>
      <c r="D738" t="inlineStr">
        <is>
          <t>S0332</t>
        </is>
      </c>
      <c r="E738" t="inlineStr">
        <is>
          <t>TK</t>
        </is>
      </c>
      <c r="F738" t="n">
        <v>3</v>
      </c>
      <c r="G738" t="inlineStr">
        <is>
          <t>IN</t>
        </is>
      </c>
      <c r="H738">
        <f>IF(G738="OUT",F738,-F738)</f>
        <v>-3</v>
      </c>
      <c r="I738">
        <f>IF(AND(B738&gt;=DATE(2025,7,1),B738&lt;=DATE(2026,6,30)),1,0)</f>
        <v>1</v>
      </c>
      <c r="J738">
        <f>IF(B738&lt;=DATE(2026,6,30),1,0)</f>
        <v>1</v>
      </c>
      <c r="K738" t="inlineStr"/>
      <c r="L738" t="inlineStr">
        <is>
          <t>Office</t>
        </is>
      </c>
      <c r="M738">
        <f>COUNTIFS('Asset Log'!$A$5:$A$1379,A738,'Asset Log'!$E$5:$E$1379,E738,'Asset Log'!$G$5:$G$1379,G738)</f>
        <v>1</v>
      </c>
    </row>
    <row r="739">
      <c r="A739" t="inlineStr">
        <is>
          <t>D72831</t>
        </is>
      </c>
      <c r="B739" s="11" t="n">
        <v>46019</v>
      </c>
      <c r="C739" t="inlineStr">
        <is>
          <t>S0545</t>
        </is>
      </c>
      <c r="D739" t="inlineStr">
        <is>
          <t>S0545</t>
        </is>
      </c>
      <c r="E739" t="inlineStr">
        <is>
          <t>TK</t>
        </is>
      </c>
      <c r="F739" t="n">
        <v>1</v>
      </c>
      <c r="G739" t="inlineStr">
        <is>
          <t>IN</t>
        </is>
      </c>
      <c r="H739">
        <f>IF(G739="OUT",F739,-F739)</f>
        <v>-1</v>
      </c>
      <c r="I739">
        <f>IF(AND(B739&gt;=DATE(2025,7,1),B739&lt;=DATE(2026,6,30)),1,0)</f>
        <v>1</v>
      </c>
      <c r="J739">
        <f>IF(B739&lt;=DATE(2026,6,30),1,0)</f>
        <v>1</v>
      </c>
      <c r="K739" t="inlineStr"/>
      <c r="L739" t="inlineStr">
        <is>
          <t>Yard</t>
        </is>
      </c>
      <c r="M739">
        <f>COUNTIFS('Asset Log'!$A$5:$A$1379,A739,'Asset Log'!$E$5:$E$1379,E739,'Asset Log'!$G$5:$G$1379,G739)</f>
        <v>1</v>
      </c>
    </row>
    <row r="740">
      <c r="A740" t="inlineStr">
        <is>
          <t>D72736</t>
        </is>
      </c>
      <c r="B740" s="11" t="n">
        <v>46020</v>
      </c>
      <c r="C740" t="inlineStr">
        <is>
          <t>S0486</t>
        </is>
      </c>
      <c r="D740" t="inlineStr">
        <is>
          <t>S0486</t>
        </is>
      </c>
      <c r="E740" t="inlineStr">
        <is>
          <t>TK</t>
        </is>
      </c>
      <c r="F740" t="n">
        <v>1</v>
      </c>
      <c r="G740" t="inlineStr">
        <is>
          <t>OUT</t>
        </is>
      </c>
      <c r="H740">
        <f>IF(G740="OUT",F740,-F740)</f>
        <v>1</v>
      </c>
      <c r="I740">
        <f>IF(AND(B740&gt;=DATE(2025,7,1),B740&lt;=DATE(2026,6,30)),1,0)</f>
        <v>1</v>
      </c>
      <c r="J740">
        <f>IF(B740&lt;=DATE(2026,6,30),1,0)</f>
        <v>1</v>
      </c>
      <c r="K740" t="inlineStr"/>
      <c r="L740" t="inlineStr">
        <is>
          <t>Yard</t>
        </is>
      </c>
      <c r="M740">
        <f>COUNTIFS('Asset Log'!$A$5:$A$1379,A740,'Asset Log'!$E$5:$E$1379,E740,'Asset Log'!$G$5:$G$1379,G740)</f>
        <v>1</v>
      </c>
    </row>
    <row r="741">
      <c r="A741" t="inlineStr">
        <is>
          <t>D72779</t>
        </is>
      </c>
      <c r="B741" s="11" t="n">
        <v>46020</v>
      </c>
      <c r="C741" t="inlineStr">
        <is>
          <t>S0501</t>
        </is>
      </c>
      <c r="D741" t="inlineStr">
        <is>
          <t>S0501</t>
        </is>
      </c>
      <c r="E741" t="inlineStr">
        <is>
          <t>TK</t>
        </is>
      </c>
      <c r="F741" t="n">
        <v>3</v>
      </c>
      <c r="G741" t="inlineStr">
        <is>
          <t>IN</t>
        </is>
      </c>
      <c r="H741">
        <f>IF(G741="OUT",F741,-F741)</f>
        <v>-3</v>
      </c>
      <c r="I741">
        <f>IF(AND(B741&gt;=DATE(2025,7,1),B741&lt;=DATE(2026,6,30)),1,0)</f>
        <v>1</v>
      </c>
      <c r="J741">
        <f>IF(B741&lt;=DATE(2026,6,30),1,0)</f>
        <v>1</v>
      </c>
      <c r="K741" t="inlineStr"/>
      <c r="L741" t="inlineStr">
        <is>
          <t>Driver</t>
        </is>
      </c>
      <c r="M741">
        <f>COUNTIFS('Asset Log'!$A$5:$A$1379,A741,'Asset Log'!$E$5:$E$1379,E741,'Asset Log'!$G$5:$G$1379,G741)</f>
        <v>1</v>
      </c>
    </row>
    <row r="742">
      <c r="A742" t="inlineStr">
        <is>
          <t>D72832</t>
        </is>
      </c>
      <c r="B742" s="11" t="n">
        <v>46020</v>
      </c>
      <c r="C742" t="inlineStr">
        <is>
          <t>S0546</t>
        </is>
      </c>
      <c r="D742" t="inlineStr">
        <is>
          <t>S0546</t>
        </is>
      </c>
      <c r="E742" t="inlineStr">
        <is>
          <t>TK</t>
        </is>
      </c>
      <c r="F742" t="n">
        <v>3</v>
      </c>
      <c r="G742" t="inlineStr">
        <is>
          <t>OUT</t>
        </is>
      </c>
      <c r="H742">
        <f>IF(G742="OUT",F742,-F742)</f>
        <v>3</v>
      </c>
      <c r="I742">
        <f>IF(AND(B742&gt;=DATE(2025,7,1),B742&lt;=DATE(2026,6,30)),1,0)</f>
        <v>1</v>
      </c>
      <c r="J742">
        <f>IF(B742&lt;=DATE(2026,6,30),1,0)</f>
        <v>1</v>
      </c>
      <c r="K742" t="inlineStr"/>
      <c r="L742" t="inlineStr">
        <is>
          <t>Office</t>
        </is>
      </c>
      <c r="M742">
        <f>COUNTIFS('Asset Log'!$A$5:$A$1379,A742,'Asset Log'!$E$5:$E$1379,E742,'Asset Log'!$G$5:$G$1379,G742)</f>
        <v>1</v>
      </c>
    </row>
    <row r="743">
      <c r="A743" t="inlineStr">
        <is>
          <t>D71770</t>
        </is>
      </c>
      <c r="B743" s="11" t="n">
        <v>46021</v>
      </c>
      <c r="C743" t="inlineStr">
        <is>
          <t>S0187</t>
        </is>
      </c>
      <c r="D743" t="inlineStr">
        <is>
          <t>S0187</t>
        </is>
      </c>
      <c r="E743" t="inlineStr">
        <is>
          <t>FP</t>
        </is>
      </c>
      <c r="F743" t="n">
        <v>120</v>
      </c>
      <c r="G743" t="inlineStr">
        <is>
          <t>OUT</t>
        </is>
      </c>
      <c r="H743">
        <f>IF(G743="OUT",F743,-F743)</f>
        <v>120</v>
      </c>
      <c r="I743">
        <f>IF(AND(B743&gt;=DATE(2025,7,1),B743&lt;=DATE(2026,6,30)),1,0)</f>
        <v>1</v>
      </c>
      <c r="J743">
        <f>IF(B743&lt;=DATE(2026,6,30),1,0)</f>
        <v>1</v>
      </c>
      <c r="K743" t="inlineStr"/>
      <c r="L743" t="inlineStr">
        <is>
          <t>Office</t>
        </is>
      </c>
      <c r="M743">
        <f>COUNTIFS('Asset Log'!$A$5:$A$1379,A743,'Asset Log'!$E$5:$E$1379,E743,'Asset Log'!$G$5:$G$1379,G743)</f>
        <v>1</v>
      </c>
    </row>
    <row r="744">
      <c r="A744" t="inlineStr">
        <is>
          <t>D71773</t>
        </is>
      </c>
      <c r="B744" s="11" t="n">
        <v>46021</v>
      </c>
      <c r="C744" t="inlineStr">
        <is>
          <t>S0187</t>
        </is>
      </c>
      <c r="D744" t="inlineStr">
        <is>
          <t>S0187</t>
        </is>
      </c>
      <c r="E744" t="inlineStr">
        <is>
          <t>FB</t>
        </is>
      </c>
      <c r="F744" t="n">
        <v>132</v>
      </c>
      <c r="G744" t="inlineStr">
        <is>
          <t>OUT</t>
        </is>
      </c>
      <c r="H744">
        <f>IF(G744="OUT",F744,-F744)</f>
        <v>132</v>
      </c>
      <c r="I744">
        <f>IF(AND(B744&gt;=DATE(2025,7,1),B744&lt;=DATE(2026,6,30)),1,0)</f>
        <v>1</v>
      </c>
      <c r="J744">
        <f>IF(B744&lt;=DATE(2026,6,30),1,0)</f>
        <v>1</v>
      </c>
      <c r="K744" t="inlineStr"/>
      <c r="L744" t="inlineStr">
        <is>
          <t>Yard</t>
        </is>
      </c>
      <c r="M744">
        <f>COUNTIFS('Asset Log'!$A$5:$A$1379,A744,'Asset Log'!$E$5:$E$1379,E744,'Asset Log'!$G$5:$G$1379,G744)</f>
        <v>1</v>
      </c>
    </row>
    <row r="745">
      <c r="A745" t="inlineStr">
        <is>
          <t>D72353</t>
        </is>
      </c>
      <c r="B745" s="11" t="n">
        <v>46021</v>
      </c>
      <c r="C745" t="inlineStr">
        <is>
          <t>S0270</t>
        </is>
      </c>
      <c r="D745" t="inlineStr">
        <is>
          <t>S0270</t>
        </is>
      </c>
      <c r="E745" t="inlineStr">
        <is>
          <t>ST</t>
        </is>
      </c>
      <c r="F745" t="n">
        <v>6</v>
      </c>
      <c r="G745" t="inlineStr">
        <is>
          <t>IN</t>
        </is>
      </c>
      <c r="H745">
        <f>IF(G745="OUT",F745,-F745)</f>
        <v>-6</v>
      </c>
      <c r="I745">
        <f>IF(AND(B745&gt;=DATE(2025,7,1),B745&lt;=DATE(2026,6,30)),1,0)</f>
        <v>1</v>
      </c>
      <c r="J745">
        <f>IF(B745&lt;=DATE(2026,6,30),1,0)</f>
        <v>1</v>
      </c>
      <c r="K745" t="inlineStr"/>
      <c r="L745" t="inlineStr">
        <is>
          <t>Driver</t>
        </is>
      </c>
      <c r="M745">
        <f>COUNTIFS('Asset Log'!$A$5:$A$1379,A745,'Asset Log'!$E$5:$E$1379,E745,'Asset Log'!$G$5:$G$1379,G745)</f>
        <v>1</v>
      </c>
    </row>
    <row r="746">
      <c r="A746" t="inlineStr">
        <is>
          <t>D72612</t>
        </is>
      </c>
      <c r="B746" s="11" t="n">
        <v>46021</v>
      </c>
      <c r="C746" t="inlineStr">
        <is>
          <t>S0399</t>
        </is>
      </c>
      <c r="D746" t="inlineStr">
        <is>
          <t>S0399</t>
        </is>
      </c>
      <c r="E746" t="inlineStr">
        <is>
          <t>TK</t>
        </is>
      </c>
      <c r="F746" t="n">
        <v>3</v>
      </c>
      <c r="G746" t="inlineStr">
        <is>
          <t>OUT</t>
        </is>
      </c>
      <c r="H746">
        <f>IF(G746="OUT",F746,-F746)</f>
        <v>3</v>
      </c>
      <c r="I746">
        <f>IF(AND(B746&gt;=DATE(2025,7,1),B746&lt;=DATE(2026,6,30)),1,0)</f>
        <v>1</v>
      </c>
      <c r="J746">
        <f>IF(B746&lt;=DATE(2026,6,30),1,0)</f>
        <v>1</v>
      </c>
      <c r="K746" t="inlineStr"/>
      <c r="L746" t="inlineStr">
        <is>
          <t>Driver</t>
        </is>
      </c>
      <c r="M746">
        <f>COUNTIFS('Asset Log'!$A$5:$A$1379,A746,'Asset Log'!$E$5:$E$1379,E746,'Asset Log'!$G$5:$G$1379,G746)</f>
        <v>1</v>
      </c>
    </row>
    <row r="747">
      <c r="A747" t="inlineStr">
        <is>
          <t>D72564</t>
        </is>
      </c>
      <c r="B747" s="11" t="n">
        <v>46022</v>
      </c>
      <c r="C747" t="inlineStr">
        <is>
          <t>S0375</t>
        </is>
      </c>
      <c r="D747" t="inlineStr">
        <is>
          <t>S0375</t>
        </is>
      </c>
      <c r="E747" t="inlineStr">
        <is>
          <t>TK</t>
        </is>
      </c>
      <c r="F747" t="n">
        <v>1</v>
      </c>
      <c r="G747" t="inlineStr">
        <is>
          <t>IN</t>
        </is>
      </c>
      <c r="H747">
        <f>IF(G747="OUT",F747,-F747)</f>
        <v>-1</v>
      </c>
      <c r="I747">
        <f>IF(AND(B747&gt;=DATE(2025,7,1),B747&lt;=DATE(2026,6,30)),1,0)</f>
        <v>1</v>
      </c>
      <c r="J747">
        <f>IF(B747&lt;=DATE(2026,6,30),1,0)</f>
        <v>1</v>
      </c>
      <c r="K747" t="inlineStr"/>
      <c r="L747" t="inlineStr">
        <is>
          <t>Office</t>
        </is>
      </c>
      <c r="M747">
        <f>COUNTIFS('Asset Log'!$A$5:$A$1379,A747,'Asset Log'!$E$5:$E$1379,E747,'Asset Log'!$G$5:$G$1379,G747)</f>
        <v>1</v>
      </c>
    </row>
    <row r="748">
      <c r="A748" t="inlineStr">
        <is>
          <t>D71712</t>
        </is>
      </c>
      <c r="B748" s="11" t="n">
        <v>46023</v>
      </c>
      <c r="C748" t="inlineStr">
        <is>
          <t>S0108</t>
        </is>
      </c>
      <c r="D748" t="inlineStr">
        <is>
          <t>S0180</t>
        </is>
      </c>
      <c r="E748" t="inlineStr">
        <is>
          <t>FP</t>
        </is>
      </c>
      <c r="F748" t="n">
        <v>34</v>
      </c>
      <c r="G748" t="inlineStr">
        <is>
          <t>IN</t>
        </is>
      </c>
      <c r="H748">
        <f>IF(G748="OUT",F748,-F748)</f>
        <v>-34</v>
      </c>
      <c r="I748">
        <f>IF(AND(B748&gt;=DATE(2025,7,1),B748&lt;=DATE(2026,6,30)),1,0)</f>
        <v>1</v>
      </c>
      <c r="J748">
        <f>IF(B748&lt;=DATE(2026,6,30),1,0)</f>
        <v>1</v>
      </c>
      <c r="K748" t="inlineStr">
        <is>
          <t>Site corrected from S0108 (return written against the wrong site)</t>
        </is>
      </c>
      <c r="L748" t="inlineStr">
        <is>
          <t>Office</t>
        </is>
      </c>
      <c r="M748">
        <f>COUNTIFS('Asset Log'!$A$5:$A$1379,A748,'Asset Log'!$E$5:$E$1379,E748,'Asset Log'!$G$5:$G$1379,G748)</f>
        <v>1</v>
      </c>
    </row>
    <row r="749">
      <c r="A749" t="inlineStr">
        <is>
          <t>D71717</t>
        </is>
      </c>
      <c r="B749" s="11" t="n">
        <v>46023</v>
      </c>
      <c r="C749" t="inlineStr">
        <is>
          <t>180</t>
        </is>
      </c>
      <c r="D749" t="inlineStr">
        <is>
          <t>S0180</t>
        </is>
      </c>
      <c r="E749" t="inlineStr">
        <is>
          <t>FB</t>
        </is>
      </c>
      <c r="F749" t="n">
        <v>37</v>
      </c>
      <c r="G749" t="inlineStr">
        <is>
          <t>IN</t>
        </is>
      </c>
      <c r="H749">
        <f>IF(G749="OUT",F749,-F749)</f>
        <v>-37</v>
      </c>
      <c r="I749">
        <f>IF(AND(B749&gt;=DATE(2025,7,1),B749&lt;=DATE(2026,6,30)),1,0)</f>
        <v>1</v>
      </c>
      <c r="J749">
        <f>IF(B749&lt;=DATE(2026,6,30),1,0)</f>
        <v>1</v>
      </c>
      <c r="K749" t="inlineStr">
        <is>
          <t>Site text normalised</t>
        </is>
      </c>
      <c r="L749" t="inlineStr">
        <is>
          <t>Yard</t>
        </is>
      </c>
      <c r="M749">
        <f>COUNTIFS('Asset Log'!$A$5:$A$1379,A749,'Asset Log'!$E$5:$E$1379,E749,'Asset Log'!$G$5:$G$1379,G749)</f>
        <v>1</v>
      </c>
    </row>
    <row r="750">
      <c r="A750" t="inlineStr">
        <is>
          <t>D71721</t>
        </is>
      </c>
      <c r="B750" s="11" t="n">
        <v>46023</v>
      </c>
      <c r="C750" t="inlineStr">
        <is>
          <t>S0180</t>
        </is>
      </c>
      <c r="D750" t="inlineStr">
        <is>
          <t>S0180</t>
        </is>
      </c>
      <c r="E750" t="inlineStr">
        <is>
          <t>BR</t>
        </is>
      </c>
      <c r="F750" t="n">
        <v>16</v>
      </c>
      <c r="G750" t="inlineStr">
        <is>
          <t>IN</t>
        </is>
      </c>
      <c r="H750">
        <f>IF(G750="OUT",F750,-F750)</f>
        <v>-16</v>
      </c>
      <c r="I750">
        <f>IF(AND(B750&gt;=DATE(2025,7,1),B750&lt;=DATE(2026,6,30)),1,0)</f>
        <v>1</v>
      </c>
      <c r="J750">
        <f>IF(B750&lt;=DATE(2026,6,30),1,0)</f>
        <v>1</v>
      </c>
      <c r="K750" t="inlineStr"/>
      <c r="L750" t="inlineStr">
        <is>
          <t>Office</t>
        </is>
      </c>
      <c r="M750">
        <f>COUNTIFS('Asset Log'!$A$5:$A$1379,A750,'Asset Log'!$E$5:$E$1379,E750,'Asset Log'!$G$5:$G$1379,G750)</f>
        <v>1</v>
      </c>
    </row>
    <row r="751">
      <c r="A751" t="inlineStr">
        <is>
          <t>D72443</t>
        </is>
      </c>
      <c r="B751" s="11" t="n">
        <v>46023</v>
      </c>
      <c r="C751" t="inlineStr">
        <is>
          <t>S0292</t>
        </is>
      </c>
      <c r="D751" t="inlineStr">
        <is>
          <t>S0292</t>
        </is>
      </c>
      <c r="E751" t="inlineStr">
        <is>
          <t>ST</t>
        </is>
      </c>
      <c r="F751" t="n">
        <v>1</v>
      </c>
      <c r="G751" t="inlineStr">
        <is>
          <t>IN</t>
        </is>
      </c>
      <c r="H751">
        <f>IF(G751="OUT",F751,-F751)</f>
        <v>-1</v>
      </c>
      <c r="I751">
        <f>IF(AND(B751&gt;=DATE(2025,7,1),B751&lt;=DATE(2026,6,30)),1,0)</f>
        <v>1</v>
      </c>
      <c r="J751">
        <f>IF(B751&lt;=DATE(2026,6,30),1,0)</f>
        <v>1</v>
      </c>
      <c r="K751" t="inlineStr"/>
      <c r="L751" t="inlineStr">
        <is>
          <t>Office</t>
        </is>
      </c>
      <c r="M751">
        <f>COUNTIFS('Asset Log'!$A$5:$A$1379,A751,'Asset Log'!$E$5:$E$1379,E751,'Asset Log'!$G$5:$G$1379,G751)</f>
        <v>1</v>
      </c>
    </row>
    <row r="752">
      <c r="A752" t="inlineStr">
        <is>
          <t>D72653</t>
        </is>
      </c>
      <c r="B752" s="11" t="n">
        <v>46023</v>
      </c>
      <c r="C752" t="inlineStr">
        <is>
          <t>S0421</t>
        </is>
      </c>
      <c r="D752" t="inlineStr">
        <is>
          <t>S0421</t>
        </is>
      </c>
      <c r="E752" t="inlineStr">
        <is>
          <t>TK</t>
        </is>
      </c>
      <c r="F752" t="n">
        <v>3</v>
      </c>
      <c r="G752" t="inlineStr">
        <is>
          <t>IN</t>
        </is>
      </c>
      <c r="H752">
        <f>IF(G752="OUT",F752,-F752)</f>
        <v>-3</v>
      </c>
      <c r="I752">
        <f>IF(AND(B752&gt;=DATE(2025,7,1),B752&lt;=DATE(2026,6,30)),1,0)</f>
        <v>1</v>
      </c>
      <c r="J752">
        <f>IF(B752&lt;=DATE(2026,6,30),1,0)</f>
        <v>1</v>
      </c>
      <c r="K752" t="inlineStr"/>
      <c r="L752" t="inlineStr">
        <is>
          <t>Driver</t>
        </is>
      </c>
      <c r="M752">
        <f>COUNTIFS('Asset Log'!$A$5:$A$1379,A752,'Asset Log'!$E$5:$E$1379,E752,'Asset Log'!$G$5:$G$1379,G752)</f>
        <v>1</v>
      </c>
    </row>
    <row r="753">
      <c r="A753" t="inlineStr">
        <is>
          <t>D72717</t>
        </is>
      </c>
      <c r="B753" s="11" t="n">
        <v>46023</v>
      </c>
      <c r="C753" t="inlineStr">
        <is>
          <t>S0461</t>
        </is>
      </c>
      <c r="D753" t="inlineStr">
        <is>
          <t>S0461</t>
        </is>
      </c>
      <c r="E753" t="inlineStr">
        <is>
          <t>TK</t>
        </is>
      </c>
      <c r="F753" t="n">
        <v>1</v>
      </c>
      <c r="G753" t="inlineStr">
        <is>
          <t>IN</t>
        </is>
      </c>
      <c r="H753">
        <f>IF(G753="OUT",F753,-F753)</f>
        <v>-1</v>
      </c>
      <c r="I753">
        <f>IF(AND(B753&gt;=DATE(2025,7,1),B753&lt;=DATE(2026,6,30)),1,0)</f>
        <v>1</v>
      </c>
      <c r="J753">
        <f>IF(B753&lt;=DATE(2026,6,30),1,0)</f>
        <v>1</v>
      </c>
      <c r="K753" t="inlineStr"/>
      <c r="L753" t="inlineStr">
        <is>
          <t>Office</t>
        </is>
      </c>
      <c r="M753">
        <f>COUNTIFS('Asset Log'!$A$5:$A$1379,A753,'Asset Log'!$E$5:$E$1379,E753,'Asset Log'!$G$5:$G$1379,G753)</f>
        <v>1</v>
      </c>
    </row>
    <row r="754">
      <c r="A754" t="inlineStr">
        <is>
          <t>D71937</t>
        </is>
      </c>
      <c r="B754" s="11" t="n">
        <v>46024</v>
      </c>
      <c r="C754" t="inlineStr">
        <is>
          <t>S0205</t>
        </is>
      </c>
      <c r="D754" t="inlineStr">
        <is>
          <t>S0205</t>
        </is>
      </c>
      <c r="E754" t="inlineStr">
        <is>
          <t>FP</t>
        </is>
      </c>
      <c r="F754" t="n">
        <v>16</v>
      </c>
      <c r="G754" t="inlineStr">
        <is>
          <t>OUT</t>
        </is>
      </c>
      <c r="H754">
        <f>IF(G754="OUT",F754,-F754)</f>
        <v>16</v>
      </c>
      <c r="I754">
        <f>IF(AND(B754&gt;=DATE(2025,7,1),B754&lt;=DATE(2026,6,30)),1,0)</f>
        <v>1</v>
      </c>
      <c r="J754">
        <f>IF(B754&lt;=DATE(2026,6,30),1,0)</f>
        <v>1</v>
      </c>
      <c r="K754" t="inlineStr"/>
      <c r="L754" t="inlineStr">
        <is>
          <t>Driver</t>
        </is>
      </c>
      <c r="M754">
        <f>COUNTIFS('Asset Log'!$A$5:$A$1379,A754,'Asset Log'!$E$5:$E$1379,E754,'Asset Log'!$G$5:$G$1379,G754)</f>
        <v>1</v>
      </c>
    </row>
    <row r="755">
      <c r="A755" t="inlineStr">
        <is>
          <t>D71942</t>
        </is>
      </c>
      <c r="B755" s="11" t="n">
        <v>46024</v>
      </c>
      <c r="C755" t="inlineStr">
        <is>
          <t>S0205</t>
        </is>
      </c>
      <c r="D755" t="inlineStr">
        <is>
          <t>S0205</t>
        </is>
      </c>
      <c r="E755" t="inlineStr">
        <is>
          <t>FB</t>
        </is>
      </c>
      <c r="F755" t="n">
        <v>16</v>
      </c>
      <c r="G755" t="inlineStr">
        <is>
          <t>OUT</t>
        </is>
      </c>
      <c r="H755">
        <f>IF(G755="OUT",F755,-F755)</f>
        <v>16</v>
      </c>
      <c r="I755">
        <f>IF(AND(B755&gt;=DATE(2025,7,1),B755&lt;=DATE(2026,6,30)),1,0)</f>
        <v>1</v>
      </c>
      <c r="J755">
        <f>IF(B755&lt;=DATE(2026,6,30),1,0)</f>
        <v>1</v>
      </c>
      <c r="K755" t="inlineStr"/>
      <c r="L755" t="inlineStr">
        <is>
          <t>Office</t>
        </is>
      </c>
      <c r="M755">
        <f>COUNTIFS('Asset Log'!$A$5:$A$1379,A755,'Asset Log'!$E$5:$E$1379,E755,'Asset Log'!$G$5:$G$1379,G755)</f>
        <v>1</v>
      </c>
    </row>
    <row r="756">
      <c r="A756" t="inlineStr">
        <is>
          <t>D72378</t>
        </is>
      </c>
      <c r="B756" s="11" t="n">
        <v>46024</v>
      </c>
      <c r="C756" t="inlineStr">
        <is>
          <t>S0276</t>
        </is>
      </c>
      <c r="D756" t="inlineStr">
        <is>
          <t>S0276</t>
        </is>
      </c>
      <c r="E756" t="inlineStr">
        <is>
          <t>ST</t>
        </is>
      </c>
      <c r="F756" t="n">
        <v>2</v>
      </c>
      <c r="G756" t="inlineStr">
        <is>
          <t>IN</t>
        </is>
      </c>
      <c r="H756">
        <f>IF(G756="OUT",F756,-F756)</f>
        <v>-2</v>
      </c>
      <c r="I756">
        <f>IF(AND(B756&gt;=DATE(2025,7,1),B756&lt;=DATE(2026,6,30)),1,0)</f>
        <v>1</v>
      </c>
      <c r="J756">
        <f>IF(B756&lt;=DATE(2026,6,30),1,0)</f>
        <v>1</v>
      </c>
      <c r="K756" t="inlineStr"/>
      <c r="L756" t="inlineStr">
        <is>
          <t>Office</t>
        </is>
      </c>
      <c r="M756">
        <f>COUNTIFS('Asset Log'!$A$5:$A$1379,A756,'Asset Log'!$E$5:$E$1379,E756,'Asset Log'!$G$5:$G$1379,G756)</f>
        <v>1</v>
      </c>
    </row>
    <row r="757">
      <c r="A757" t="inlineStr">
        <is>
          <t>D71592</t>
        </is>
      </c>
      <c r="B757" s="11" t="n">
        <v>46026</v>
      </c>
      <c r="C757" t="inlineStr">
        <is>
          <t>S0167</t>
        </is>
      </c>
      <c r="D757" t="inlineStr">
        <is>
          <t>S0167</t>
        </is>
      </c>
      <c r="E757" t="inlineStr">
        <is>
          <t>FP</t>
        </is>
      </c>
      <c r="F757" t="n">
        <v>107</v>
      </c>
      <c r="G757" t="inlineStr">
        <is>
          <t>OUT</t>
        </is>
      </c>
      <c r="H757">
        <f>IF(G757="OUT",F757,-F757)</f>
        <v>107</v>
      </c>
      <c r="I757">
        <f>IF(AND(B757&gt;=DATE(2025,7,1),B757&lt;=DATE(2026,6,30)),1,0)</f>
        <v>1</v>
      </c>
      <c r="J757">
        <f>IF(B757&lt;=DATE(2026,6,30),1,0)</f>
        <v>1</v>
      </c>
      <c r="K757" t="inlineStr"/>
      <c r="L757" t="inlineStr">
        <is>
          <t>Office</t>
        </is>
      </c>
      <c r="M757">
        <f>COUNTIFS('Asset Log'!$A$5:$A$1379,A757,'Asset Log'!$E$5:$E$1379,E757,'Asset Log'!$G$5:$G$1379,G757)</f>
        <v>1</v>
      </c>
    </row>
    <row r="758">
      <c r="A758" t="inlineStr">
        <is>
          <t>D71596</t>
        </is>
      </c>
      <c r="B758" s="11" t="n">
        <v>46026</v>
      </c>
      <c r="C758" t="inlineStr">
        <is>
          <t>S0167</t>
        </is>
      </c>
      <c r="D758" t="inlineStr">
        <is>
          <t>S0167</t>
        </is>
      </c>
      <c r="E758" t="inlineStr">
        <is>
          <t>FB</t>
        </is>
      </c>
      <c r="F758" t="n">
        <v>117</v>
      </c>
      <c r="G758" t="inlineStr">
        <is>
          <t>OUT</t>
        </is>
      </c>
      <c r="H758">
        <f>IF(G758="OUT",F758,-F758)</f>
        <v>117</v>
      </c>
      <c r="I758">
        <f>IF(AND(B758&gt;=DATE(2025,7,1),B758&lt;=DATE(2026,6,30)),1,0)</f>
        <v>1</v>
      </c>
      <c r="J758">
        <f>IF(B758&lt;=DATE(2026,6,30),1,0)</f>
        <v>1</v>
      </c>
      <c r="K758" t="inlineStr"/>
      <c r="L758" t="inlineStr">
        <is>
          <t>Driver</t>
        </is>
      </c>
      <c r="M758">
        <f>COUNTIFS('Asset Log'!$A$5:$A$1379,A758,'Asset Log'!$E$5:$E$1379,E758,'Asset Log'!$G$5:$G$1379,G758)</f>
        <v>1</v>
      </c>
    </row>
    <row r="759">
      <c r="A759" t="inlineStr">
        <is>
          <t>D71600</t>
        </is>
      </c>
      <c r="B759" s="11" t="n">
        <v>46026</v>
      </c>
      <c r="C759" t="inlineStr">
        <is>
          <t>S0167</t>
        </is>
      </c>
      <c r="D759" t="inlineStr">
        <is>
          <t>S0167</t>
        </is>
      </c>
      <c r="E759" t="inlineStr">
        <is>
          <t>BR</t>
        </is>
      </c>
      <c r="F759" t="n">
        <v>17</v>
      </c>
      <c r="G759" t="inlineStr">
        <is>
          <t>OUT</t>
        </is>
      </c>
      <c r="H759">
        <f>IF(G759="OUT",F759,-F759)</f>
        <v>17</v>
      </c>
      <c r="I759">
        <f>IF(AND(B759&gt;=DATE(2025,7,1),B759&lt;=DATE(2026,6,30)),1,0)</f>
        <v>1</v>
      </c>
      <c r="J759">
        <f>IF(B759&lt;=DATE(2026,6,30),1,0)</f>
        <v>1</v>
      </c>
      <c r="K759" t="inlineStr"/>
      <c r="L759" t="inlineStr">
        <is>
          <t>Office</t>
        </is>
      </c>
      <c r="M759">
        <f>COUNTIFS('Asset Log'!$A$5:$A$1379,A759,'Asset Log'!$E$5:$E$1379,E759,'Asset Log'!$G$5:$G$1379,G759)</f>
        <v>1</v>
      </c>
    </row>
    <row r="760">
      <c r="A760" t="inlineStr">
        <is>
          <t>D71990</t>
        </is>
      </c>
      <c r="B760" s="11" t="n">
        <v>46026</v>
      </c>
      <c r="C760" t="inlineStr">
        <is>
          <t>s211</t>
        </is>
      </c>
      <c r="D760" t="inlineStr">
        <is>
          <t>S0211</t>
        </is>
      </c>
      <c r="E760" t="inlineStr">
        <is>
          <t>FP</t>
        </is>
      </c>
      <c r="F760" t="n">
        <v>25</v>
      </c>
      <c r="G760" t="inlineStr">
        <is>
          <t>IN</t>
        </is>
      </c>
      <c r="H760">
        <f>IF(G760="OUT",F760,-F760)</f>
        <v>-25</v>
      </c>
      <c r="I760">
        <f>IF(AND(B760&gt;=DATE(2025,7,1),B760&lt;=DATE(2026,6,30)),1,0)</f>
        <v>1</v>
      </c>
      <c r="J760">
        <f>IF(B760&lt;=DATE(2026,6,30),1,0)</f>
        <v>1</v>
      </c>
      <c r="K760" t="inlineStr">
        <is>
          <t>Site text normalised</t>
        </is>
      </c>
      <c r="L760" t="inlineStr">
        <is>
          <t>Yard</t>
        </is>
      </c>
      <c r="M760">
        <f>COUNTIFS('Asset Log'!$A$5:$A$1379,A760,'Asset Log'!$E$5:$E$1379,E760,'Asset Log'!$G$5:$G$1379,G760)</f>
        <v>1</v>
      </c>
    </row>
    <row r="761">
      <c r="A761" t="inlineStr">
        <is>
          <t>D71994</t>
        </is>
      </c>
      <c r="B761" s="11" t="n">
        <v>46026</v>
      </c>
      <c r="C761" t="inlineStr">
        <is>
          <t>S0211</t>
        </is>
      </c>
      <c r="D761" t="inlineStr">
        <is>
          <t>S0211</t>
        </is>
      </c>
      <c r="E761" t="inlineStr">
        <is>
          <t>FB</t>
        </is>
      </c>
      <c r="F761" t="n">
        <v>27</v>
      </c>
      <c r="G761" t="inlineStr">
        <is>
          <t>IN</t>
        </is>
      </c>
      <c r="H761">
        <f>IF(G761="OUT",F761,-F761)</f>
        <v>-27</v>
      </c>
      <c r="I761">
        <f>IF(AND(B761&gt;=DATE(2025,7,1),B761&lt;=DATE(2026,6,30)),1,0)</f>
        <v>1</v>
      </c>
      <c r="J761">
        <f>IF(B761&lt;=DATE(2026,6,30),1,0)</f>
        <v>1</v>
      </c>
      <c r="K761" t="inlineStr"/>
      <c r="L761" t="inlineStr">
        <is>
          <t>Driver</t>
        </is>
      </c>
      <c r="M761">
        <f>COUNTIFS('Asset Log'!$A$5:$A$1379,A761,'Asset Log'!$E$5:$E$1379,E761,'Asset Log'!$G$5:$G$1379,G761)</f>
        <v>1</v>
      </c>
    </row>
    <row r="762">
      <c r="A762" t="inlineStr">
        <is>
          <t>D71998</t>
        </is>
      </c>
      <c r="B762" s="11" t="n">
        <v>46026</v>
      </c>
      <c r="C762" t="inlineStr">
        <is>
          <t>S0211</t>
        </is>
      </c>
      <c r="D762" t="inlineStr">
        <is>
          <t>S0211</t>
        </is>
      </c>
      <c r="E762" t="inlineStr">
        <is>
          <t>BR</t>
        </is>
      </c>
      <c r="F762" t="n">
        <v>21</v>
      </c>
      <c r="G762" t="inlineStr">
        <is>
          <t>IN</t>
        </is>
      </c>
      <c r="H762">
        <f>IF(G762="OUT",F762,-F762)</f>
        <v>-21</v>
      </c>
      <c r="I762">
        <f>IF(AND(B762&gt;=DATE(2025,7,1),B762&lt;=DATE(2026,6,30)),1,0)</f>
        <v>1</v>
      </c>
      <c r="J762">
        <f>IF(B762&lt;=DATE(2026,6,30),1,0)</f>
        <v>1</v>
      </c>
      <c r="K762" t="inlineStr"/>
      <c r="L762" t="inlineStr">
        <is>
          <t>Office</t>
        </is>
      </c>
      <c r="M762">
        <f>COUNTIFS('Asset Log'!$A$5:$A$1379,A762,'Asset Log'!$E$5:$E$1379,E762,'Asset Log'!$G$5:$G$1379,G762)</f>
        <v>1</v>
      </c>
    </row>
    <row r="763">
      <c r="A763" t="inlineStr">
        <is>
          <t>D72359</t>
        </is>
      </c>
      <c r="B763" s="11" t="n">
        <v>46026</v>
      </c>
      <c r="C763" t="inlineStr">
        <is>
          <t>272</t>
        </is>
      </c>
      <c r="D763" t="inlineStr">
        <is>
          <t>S0272</t>
        </is>
      </c>
      <c r="E763" t="inlineStr">
        <is>
          <t>ST</t>
        </is>
      </c>
      <c r="F763" t="n">
        <v>1</v>
      </c>
      <c r="G763" t="inlineStr">
        <is>
          <t>OUT</t>
        </is>
      </c>
      <c r="H763">
        <f>IF(G763="OUT",F763,-F763)</f>
        <v>1</v>
      </c>
      <c r="I763">
        <f>IF(AND(B763&gt;=DATE(2025,7,1),B763&lt;=DATE(2026,6,30)),1,0)</f>
        <v>1</v>
      </c>
      <c r="J763">
        <f>IF(B763&lt;=DATE(2026,6,30),1,0)</f>
        <v>1</v>
      </c>
      <c r="K763" t="inlineStr">
        <is>
          <t>Site text normalised</t>
        </is>
      </c>
      <c r="L763" t="inlineStr">
        <is>
          <t>Office</t>
        </is>
      </c>
      <c r="M763">
        <f>COUNTIFS('Asset Log'!$A$5:$A$1379,A763,'Asset Log'!$E$5:$E$1379,E763,'Asset Log'!$G$5:$G$1379,G763)</f>
        <v>1</v>
      </c>
    </row>
    <row r="764">
      <c r="A764" t="inlineStr">
        <is>
          <t>D72743</t>
        </is>
      </c>
      <c r="B764" s="11" t="n">
        <v>46026</v>
      </c>
      <c r="C764" t="inlineStr">
        <is>
          <t>S0488</t>
        </is>
      </c>
      <c r="D764" t="inlineStr">
        <is>
          <t>S0488</t>
        </is>
      </c>
      <c r="E764" t="inlineStr">
        <is>
          <t>TK</t>
        </is>
      </c>
      <c r="F764" t="n">
        <v>3</v>
      </c>
      <c r="G764" t="inlineStr">
        <is>
          <t>IN</t>
        </is>
      </c>
      <c r="H764">
        <f>IF(G764="OUT",F764,-F764)</f>
        <v>-3</v>
      </c>
      <c r="I764">
        <f>IF(AND(B764&gt;=DATE(2025,7,1),B764&lt;=DATE(2026,6,30)),1,0)</f>
        <v>1</v>
      </c>
      <c r="J764">
        <f>IF(B764&lt;=DATE(2026,6,30),1,0)</f>
        <v>1</v>
      </c>
      <c r="K764" t="inlineStr"/>
      <c r="L764" t="inlineStr">
        <is>
          <t>Driver</t>
        </is>
      </c>
      <c r="M764">
        <f>COUNTIFS('Asset Log'!$A$5:$A$1379,A764,'Asset Log'!$E$5:$E$1379,E764,'Asset Log'!$G$5:$G$1379,G764)</f>
        <v>1</v>
      </c>
    </row>
    <row r="765">
      <c r="A765" t="inlineStr">
        <is>
          <t>D70163</t>
        </is>
      </c>
      <c r="B765" s="11" t="n">
        <v>46027</v>
      </c>
      <c r="C765" t="inlineStr">
        <is>
          <t>S0019</t>
        </is>
      </c>
      <c r="D765" t="inlineStr">
        <is>
          <t>S0019</t>
        </is>
      </c>
      <c r="E765" t="inlineStr">
        <is>
          <t>FP</t>
        </is>
      </c>
      <c r="F765" t="n">
        <v>154</v>
      </c>
      <c r="G765" t="inlineStr">
        <is>
          <t>OUT</t>
        </is>
      </c>
      <c r="H765">
        <f>IF(G765="OUT",F765,-F765)</f>
        <v>154</v>
      </c>
      <c r="I765">
        <f>IF(AND(B765&gt;=DATE(2025,7,1),B765&lt;=DATE(2026,6,30)),1,0)</f>
        <v>1</v>
      </c>
      <c r="J765">
        <f>IF(B765&lt;=DATE(2026,6,30),1,0)</f>
        <v>1</v>
      </c>
      <c r="K765" t="inlineStr"/>
      <c r="L765" t="inlineStr">
        <is>
          <t>Driver</t>
        </is>
      </c>
      <c r="M765">
        <f>COUNTIFS('Asset Log'!$A$5:$A$1379,A765,'Asset Log'!$E$5:$E$1379,E765,'Asset Log'!$G$5:$G$1379,G765)</f>
        <v>1</v>
      </c>
    </row>
    <row r="766">
      <c r="A766" t="inlineStr">
        <is>
          <t>D70170</t>
        </is>
      </c>
      <c r="B766" s="11" t="n">
        <v>46027</v>
      </c>
      <c r="C766" t="inlineStr">
        <is>
          <t>S0019</t>
        </is>
      </c>
      <c r="D766" t="inlineStr">
        <is>
          <t>S0019</t>
        </is>
      </c>
      <c r="E766" t="inlineStr">
        <is>
          <t>FB</t>
        </is>
      </c>
      <c r="F766" t="n">
        <v>169</v>
      </c>
      <c r="G766" t="inlineStr">
        <is>
          <t>OUT</t>
        </is>
      </c>
      <c r="H766">
        <f>IF(G766="OUT",F766,-F766)</f>
        <v>169</v>
      </c>
      <c r="I766">
        <f>IF(AND(B766&gt;=DATE(2025,7,1),B766&lt;=DATE(2026,6,30)),1,0)</f>
        <v>1</v>
      </c>
      <c r="J766">
        <f>IF(B766&lt;=DATE(2026,6,30),1,0)</f>
        <v>1</v>
      </c>
      <c r="K766" t="inlineStr"/>
      <c r="L766" t="inlineStr">
        <is>
          <t>Driver</t>
        </is>
      </c>
      <c r="M766">
        <f>COUNTIFS('Asset Log'!$A$5:$A$1379,A766,'Asset Log'!$E$5:$E$1379,E766,'Asset Log'!$G$5:$G$1379,G766)</f>
        <v>1</v>
      </c>
    </row>
    <row r="767">
      <c r="A767" t="inlineStr">
        <is>
          <t>D71208</t>
        </is>
      </c>
      <c r="B767" s="11" t="n">
        <v>46027</v>
      </c>
      <c r="C767" t="inlineStr">
        <is>
          <t>126</t>
        </is>
      </c>
      <c r="D767" t="inlineStr">
        <is>
          <t>S0126</t>
        </is>
      </c>
      <c r="E767" t="inlineStr">
        <is>
          <t>FP</t>
        </is>
      </c>
      <c r="F767" t="n">
        <v>21</v>
      </c>
      <c r="G767" t="inlineStr">
        <is>
          <t>OUT</t>
        </is>
      </c>
      <c r="H767">
        <f>IF(G767="OUT",F767,-F767)</f>
        <v>21</v>
      </c>
      <c r="I767">
        <f>IF(AND(B767&gt;=DATE(2025,7,1),B767&lt;=DATE(2026,6,30)),1,0)</f>
        <v>1</v>
      </c>
      <c r="J767">
        <f>IF(B767&lt;=DATE(2026,6,30),1,0)</f>
        <v>1</v>
      </c>
      <c r="K767" t="inlineStr">
        <is>
          <t>Site text normalised</t>
        </is>
      </c>
      <c r="L767" t="inlineStr">
        <is>
          <t>Office</t>
        </is>
      </c>
      <c r="M767">
        <f>COUNTIFS('Asset Log'!$A$5:$A$1379,A767,'Asset Log'!$E$5:$E$1379,E767,'Asset Log'!$G$5:$G$1379,G767)</f>
        <v>1</v>
      </c>
    </row>
    <row r="768">
      <c r="A768" t="inlineStr">
        <is>
          <t>D71215</t>
        </is>
      </c>
      <c r="B768" s="11" t="n">
        <v>46027</v>
      </c>
      <c r="C768" t="inlineStr">
        <is>
          <t>S0126</t>
        </is>
      </c>
      <c r="D768" t="inlineStr">
        <is>
          <t>S0126</t>
        </is>
      </c>
      <c r="E768" t="inlineStr">
        <is>
          <t>FB</t>
        </is>
      </c>
      <c r="F768" t="n">
        <v>21</v>
      </c>
      <c r="G768" t="inlineStr">
        <is>
          <t>OUT</t>
        </is>
      </c>
      <c r="H768">
        <f>IF(G768="OUT",F768,-F768)</f>
        <v>21</v>
      </c>
      <c r="I768">
        <f>IF(AND(B768&gt;=DATE(2025,7,1),B768&lt;=DATE(2026,6,30)),1,0)</f>
        <v>1</v>
      </c>
      <c r="J768">
        <f>IF(B768&lt;=DATE(2026,6,30),1,0)</f>
        <v>1</v>
      </c>
      <c r="K768" t="inlineStr"/>
      <c r="L768" t="inlineStr">
        <is>
          <t>Office</t>
        </is>
      </c>
      <c r="M768">
        <f>COUNTIFS('Asset Log'!$A$5:$A$1379,A768,'Asset Log'!$E$5:$E$1379,E768,'Asset Log'!$G$5:$G$1379,G768)</f>
        <v>1</v>
      </c>
    </row>
    <row r="769">
      <c r="A769" t="inlineStr">
        <is>
          <t>D71842</t>
        </is>
      </c>
      <c r="B769" s="11" t="n">
        <v>46028</v>
      </c>
      <c r="C769" t="inlineStr">
        <is>
          <t>S0195</t>
        </is>
      </c>
      <c r="D769" t="inlineStr">
        <is>
          <t>S0195</t>
        </is>
      </c>
      <c r="E769" t="inlineStr">
        <is>
          <t>FP</t>
        </is>
      </c>
      <c r="F769" t="n">
        <v>10</v>
      </c>
      <c r="G769" t="inlineStr">
        <is>
          <t>OUT</t>
        </is>
      </c>
      <c r="H769">
        <f>IF(G769="OUT",F769,-F769)</f>
        <v>10</v>
      </c>
      <c r="I769">
        <f>IF(AND(B769&gt;=DATE(2025,7,1),B769&lt;=DATE(2026,6,30)),1,0)</f>
        <v>1</v>
      </c>
      <c r="J769">
        <f>IF(B769&lt;=DATE(2026,6,30),1,0)</f>
        <v>1</v>
      </c>
      <c r="K769" t="inlineStr"/>
      <c r="L769" t="inlineStr">
        <is>
          <t>Driver</t>
        </is>
      </c>
      <c r="M769">
        <f>COUNTIFS('Asset Log'!$A$5:$A$1379,A769,'Asset Log'!$E$5:$E$1379,E769,'Asset Log'!$G$5:$G$1379,G769)</f>
        <v>1</v>
      </c>
    </row>
    <row r="770">
      <c r="A770" t="inlineStr">
        <is>
          <t>D71848</t>
        </is>
      </c>
      <c r="B770" s="11" t="n">
        <v>46028</v>
      </c>
      <c r="C770" t="inlineStr">
        <is>
          <t>S0195</t>
        </is>
      </c>
      <c r="D770" t="inlineStr">
        <is>
          <t>S0195</t>
        </is>
      </c>
      <c r="E770" t="inlineStr">
        <is>
          <t>FB</t>
        </is>
      </c>
      <c r="F770" t="n">
        <v>10</v>
      </c>
      <c r="G770" t="inlineStr">
        <is>
          <t>OUT</t>
        </is>
      </c>
      <c r="H770">
        <f>IF(G770="OUT",F770,-F770)</f>
        <v>10</v>
      </c>
      <c r="I770">
        <f>IF(AND(B770&gt;=DATE(2025,7,1),B770&lt;=DATE(2026,6,30)),1,0)</f>
        <v>1</v>
      </c>
      <c r="J770">
        <f>IF(B770&lt;=DATE(2026,6,30),1,0)</f>
        <v>1</v>
      </c>
      <c r="K770" t="inlineStr"/>
      <c r="L770" t="inlineStr">
        <is>
          <t>Yard</t>
        </is>
      </c>
      <c r="M770">
        <f>COUNTIFS('Asset Log'!$A$5:$A$1379,A770,'Asset Log'!$E$5:$E$1379,E770,'Asset Log'!$G$5:$G$1379,G770)</f>
        <v>1</v>
      </c>
    </row>
    <row r="771">
      <c r="A771" t="inlineStr">
        <is>
          <t>D72116</t>
        </is>
      </c>
      <c r="B771" s="11" t="n">
        <v>46028</v>
      </c>
      <c r="C771" t="inlineStr">
        <is>
          <t>S0224</t>
        </is>
      </c>
      <c r="D771" t="inlineStr">
        <is>
          <t>S0224</t>
        </is>
      </c>
      <c r="E771" t="inlineStr">
        <is>
          <t>FP</t>
        </is>
      </c>
      <c r="F771" t="n">
        <v>155</v>
      </c>
      <c r="G771" t="inlineStr">
        <is>
          <t>OUT</t>
        </is>
      </c>
      <c r="H771">
        <f>IF(G771="OUT",F771,-F771)</f>
        <v>155</v>
      </c>
      <c r="I771">
        <f>IF(AND(B771&gt;=DATE(2025,7,1),B771&lt;=DATE(2026,6,30)),1,0)</f>
        <v>1</v>
      </c>
      <c r="J771">
        <f>IF(B771&lt;=DATE(2026,6,30),1,0)</f>
        <v>1</v>
      </c>
      <c r="K771" t="inlineStr"/>
      <c r="L771" t="inlineStr">
        <is>
          <t>Office</t>
        </is>
      </c>
      <c r="M771">
        <f>COUNTIFS('Asset Log'!$A$5:$A$1379,A771,'Asset Log'!$E$5:$E$1379,E771,'Asset Log'!$G$5:$G$1379,G771)</f>
        <v>1</v>
      </c>
    </row>
    <row r="772">
      <c r="A772" t="inlineStr">
        <is>
          <t>D72119</t>
        </is>
      </c>
      <c r="B772" s="11" t="n">
        <v>46028</v>
      </c>
      <c r="C772" t="inlineStr">
        <is>
          <t>S0224</t>
        </is>
      </c>
      <c r="D772" t="inlineStr">
        <is>
          <t>S0224</t>
        </is>
      </c>
      <c r="E772" t="inlineStr">
        <is>
          <t>FB</t>
        </is>
      </c>
      <c r="F772" t="n">
        <v>170</v>
      </c>
      <c r="G772" t="inlineStr">
        <is>
          <t>OUT</t>
        </is>
      </c>
      <c r="H772">
        <f>IF(G772="OUT",F772,-F772)</f>
        <v>170</v>
      </c>
      <c r="I772">
        <f>IF(AND(B772&gt;=DATE(2025,7,1),B772&lt;=DATE(2026,6,30)),1,0)</f>
        <v>1</v>
      </c>
      <c r="J772">
        <f>IF(B772&lt;=DATE(2026,6,30),1,0)</f>
        <v>1</v>
      </c>
      <c r="K772" t="inlineStr"/>
      <c r="L772" t="inlineStr">
        <is>
          <t>Yard</t>
        </is>
      </c>
      <c r="M772">
        <f>COUNTIFS('Asset Log'!$A$5:$A$1379,A772,'Asset Log'!$E$5:$E$1379,E772,'Asset Log'!$G$5:$G$1379,G772)</f>
        <v>1</v>
      </c>
    </row>
    <row r="773">
      <c r="A773" t="inlineStr">
        <is>
          <t>D72388</t>
        </is>
      </c>
      <c r="B773" s="11" t="n">
        <v>46028</v>
      </c>
      <c r="C773" t="inlineStr">
        <is>
          <t>S0279</t>
        </is>
      </c>
      <c r="D773" t="inlineStr">
        <is>
          <t>S0279</t>
        </is>
      </c>
      <c r="E773" t="inlineStr">
        <is>
          <t>ST</t>
        </is>
      </c>
      <c r="F773" t="n">
        <v>2</v>
      </c>
      <c r="G773" t="inlineStr">
        <is>
          <t>OUT</t>
        </is>
      </c>
      <c r="H773">
        <f>IF(G773="OUT",F773,-F773)</f>
        <v>2</v>
      </c>
      <c r="I773">
        <f>IF(AND(B773&gt;=DATE(2025,7,1),B773&lt;=DATE(2026,6,30)),1,0)</f>
        <v>1</v>
      </c>
      <c r="J773">
        <f>IF(B773&lt;=DATE(2026,6,30),1,0)</f>
        <v>1</v>
      </c>
      <c r="K773" t="inlineStr"/>
      <c r="L773" t="inlineStr">
        <is>
          <t>Yard</t>
        </is>
      </c>
      <c r="M773">
        <f>COUNTIFS('Asset Log'!$A$5:$A$1379,A773,'Asset Log'!$E$5:$E$1379,E773,'Asset Log'!$G$5:$G$1379,G773)</f>
        <v>1</v>
      </c>
    </row>
    <row r="774">
      <c r="A774" t="inlineStr">
        <is>
          <t>D72370</t>
        </is>
      </c>
      <c r="B774" s="11" t="n">
        <v>46029</v>
      </c>
      <c r="C774" t="inlineStr">
        <is>
          <t>S0275</t>
        </is>
      </c>
      <c r="D774" t="inlineStr">
        <is>
          <t>S0275</t>
        </is>
      </c>
      <c r="E774" t="inlineStr">
        <is>
          <t>ST</t>
        </is>
      </c>
      <c r="F774" t="n">
        <v>4</v>
      </c>
      <c r="G774" t="inlineStr">
        <is>
          <t>OUT</t>
        </is>
      </c>
      <c r="H774">
        <f>IF(G774="OUT",F774,-F774)</f>
        <v>4</v>
      </c>
      <c r="I774">
        <f>IF(AND(B774&gt;=DATE(2025,7,1),B774&lt;=DATE(2026,6,30)),1,0)</f>
        <v>1</v>
      </c>
      <c r="J774">
        <f>IF(B774&lt;=DATE(2026,6,30),1,0)</f>
        <v>1</v>
      </c>
      <c r="K774" t="inlineStr"/>
      <c r="L774" t="inlineStr">
        <is>
          <t>Office</t>
        </is>
      </c>
      <c r="M774">
        <f>COUNTIFS('Asset Log'!$A$5:$A$1379,A774,'Asset Log'!$E$5:$E$1379,E774,'Asset Log'!$G$5:$G$1379,G774)</f>
        <v>1</v>
      </c>
    </row>
    <row r="775">
      <c r="A775" t="inlineStr">
        <is>
          <t>D71398</t>
        </is>
      </c>
      <c r="B775" s="11" t="n">
        <v>46030</v>
      </c>
      <c r="C775" t="inlineStr">
        <is>
          <t>S0147</t>
        </is>
      </c>
      <c r="D775" t="inlineStr">
        <is>
          <t>S0147</t>
        </is>
      </c>
      <c r="E775" t="inlineStr">
        <is>
          <t>FP</t>
        </is>
      </c>
      <c r="F775" t="n">
        <v>21</v>
      </c>
      <c r="G775" t="inlineStr">
        <is>
          <t>IN</t>
        </is>
      </c>
      <c r="H775">
        <f>IF(G775="OUT",F775,-F775)</f>
        <v>-21</v>
      </c>
      <c r="I775">
        <f>IF(AND(B775&gt;=DATE(2025,7,1),B775&lt;=DATE(2026,6,30)),1,0)</f>
        <v>1</v>
      </c>
      <c r="J775">
        <f>IF(B775&lt;=DATE(2026,6,30),1,0)</f>
        <v>1</v>
      </c>
      <c r="K775" t="inlineStr"/>
      <c r="L775" t="inlineStr">
        <is>
          <t>Office</t>
        </is>
      </c>
      <c r="M775">
        <f>COUNTIFS('Asset Log'!$A$5:$A$1379,A775,'Asset Log'!$E$5:$E$1379,E775,'Asset Log'!$G$5:$G$1379,G775)</f>
        <v>1</v>
      </c>
    </row>
    <row r="776">
      <c r="A776" t="inlineStr">
        <is>
          <t>D71404</t>
        </is>
      </c>
      <c r="B776" s="11" t="n">
        <v>46030</v>
      </c>
      <c r="C776" t="inlineStr">
        <is>
          <t>S0147</t>
        </is>
      </c>
      <c r="D776" t="inlineStr">
        <is>
          <t>S0147</t>
        </is>
      </c>
      <c r="E776" t="inlineStr">
        <is>
          <t>FB</t>
        </is>
      </c>
      <c r="F776" t="n">
        <v>25</v>
      </c>
      <c r="G776" t="inlineStr">
        <is>
          <t>IN</t>
        </is>
      </c>
      <c r="H776">
        <f>IF(G776="OUT",F776,-F776)</f>
        <v>-25</v>
      </c>
      <c r="I776">
        <f>IF(AND(B776&gt;=DATE(2025,7,1),B776&lt;=DATE(2026,6,30)),1,0)</f>
        <v>1</v>
      </c>
      <c r="J776">
        <f>IF(B776&lt;=DATE(2026,6,30),1,0)</f>
        <v>1</v>
      </c>
      <c r="K776" t="inlineStr"/>
      <c r="L776" t="inlineStr">
        <is>
          <t>Driver</t>
        </is>
      </c>
      <c r="M776">
        <f>COUNTIFS('Asset Log'!$A$5:$A$1379,A776,'Asset Log'!$E$5:$E$1379,E776,'Asset Log'!$G$5:$G$1379,G776)</f>
        <v>1</v>
      </c>
    </row>
    <row r="777">
      <c r="A777" t="inlineStr">
        <is>
          <t>D70386</t>
        </is>
      </c>
      <c r="B777" s="11" t="n">
        <v>46031</v>
      </c>
      <c r="C777" t="inlineStr">
        <is>
          <t>S0041</t>
        </is>
      </c>
      <c r="D777" t="inlineStr">
        <is>
          <t>S0041</t>
        </is>
      </c>
      <c r="E777" t="inlineStr">
        <is>
          <t>FP</t>
        </is>
      </c>
      <c r="F777" t="n">
        <v>39</v>
      </c>
      <c r="G777" t="inlineStr">
        <is>
          <t>OUT</t>
        </is>
      </c>
      <c r="H777">
        <f>IF(G777="OUT",F777,-F777)</f>
        <v>39</v>
      </c>
      <c r="I777">
        <f>IF(AND(B777&gt;=DATE(2025,7,1),B777&lt;=DATE(2026,6,30)),1,0)</f>
        <v>1</v>
      </c>
      <c r="J777">
        <f>IF(B777&lt;=DATE(2026,6,30),1,0)</f>
        <v>1</v>
      </c>
      <c r="K777" t="inlineStr"/>
      <c r="L777" t="inlineStr">
        <is>
          <t>Office</t>
        </is>
      </c>
      <c r="M777">
        <f>COUNTIFS('Asset Log'!$A$5:$A$1379,A777,'Asset Log'!$E$5:$E$1379,E777,'Asset Log'!$G$5:$G$1379,G777)</f>
        <v>1</v>
      </c>
    </row>
    <row r="778">
      <c r="A778" t="inlineStr">
        <is>
          <t>D70389</t>
        </is>
      </c>
      <c r="B778" s="11" t="n">
        <v>46031</v>
      </c>
      <c r="C778" t="inlineStr">
        <is>
          <t>S0041</t>
        </is>
      </c>
      <c r="D778" t="inlineStr">
        <is>
          <t>S0041</t>
        </is>
      </c>
      <c r="E778" t="inlineStr">
        <is>
          <t>FB</t>
        </is>
      </c>
      <c r="F778" t="n">
        <v>39</v>
      </c>
      <c r="G778" t="inlineStr">
        <is>
          <t>OUT</t>
        </is>
      </c>
      <c r="H778">
        <f>IF(G778="OUT",F778,-F778)</f>
        <v>39</v>
      </c>
      <c r="I778">
        <f>IF(AND(B778&gt;=DATE(2025,7,1),B778&lt;=DATE(2026,6,30)),1,0)</f>
        <v>1</v>
      </c>
      <c r="J778">
        <f>IF(B778&lt;=DATE(2026,6,30),1,0)</f>
        <v>1</v>
      </c>
      <c r="K778" t="inlineStr"/>
      <c r="L778" t="inlineStr">
        <is>
          <t>Driver</t>
        </is>
      </c>
      <c r="M778">
        <f>COUNTIFS('Asset Log'!$A$5:$A$1379,A778,'Asset Log'!$E$5:$E$1379,E778,'Asset Log'!$G$5:$G$1379,G778)</f>
        <v>1</v>
      </c>
    </row>
    <row r="779">
      <c r="A779" t="inlineStr">
        <is>
          <t>D70601</t>
        </is>
      </c>
      <c r="B779" s="11" t="n">
        <v>46031</v>
      </c>
      <c r="C779" t="inlineStr">
        <is>
          <t>S0065</t>
        </is>
      </c>
      <c r="D779" t="inlineStr">
        <is>
          <t>S0065</t>
        </is>
      </c>
      <c r="E779" t="inlineStr">
        <is>
          <t>FP</t>
        </is>
      </c>
      <c r="F779" t="n">
        <v>44</v>
      </c>
      <c r="G779" t="inlineStr">
        <is>
          <t>IN</t>
        </is>
      </c>
      <c r="H779">
        <f>IF(G779="OUT",F779,-F779)</f>
        <v>-44</v>
      </c>
      <c r="I779">
        <f>IF(AND(B779&gt;=DATE(2025,7,1),B779&lt;=DATE(2026,6,30)),1,0)</f>
        <v>1</v>
      </c>
      <c r="J779">
        <f>IF(B779&lt;=DATE(2026,6,30),1,0)</f>
        <v>1</v>
      </c>
      <c r="K779" t="inlineStr"/>
      <c r="L779" t="inlineStr">
        <is>
          <t>Yard</t>
        </is>
      </c>
      <c r="M779">
        <f>COUNTIFS('Asset Log'!$A$5:$A$1379,A779,'Asset Log'!$E$5:$E$1379,E779,'Asset Log'!$G$5:$G$1379,G779)</f>
        <v>1</v>
      </c>
    </row>
    <row r="780">
      <c r="A780" t="inlineStr">
        <is>
          <t>D70607</t>
        </is>
      </c>
      <c r="B780" s="11" t="n">
        <v>46031</v>
      </c>
      <c r="C780" t="inlineStr">
        <is>
          <t>S0065</t>
        </is>
      </c>
      <c r="D780" t="inlineStr">
        <is>
          <t>S0065</t>
        </is>
      </c>
      <c r="E780" t="inlineStr">
        <is>
          <t>FB</t>
        </is>
      </c>
      <c r="F780" t="n">
        <v>44</v>
      </c>
      <c r="G780" t="inlineStr">
        <is>
          <t>IN</t>
        </is>
      </c>
      <c r="H780">
        <f>IF(G780="OUT",F780,-F780)</f>
        <v>-44</v>
      </c>
      <c r="I780">
        <f>IF(AND(B780&gt;=DATE(2025,7,1),B780&lt;=DATE(2026,6,30)),1,0)</f>
        <v>1</v>
      </c>
      <c r="J780">
        <f>IF(B780&lt;=DATE(2026,6,30),1,0)</f>
        <v>1</v>
      </c>
      <c r="K780" t="inlineStr"/>
      <c r="L780" t="inlineStr">
        <is>
          <t>Office</t>
        </is>
      </c>
      <c r="M780">
        <f>COUNTIFS('Asset Log'!$A$5:$A$1379,A780,'Asset Log'!$E$5:$E$1379,E780,'Asset Log'!$G$5:$G$1379,G780)</f>
        <v>1</v>
      </c>
    </row>
    <row r="781">
      <c r="A781" t="inlineStr">
        <is>
          <t>D72217</t>
        </is>
      </c>
      <c r="B781" s="11" t="n">
        <v>46031</v>
      </c>
      <c r="C781" t="inlineStr">
        <is>
          <t>s237</t>
        </is>
      </c>
      <c r="D781" t="inlineStr">
        <is>
          <t>S0237</t>
        </is>
      </c>
      <c r="E781" t="inlineStr">
        <is>
          <t>ST</t>
        </is>
      </c>
      <c r="F781" t="n">
        <v>1</v>
      </c>
      <c r="G781" t="inlineStr">
        <is>
          <t>OUT</t>
        </is>
      </c>
      <c r="H781">
        <f>IF(G781="OUT",F781,-F781)</f>
        <v>1</v>
      </c>
      <c r="I781">
        <f>IF(AND(B781&gt;=DATE(2025,7,1),B781&lt;=DATE(2026,6,30)),1,0)</f>
        <v>1</v>
      </c>
      <c r="J781">
        <f>IF(B781&lt;=DATE(2026,6,30),1,0)</f>
        <v>1</v>
      </c>
      <c r="K781" t="inlineStr">
        <is>
          <t>Site text normalised</t>
        </is>
      </c>
      <c r="L781" t="inlineStr">
        <is>
          <t>Driver</t>
        </is>
      </c>
      <c r="M781">
        <f>COUNTIFS('Asset Log'!$A$5:$A$1379,A781,'Asset Log'!$E$5:$E$1379,E781,'Asset Log'!$G$5:$G$1379,G781)</f>
        <v>1</v>
      </c>
    </row>
    <row r="782">
      <c r="A782" t="inlineStr">
        <is>
          <t>D72403</t>
        </is>
      </c>
      <c r="B782" s="11" t="n">
        <v>46031</v>
      </c>
      <c r="C782" t="inlineStr">
        <is>
          <t>S0282</t>
        </is>
      </c>
      <c r="D782" t="inlineStr">
        <is>
          <t>S0282</t>
        </is>
      </c>
      <c r="E782" t="inlineStr">
        <is>
          <t>ST</t>
        </is>
      </c>
      <c r="F782" t="n">
        <v>1</v>
      </c>
      <c r="G782" t="inlineStr">
        <is>
          <t>IN</t>
        </is>
      </c>
      <c r="H782">
        <f>IF(G782="OUT",F782,-F782)</f>
        <v>-1</v>
      </c>
      <c r="I782">
        <f>IF(AND(B782&gt;=DATE(2025,7,1),B782&lt;=DATE(2026,6,30)),1,0)</f>
        <v>1</v>
      </c>
      <c r="J782">
        <f>IF(B782&lt;=DATE(2026,6,30),1,0)</f>
        <v>1</v>
      </c>
      <c r="K782" t="inlineStr"/>
      <c r="L782" t="inlineStr">
        <is>
          <t>Office</t>
        </is>
      </c>
      <c r="M782">
        <f>COUNTIFS('Asset Log'!$A$5:$A$1379,A782,'Asset Log'!$E$5:$E$1379,E782,'Asset Log'!$G$5:$G$1379,G782)</f>
        <v>1</v>
      </c>
    </row>
    <row r="783">
      <c r="A783" t="inlineStr">
        <is>
          <t>D70353</t>
        </is>
      </c>
      <c r="B783" s="11" t="n">
        <v>46032</v>
      </c>
      <c r="C783" t="inlineStr">
        <is>
          <t>S0038</t>
        </is>
      </c>
      <c r="D783" t="inlineStr">
        <is>
          <t>S0038</t>
        </is>
      </c>
      <c r="E783" t="inlineStr">
        <is>
          <t>FP</t>
        </is>
      </c>
      <c r="F783" t="n">
        <v>137</v>
      </c>
      <c r="G783" t="inlineStr">
        <is>
          <t>IN</t>
        </is>
      </c>
      <c r="H783">
        <f>IF(G783="OUT",F783,-F783)</f>
        <v>-137</v>
      </c>
      <c r="I783">
        <f>IF(AND(B783&gt;=DATE(2025,7,1),B783&lt;=DATE(2026,6,30)),1,0)</f>
        <v>1</v>
      </c>
      <c r="J783">
        <f>IF(B783&lt;=DATE(2026,6,30),1,0)</f>
        <v>1</v>
      </c>
      <c r="K783" t="inlineStr"/>
      <c r="L783" t="inlineStr">
        <is>
          <t>Yard</t>
        </is>
      </c>
      <c r="M783">
        <f>COUNTIFS('Asset Log'!$A$5:$A$1379,A783,'Asset Log'!$E$5:$E$1379,E783,'Asset Log'!$G$5:$G$1379,G783)</f>
        <v>1</v>
      </c>
    </row>
    <row r="784">
      <c r="A784" t="inlineStr">
        <is>
          <t>D70355</t>
        </is>
      </c>
      <c r="B784" s="11" t="n">
        <v>46032</v>
      </c>
      <c r="C784" t="inlineStr">
        <is>
          <t>S0038</t>
        </is>
      </c>
      <c r="D784" t="inlineStr">
        <is>
          <t>S0038</t>
        </is>
      </c>
      <c r="E784" t="inlineStr">
        <is>
          <t>FB</t>
        </is>
      </c>
      <c r="F784" t="n">
        <v>150</v>
      </c>
      <c r="G784" t="inlineStr">
        <is>
          <t>IN</t>
        </is>
      </c>
      <c r="H784">
        <f>IF(G784="OUT",F784,-F784)</f>
        <v>-150</v>
      </c>
      <c r="I784">
        <f>IF(AND(B784&gt;=DATE(2025,7,1),B784&lt;=DATE(2026,6,30)),1,0)</f>
        <v>1</v>
      </c>
      <c r="J784">
        <f>IF(B784&lt;=DATE(2026,6,30),1,0)</f>
        <v>1</v>
      </c>
      <c r="K784" t="inlineStr"/>
      <c r="L784" t="inlineStr">
        <is>
          <t>Office</t>
        </is>
      </c>
      <c r="M784">
        <f>COUNTIFS('Asset Log'!$A$5:$A$1379,A784,'Asset Log'!$E$5:$E$1379,E784,'Asset Log'!$G$5:$G$1379,G784)</f>
        <v>1</v>
      </c>
    </row>
    <row r="785">
      <c r="A785" t="inlineStr">
        <is>
          <t>D70359</t>
        </is>
      </c>
      <c r="B785" s="11" t="n">
        <v>46032</v>
      </c>
      <c r="C785" t="inlineStr">
        <is>
          <t>S0038</t>
        </is>
      </c>
      <c r="D785" t="inlineStr">
        <is>
          <t>S0038</t>
        </is>
      </c>
      <c r="E785" t="inlineStr">
        <is>
          <t>BR</t>
        </is>
      </c>
      <c r="F785" t="n">
        <v>20</v>
      </c>
      <c r="G785" t="inlineStr">
        <is>
          <t>IN</t>
        </is>
      </c>
      <c r="H785">
        <f>IF(G785="OUT",F785,-F785)</f>
        <v>-20</v>
      </c>
      <c r="I785">
        <f>IF(AND(B785&gt;=DATE(2025,7,1),B785&lt;=DATE(2026,6,30)),1,0)</f>
        <v>1</v>
      </c>
      <c r="J785">
        <f>IF(B785&lt;=DATE(2026,6,30),1,0)</f>
        <v>1</v>
      </c>
      <c r="K785" t="inlineStr"/>
      <c r="L785" t="inlineStr">
        <is>
          <t>Office</t>
        </is>
      </c>
      <c r="M785">
        <f>COUNTIFS('Asset Log'!$A$5:$A$1379,A785,'Asset Log'!$E$5:$E$1379,E785,'Asset Log'!$G$5:$G$1379,G785)</f>
        <v>1</v>
      </c>
    </row>
    <row r="786">
      <c r="A786" t="inlineStr">
        <is>
          <t>D72034</t>
        </is>
      </c>
      <c r="B786" s="11" t="n">
        <v>46032</v>
      </c>
      <c r="C786" t="inlineStr">
        <is>
          <t>S0215</t>
        </is>
      </c>
      <c r="D786" t="inlineStr">
        <is>
          <t>S0215</t>
        </is>
      </c>
      <c r="E786" t="inlineStr">
        <is>
          <t>FP</t>
        </is>
      </c>
      <c r="F786" t="n">
        <v>91</v>
      </c>
      <c r="G786" t="inlineStr">
        <is>
          <t>IN</t>
        </is>
      </c>
      <c r="H786">
        <f>IF(G786="OUT",F786,-F786)</f>
        <v>-91</v>
      </c>
      <c r="I786">
        <f>IF(AND(B786&gt;=DATE(2025,7,1),B786&lt;=DATE(2026,6,30)),1,0)</f>
        <v>1</v>
      </c>
      <c r="J786">
        <f>IF(B786&lt;=DATE(2026,6,30),1,0)</f>
        <v>1</v>
      </c>
      <c r="K786" t="inlineStr"/>
      <c r="L786" t="inlineStr">
        <is>
          <t>Yard</t>
        </is>
      </c>
      <c r="M786">
        <f>COUNTIFS('Asset Log'!$A$5:$A$1379,A786,'Asset Log'!$E$5:$E$1379,E786,'Asset Log'!$G$5:$G$1379,G786)</f>
        <v>1</v>
      </c>
    </row>
    <row r="787">
      <c r="A787" t="inlineStr">
        <is>
          <t>D72037</t>
        </is>
      </c>
      <c r="B787" s="11" t="n">
        <v>46032</v>
      </c>
      <c r="C787" t="inlineStr">
        <is>
          <t>S0215</t>
        </is>
      </c>
      <c r="D787" t="inlineStr">
        <is>
          <t>S0215</t>
        </is>
      </c>
      <c r="E787" t="inlineStr">
        <is>
          <t>FB</t>
        </is>
      </c>
      <c r="F787" t="n">
        <v>100</v>
      </c>
      <c r="G787" t="inlineStr">
        <is>
          <t>IN</t>
        </is>
      </c>
      <c r="H787">
        <f>IF(G787="OUT",F787,-F787)</f>
        <v>-100</v>
      </c>
      <c r="I787">
        <f>IF(AND(B787&gt;=DATE(2025,7,1),B787&lt;=DATE(2026,6,30)),1,0)</f>
        <v>1</v>
      </c>
      <c r="J787">
        <f>IF(B787&lt;=DATE(2026,6,30),1,0)</f>
        <v>1</v>
      </c>
      <c r="K787" t="inlineStr"/>
      <c r="L787" t="inlineStr">
        <is>
          <t>Yard</t>
        </is>
      </c>
      <c r="M787">
        <f>COUNTIFS('Asset Log'!$A$5:$A$1379,A787,'Asset Log'!$E$5:$E$1379,E787,'Asset Log'!$G$5:$G$1379,G787)</f>
        <v>1</v>
      </c>
    </row>
    <row r="788">
      <c r="A788" t="inlineStr">
        <is>
          <t>D72043</t>
        </is>
      </c>
      <c r="B788" s="11" t="n">
        <v>46032</v>
      </c>
      <c r="C788" t="inlineStr">
        <is>
          <t>S0215</t>
        </is>
      </c>
      <c r="D788" t="inlineStr">
        <is>
          <t>S0215</t>
        </is>
      </c>
      <c r="E788" t="inlineStr">
        <is>
          <t>BR</t>
        </is>
      </c>
      <c r="F788" t="n">
        <v>18</v>
      </c>
      <c r="G788" t="inlineStr">
        <is>
          <t>IN</t>
        </is>
      </c>
      <c r="H788">
        <f>IF(G788="OUT",F788,-F788)</f>
        <v>-18</v>
      </c>
      <c r="I788">
        <f>IF(AND(B788&gt;=DATE(2025,7,1),B788&lt;=DATE(2026,6,30)),1,0)</f>
        <v>1</v>
      </c>
      <c r="J788">
        <f>IF(B788&lt;=DATE(2026,6,30),1,0)</f>
        <v>1</v>
      </c>
      <c r="K788" t="inlineStr"/>
      <c r="L788" t="inlineStr">
        <is>
          <t>Office</t>
        </is>
      </c>
      <c r="M788">
        <f>COUNTIFS('Asset Log'!$A$5:$A$1379,A788,'Asset Log'!$E$5:$E$1379,E788,'Asset Log'!$G$5:$G$1379,G788)</f>
        <v>1</v>
      </c>
    </row>
    <row r="789">
      <c r="A789" t="inlineStr">
        <is>
          <t>D72111</t>
        </is>
      </c>
      <c r="B789" s="11" t="n">
        <v>46032</v>
      </c>
      <c r="C789" t="inlineStr">
        <is>
          <t>s223</t>
        </is>
      </c>
      <c r="D789" t="inlineStr">
        <is>
          <t>S0223</t>
        </is>
      </c>
      <c r="E789" t="inlineStr">
        <is>
          <t>FP</t>
        </is>
      </c>
      <c r="F789" t="n">
        <v>25</v>
      </c>
      <c r="G789" t="inlineStr">
        <is>
          <t>IN</t>
        </is>
      </c>
      <c r="H789">
        <f>IF(G789="OUT",F789,-F789)</f>
        <v>-25</v>
      </c>
      <c r="I789">
        <f>IF(AND(B789&gt;=DATE(2025,7,1),B789&lt;=DATE(2026,6,30)),1,0)</f>
        <v>1</v>
      </c>
      <c r="J789">
        <f>IF(B789&lt;=DATE(2026,6,30),1,0)</f>
        <v>1</v>
      </c>
      <c r="K789" t="inlineStr">
        <is>
          <t>Site text normalised</t>
        </is>
      </c>
      <c r="L789" t="inlineStr">
        <is>
          <t>Office</t>
        </is>
      </c>
      <c r="M789">
        <f>COUNTIFS('Asset Log'!$A$5:$A$1379,A789,'Asset Log'!$E$5:$E$1379,E789,'Asset Log'!$G$5:$G$1379,G789)</f>
        <v>1</v>
      </c>
    </row>
    <row r="790">
      <c r="A790" t="inlineStr">
        <is>
          <t>D72115</t>
        </is>
      </c>
      <c r="B790" s="11" t="n">
        <v>46032</v>
      </c>
      <c r="C790" t="inlineStr">
        <is>
          <t>S0223</t>
        </is>
      </c>
      <c r="D790" t="inlineStr">
        <is>
          <t>S0223</t>
        </is>
      </c>
      <c r="E790" t="inlineStr">
        <is>
          <t>FB</t>
        </is>
      </c>
      <c r="F790" t="n">
        <v>27</v>
      </c>
      <c r="G790" t="inlineStr">
        <is>
          <t>IN</t>
        </is>
      </c>
      <c r="H790">
        <f>IF(G790="OUT",F790,-F790)</f>
        <v>-27</v>
      </c>
      <c r="I790">
        <f>IF(AND(B790&gt;=DATE(2025,7,1),B790&lt;=DATE(2026,6,30)),1,0)</f>
        <v>1</v>
      </c>
      <c r="J790">
        <f>IF(B790&lt;=DATE(2026,6,30),1,0)</f>
        <v>1</v>
      </c>
      <c r="K790" t="inlineStr"/>
      <c r="L790" t="inlineStr">
        <is>
          <t>Office</t>
        </is>
      </c>
      <c r="M790">
        <f>COUNTIFS('Asset Log'!$A$5:$A$1379,A790,'Asset Log'!$E$5:$E$1379,E790,'Asset Log'!$G$5:$G$1379,G790)</f>
        <v>1</v>
      </c>
    </row>
    <row r="791">
      <c r="A791" t="inlineStr">
        <is>
          <t>D72118</t>
        </is>
      </c>
      <c r="B791" s="11" t="n">
        <v>46032</v>
      </c>
      <c r="C791" t="inlineStr">
        <is>
          <t>S0224</t>
        </is>
      </c>
      <c r="D791" t="inlineStr">
        <is>
          <t>S0224</t>
        </is>
      </c>
      <c r="E791" t="inlineStr">
        <is>
          <t>FP</t>
        </is>
      </c>
      <c r="F791" t="n">
        <v>155</v>
      </c>
      <c r="G791" t="inlineStr">
        <is>
          <t>IN</t>
        </is>
      </c>
      <c r="H791">
        <f>IF(G791="OUT",F791,-F791)</f>
        <v>-155</v>
      </c>
      <c r="I791">
        <f>IF(AND(B791&gt;=DATE(2025,7,1),B791&lt;=DATE(2026,6,30)),1,0)</f>
        <v>1</v>
      </c>
      <c r="J791">
        <f>IF(B791&lt;=DATE(2026,6,30),1,0)</f>
        <v>1</v>
      </c>
      <c r="K791" t="inlineStr"/>
      <c r="L791" t="inlineStr">
        <is>
          <t>Office</t>
        </is>
      </c>
      <c r="M791">
        <f>COUNTIFS('Asset Log'!$A$5:$A$1379,A791,'Asset Log'!$E$5:$E$1379,E791,'Asset Log'!$G$5:$G$1379,G791)</f>
        <v>1</v>
      </c>
    </row>
    <row r="792">
      <c r="A792" t="inlineStr">
        <is>
          <t>D72122</t>
        </is>
      </c>
      <c r="B792" s="11" t="n">
        <v>46032</v>
      </c>
      <c r="C792" t="inlineStr">
        <is>
          <t>S0224</t>
        </is>
      </c>
      <c r="D792" t="inlineStr">
        <is>
          <t>S0224</t>
        </is>
      </c>
      <c r="E792" t="inlineStr">
        <is>
          <t>FB</t>
        </is>
      </c>
      <c r="F792" t="n">
        <v>170</v>
      </c>
      <c r="G792" t="inlineStr">
        <is>
          <t>IN</t>
        </is>
      </c>
      <c r="H792">
        <f>IF(G792="OUT",F792,-F792)</f>
        <v>-170</v>
      </c>
      <c r="I792">
        <f>IF(AND(B792&gt;=DATE(2025,7,1),B792&lt;=DATE(2026,6,30)),1,0)</f>
        <v>1</v>
      </c>
      <c r="J792">
        <f>IF(B792&lt;=DATE(2026,6,30),1,0)</f>
        <v>1</v>
      </c>
      <c r="K792" t="inlineStr"/>
      <c r="L792" t="inlineStr">
        <is>
          <t>Office</t>
        </is>
      </c>
      <c r="M792">
        <f>COUNTIFS('Asset Log'!$A$5:$A$1379,A792,'Asset Log'!$E$5:$E$1379,E792,'Asset Log'!$G$5:$G$1379,G792)</f>
        <v>1</v>
      </c>
    </row>
    <row r="793">
      <c r="A793" t="inlineStr">
        <is>
          <t>D72368</t>
        </is>
      </c>
      <c r="B793" s="11" t="n">
        <v>46032</v>
      </c>
      <c r="C793" t="inlineStr">
        <is>
          <t>S0274</t>
        </is>
      </c>
      <c r="D793" t="inlineStr">
        <is>
          <t>S0274</t>
        </is>
      </c>
      <c r="E793" t="inlineStr">
        <is>
          <t>ST</t>
        </is>
      </c>
      <c r="F793" t="n">
        <v>1</v>
      </c>
      <c r="G793" t="inlineStr">
        <is>
          <t>IN</t>
        </is>
      </c>
      <c r="H793">
        <f>IF(G793="OUT",F793,-F793)</f>
        <v>-1</v>
      </c>
      <c r="I793">
        <f>IF(AND(B793&gt;=DATE(2025,7,1),B793&lt;=DATE(2026,6,30)),1,0)</f>
        <v>1</v>
      </c>
      <c r="J793">
        <f>IF(B793&lt;=DATE(2026,6,30),1,0)</f>
        <v>1</v>
      </c>
      <c r="K793" t="inlineStr"/>
      <c r="L793" t="inlineStr">
        <is>
          <t>Office</t>
        </is>
      </c>
      <c r="M793">
        <f>COUNTIFS('Asset Log'!$A$5:$A$1379,A793,'Asset Log'!$E$5:$E$1379,E793,'Asset Log'!$G$5:$G$1379,G793)</f>
        <v>1</v>
      </c>
    </row>
    <row r="794">
      <c r="A794" t="inlineStr">
        <is>
          <t>D72761</t>
        </is>
      </c>
      <c r="B794" s="11" t="n">
        <v>46032</v>
      </c>
      <c r="C794" t="inlineStr">
        <is>
          <t>S0496</t>
        </is>
      </c>
      <c r="D794" t="inlineStr">
        <is>
          <t>S0496</t>
        </is>
      </c>
      <c r="E794" t="inlineStr">
        <is>
          <t>TK</t>
        </is>
      </c>
      <c r="F794" t="n">
        <v>1</v>
      </c>
      <c r="G794" t="inlineStr">
        <is>
          <t>OUT</t>
        </is>
      </c>
      <c r="H794">
        <f>IF(G794="OUT",F794,-F794)</f>
        <v>1</v>
      </c>
      <c r="I794">
        <f>IF(AND(B794&gt;=DATE(2025,7,1),B794&lt;=DATE(2026,6,30)),1,0)</f>
        <v>1</v>
      </c>
      <c r="J794">
        <f>IF(B794&lt;=DATE(2026,6,30),1,0)</f>
        <v>1</v>
      </c>
      <c r="K794" t="inlineStr"/>
      <c r="L794" t="inlineStr">
        <is>
          <t>Yard</t>
        </is>
      </c>
      <c r="M794">
        <f>COUNTIFS('Asset Log'!$A$5:$A$1379,A794,'Asset Log'!$E$5:$E$1379,E794,'Asset Log'!$G$5:$G$1379,G794)</f>
        <v>1</v>
      </c>
    </row>
    <row r="795">
      <c r="A795" t="inlineStr">
        <is>
          <t>D71595</t>
        </is>
      </c>
      <c r="B795" s="11" t="n">
        <v>46033</v>
      </c>
      <c r="C795" t="inlineStr">
        <is>
          <t>S0167</t>
        </is>
      </c>
      <c r="D795" t="inlineStr">
        <is>
          <t>S0167</t>
        </is>
      </c>
      <c r="E795" t="inlineStr">
        <is>
          <t>FP</t>
        </is>
      </c>
      <c r="F795" t="n">
        <v>107</v>
      </c>
      <c r="G795" t="inlineStr">
        <is>
          <t>IN</t>
        </is>
      </c>
      <c r="H795">
        <f>IF(G795="OUT",F795,-F795)</f>
        <v>-107</v>
      </c>
      <c r="I795">
        <f>IF(AND(B795&gt;=DATE(2025,7,1),B795&lt;=DATE(2026,6,30)),1,0)</f>
        <v>1</v>
      </c>
      <c r="J795">
        <f>IF(B795&lt;=DATE(2026,6,30),1,0)</f>
        <v>1</v>
      </c>
      <c r="K795" t="inlineStr"/>
      <c r="L795" t="inlineStr">
        <is>
          <t>Office</t>
        </is>
      </c>
      <c r="M795">
        <f>COUNTIFS('Asset Log'!$A$5:$A$1379,A795,'Asset Log'!$E$5:$E$1379,E795,'Asset Log'!$G$5:$G$1379,G795)</f>
        <v>1</v>
      </c>
    </row>
    <row r="796">
      <c r="A796" t="inlineStr">
        <is>
          <t>D71598</t>
        </is>
      </c>
      <c r="B796" s="11" t="n">
        <v>46033</v>
      </c>
      <c r="C796" t="inlineStr">
        <is>
          <t>S0167</t>
        </is>
      </c>
      <c r="D796" t="inlineStr">
        <is>
          <t>S0167</t>
        </is>
      </c>
      <c r="E796" t="inlineStr">
        <is>
          <t>FB</t>
        </is>
      </c>
      <c r="F796" t="n">
        <v>117</v>
      </c>
      <c r="G796" t="inlineStr">
        <is>
          <t>IN</t>
        </is>
      </c>
      <c r="H796">
        <f>IF(G796="OUT",F796,-F796)</f>
        <v>-117</v>
      </c>
      <c r="I796">
        <f>IF(AND(B796&gt;=DATE(2025,7,1),B796&lt;=DATE(2026,6,30)),1,0)</f>
        <v>1</v>
      </c>
      <c r="J796">
        <f>IF(B796&lt;=DATE(2026,6,30),1,0)</f>
        <v>1</v>
      </c>
      <c r="K796" t="inlineStr"/>
      <c r="L796" t="inlineStr">
        <is>
          <t>Office</t>
        </is>
      </c>
      <c r="M796">
        <f>COUNTIFS('Asset Log'!$A$5:$A$1379,A796,'Asset Log'!$E$5:$E$1379,E796,'Asset Log'!$G$5:$G$1379,G796)</f>
        <v>1</v>
      </c>
    </row>
    <row r="797">
      <c r="A797" t="inlineStr">
        <is>
          <t>D71601</t>
        </is>
      </c>
      <c r="B797" s="11" t="n">
        <v>46033</v>
      </c>
      <c r="C797" t="inlineStr">
        <is>
          <t>S0167</t>
        </is>
      </c>
      <c r="D797" t="inlineStr">
        <is>
          <t>S0167</t>
        </is>
      </c>
      <c r="E797" t="inlineStr">
        <is>
          <t>BR</t>
        </is>
      </c>
      <c r="F797" t="n">
        <v>17</v>
      </c>
      <c r="G797" t="inlineStr">
        <is>
          <t>IN</t>
        </is>
      </c>
      <c r="H797">
        <f>IF(G797="OUT",F797,-F797)</f>
        <v>-17</v>
      </c>
      <c r="I797">
        <f>IF(AND(B797&gt;=DATE(2025,7,1),B797&lt;=DATE(2026,6,30)),1,0)</f>
        <v>1</v>
      </c>
      <c r="J797">
        <f>IF(B797&lt;=DATE(2026,6,30),1,0)</f>
        <v>1</v>
      </c>
      <c r="K797" t="inlineStr"/>
      <c r="L797" t="inlineStr">
        <is>
          <t>Office</t>
        </is>
      </c>
      <c r="M797">
        <f>COUNTIFS('Asset Log'!$A$5:$A$1379,A797,'Asset Log'!$E$5:$E$1379,E797,'Asset Log'!$G$5:$G$1379,G797)</f>
        <v>1</v>
      </c>
    </row>
    <row r="798">
      <c r="A798" t="inlineStr">
        <is>
          <t>D72592</t>
        </is>
      </c>
      <c r="B798" s="11" t="n">
        <v>46034</v>
      </c>
      <c r="C798" t="inlineStr">
        <is>
          <t>S0390</t>
        </is>
      </c>
      <c r="D798" t="inlineStr">
        <is>
          <t>S0390</t>
        </is>
      </c>
      <c r="E798" t="inlineStr">
        <is>
          <t>TK</t>
        </is>
      </c>
      <c r="F798" t="n">
        <v>2</v>
      </c>
      <c r="G798" t="inlineStr">
        <is>
          <t>OUT</t>
        </is>
      </c>
      <c r="H798">
        <f>IF(G798="OUT",F798,-F798)</f>
        <v>2</v>
      </c>
      <c r="I798">
        <f>IF(AND(B798&gt;=DATE(2025,7,1),B798&lt;=DATE(2026,6,30)),1,0)</f>
        <v>1</v>
      </c>
      <c r="J798">
        <f>IF(B798&lt;=DATE(2026,6,30),1,0)</f>
        <v>1</v>
      </c>
      <c r="K798" t="inlineStr"/>
      <c r="L798" t="inlineStr">
        <is>
          <t>Yard</t>
        </is>
      </c>
      <c r="M798">
        <f>COUNTIFS('Asset Log'!$A$5:$A$1379,A798,'Asset Log'!$E$5:$E$1379,E798,'Asset Log'!$G$5:$G$1379,G798)</f>
        <v>1</v>
      </c>
    </row>
    <row r="799">
      <c r="A799" t="inlineStr">
        <is>
          <t>D72739</t>
        </is>
      </c>
      <c r="B799" s="11" t="n">
        <v>46034</v>
      </c>
      <c r="C799" t="inlineStr">
        <is>
          <t>s486</t>
        </is>
      </c>
      <c r="D799" t="inlineStr">
        <is>
          <t>S0486</t>
        </is>
      </c>
      <c r="E799" t="inlineStr">
        <is>
          <t>TK</t>
        </is>
      </c>
      <c r="F799" t="n">
        <v>1</v>
      </c>
      <c r="G799" t="inlineStr">
        <is>
          <t>IN</t>
        </is>
      </c>
      <c r="H799">
        <f>IF(G799="OUT",F799,-F799)</f>
        <v>-1</v>
      </c>
      <c r="I799">
        <f>IF(AND(B799&gt;=DATE(2025,7,1),B799&lt;=DATE(2026,6,30)),1,0)</f>
        <v>1</v>
      </c>
      <c r="J799">
        <f>IF(B799&lt;=DATE(2026,6,30),1,0)</f>
        <v>1</v>
      </c>
      <c r="K799" t="inlineStr">
        <is>
          <t>Site text normalised</t>
        </is>
      </c>
      <c r="L799" t="inlineStr">
        <is>
          <t>Office</t>
        </is>
      </c>
      <c r="M799">
        <f>COUNTIFS('Asset Log'!$A$5:$A$1379,A799,'Asset Log'!$E$5:$E$1379,E799,'Asset Log'!$G$5:$G$1379,G799)</f>
        <v>1</v>
      </c>
    </row>
    <row r="800">
      <c r="A800" t="inlineStr">
        <is>
          <t>D71733</t>
        </is>
      </c>
      <c r="B800" s="11" t="n">
        <v>46035</v>
      </c>
      <c r="C800" t="inlineStr">
        <is>
          <t>S0182</t>
        </is>
      </c>
      <c r="D800" t="inlineStr">
        <is>
          <t>S0182</t>
        </is>
      </c>
      <c r="E800" t="inlineStr">
        <is>
          <t>FP</t>
        </is>
      </c>
      <c r="F800" t="n">
        <v>111</v>
      </c>
      <c r="G800" t="inlineStr">
        <is>
          <t>OUT</t>
        </is>
      </c>
      <c r="H800">
        <f>IF(G800="OUT",F800,-F800)</f>
        <v>111</v>
      </c>
      <c r="I800">
        <f>IF(AND(B800&gt;=DATE(2025,7,1),B800&lt;=DATE(2026,6,30)),1,0)</f>
        <v>1</v>
      </c>
      <c r="J800">
        <f>IF(B800&lt;=DATE(2026,6,30),1,0)</f>
        <v>1</v>
      </c>
      <c r="K800" t="inlineStr"/>
      <c r="L800" t="inlineStr">
        <is>
          <t>Yard</t>
        </is>
      </c>
      <c r="M800">
        <f>COUNTIFS('Asset Log'!$A$5:$A$1379,A800,'Asset Log'!$E$5:$E$1379,E800,'Asset Log'!$G$5:$G$1379,G800)</f>
        <v>1</v>
      </c>
    </row>
    <row r="801">
      <c r="A801" t="inlineStr">
        <is>
          <t>D71735</t>
        </is>
      </c>
      <c r="B801" s="11" t="n">
        <v>46035</v>
      </c>
      <c r="C801" t="inlineStr">
        <is>
          <t>182</t>
        </is>
      </c>
      <c r="D801" t="inlineStr">
        <is>
          <t>S0182</t>
        </is>
      </c>
      <c r="E801" t="inlineStr">
        <is>
          <t>FB</t>
        </is>
      </c>
      <c r="F801" t="n">
        <v>122</v>
      </c>
      <c r="G801" t="inlineStr">
        <is>
          <t>OUT</t>
        </is>
      </c>
      <c r="H801">
        <f>IF(G801="OUT",F801,-F801)</f>
        <v>122</v>
      </c>
      <c r="I801">
        <f>IF(AND(B801&gt;=DATE(2025,7,1),B801&lt;=DATE(2026,6,30)),1,0)</f>
        <v>1</v>
      </c>
      <c r="J801">
        <f>IF(B801&lt;=DATE(2026,6,30),1,0)</f>
        <v>1</v>
      </c>
      <c r="K801" t="inlineStr">
        <is>
          <t>Site text normalised</t>
        </is>
      </c>
      <c r="L801" t="inlineStr">
        <is>
          <t>Driver</t>
        </is>
      </c>
      <c r="M801">
        <f>COUNTIFS('Asset Log'!$A$5:$A$1379,A801,'Asset Log'!$E$5:$E$1379,E801,'Asset Log'!$G$5:$G$1379,G801)</f>
        <v>1</v>
      </c>
    </row>
    <row r="802">
      <c r="A802" t="inlineStr">
        <is>
          <t>D72522</t>
        </is>
      </c>
      <c r="B802" s="11" t="n">
        <v>46036</v>
      </c>
      <c r="C802" t="inlineStr">
        <is>
          <t>S0343</t>
        </is>
      </c>
      <c r="D802" t="inlineStr">
        <is>
          <t>S0343</t>
        </is>
      </c>
      <c r="E802" t="inlineStr">
        <is>
          <t>TK</t>
        </is>
      </c>
      <c r="F802" t="n">
        <v>3</v>
      </c>
      <c r="G802" t="inlineStr">
        <is>
          <t>OUT</t>
        </is>
      </c>
      <c r="H802">
        <f>IF(G802="OUT",F802,-F802)</f>
        <v>3</v>
      </c>
      <c r="I802">
        <f>IF(AND(B802&gt;=DATE(2025,7,1),B802&lt;=DATE(2026,6,30)),1,0)</f>
        <v>1</v>
      </c>
      <c r="J802">
        <f>IF(B802&lt;=DATE(2026,6,30),1,0)</f>
        <v>1</v>
      </c>
      <c r="K802" t="inlineStr"/>
      <c r="L802" t="inlineStr">
        <is>
          <t>Office</t>
        </is>
      </c>
      <c r="M802">
        <f>COUNTIFS('Asset Log'!$A$5:$A$1379,A802,'Asset Log'!$E$5:$E$1379,E802,'Asset Log'!$G$5:$G$1379,G802)</f>
        <v>1</v>
      </c>
    </row>
    <row r="803">
      <c r="A803" t="inlineStr">
        <is>
          <t>D72641</t>
        </is>
      </c>
      <c r="B803" s="11" t="n">
        <v>46037</v>
      </c>
      <c r="C803" t="inlineStr">
        <is>
          <t>S0413</t>
        </is>
      </c>
      <c r="D803" t="inlineStr">
        <is>
          <t>S0413</t>
        </is>
      </c>
      <c r="E803" t="inlineStr">
        <is>
          <t>TK</t>
        </is>
      </c>
      <c r="F803" t="n">
        <v>1</v>
      </c>
      <c r="G803" t="inlineStr">
        <is>
          <t>IN</t>
        </is>
      </c>
      <c r="H803">
        <f>IF(G803="OUT",F803,-F803)</f>
        <v>-1</v>
      </c>
      <c r="I803">
        <f>IF(AND(B803&gt;=DATE(2025,7,1),B803&lt;=DATE(2026,6,30)),1,0)</f>
        <v>1</v>
      </c>
      <c r="J803">
        <f>IF(B803&lt;=DATE(2026,6,30),1,0)</f>
        <v>1</v>
      </c>
      <c r="K803" t="inlineStr"/>
      <c r="L803" t="inlineStr">
        <is>
          <t>Office</t>
        </is>
      </c>
      <c r="M803">
        <f>COUNTIFS('Asset Log'!$A$5:$A$1379,A803,'Asset Log'!$E$5:$E$1379,E803,'Asset Log'!$G$5:$G$1379,G803)</f>
        <v>1</v>
      </c>
    </row>
    <row r="804">
      <c r="A804" t="inlineStr">
        <is>
          <t>D72674</t>
        </is>
      </c>
      <c r="B804" s="11" t="n">
        <v>46037</v>
      </c>
      <c r="C804" t="inlineStr">
        <is>
          <t>S0435</t>
        </is>
      </c>
      <c r="D804" t="inlineStr">
        <is>
          <t>S0435</t>
        </is>
      </c>
      <c r="E804" t="inlineStr">
        <is>
          <t>TK</t>
        </is>
      </c>
      <c r="F804" t="n">
        <v>2</v>
      </c>
      <c r="G804" t="inlineStr">
        <is>
          <t>OUT</t>
        </is>
      </c>
      <c r="H804">
        <f>IF(G804="OUT",F804,-F804)</f>
        <v>2</v>
      </c>
      <c r="I804">
        <f>IF(AND(B804&gt;=DATE(2025,7,1),B804&lt;=DATE(2026,6,30)),1,0)</f>
        <v>1</v>
      </c>
      <c r="J804">
        <f>IF(B804&lt;=DATE(2026,6,30),1,0)</f>
        <v>1</v>
      </c>
      <c r="K804" t="inlineStr"/>
      <c r="L804" t="inlineStr">
        <is>
          <t>Driver</t>
        </is>
      </c>
      <c r="M804">
        <f>COUNTIFS('Asset Log'!$A$5:$A$1379,A804,'Asset Log'!$E$5:$E$1379,E804,'Asset Log'!$G$5:$G$1379,G804)</f>
        <v>1</v>
      </c>
    </row>
    <row r="805">
      <c r="A805" t="inlineStr">
        <is>
          <t>D72696</t>
        </is>
      </c>
      <c r="B805" s="11" t="n">
        <v>46037</v>
      </c>
      <c r="C805" t="inlineStr">
        <is>
          <t>S0445</t>
        </is>
      </c>
      <c r="D805" t="inlineStr">
        <is>
          <t>S0445</t>
        </is>
      </c>
      <c r="E805" t="inlineStr">
        <is>
          <t>TK</t>
        </is>
      </c>
      <c r="F805" t="n">
        <v>2</v>
      </c>
      <c r="G805" t="inlineStr">
        <is>
          <t>OUT</t>
        </is>
      </c>
      <c r="H805">
        <f>IF(G805="OUT",F805,-F805)</f>
        <v>2</v>
      </c>
      <c r="I805">
        <f>IF(AND(B805&gt;=DATE(2025,7,1),B805&lt;=DATE(2026,6,30)),1,0)</f>
        <v>1</v>
      </c>
      <c r="J805">
        <f>IF(B805&lt;=DATE(2026,6,30),1,0)</f>
        <v>1</v>
      </c>
      <c r="K805" t="inlineStr"/>
      <c r="L805" t="inlineStr">
        <is>
          <t>Office</t>
        </is>
      </c>
      <c r="M805">
        <f>COUNTIFS('Asset Log'!$A$5:$A$1379,A805,'Asset Log'!$E$5:$E$1379,E805,'Asset Log'!$G$5:$G$1379,G805)</f>
        <v>1</v>
      </c>
    </row>
    <row r="806">
      <c r="A806" t="inlineStr">
        <is>
          <t>D72253</t>
        </is>
      </c>
      <c r="B806" s="11" t="n">
        <v>46038</v>
      </c>
      <c r="C806" t="inlineStr">
        <is>
          <t>S0246</t>
        </is>
      </c>
      <c r="D806" t="inlineStr">
        <is>
          <t>S0246</t>
        </is>
      </c>
      <c r="E806" t="inlineStr">
        <is>
          <t>ST</t>
        </is>
      </c>
      <c r="F806" t="n">
        <v>4</v>
      </c>
      <c r="G806" t="inlineStr">
        <is>
          <t>IN</t>
        </is>
      </c>
      <c r="H806">
        <f>IF(G806="OUT",F806,-F806)</f>
        <v>-4</v>
      </c>
      <c r="I806">
        <f>IF(AND(B806&gt;=DATE(2025,7,1),B806&lt;=DATE(2026,6,30)),1,0)</f>
        <v>1</v>
      </c>
      <c r="J806">
        <f>IF(B806&lt;=DATE(2026,6,30),1,0)</f>
        <v>1</v>
      </c>
      <c r="K806" t="inlineStr"/>
      <c r="L806" t="inlineStr">
        <is>
          <t>Yard</t>
        </is>
      </c>
      <c r="M806">
        <f>COUNTIFS('Asset Log'!$A$5:$A$1379,A806,'Asset Log'!$E$5:$E$1379,E806,'Asset Log'!$G$5:$G$1379,G806)</f>
        <v>1</v>
      </c>
    </row>
    <row r="807">
      <c r="A807" t="inlineStr">
        <is>
          <t>D70191</t>
        </is>
      </c>
      <c r="B807" s="11" t="n">
        <v>46039</v>
      </c>
      <c r="C807" t="inlineStr">
        <is>
          <t>S0021</t>
        </is>
      </c>
      <c r="D807" t="inlineStr">
        <is>
          <t>S0021</t>
        </is>
      </c>
      <c r="E807" t="inlineStr">
        <is>
          <t>FP</t>
        </is>
      </c>
      <c r="F807" t="n">
        <v>101</v>
      </c>
      <c r="G807" t="inlineStr">
        <is>
          <t>OUT</t>
        </is>
      </c>
      <c r="H807">
        <f>IF(G807="OUT",F807,-F807)</f>
        <v>101</v>
      </c>
      <c r="I807">
        <f>IF(AND(B807&gt;=DATE(2025,7,1),B807&lt;=DATE(2026,6,30)),1,0)</f>
        <v>1</v>
      </c>
      <c r="J807">
        <f>IF(B807&lt;=DATE(2026,6,30),1,0)</f>
        <v>1</v>
      </c>
      <c r="K807" t="inlineStr"/>
      <c r="L807" t="inlineStr">
        <is>
          <t>Office</t>
        </is>
      </c>
      <c r="M807">
        <f>COUNTIFS('Asset Log'!$A$5:$A$1379,A807,'Asset Log'!$E$5:$E$1379,E807,'Asset Log'!$G$5:$G$1379,G807)</f>
        <v>1</v>
      </c>
    </row>
    <row r="808">
      <c r="A808" t="inlineStr">
        <is>
          <t>D70196</t>
        </is>
      </c>
      <c r="B808" s="11" t="n">
        <v>46039</v>
      </c>
      <c r="C808" t="inlineStr">
        <is>
          <t>S0021</t>
        </is>
      </c>
      <c r="D808" t="inlineStr">
        <is>
          <t>S0021</t>
        </is>
      </c>
      <c r="E808" t="inlineStr">
        <is>
          <t>FB</t>
        </is>
      </c>
      <c r="F808" t="n">
        <v>111</v>
      </c>
      <c r="G808" t="inlineStr">
        <is>
          <t>OUT</t>
        </is>
      </c>
      <c r="H808">
        <f>IF(G808="OUT",F808,-F808)</f>
        <v>111</v>
      </c>
      <c r="I808">
        <f>IF(AND(B808&gt;=DATE(2025,7,1),B808&lt;=DATE(2026,6,30)),1,0)</f>
        <v>1</v>
      </c>
      <c r="J808">
        <f>IF(B808&lt;=DATE(2026,6,30),1,0)</f>
        <v>1</v>
      </c>
      <c r="K808" t="inlineStr"/>
      <c r="L808" t="inlineStr">
        <is>
          <t>Office</t>
        </is>
      </c>
      <c r="M808">
        <f>COUNTIFS('Asset Log'!$A$5:$A$1379,A808,'Asset Log'!$E$5:$E$1379,E808,'Asset Log'!$G$5:$G$1379,G808)</f>
        <v>1</v>
      </c>
    </row>
    <row r="809">
      <c r="A809" t="inlineStr">
        <is>
          <t>D70202</t>
        </is>
      </c>
      <c r="B809" s="11" t="n">
        <v>46039</v>
      </c>
      <c r="C809" t="inlineStr">
        <is>
          <t>S0021</t>
        </is>
      </c>
      <c r="D809" t="inlineStr">
        <is>
          <t>S0021</t>
        </is>
      </c>
      <c r="E809" t="inlineStr">
        <is>
          <t>BR</t>
        </is>
      </c>
      <c r="F809" t="n">
        <v>20</v>
      </c>
      <c r="G809" t="inlineStr">
        <is>
          <t>OUT</t>
        </is>
      </c>
      <c r="H809">
        <f>IF(G809="OUT",F809,-F809)</f>
        <v>20</v>
      </c>
      <c r="I809">
        <f>IF(AND(B809&gt;=DATE(2025,7,1),B809&lt;=DATE(2026,6,30)),1,0)</f>
        <v>1</v>
      </c>
      <c r="J809">
        <f>IF(B809&lt;=DATE(2026,6,30),1,0)</f>
        <v>1</v>
      </c>
      <c r="K809" t="inlineStr"/>
      <c r="L809" t="inlineStr">
        <is>
          <t>Office</t>
        </is>
      </c>
      <c r="M809">
        <f>COUNTIFS('Asset Log'!$A$5:$A$1379,A809,'Asset Log'!$E$5:$E$1379,E809,'Asset Log'!$G$5:$G$1379,G809)</f>
        <v>1</v>
      </c>
    </row>
    <row r="810">
      <c r="A810" t="inlineStr">
        <is>
          <t>D70694</t>
        </is>
      </c>
      <c r="B810" s="11" t="n">
        <v>46039</v>
      </c>
      <c r="C810" t="inlineStr">
        <is>
          <t>S0075</t>
        </is>
      </c>
      <c r="D810" t="inlineStr">
        <is>
          <t>S0075</t>
        </is>
      </c>
      <c r="E810" t="inlineStr">
        <is>
          <t>FP</t>
        </is>
      </c>
      <c r="F810" t="n">
        <v>35</v>
      </c>
      <c r="G810" t="inlineStr">
        <is>
          <t>OUT</t>
        </is>
      </c>
      <c r="H810">
        <f>IF(G810="OUT",F810,-F810)</f>
        <v>35</v>
      </c>
      <c r="I810">
        <f>IF(AND(B810&gt;=DATE(2025,7,1),B810&lt;=DATE(2026,6,30)),1,0)</f>
        <v>1</v>
      </c>
      <c r="J810">
        <f>IF(B810&lt;=DATE(2026,6,30),1,0)</f>
        <v>1</v>
      </c>
      <c r="K810" t="inlineStr"/>
      <c r="L810" t="inlineStr">
        <is>
          <t>Driver</t>
        </is>
      </c>
      <c r="M810">
        <f>COUNTIFS('Asset Log'!$A$5:$A$1379,A810,'Asset Log'!$E$5:$E$1379,E810,'Asset Log'!$G$5:$G$1379,G810)</f>
        <v>1</v>
      </c>
    </row>
    <row r="811">
      <c r="A811" t="inlineStr">
        <is>
          <t>D70699</t>
        </is>
      </c>
      <c r="B811" s="11" t="n">
        <v>46039</v>
      </c>
      <c r="C811" t="inlineStr">
        <is>
          <t>S0075</t>
        </is>
      </c>
      <c r="D811" t="inlineStr">
        <is>
          <t>S0075</t>
        </is>
      </c>
      <c r="E811" t="inlineStr">
        <is>
          <t>FB</t>
        </is>
      </c>
      <c r="F811" t="n">
        <v>38</v>
      </c>
      <c r="G811" t="inlineStr">
        <is>
          <t>OUT</t>
        </is>
      </c>
      <c r="H811">
        <f>IF(G811="OUT",F811,-F811)</f>
        <v>38</v>
      </c>
      <c r="I811">
        <f>IF(AND(B811&gt;=DATE(2025,7,1),B811&lt;=DATE(2026,6,30)),1,0)</f>
        <v>1</v>
      </c>
      <c r="J811">
        <f>IF(B811&lt;=DATE(2026,6,30),1,0)</f>
        <v>1</v>
      </c>
      <c r="K811" t="inlineStr"/>
      <c r="L811" t="inlineStr">
        <is>
          <t>Office</t>
        </is>
      </c>
      <c r="M811">
        <f>COUNTIFS('Asset Log'!$A$5:$A$1379,A811,'Asset Log'!$E$5:$E$1379,E811,'Asset Log'!$G$5:$G$1379,G811)</f>
        <v>1</v>
      </c>
    </row>
    <row r="812">
      <c r="A812" t="inlineStr">
        <is>
          <t>D70705</t>
        </is>
      </c>
      <c r="B812" s="11" t="n">
        <v>46039</v>
      </c>
      <c r="C812" t="inlineStr">
        <is>
          <t>S0075</t>
        </is>
      </c>
      <c r="D812" t="inlineStr">
        <is>
          <t>S0075</t>
        </is>
      </c>
      <c r="E812" t="inlineStr">
        <is>
          <t>BR</t>
        </is>
      </c>
      <c r="F812" t="n">
        <v>4</v>
      </c>
      <c r="G812" t="inlineStr">
        <is>
          <t>OUT</t>
        </is>
      </c>
      <c r="H812">
        <f>IF(G812="OUT",F812,-F812)</f>
        <v>4</v>
      </c>
      <c r="I812">
        <f>IF(AND(B812&gt;=DATE(2025,7,1),B812&lt;=DATE(2026,6,30)),1,0)</f>
        <v>1</v>
      </c>
      <c r="J812">
        <f>IF(B812&lt;=DATE(2026,6,30),1,0)</f>
        <v>1</v>
      </c>
      <c r="K812" t="inlineStr"/>
      <c r="L812" t="inlineStr">
        <is>
          <t>Yard</t>
        </is>
      </c>
      <c r="M812">
        <f>COUNTIFS('Asset Log'!$A$5:$A$1379,A812,'Asset Log'!$E$5:$E$1379,E812,'Asset Log'!$G$5:$G$1379,G812)</f>
        <v>1</v>
      </c>
    </row>
    <row r="813">
      <c r="A813" t="inlineStr">
        <is>
          <t>D71539</t>
        </is>
      </c>
      <c r="B813" s="11" t="n">
        <v>46040</v>
      </c>
      <c r="C813" t="inlineStr">
        <is>
          <t>s160</t>
        </is>
      </c>
      <c r="D813" t="inlineStr">
        <is>
          <t>S0160</t>
        </is>
      </c>
      <c r="E813" t="inlineStr">
        <is>
          <t>FP</t>
        </is>
      </c>
      <c r="F813" t="n">
        <v>37</v>
      </c>
      <c r="G813" t="inlineStr">
        <is>
          <t>IN</t>
        </is>
      </c>
      <c r="H813">
        <f>IF(G813="OUT",F813,-F813)</f>
        <v>-37</v>
      </c>
      <c r="I813">
        <f>IF(AND(B813&gt;=DATE(2025,7,1),B813&lt;=DATE(2026,6,30)),1,0)</f>
        <v>1</v>
      </c>
      <c r="J813">
        <f>IF(B813&lt;=DATE(2026,6,30),1,0)</f>
        <v>1</v>
      </c>
      <c r="K813" t="inlineStr">
        <is>
          <t>Site text normalised</t>
        </is>
      </c>
      <c r="L813" t="inlineStr">
        <is>
          <t>Office</t>
        </is>
      </c>
      <c r="M813">
        <f>COUNTIFS('Asset Log'!$A$5:$A$1379,A813,'Asset Log'!$E$5:$E$1379,E813,'Asset Log'!$G$5:$G$1379,G813)</f>
        <v>1</v>
      </c>
    </row>
    <row r="814">
      <c r="A814" t="inlineStr">
        <is>
          <t>D71547</t>
        </is>
      </c>
      <c r="B814" s="11" t="n">
        <v>46040</v>
      </c>
      <c r="C814" t="inlineStr">
        <is>
          <t>S0160</t>
        </is>
      </c>
      <c r="D814" t="inlineStr">
        <is>
          <t>S0160</t>
        </is>
      </c>
      <c r="E814" t="inlineStr">
        <is>
          <t>FB</t>
        </is>
      </c>
      <c r="F814" t="n">
        <v>37</v>
      </c>
      <c r="G814" t="inlineStr">
        <is>
          <t>IN</t>
        </is>
      </c>
      <c r="H814">
        <f>IF(G814="OUT",F814,-F814)</f>
        <v>-37</v>
      </c>
      <c r="I814">
        <f>IF(AND(B814&gt;=DATE(2025,7,1),B814&lt;=DATE(2026,6,30)),1,0)</f>
        <v>1</v>
      </c>
      <c r="J814">
        <f>IF(B814&lt;=DATE(2026,6,30),1,0)</f>
        <v>1</v>
      </c>
      <c r="K814" t="inlineStr"/>
      <c r="L814" t="inlineStr">
        <is>
          <t>Office</t>
        </is>
      </c>
      <c r="M814">
        <f>COUNTIFS('Asset Log'!$A$5:$A$1379,A814,'Asset Log'!$E$5:$E$1379,E814,'Asset Log'!$G$5:$G$1379,G814)</f>
        <v>1</v>
      </c>
    </row>
    <row r="815">
      <c r="A815" t="inlineStr">
        <is>
          <t>D72240</t>
        </is>
      </c>
      <c r="B815" s="11" t="n">
        <v>46040</v>
      </c>
      <c r="C815" t="inlineStr">
        <is>
          <t>S0243</t>
        </is>
      </c>
      <c r="D815" t="inlineStr">
        <is>
          <t>S0243</t>
        </is>
      </c>
      <c r="E815" t="inlineStr">
        <is>
          <t>ST</t>
        </is>
      </c>
      <c r="F815" t="n">
        <v>2</v>
      </c>
      <c r="G815" t="inlineStr">
        <is>
          <t>IN</t>
        </is>
      </c>
      <c r="H815">
        <f>IF(G815="OUT",F815,-F815)</f>
        <v>-2</v>
      </c>
      <c r="I815">
        <f>IF(AND(B815&gt;=DATE(2025,7,1),B815&lt;=DATE(2026,6,30)),1,0)</f>
        <v>1</v>
      </c>
      <c r="J815">
        <f>IF(B815&lt;=DATE(2026,6,30),1,0)</f>
        <v>1</v>
      </c>
      <c r="K815" t="inlineStr"/>
      <c r="L815" t="inlineStr">
        <is>
          <t>Office</t>
        </is>
      </c>
      <c r="M815">
        <f>COUNTIFS('Asset Log'!$A$5:$A$1379,A815,'Asset Log'!$E$5:$E$1379,E815,'Asset Log'!$G$5:$G$1379,G815)</f>
        <v>1</v>
      </c>
    </row>
    <row r="816">
      <c r="A816" t="inlineStr">
        <is>
          <t>D70602</t>
        </is>
      </c>
      <c r="B816" s="11" t="n">
        <v>46043</v>
      </c>
      <c r="C816" t="inlineStr">
        <is>
          <t>S0056</t>
        </is>
      </c>
      <c r="D816" t="inlineStr">
        <is>
          <t>S0065</t>
        </is>
      </c>
      <c r="E816" t="inlineStr">
        <is>
          <t>FP</t>
        </is>
      </c>
      <c r="F816" t="n">
        <v>86</v>
      </c>
      <c r="G816" t="inlineStr">
        <is>
          <t>IN</t>
        </is>
      </c>
      <c r="H816">
        <f>IF(G816="OUT",F816,-F816)</f>
        <v>-86</v>
      </c>
      <c r="I816">
        <f>IF(AND(B816&gt;=DATE(2025,7,1),B816&lt;=DATE(2026,6,30)),1,0)</f>
        <v>1</v>
      </c>
      <c r="J816">
        <f>IF(B816&lt;=DATE(2026,6,30),1,0)</f>
        <v>1</v>
      </c>
      <c r="K816" t="inlineStr">
        <is>
          <t>Site corrected from S0056 (return before the job started)</t>
        </is>
      </c>
      <c r="L816" t="inlineStr">
        <is>
          <t>Office</t>
        </is>
      </c>
      <c r="M816">
        <f>COUNTIFS('Asset Log'!$A$5:$A$1379,A816,'Asset Log'!$E$5:$E$1379,E816,'Asset Log'!$G$5:$G$1379,G816)</f>
        <v>1</v>
      </c>
    </row>
    <row r="817">
      <c r="A817" t="inlineStr">
        <is>
          <t>D70608</t>
        </is>
      </c>
      <c r="B817" s="11" t="n">
        <v>46043</v>
      </c>
      <c r="C817" t="inlineStr">
        <is>
          <t>S0065</t>
        </is>
      </c>
      <c r="D817" t="inlineStr">
        <is>
          <t>S0065</t>
        </is>
      </c>
      <c r="E817" t="inlineStr">
        <is>
          <t>FB</t>
        </is>
      </c>
      <c r="F817" t="n">
        <v>99</v>
      </c>
      <c r="G817" t="inlineStr">
        <is>
          <t>IN</t>
        </is>
      </c>
      <c r="H817">
        <f>IF(G817="OUT",F817,-F817)</f>
        <v>-99</v>
      </c>
      <c r="I817">
        <f>IF(AND(B817&gt;=DATE(2025,7,1),B817&lt;=DATE(2026,6,30)),1,0)</f>
        <v>1</v>
      </c>
      <c r="J817">
        <f>IF(B817&lt;=DATE(2026,6,30),1,0)</f>
        <v>1</v>
      </c>
      <c r="K817" t="inlineStr"/>
      <c r="L817" t="inlineStr">
        <is>
          <t>Yard</t>
        </is>
      </c>
      <c r="M817">
        <f>COUNTIFS('Asset Log'!$A$5:$A$1379,A817,'Asset Log'!$E$5:$E$1379,E817,'Asset Log'!$G$5:$G$1379,G817)</f>
        <v>1</v>
      </c>
    </row>
    <row r="818">
      <c r="A818" t="inlineStr">
        <is>
          <t>D72525</t>
        </is>
      </c>
      <c r="B818" s="11" t="n">
        <v>46043</v>
      </c>
      <c r="C818" t="inlineStr">
        <is>
          <t>343</t>
        </is>
      </c>
      <c r="D818" t="inlineStr">
        <is>
          <t>S0343</t>
        </is>
      </c>
      <c r="E818" t="inlineStr">
        <is>
          <t>TK</t>
        </is>
      </c>
      <c r="F818" t="n">
        <v>3</v>
      </c>
      <c r="G818" t="inlineStr">
        <is>
          <t>IN</t>
        </is>
      </c>
      <c r="H818">
        <f>IF(G818="OUT",F818,-F818)</f>
        <v>-3</v>
      </c>
      <c r="I818">
        <f>IF(AND(B818&gt;=DATE(2025,7,1),B818&lt;=DATE(2026,6,30)),1,0)</f>
        <v>1</v>
      </c>
      <c r="J818">
        <f>IF(B818&lt;=DATE(2026,6,30),1,0)</f>
        <v>1</v>
      </c>
      <c r="K818" t="inlineStr">
        <is>
          <t>Site text normalised</t>
        </is>
      </c>
      <c r="L818" t="inlineStr">
        <is>
          <t>Office</t>
        </is>
      </c>
      <c r="M818">
        <f>COUNTIFS('Asset Log'!$A$5:$A$1379,A818,'Asset Log'!$E$5:$E$1379,E818,'Asset Log'!$G$5:$G$1379,G818)</f>
        <v>1</v>
      </c>
    </row>
    <row r="819">
      <c r="A819" t="inlineStr">
        <is>
          <t>D71510</t>
        </is>
      </c>
      <c r="B819" s="11" t="n">
        <v>46044</v>
      </c>
      <c r="C819" t="inlineStr">
        <is>
          <t>S0158 Craigieburn</t>
        </is>
      </c>
      <c r="D819" t="inlineStr">
        <is>
          <t>S0158</t>
        </is>
      </c>
      <c r="E819" t="inlineStr">
        <is>
          <t>FP</t>
        </is>
      </c>
      <c r="F819" t="n">
        <v>21</v>
      </c>
      <c r="G819" t="inlineStr">
        <is>
          <t>OUT</t>
        </is>
      </c>
      <c r="H819">
        <f>IF(G819="OUT",F819,-F819)</f>
        <v>21</v>
      </c>
      <c r="I819">
        <f>IF(AND(B819&gt;=DATE(2025,7,1),B819&lt;=DATE(2026,6,30)),1,0)</f>
        <v>1</v>
      </c>
      <c r="J819">
        <f>IF(B819&lt;=DATE(2026,6,30),1,0)</f>
        <v>1</v>
      </c>
      <c r="K819" t="inlineStr">
        <is>
          <t>Site text normalised</t>
        </is>
      </c>
      <c r="L819" t="inlineStr">
        <is>
          <t>Driver</t>
        </is>
      </c>
      <c r="M819">
        <f>COUNTIFS('Asset Log'!$A$5:$A$1379,A819,'Asset Log'!$E$5:$E$1379,E819,'Asset Log'!$G$5:$G$1379,G819)</f>
        <v>1</v>
      </c>
    </row>
    <row r="820">
      <c r="A820" t="inlineStr">
        <is>
          <t>D71514</t>
        </is>
      </c>
      <c r="B820" s="11" t="n">
        <v>46044</v>
      </c>
      <c r="C820" t="inlineStr">
        <is>
          <t>S0158</t>
        </is>
      </c>
      <c r="D820" t="inlineStr">
        <is>
          <t>S0158</t>
        </is>
      </c>
      <c r="E820" t="inlineStr">
        <is>
          <t>FB</t>
        </is>
      </c>
      <c r="F820" t="n">
        <v>23</v>
      </c>
      <c r="G820" t="inlineStr">
        <is>
          <t>OUT</t>
        </is>
      </c>
      <c r="H820">
        <f>IF(G820="OUT",F820,-F820)</f>
        <v>23</v>
      </c>
      <c r="I820">
        <f>IF(AND(B820&gt;=DATE(2025,7,1),B820&lt;=DATE(2026,6,30)),1,0)</f>
        <v>1</v>
      </c>
      <c r="J820">
        <f>IF(B820&lt;=DATE(2026,6,30),1,0)</f>
        <v>1</v>
      </c>
      <c r="K820" t="inlineStr"/>
      <c r="L820" t="inlineStr">
        <is>
          <t>Driver</t>
        </is>
      </c>
      <c r="M820">
        <f>COUNTIFS('Asset Log'!$A$5:$A$1379,A820,'Asset Log'!$E$5:$E$1379,E820,'Asset Log'!$G$5:$G$1379,G820)</f>
        <v>1</v>
      </c>
    </row>
    <row r="821">
      <c r="A821" t="inlineStr">
        <is>
          <t>D71518</t>
        </is>
      </c>
      <c r="B821" s="11" t="n">
        <v>46044</v>
      </c>
      <c r="C821" t="inlineStr">
        <is>
          <t>s158</t>
        </is>
      </c>
      <c r="D821" t="inlineStr">
        <is>
          <t>S0158</t>
        </is>
      </c>
      <c r="E821" t="inlineStr">
        <is>
          <t>BR</t>
        </is>
      </c>
      <c r="F821" t="n">
        <v>23</v>
      </c>
      <c r="G821" t="inlineStr">
        <is>
          <t>OUT</t>
        </is>
      </c>
      <c r="H821">
        <f>IF(G821="OUT",F821,-F821)</f>
        <v>23</v>
      </c>
      <c r="I821">
        <f>IF(AND(B821&gt;=DATE(2025,7,1),B821&lt;=DATE(2026,6,30)),1,0)</f>
        <v>1</v>
      </c>
      <c r="J821">
        <f>IF(B821&lt;=DATE(2026,6,30),1,0)</f>
        <v>1</v>
      </c>
      <c r="K821" t="inlineStr">
        <is>
          <t>Site text normalised</t>
        </is>
      </c>
      <c r="L821" t="inlineStr">
        <is>
          <t>Driver</t>
        </is>
      </c>
      <c r="M821">
        <f>COUNTIFS('Asset Log'!$A$5:$A$1379,A821,'Asset Log'!$E$5:$E$1379,E821,'Asset Log'!$G$5:$G$1379,G821)</f>
        <v>1</v>
      </c>
    </row>
    <row r="822">
      <c r="A822" t="inlineStr">
        <is>
          <t>D71527</t>
        </is>
      </c>
      <c r="B822" s="11" t="n">
        <v>46044</v>
      </c>
      <c r="C822" t="inlineStr">
        <is>
          <t>S0159</t>
        </is>
      </c>
      <c r="D822" t="inlineStr">
        <is>
          <t>S0159</t>
        </is>
      </c>
      <c r="E822" t="inlineStr">
        <is>
          <t>FP</t>
        </is>
      </c>
      <c r="F822" t="n">
        <v>45</v>
      </c>
      <c r="G822" t="inlineStr">
        <is>
          <t>IN</t>
        </is>
      </c>
      <c r="H822">
        <f>IF(G822="OUT",F822,-F822)</f>
        <v>-45</v>
      </c>
      <c r="I822">
        <f>IF(AND(B822&gt;=DATE(2025,7,1),B822&lt;=DATE(2026,6,30)),1,0)</f>
        <v>1</v>
      </c>
      <c r="J822">
        <f>IF(B822&lt;=DATE(2026,6,30),1,0)</f>
        <v>1</v>
      </c>
      <c r="K822" t="inlineStr"/>
      <c r="L822" t="inlineStr">
        <is>
          <t>Yard</t>
        </is>
      </c>
      <c r="M822">
        <f>COUNTIFS('Asset Log'!$A$5:$A$1379,A822,'Asset Log'!$E$5:$E$1379,E822,'Asset Log'!$G$5:$G$1379,G822)</f>
        <v>1</v>
      </c>
    </row>
    <row r="823">
      <c r="A823" t="inlineStr">
        <is>
          <t>D71534</t>
        </is>
      </c>
      <c r="B823" s="11" t="n">
        <v>46044</v>
      </c>
      <c r="C823" t="inlineStr">
        <is>
          <t>S0159</t>
        </is>
      </c>
      <c r="D823" t="inlineStr">
        <is>
          <t>S0159</t>
        </is>
      </c>
      <c r="E823" t="inlineStr">
        <is>
          <t>FB</t>
        </is>
      </c>
      <c r="F823" t="n">
        <v>48</v>
      </c>
      <c r="G823" t="inlineStr">
        <is>
          <t>IN</t>
        </is>
      </c>
      <c r="H823">
        <f>IF(G823="OUT",F823,-F823)</f>
        <v>-48</v>
      </c>
      <c r="I823">
        <f>IF(AND(B823&gt;=DATE(2025,7,1),B823&lt;=DATE(2026,6,30)),1,0)</f>
        <v>1</v>
      </c>
      <c r="J823">
        <f>IF(B823&lt;=DATE(2026,6,30),1,0)</f>
        <v>1</v>
      </c>
      <c r="K823" t="inlineStr"/>
      <c r="L823" t="inlineStr">
        <is>
          <t>Driver</t>
        </is>
      </c>
      <c r="M823">
        <f>COUNTIFS('Asset Log'!$A$5:$A$1379,A823,'Asset Log'!$E$5:$E$1379,E823,'Asset Log'!$G$5:$G$1379,G823)</f>
        <v>1</v>
      </c>
    </row>
    <row r="824">
      <c r="A824" t="inlineStr">
        <is>
          <t>D72464</t>
        </is>
      </c>
      <c r="B824" s="11" t="n">
        <v>46044</v>
      </c>
      <c r="C824" t="inlineStr">
        <is>
          <t>S0298</t>
        </is>
      </c>
      <c r="D824" t="inlineStr">
        <is>
          <t>S0298</t>
        </is>
      </c>
      <c r="E824" t="inlineStr">
        <is>
          <t>TK</t>
        </is>
      </c>
      <c r="F824" t="n">
        <v>2</v>
      </c>
      <c r="G824" t="inlineStr">
        <is>
          <t>IN</t>
        </is>
      </c>
      <c r="H824">
        <f>IF(G824="OUT",F824,-F824)</f>
        <v>-2</v>
      </c>
      <c r="I824">
        <f>IF(AND(B824&gt;=DATE(2025,7,1),B824&lt;=DATE(2026,6,30)),1,0)</f>
        <v>1</v>
      </c>
      <c r="J824">
        <f>IF(B824&lt;=DATE(2026,6,30),1,0)</f>
        <v>1</v>
      </c>
      <c r="K824" t="inlineStr"/>
      <c r="L824" t="inlineStr">
        <is>
          <t>Office</t>
        </is>
      </c>
      <c r="M824">
        <f>COUNTIFS('Asset Log'!$A$5:$A$1379,A824,'Asset Log'!$E$5:$E$1379,E824,'Asset Log'!$G$5:$G$1379,G824)</f>
        <v>1</v>
      </c>
    </row>
    <row r="825">
      <c r="A825" t="inlineStr">
        <is>
          <t>D72817</t>
        </is>
      </c>
      <c r="B825" s="11" t="n">
        <v>46044</v>
      </c>
      <c r="C825" t="inlineStr">
        <is>
          <t>S0529</t>
        </is>
      </c>
      <c r="D825" t="inlineStr">
        <is>
          <t>S0529</t>
        </is>
      </c>
      <c r="E825" t="inlineStr">
        <is>
          <t>TK</t>
        </is>
      </c>
      <c r="F825" t="n">
        <v>3</v>
      </c>
      <c r="G825" t="inlineStr">
        <is>
          <t>OUT</t>
        </is>
      </c>
      <c r="H825">
        <f>IF(G825="OUT",F825,-F825)</f>
        <v>3</v>
      </c>
      <c r="I825">
        <f>IF(AND(B825&gt;=DATE(2025,7,1),B825&lt;=DATE(2026,6,30)),1,0)</f>
        <v>1</v>
      </c>
      <c r="J825">
        <f>IF(B825&lt;=DATE(2026,6,30),1,0)</f>
        <v>1</v>
      </c>
      <c r="K825" t="inlineStr"/>
      <c r="L825" t="inlineStr">
        <is>
          <t>Driver</t>
        </is>
      </c>
      <c r="M825">
        <f>COUNTIFS('Asset Log'!$A$5:$A$1379,A825,'Asset Log'!$E$5:$E$1379,E825,'Asset Log'!$G$5:$G$1379,G825)</f>
        <v>1</v>
      </c>
    </row>
    <row r="826">
      <c r="A826" t="inlineStr">
        <is>
          <t>D71821</t>
        </is>
      </c>
      <c r="B826" s="11" t="n">
        <v>46045</v>
      </c>
      <c r="C826" t="inlineStr">
        <is>
          <t>S0193</t>
        </is>
      </c>
      <c r="D826" t="inlineStr">
        <is>
          <t>S0193</t>
        </is>
      </c>
      <c r="E826" t="inlineStr">
        <is>
          <t>FP</t>
        </is>
      </c>
      <c r="F826" t="n">
        <v>73</v>
      </c>
      <c r="G826" t="inlineStr">
        <is>
          <t>OUT</t>
        </is>
      </c>
      <c r="H826">
        <f>IF(G826="OUT",F826,-F826)</f>
        <v>73</v>
      </c>
      <c r="I826">
        <f>IF(AND(B826&gt;=DATE(2025,7,1),B826&lt;=DATE(2026,6,30)),1,0)</f>
        <v>1</v>
      </c>
      <c r="J826">
        <f>IF(B826&lt;=DATE(2026,6,30),1,0)</f>
        <v>1</v>
      </c>
      <c r="K826" t="inlineStr"/>
      <c r="L826" t="inlineStr">
        <is>
          <t>Office</t>
        </is>
      </c>
      <c r="M826">
        <f>COUNTIFS('Asset Log'!$A$5:$A$1379,A826,'Asset Log'!$E$5:$E$1379,E826,'Asset Log'!$G$5:$G$1379,G826)</f>
        <v>1</v>
      </c>
    </row>
    <row r="827">
      <c r="A827" t="inlineStr">
        <is>
          <t>D71825</t>
        </is>
      </c>
      <c r="B827" s="11" t="n">
        <v>46045</v>
      </c>
      <c r="C827" t="inlineStr">
        <is>
          <t>S0193</t>
        </is>
      </c>
      <c r="D827" t="inlineStr">
        <is>
          <t>S0193</t>
        </is>
      </c>
      <c r="E827" t="inlineStr">
        <is>
          <t>FB</t>
        </is>
      </c>
      <c r="F827" t="n">
        <v>80</v>
      </c>
      <c r="G827" t="inlineStr">
        <is>
          <t>OUT</t>
        </is>
      </c>
      <c r="H827">
        <f>IF(G827="OUT",F827,-F827)</f>
        <v>80</v>
      </c>
      <c r="I827">
        <f>IF(AND(B827&gt;=DATE(2025,7,1),B827&lt;=DATE(2026,6,30)),1,0)</f>
        <v>1</v>
      </c>
      <c r="J827">
        <f>IF(B827&lt;=DATE(2026,6,30),1,0)</f>
        <v>1</v>
      </c>
      <c r="K827" t="inlineStr"/>
      <c r="L827" t="inlineStr">
        <is>
          <t>Office</t>
        </is>
      </c>
      <c r="M827">
        <f>COUNTIFS('Asset Log'!$A$5:$A$1379,A827,'Asset Log'!$E$5:$E$1379,E827,'Asset Log'!$G$5:$G$1379,G827)</f>
        <v>1</v>
      </c>
    </row>
    <row r="828">
      <c r="A828" t="inlineStr">
        <is>
          <t>D71864</t>
        </is>
      </c>
      <c r="B828" s="11" t="n">
        <v>46045</v>
      </c>
      <c r="C828" t="inlineStr">
        <is>
          <t>S0197</t>
        </is>
      </c>
      <c r="D828" t="inlineStr">
        <is>
          <t>S0197</t>
        </is>
      </c>
      <c r="E828" t="inlineStr">
        <is>
          <t>FP</t>
        </is>
      </c>
      <c r="F828" t="n">
        <v>38</v>
      </c>
      <c r="G828" t="inlineStr">
        <is>
          <t>OUT</t>
        </is>
      </c>
      <c r="H828">
        <f>IF(G828="OUT",F828,-F828)</f>
        <v>38</v>
      </c>
      <c r="I828">
        <f>IF(AND(B828&gt;=DATE(2025,7,1),B828&lt;=DATE(2026,6,30)),1,0)</f>
        <v>1</v>
      </c>
      <c r="J828">
        <f>IF(B828&lt;=DATE(2026,6,30),1,0)</f>
        <v>1</v>
      </c>
      <c r="K828" t="inlineStr"/>
      <c r="L828" t="inlineStr">
        <is>
          <t>Office</t>
        </is>
      </c>
      <c r="M828">
        <f>COUNTIFS('Asset Log'!$A$5:$A$1379,A828,'Asset Log'!$E$5:$E$1379,E828,'Asset Log'!$G$5:$G$1379,G828)</f>
        <v>1</v>
      </c>
    </row>
    <row r="829">
      <c r="A829" t="inlineStr">
        <is>
          <t>D71869</t>
        </is>
      </c>
      <c r="B829" s="11" t="n">
        <v>46045</v>
      </c>
      <c r="C829" t="inlineStr">
        <is>
          <t>S0197</t>
        </is>
      </c>
      <c r="D829" t="inlineStr">
        <is>
          <t>S0197</t>
        </is>
      </c>
      <c r="E829" t="inlineStr">
        <is>
          <t>FB</t>
        </is>
      </c>
      <c r="F829" t="n">
        <v>38</v>
      </c>
      <c r="G829" t="inlineStr">
        <is>
          <t>OUT</t>
        </is>
      </c>
      <c r="H829">
        <f>IF(G829="OUT",F829,-F829)</f>
        <v>38</v>
      </c>
      <c r="I829">
        <f>IF(AND(B829&gt;=DATE(2025,7,1),B829&lt;=DATE(2026,6,30)),1,0)</f>
        <v>1</v>
      </c>
      <c r="J829">
        <f>IF(B829&lt;=DATE(2026,6,30),1,0)</f>
        <v>1</v>
      </c>
      <c r="K829" t="inlineStr"/>
      <c r="L829" t="inlineStr">
        <is>
          <t>Driver</t>
        </is>
      </c>
      <c r="M829">
        <f>COUNTIFS('Asset Log'!$A$5:$A$1379,A829,'Asset Log'!$E$5:$E$1379,E829,'Asset Log'!$G$5:$G$1379,G829)</f>
        <v>1</v>
      </c>
    </row>
    <row r="830">
      <c r="A830" t="inlineStr">
        <is>
          <t>D70696</t>
        </is>
      </c>
      <c r="B830" s="11" t="n">
        <v>46046</v>
      </c>
      <c r="C830" t="inlineStr">
        <is>
          <t>S0075</t>
        </is>
      </c>
      <c r="D830" t="inlineStr">
        <is>
          <t>S0075</t>
        </is>
      </c>
      <c r="E830" t="inlineStr">
        <is>
          <t>FP</t>
        </is>
      </c>
      <c r="F830" t="n">
        <v>35</v>
      </c>
      <c r="G830" t="inlineStr">
        <is>
          <t>IN</t>
        </is>
      </c>
      <c r="H830">
        <f>IF(G830="OUT",F830,-F830)</f>
        <v>-35</v>
      </c>
      <c r="I830">
        <f>IF(AND(B830&gt;=DATE(2025,7,1),B830&lt;=DATE(2026,6,30)),1,0)</f>
        <v>1</v>
      </c>
      <c r="J830">
        <f>IF(B830&lt;=DATE(2026,6,30),1,0)</f>
        <v>1</v>
      </c>
      <c r="K830" t="inlineStr"/>
      <c r="L830" t="inlineStr">
        <is>
          <t>Office</t>
        </is>
      </c>
      <c r="M830">
        <f>COUNTIFS('Asset Log'!$A$5:$A$1379,A830,'Asset Log'!$E$5:$E$1379,E830,'Asset Log'!$G$5:$G$1379,G830)</f>
        <v>1</v>
      </c>
    </row>
    <row r="831">
      <c r="A831" t="inlineStr">
        <is>
          <t>D70702</t>
        </is>
      </c>
      <c r="B831" s="11" t="n">
        <v>46046</v>
      </c>
      <c r="C831" t="inlineStr">
        <is>
          <t>S0075</t>
        </is>
      </c>
      <c r="D831" t="inlineStr">
        <is>
          <t>S0075</t>
        </is>
      </c>
      <c r="E831" t="inlineStr">
        <is>
          <t>FB</t>
        </is>
      </c>
      <c r="F831" t="n">
        <v>38</v>
      </c>
      <c r="G831" t="inlineStr">
        <is>
          <t>IN</t>
        </is>
      </c>
      <c r="H831">
        <f>IF(G831="OUT",F831,-F831)</f>
        <v>-38</v>
      </c>
      <c r="I831">
        <f>IF(AND(B831&gt;=DATE(2025,7,1),B831&lt;=DATE(2026,6,30)),1,0)</f>
        <v>1</v>
      </c>
      <c r="J831">
        <f>IF(B831&lt;=DATE(2026,6,30),1,0)</f>
        <v>1</v>
      </c>
      <c r="K831" t="inlineStr"/>
      <c r="L831" t="inlineStr">
        <is>
          <t>Driver</t>
        </is>
      </c>
      <c r="M831">
        <f>COUNTIFS('Asset Log'!$A$5:$A$1379,A831,'Asset Log'!$E$5:$E$1379,E831,'Asset Log'!$G$5:$G$1379,G831)</f>
        <v>1</v>
      </c>
    </row>
    <row r="832">
      <c r="A832" t="inlineStr">
        <is>
          <t>D70707</t>
        </is>
      </c>
      <c r="B832" s="11" t="n">
        <v>46046</v>
      </c>
      <c r="C832" t="inlineStr">
        <is>
          <t>S0075</t>
        </is>
      </c>
      <c r="D832" t="inlineStr">
        <is>
          <t>S0075</t>
        </is>
      </c>
      <c r="E832" t="inlineStr">
        <is>
          <t>BR</t>
        </is>
      </c>
      <c r="F832" t="n">
        <v>4</v>
      </c>
      <c r="G832" t="inlineStr">
        <is>
          <t>IN</t>
        </is>
      </c>
      <c r="H832">
        <f>IF(G832="OUT",F832,-F832)</f>
        <v>-4</v>
      </c>
      <c r="I832">
        <f>IF(AND(B832&gt;=DATE(2025,7,1),B832&lt;=DATE(2026,6,30)),1,0)</f>
        <v>1</v>
      </c>
      <c r="J832">
        <f>IF(B832&lt;=DATE(2026,6,30),1,0)</f>
        <v>1</v>
      </c>
      <c r="K832" t="inlineStr"/>
      <c r="L832" t="inlineStr">
        <is>
          <t>Yard</t>
        </is>
      </c>
      <c r="M832">
        <f>COUNTIFS('Asset Log'!$A$5:$A$1379,A832,'Asset Log'!$E$5:$E$1379,E832,'Asset Log'!$G$5:$G$1379,G832)</f>
        <v>1</v>
      </c>
    </row>
    <row r="833">
      <c r="A833" t="inlineStr">
        <is>
          <t>D71172</t>
        </is>
      </c>
      <c r="B833" s="11" t="n">
        <v>46046</v>
      </c>
      <c r="C833" t="inlineStr">
        <is>
          <t>S0123</t>
        </is>
      </c>
      <c r="D833" t="inlineStr">
        <is>
          <t>S0123</t>
        </is>
      </c>
      <c r="E833" t="inlineStr">
        <is>
          <t>FP</t>
        </is>
      </c>
      <c r="F833" t="n">
        <v>65</v>
      </c>
      <c r="G833" t="inlineStr">
        <is>
          <t>IN</t>
        </is>
      </c>
      <c r="H833">
        <f>IF(G833="OUT",F833,-F833)</f>
        <v>-65</v>
      </c>
      <c r="I833">
        <f>IF(AND(B833&gt;=DATE(2025,7,1),B833&lt;=DATE(2026,6,30)),1,0)</f>
        <v>1</v>
      </c>
      <c r="J833">
        <f>IF(B833&lt;=DATE(2026,6,30),1,0)</f>
        <v>1</v>
      </c>
      <c r="K833" t="inlineStr"/>
      <c r="L833" t="inlineStr">
        <is>
          <t>Office</t>
        </is>
      </c>
      <c r="M833">
        <f>COUNTIFS('Asset Log'!$A$5:$A$1379,A833,'Asset Log'!$E$5:$E$1379,E833,'Asset Log'!$G$5:$G$1379,G833)</f>
        <v>1</v>
      </c>
    </row>
    <row r="834">
      <c r="A834" t="inlineStr">
        <is>
          <t>D71177</t>
        </is>
      </c>
      <c r="B834" s="11" t="n">
        <v>46046</v>
      </c>
      <c r="C834" t="inlineStr">
        <is>
          <t>S0123</t>
        </is>
      </c>
      <c r="D834" t="inlineStr">
        <is>
          <t>S0123</t>
        </is>
      </c>
      <c r="E834" t="inlineStr">
        <is>
          <t>FB</t>
        </is>
      </c>
      <c r="F834" t="n">
        <v>65</v>
      </c>
      <c r="G834" t="inlineStr">
        <is>
          <t>IN</t>
        </is>
      </c>
      <c r="H834">
        <f>IF(G834="OUT",F834,-F834)</f>
        <v>-65</v>
      </c>
      <c r="I834">
        <f>IF(AND(B834&gt;=DATE(2025,7,1),B834&lt;=DATE(2026,6,30)),1,0)</f>
        <v>1</v>
      </c>
      <c r="J834">
        <f>IF(B834&lt;=DATE(2026,6,30),1,0)</f>
        <v>1</v>
      </c>
      <c r="K834" t="inlineStr"/>
      <c r="L834" t="inlineStr">
        <is>
          <t>Driver</t>
        </is>
      </c>
      <c r="M834">
        <f>COUNTIFS('Asset Log'!$A$5:$A$1379,A834,'Asset Log'!$E$5:$E$1379,E834,'Asset Log'!$G$5:$G$1379,G834)</f>
        <v>1</v>
      </c>
    </row>
    <row r="835">
      <c r="A835" t="inlineStr">
        <is>
          <t>D72051</t>
        </is>
      </c>
      <c r="B835" s="11" t="n">
        <v>46046</v>
      </c>
      <c r="C835" t="inlineStr">
        <is>
          <t>S0217</t>
        </is>
      </c>
      <c r="D835" t="inlineStr">
        <is>
          <t>S0217</t>
        </is>
      </c>
      <c r="E835" t="inlineStr">
        <is>
          <t>FP</t>
        </is>
      </c>
      <c r="F835" t="n">
        <v>128</v>
      </c>
      <c r="G835" t="inlineStr">
        <is>
          <t>OUT</t>
        </is>
      </c>
      <c r="H835">
        <f>IF(G835="OUT",F835,-F835)</f>
        <v>128</v>
      </c>
      <c r="I835">
        <f>IF(AND(B835&gt;=DATE(2025,7,1),B835&lt;=DATE(2026,6,30)),1,0)</f>
        <v>1</v>
      </c>
      <c r="J835">
        <f>IF(B835&lt;=DATE(2026,6,30),1,0)</f>
        <v>1</v>
      </c>
      <c r="K835" t="inlineStr"/>
      <c r="L835" t="inlineStr">
        <is>
          <t>Office</t>
        </is>
      </c>
      <c r="M835">
        <f>COUNTIFS('Asset Log'!$A$5:$A$1379,A835,'Asset Log'!$E$5:$E$1379,E835,'Asset Log'!$G$5:$G$1379,G835)</f>
        <v>1</v>
      </c>
    </row>
    <row r="836">
      <c r="A836" t="inlineStr">
        <is>
          <t>D72057</t>
        </is>
      </c>
      <c r="B836" s="11" t="n">
        <v>46046</v>
      </c>
      <c r="C836" t="inlineStr">
        <is>
          <t>S0217</t>
        </is>
      </c>
      <c r="D836" t="inlineStr">
        <is>
          <t>S0217</t>
        </is>
      </c>
      <c r="E836" t="inlineStr">
        <is>
          <t>FB</t>
        </is>
      </c>
      <c r="F836" t="n">
        <v>140</v>
      </c>
      <c r="G836" t="inlineStr">
        <is>
          <t>OUT</t>
        </is>
      </c>
      <c r="H836">
        <f>IF(G836="OUT",F836,-F836)</f>
        <v>140</v>
      </c>
      <c r="I836">
        <f>IF(AND(B836&gt;=DATE(2025,7,1),B836&lt;=DATE(2026,6,30)),1,0)</f>
        <v>1</v>
      </c>
      <c r="J836">
        <f>IF(B836&lt;=DATE(2026,6,30),1,0)</f>
        <v>1</v>
      </c>
      <c r="K836" t="inlineStr"/>
      <c r="L836" t="inlineStr">
        <is>
          <t>Office</t>
        </is>
      </c>
      <c r="M836">
        <f>COUNTIFS('Asset Log'!$A$5:$A$1379,A836,'Asset Log'!$E$5:$E$1379,E836,'Asset Log'!$G$5:$G$1379,G836)</f>
        <v>1</v>
      </c>
    </row>
    <row r="837">
      <c r="A837" t="inlineStr">
        <is>
          <t>D72481</t>
        </is>
      </c>
      <c r="B837" s="11" t="n">
        <v>46046</v>
      </c>
      <c r="C837" t="inlineStr">
        <is>
          <t>S0314</t>
        </is>
      </c>
      <c r="D837" t="inlineStr">
        <is>
          <t>S0314</t>
        </is>
      </c>
      <c r="E837" t="inlineStr">
        <is>
          <t>TK</t>
        </is>
      </c>
      <c r="F837" t="n">
        <v>1</v>
      </c>
      <c r="G837" t="inlineStr">
        <is>
          <t>IN</t>
        </is>
      </c>
      <c r="H837">
        <f>IF(G837="OUT",F837,-F837)</f>
        <v>-1</v>
      </c>
      <c r="I837">
        <f>IF(AND(B837&gt;=DATE(2025,7,1),B837&lt;=DATE(2026,6,30)),1,0)</f>
        <v>1</v>
      </c>
      <c r="J837">
        <f>IF(B837&lt;=DATE(2026,6,30),1,0)</f>
        <v>1</v>
      </c>
      <c r="K837" t="inlineStr"/>
      <c r="L837" t="inlineStr">
        <is>
          <t>Office</t>
        </is>
      </c>
      <c r="M837">
        <f>COUNTIFS('Asset Log'!$A$5:$A$1379,A837,'Asset Log'!$E$5:$E$1379,E837,'Asset Log'!$G$5:$G$1379,G837)</f>
        <v>1</v>
      </c>
    </row>
    <row r="838">
      <c r="A838" t="inlineStr">
        <is>
          <t>D70554</t>
        </is>
      </c>
      <c r="B838" s="11" t="n">
        <v>46047</v>
      </c>
      <c r="C838" t="inlineStr">
        <is>
          <t>S0061</t>
        </is>
      </c>
      <c r="D838" t="inlineStr">
        <is>
          <t>S0061</t>
        </is>
      </c>
      <c r="E838" t="inlineStr">
        <is>
          <t>FP</t>
        </is>
      </c>
      <c r="F838" t="n">
        <v>127</v>
      </c>
      <c r="G838" t="inlineStr">
        <is>
          <t>IN</t>
        </is>
      </c>
      <c r="H838">
        <f>IF(G838="OUT",F838,-F838)</f>
        <v>-127</v>
      </c>
      <c r="I838">
        <f>IF(AND(B838&gt;=DATE(2025,7,1),B838&lt;=DATE(2026,6,30)),1,0)</f>
        <v>1</v>
      </c>
      <c r="J838">
        <f>IF(B838&lt;=DATE(2026,6,30),1,0)</f>
        <v>1</v>
      </c>
      <c r="K838" t="inlineStr"/>
      <c r="L838" t="inlineStr">
        <is>
          <t>Driver</t>
        </is>
      </c>
      <c r="M838">
        <f>COUNTIFS('Asset Log'!$A$5:$A$1379,A838,'Asset Log'!$E$5:$E$1379,E838,'Asset Log'!$G$5:$G$1379,G838)</f>
        <v>1</v>
      </c>
    </row>
    <row r="839">
      <c r="A839" t="inlineStr">
        <is>
          <t>D70559</t>
        </is>
      </c>
      <c r="B839" s="11" t="n">
        <v>46047</v>
      </c>
      <c r="C839" t="inlineStr">
        <is>
          <t>S0061</t>
        </is>
      </c>
      <c r="D839" t="inlineStr">
        <is>
          <t>S0061</t>
        </is>
      </c>
      <c r="E839" t="inlineStr">
        <is>
          <t>FB</t>
        </is>
      </c>
      <c r="F839" t="n">
        <v>139</v>
      </c>
      <c r="G839" t="inlineStr">
        <is>
          <t>IN</t>
        </is>
      </c>
      <c r="H839">
        <f>IF(G839="OUT",F839,-F839)</f>
        <v>-139</v>
      </c>
      <c r="I839">
        <f>IF(AND(B839&gt;=DATE(2025,7,1),B839&lt;=DATE(2026,6,30)),1,0)</f>
        <v>1</v>
      </c>
      <c r="J839">
        <f>IF(B839&lt;=DATE(2026,6,30),1,0)</f>
        <v>1</v>
      </c>
      <c r="K839" t="inlineStr"/>
      <c r="L839" t="inlineStr">
        <is>
          <t>Yard</t>
        </is>
      </c>
      <c r="M839">
        <f>COUNTIFS('Asset Log'!$A$5:$A$1379,A839,'Asset Log'!$E$5:$E$1379,E839,'Asset Log'!$G$5:$G$1379,G839)</f>
        <v>1</v>
      </c>
    </row>
    <row r="840">
      <c r="A840" t="inlineStr">
        <is>
          <t>D70563</t>
        </is>
      </c>
      <c r="B840" s="11" t="n">
        <v>46047</v>
      </c>
      <c r="C840" t="inlineStr">
        <is>
          <t>S0061</t>
        </is>
      </c>
      <c r="D840" t="inlineStr">
        <is>
          <t>S0061</t>
        </is>
      </c>
      <c r="E840" t="inlineStr">
        <is>
          <t>BR</t>
        </is>
      </c>
      <c r="F840" t="n">
        <v>12</v>
      </c>
      <c r="G840" t="inlineStr">
        <is>
          <t>IN</t>
        </is>
      </c>
      <c r="H840">
        <f>IF(G840="OUT",F840,-F840)</f>
        <v>-12</v>
      </c>
      <c r="I840">
        <f>IF(AND(B840&gt;=DATE(2025,7,1),B840&lt;=DATE(2026,6,30)),1,0)</f>
        <v>1</v>
      </c>
      <c r="J840">
        <f>IF(B840&lt;=DATE(2026,6,30),1,0)</f>
        <v>1</v>
      </c>
      <c r="K840" t="inlineStr"/>
      <c r="L840" t="inlineStr">
        <is>
          <t>Office</t>
        </is>
      </c>
      <c r="M840">
        <f>COUNTIFS('Asset Log'!$A$5:$A$1379,A840,'Asset Log'!$E$5:$E$1379,E840,'Asset Log'!$G$5:$G$1379,G840)</f>
        <v>1</v>
      </c>
    </row>
    <row r="841">
      <c r="A841" t="inlineStr">
        <is>
          <t>D72360</t>
        </is>
      </c>
      <c r="B841" s="11" t="n">
        <v>46047</v>
      </c>
      <c r="C841" t="inlineStr">
        <is>
          <t>S0272</t>
        </is>
      </c>
      <c r="D841" t="inlineStr">
        <is>
          <t>S0272</t>
        </is>
      </c>
      <c r="E841" t="inlineStr">
        <is>
          <t>ST</t>
        </is>
      </c>
      <c r="F841" t="n">
        <v>1</v>
      </c>
      <c r="G841" t="inlineStr">
        <is>
          <t>IN</t>
        </is>
      </c>
      <c r="H841">
        <f>IF(G841="OUT",F841,-F841)</f>
        <v>-1</v>
      </c>
      <c r="I841">
        <f>IF(AND(B841&gt;=DATE(2025,7,1),B841&lt;=DATE(2026,6,30)),1,0)</f>
        <v>1</v>
      </c>
      <c r="J841">
        <f>IF(B841&lt;=DATE(2026,6,30),1,0)</f>
        <v>1</v>
      </c>
      <c r="K841" t="inlineStr"/>
      <c r="L841" t="inlineStr">
        <is>
          <t>Driver</t>
        </is>
      </c>
      <c r="M841">
        <f>COUNTIFS('Asset Log'!$A$5:$A$1379,A841,'Asset Log'!$E$5:$E$1379,E841,'Asset Log'!$G$5:$G$1379,G841)</f>
        <v>1</v>
      </c>
    </row>
    <row r="842">
      <c r="A842" t="inlineStr">
        <is>
          <t>D72813</t>
        </is>
      </c>
      <c r="B842" s="11" t="n">
        <v>46047</v>
      </c>
      <c r="C842" t="inlineStr">
        <is>
          <t>S0528</t>
        </is>
      </c>
      <c r="D842" t="inlineStr">
        <is>
          <t>S0528</t>
        </is>
      </c>
      <c r="E842" t="inlineStr">
        <is>
          <t>TK</t>
        </is>
      </c>
      <c r="F842" t="n">
        <v>3</v>
      </c>
      <c r="G842" t="inlineStr">
        <is>
          <t>OUT</t>
        </is>
      </c>
      <c r="H842">
        <f>IF(G842="OUT",F842,-F842)</f>
        <v>3</v>
      </c>
      <c r="I842">
        <f>IF(AND(B842&gt;=DATE(2025,7,1),B842&lt;=DATE(2026,6,30)),1,0)</f>
        <v>1</v>
      </c>
      <c r="J842">
        <f>IF(B842&lt;=DATE(2026,6,30),1,0)</f>
        <v>1</v>
      </c>
      <c r="K842" t="inlineStr"/>
      <c r="L842" t="inlineStr">
        <is>
          <t>Yard</t>
        </is>
      </c>
      <c r="M842">
        <f>COUNTIFS('Asset Log'!$A$5:$A$1379,A842,'Asset Log'!$E$5:$E$1379,E842,'Asset Log'!$G$5:$G$1379,G842)</f>
        <v>1</v>
      </c>
    </row>
    <row r="843">
      <c r="A843" t="inlineStr">
        <is>
          <t>D70336</t>
        </is>
      </c>
      <c r="B843" s="11" t="n">
        <v>46048</v>
      </c>
      <c r="C843" t="inlineStr">
        <is>
          <t>s036</t>
        </is>
      </c>
      <c r="D843" t="inlineStr">
        <is>
          <t>S0036</t>
        </is>
      </c>
      <c r="E843" t="inlineStr">
        <is>
          <t>FP</t>
        </is>
      </c>
      <c r="F843" t="n">
        <v>173</v>
      </c>
      <c r="G843" t="inlineStr">
        <is>
          <t>IN</t>
        </is>
      </c>
      <c r="H843">
        <f>IF(G843="OUT",F843,-F843)</f>
        <v>-173</v>
      </c>
      <c r="I843">
        <f>IF(AND(B843&gt;=DATE(2025,7,1),B843&lt;=DATE(2026,6,30)),1,0)</f>
        <v>1</v>
      </c>
      <c r="J843">
        <f>IF(B843&lt;=DATE(2026,6,30),1,0)</f>
        <v>1</v>
      </c>
      <c r="K843" t="inlineStr">
        <is>
          <t>Site text normalised</t>
        </is>
      </c>
      <c r="L843" t="inlineStr">
        <is>
          <t>Yard</t>
        </is>
      </c>
      <c r="M843">
        <f>COUNTIFS('Asset Log'!$A$5:$A$1379,A843,'Asset Log'!$E$5:$E$1379,E843,'Asset Log'!$G$5:$G$1379,G843)</f>
        <v>1</v>
      </c>
    </row>
    <row r="844">
      <c r="A844" t="inlineStr">
        <is>
          <t>D70342</t>
        </is>
      </c>
      <c r="B844" s="11" t="n">
        <v>46048</v>
      </c>
      <c r="C844" t="inlineStr">
        <is>
          <t>S0036</t>
        </is>
      </c>
      <c r="D844" t="inlineStr">
        <is>
          <t>S0036</t>
        </is>
      </c>
      <c r="E844" t="inlineStr">
        <is>
          <t>FB</t>
        </is>
      </c>
      <c r="F844" t="n">
        <v>187</v>
      </c>
      <c r="G844" t="inlineStr">
        <is>
          <t>IN</t>
        </is>
      </c>
      <c r="H844">
        <f>IF(G844="OUT",F844,-F844)</f>
        <v>-187</v>
      </c>
      <c r="I844">
        <f>IF(AND(B844&gt;=DATE(2025,7,1),B844&lt;=DATE(2026,6,30)),1,0)</f>
        <v>1</v>
      </c>
      <c r="J844">
        <f>IF(B844&lt;=DATE(2026,6,30),1,0)</f>
        <v>1</v>
      </c>
      <c r="K844" t="inlineStr"/>
      <c r="L844" t="inlineStr">
        <is>
          <t>Yard</t>
        </is>
      </c>
      <c r="M844">
        <f>COUNTIFS('Asset Log'!$A$5:$A$1379,A844,'Asset Log'!$E$5:$E$1379,E844,'Asset Log'!$G$5:$G$1379,G844)</f>
        <v>1</v>
      </c>
    </row>
    <row r="845">
      <c r="A845" t="inlineStr">
        <is>
          <t>D70928</t>
        </is>
      </c>
      <c r="B845" s="11" t="n">
        <v>46048</v>
      </c>
      <c r="C845" t="inlineStr">
        <is>
          <t>S0099</t>
        </is>
      </c>
      <c r="D845" t="inlineStr">
        <is>
          <t>S0099</t>
        </is>
      </c>
      <c r="E845" t="inlineStr">
        <is>
          <t>FP</t>
        </is>
      </c>
      <c r="F845" t="n">
        <v>70</v>
      </c>
      <c r="G845" t="inlineStr">
        <is>
          <t>OUT</t>
        </is>
      </c>
      <c r="H845">
        <f>IF(G845="OUT",F845,-F845)</f>
        <v>70</v>
      </c>
      <c r="I845">
        <f>IF(AND(B845&gt;=DATE(2025,7,1),B845&lt;=DATE(2026,6,30)),1,0)</f>
        <v>1</v>
      </c>
      <c r="J845">
        <f>IF(B845&lt;=DATE(2026,6,30),1,0)</f>
        <v>1</v>
      </c>
      <c r="K845" t="inlineStr"/>
      <c r="L845" t="inlineStr">
        <is>
          <t>Driver</t>
        </is>
      </c>
      <c r="M845">
        <f>COUNTIFS('Asset Log'!$A$5:$A$1379,A845,'Asset Log'!$E$5:$E$1379,E845,'Asset Log'!$G$5:$G$1379,G845)</f>
        <v>1</v>
      </c>
    </row>
    <row r="846">
      <c r="A846" t="inlineStr">
        <is>
          <t>D70929</t>
        </is>
      </c>
      <c r="B846" s="11" t="n">
        <v>46048</v>
      </c>
      <c r="C846" t="inlineStr">
        <is>
          <t>S0099</t>
        </is>
      </c>
      <c r="D846" t="inlineStr">
        <is>
          <t>S0099</t>
        </is>
      </c>
      <c r="E846" t="inlineStr">
        <is>
          <t>FB</t>
        </is>
      </c>
      <c r="F846" t="n">
        <v>77</v>
      </c>
      <c r="G846" t="inlineStr">
        <is>
          <t>OUT</t>
        </is>
      </c>
      <c r="H846">
        <f>IF(G846="OUT",F846,-F846)</f>
        <v>77</v>
      </c>
      <c r="I846">
        <f>IF(AND(B846&gt;=DATE(2025,7,1),B846&lt;=DATE(2026,6,30)),1,0)</f>
        <v>1</v>
      </c>
      <c r="J846">
        <f>IF(B846&lt;=DATE(2026,6,30),1,0)</f>
        <v>1</v>
      </c>
      <c r="K846" t="inlineStr"/>
      <c r="L846" t="inlineStr">
        <is>
          <t>Office</t>
        </is>
      </c>
      <c r="M846">
        <f>COUNTIFS('Asset Log'!$A$5:$A$1379,A846,'Asset Log'!$E$5:$E$1379,E846,'Asset Log'!$G$5:$G$1379,G846)</f>
        <v>1</v>
      </c>
    </row>
    <row r="847">
      <c r="A847" t="inlineStr">
        <is>
          <t>D70931</t>
        </is>
      </c>
      <c r="B847" s="11" t="n">
        <v>46048</v>
      </c>
      <c r="C847" t="inlineStr">
        <is>
          <t>S0099</t>
        </is>
      </c>
      <c r="D847" t="inlineStr">
        <is>
          <t>S0099</t>
        </is>
      </c>
      <c r="E847" t="inlineStr">
        <is>
          <t>BR</t>
        </is>
      </c>
      <c r="F847" t="n">
        <v>10</v>
      </c>
      <c r="G847" t="inlineStr">
        <is>
          <t>OUT</t>
        </is>
      </c>
      <c r="H847">
        <f>IF(G847="OUT",F847,-F847)</f>
        <v>10</v>
      </c>
      <c r="I847">
        <f>IF(AND(B847&gt;=DATE(2025,7,1),B847&lt;=DATE(2026,6,30)),1,0)</f>
        <v>1</v>
      </c>
      <c r="J847">
        <f>IF(B847&lt;=DATE(2026,6,30),1,0)</f>
        <v>1</v>
      </c>
      <c r="K847" t="inlineStr"/>
      <c r="L847" t="inlineStr">
        <is>
          <t>Yard</t>
        </is>
      </c>
      <c r="M847">
        <f>COUNTIFS('Asset Log'!$A$5:$A$1379,A847,'Asset Log'!$E$5:$E$1379,E847,'Asset Log'!$G$5:$G$1379,G847)</f>
        <v>1</v>
      </c>
    </row>
    <row r="848">
      <c r="A848" t="inlineStr">
        <is>
          <t>D72232</t>
        </is>
      </c>
      <c r="B848" s="11" t="n">
        <v>46048</v>
      </c>
      <c r="C848" t="inlineStr">
        <is>
          <t>S0240</t>
        </is>
      </c>
      <c r="D848" t="inlineStr">
        <is>
          <t>S0240</t>
        </is>
      </c>
      <c r="E848" t="inlineStr">
        <is>
          <t>ST</t>
        </is>
      </c>
      <c r="F848" t="n">
        <v>1</v>
      </c>
      <c r="G848" t="inlineStr">
        <is>
          <t>IN</t>
        </is>
      </c>
      <c r="H848">
        <f>IF(G848="OUT",F848,-F848)</f>
        <v>-1</v>
      </c>
      <c r="I848">
        <f>IF(AND(B848&gt;=DATE(2025,7,1),B848&lt;=DATE(2026,6,30)),1,0)</f>
        <v>1</v>
      </c>
      <c r="J848">
        <f>IF(B848&lt;=DATE(2026,6,30),1,0)</f>
        <v>1</v>
      </c>
      <c r="K848" t="inlineStr"/>
      <c r="L848" t="inlineStr">
        <is>
          <t>Office</t>
        </is>
      </c>
      <c r="M848">
        <f>COUNTIFS('Asset Log'!$A$5:$A$1379,A848,'Asset Log'!$E$5:$E$1379,E848,'Asset Log'!$G$5:$G$1379,G848)</f>
        <v>1</v>
      </c>
    </row>
    <row r="849">
      <c r="A849" t="inlineStr">
        <is>
          <t>D72758</t>
        </is>
      </c>
      <c r="B849" s="11" t="n">
        <v>46048</v>
      </c>
      <c r="C849" t="inlineStr">
        <is>
          <t>S0493</t>
        </is>
      </c>
      <c r="D849" t="inlineStr">
        <is>
          <t>S0493</t>
        </is>
      </c>
      <c r="E849" t="inlineStr">
        <is>
          <t>TK</t>
        </is>
      </c>
      <c r="F849" t="n">
        <v>1</v>
      </c>
      <c r="G849" t="inlineStr">
        <is>
          <t>OUT</t>
        </is>
      </c>
      <c r="H849">
        <f>IF(G849="OUT",F849,-F849)</f>
        <v>1</v>
      </c>
      <c r="I849">
        <f>IF(AND(B849&gt;=DATE(2025,7,1),B849&lt;=DATE(2026,6,30)),1,0)</f>
        <v>1</v>
      </c>
      <c r="J849">
        <f>IF(B849&lt;=DATE(2026,6,30),1,0)</f>
        <v>1</v>
      </c>
      <c r="K849" t="inlineStr"/>
      <c r="L849" t="inlineStr">
        <is>
          <t>Yard</t>
        </is>
      </c>
      <c r="M849">
        <f>COUNTIFS('Asset Log'!$A$5:$A$1379,A849,'Asset Log'!$E$5:$E$1379,E849,'Asset Log'!$G$5:$G$1379,G849)</f>
        <v>1</v>
      </c>
    </row>
    <row r="850">
      <c r="A850" t="inlineStr">
        <is>
          <t>D71907</t>
        </is>
      </c>
      <c r="B850" s="11" t="n">
        <v>46049</v>
      </c>
      <c r="C850" t="inlineStr">
        <is>
          <t>S0202</t>
        </is>
      </c>
      <c r="D850" t="inlineStr">
        <is>
          <t>S0202</t>
        </is>
      </c>
      <c r="E850" t="inlineStr">
        <is>
          <t>FP</t>
        </is>
      </c>
      <c r="F850" t="n">
        <v>42</v>
      </c>
      <c r="G850" t="inlineStr">
        <is>
          <t>OUT</t>
        </is>
      </c>
      <c r="H850">
        <f>IF(G850="OUT",F850,-F850)</f>
        <v>42</v>
      </c>
      <c r="I850">
        <f>IF(AND(B850&gt;=DATE(2025,7,1),B850&lt;=DATE(2026,6,30)),1,0)</f>
        <v>1</v>
      </c>
      <c r="J850">
        <f>IF(B850&lt;=DATE(2026,6,30),1,0)</f>
        <v>1</v>
      </c>
      <c r="K850" t="inlineStr"/>
      <c r="L850" t="inlineStr">
        <is>
          <t>Driver</t>
        </is>
      </c>
      <c r="M850">
        <f>COUNTIFS('Asset Log'!$A$5:$A$1379,A850,'Asset Log'!$E$5:$E$1379,E850,'Asset Log'!$G$5:$G$1379,G850)</f>
        <v>1</v>
      </c>
    </row>
    <row r="851">
      <c r="A851" t="inlineStr">
        <is>
          <t>D71911</t>
        </is>
      </c>
      <c r="B851" s="11" t="n">
        <v>46049</v>
      </c>
      <c r="C851" t="inlineStr">
        <is>
          <t>S0202</t>
        </is>
      </c>
      <c r="D851" t="inlineStr">
        <is>
          <t>S0202</t>
        </is>
      </c>
      <c r="E851" t="inlineStr">
        <is>
          <t>FB</t>
        </is>
      </c>
      <c r="F851" t="n">
        <v>46</v>
      </c>
      <c r="G851" t="inlineStr">
        <is>
          <t>OUT</t>
        </is>
      </c>
      <c r="H851">
        <f>IF(G851="OUT",F851,-F851)</f>
        <v>46</v>
      </c>
      <c r="I851">
        <f>IF(AND(B851&gt;=DATE(2025,7,1),B851&lt;=DATE(2026,6,30)),1,0)</f>
        <v>1</v>
      </c>
      <c r="J851">
        <f>IF(B851&lt;=DATE(2026,6,30),1,0)</f>
        <v>1</v>
      </c>
      <c r="K851" t="inlineStr"/>
      <c r="L851" t="inlineStr">
        <is>
          <t>Office</t>
        </is>
      </c>
      <c r="M851">
        <f>COUNTIFS('Asset Log'!$A$5:$A$1379,A851,'Asset Log'!$E$5:$E$1379,E851,'Asset Log'!$G$5:$G$1379,G851)</f>
        <v>1</v>
      </c>
    </row>
    <row r="852">
      <c r="A852" t="inlineStr">
        <is>
          <t>D71913</t>
        </is>
      </c>
      <c r="B852" s="11" t="n">
        <v>46049</v>
      </c>
      <c r="C852" t="inlineStr">
        <is>
          <t>S0202</t>
        </is>
      </c>
      <c r="D852" t="inlineStr">
        <is>
          <t>S0202</t>
        </is>
      </c>
      <c r="E852" t="inlineStr">
        <is>
          <t>BR</t>
        </is>
      </c>
      <c r="F852" t="n">
        <v>18</v>
      </c>
      <c r="G852" t="inlineStr">
        <is>
          <t>OUT</t>
        </is>
      </c>
      <c r="H852">
        <f>IF(G852="OUT",F852,-F852)</f>
        <v>18</v>
      </c>
      <c r="I852">
        <f>IF(AND(B852&gt;=DATE(2025,7,1),B852&lt;=DATE(2026,6,30)),1,0)</f>
        <v>1</v>
      </c>
      <c r="J852">
        <f>IF(B852&lt;=DATE(2026,6,30),1,0)</f>
        <v>1</v>
      </c>
      <c r="K852" t="inlineStr"/>
      <c r="L852" t="inlineStr">
        <is>
          <t>Office</t>
        </is>
      </c>
      <c r="M852">
        <f>COUNTIFS('Asset Log'!$A$5:$A$1379,A852,'Asset Log'!$E$5:$E$1379,E852,'Asset Log'!$G$5:$G$1379,G852)</f>
        <v>1</v>
      </c>
    </row>
    <row r="853">
      <c r="A853" t="inlineStr">
        <is>
          <t>D72246</t>
        </is>
      </c>
      <c r="B853" s="11" t="n">
        <v>46049</v>
      </c>
      <c r="C853" t="inlineStr">
        <is>
          <t>S0245</t>
        </is>
      </c>
      <c r="D853" t="inlineStr">
        <is>
          <t>S0245</t>
        </is>
      </c>
      <c r="E853" t="inlineStr">
        <is>
          <t>ST</t>
        </is>
      </c>
      <c r="F853" t="n">
        <v>4</v>
      </c>
      <c r="G853" t="inlineStr">
        <is>
          <t>OUT</t>
        </is>
      </c>
      <c r="H853">
        <f>IF(G853="OUT",F853,-F853)</f>
        <v>4</v>
      </c>
      <c r="I853">
        <f>IF(AND(B853&gt;=DATE(2025,7,1),B853&lt;=DATE(2026,6,30)),1,0)</f>
        <v>1</v>
      </c>
      <c r="J853">
        <f>IF(B853&lt;=DATE(2026,6,30),1,0)</f>
        <v>1</v>
      </c>
      <c r="K853" t="inlineStr"/>
      <c r="L853" t="inlineStr">
        <is>
          <t>Yard</t>
        </is>
      </c>
      <c r="M853">
        <f>COUNTIFS('Asset Log'!$A$5:$A$1379,A853,'Asset Log'!$E$5:$E$1379,E853,'Asset Log'!$G$5:$G$1379,G853)</f>
        <v>1</v>
      </c>
    </row>
    <row r="854">
      <c r="A854" t="inlineStr">
        <is>
          <t>D72708</t>
        </is>
      </c>
      <c r="B854" s="11" t="n">
        <v>46049</v>
      </c>
      <c r="C854" t="inlineStr">
        <is>
          <t>s453</t>
        </is>
      </c>
      <c r="D854" t="inlineStr">
        <is>
          <t>S0453</t>
        </is>
      </c>
      <c r="E854" t="inlineStr">
        <is>
          <t>TK</t>
        </is>
      </c>
      <c r="F854" t="n">
        <v>1</v>
      </c>
      <c r="G854" t="inlineStr">
        <is>
          <t>OUT</t>
        </is>
      </c>
      <c r="H854">
        <f>IF(G854="OUT",F854,-F854)</f>
        <v>1</v>
      </c>
      <c r="I854">
        <f>IF(AND(B854&gt;=DATE(2025,7,1),B854&lt;=DATE(2026,6,30)),1,0)</f>
        <v>1</v>
      </c>
      <c r="J854">
        <f>IF(B854&lt;=DATE(2026,6,30),1,0)</f>
        <v>1</v>
      </c>
      <c r="K854" t="inlineStr">
        <is>
          <t>Site text normalised</t>
        </is>
      </c>
      <c r="L854" t="inlineStr">
        <is>
          <t>Office</t>
        </is>
      </c>
      <c r="M854">
        <f>COUNTIFS('Asset Log'!$A$5:$A$1379,A854,'Asset Log'!$E$5:$E$1379,E854,'Asset Log'!$G$5:$G$1379,G854)</f>
        <v>1</v>
      </c>
    </row>
    <row r="855">
      <c r="A855" t="inlineStr">
        <is>
          <t>D70932</t>
        </is>
      </c>
      <c r="B855" s="11" t="n">
        <v>46050</v>
      </c>
      <c r="C855" t="inlineStr">
        <is>
          <t>S0100</t>
        </is>
      </c>
      <c r="D855" t="inlineStr">
        <is>
          <t>S0100</t>
        </is>
      </c>
      <c r="E855" t="inlineStr">
        <is>
          <t>FP</t>
        </is>
      </c>
      <c r="F855" t="n">
        <v>141</v>
      </c>
      <c r="G855" t="inlineStr">
        <is>
          <t>OUT</t>
        </is>
      </c>
      <c r="H855">
        <f>IF(G855="OUT",F855,-F855)</f>
        <v>141</v>
      </c>
      <c r="I855">
        <f>IF(AND(B855&gt;=DATE(2025,7,1),B855&lt;=DATE(2026,6,30)),1,0)</f>
        <v>1</v>
      </c>
      <c r="J855">
        <f>IF(B855&lt;=DATE(2026,6,30),1,0)</f>
        <v>1</v>
      </c>
      <c r="K855" t="inlineStr"/>
      <c r="L855" t="inlineStr">
        <is>
          <t>Yard</t>
        </is>
      </c>
      <c r="M855">
        <f>COUNTIFS('Asset Log'!$A$5:$A$1379,A855,'Asset Log'!$E$5:$E$1379,E855,'Asset Log'!$G$5:$G$1379,G855)</f>
        <v>1</v>
      </c>
    </row>
    <row r="856">
      <c r="A856" t="inlineStr">
        <is>
          <t>D70933</t>
        </is>
      </c>
      <c r="B856" s="11" t="n">
        <v>46050</v>
      </c>
      <c r="C856" t="inlineStr">
        <is>
          <t>S0100</t>
        </is>
      </c>
      <c r="D856" t="inlineStr">
        <is>
          <t>S0100</t>
        </is>
      </c>
      <c r="E856" t="inlineStr">
        <is>
          <t>FB</t>
        </is>
      </c>
      <c r="F856" t="n">
        <v>155</v>
      </c>
      <c r="G856" t="inlineStr">
        <is>
          <t>OUT</t>
        </is>
      </c>
      <c r="H856">
        <f>IF(G856="OUT",F856,-F856)</f>
        <v>155</v>
      </c>
      <c r="I856">
        <f>IF(AND(B856&gt;=DATE(2025,7,1),B856&lt;=DATE(2026,6,30)),1,0)</f>
        <v>1</v>
      </c>
      <c r="J856">
        <f>IF(B856&lt;=DATE(2026,6,30),1,0)</f>
        <v>1</v>
      </c>
      <c r="K856" t="inlineStr"/>
      <c r="L856" t="inlineStr">
        <is>
          <t>Yard</t>
        </is>
      </c>
      <c r="M856">
        <f>COUNTIFS('Asset Log'!$A$5:$A$1379,A856,'Asset Log'!$E$5:$E$1379,E856,'Asset Log'!$G$5:$G$1379,G856)</f>
        <v>1</v>
      </c>
    </row>
    <row r="857">
      <c r="A857" t="inlineStr">
        <is>
          <t>D70936</t>
        </is>
      </c>
      <c r="B857" s="11" t="n">
        <v>46050</v>
      </c>
      <c r="C857" t="inlineStr">
        <is>
          <t>S0100</t>
        </is>
      </c>
      <c r="D857" t="inlineStr">
        <is>
          <t>S0100</t>
        </is>
      </c>
      <c r="E857" t="inlineStr">
        <is>
          <t>BR</t>
        </is>
      </c>
      <c r="F857" t="n">
        <v>14</v>
      </c>
      <c r="G857" t="inlineStr">
        <is>
          <t>OUT</t>
        </is>
      </c>
      <c r="H857">
        <f>IF(G857="OUT",F857,-F857)</f>
        <v>14</v>
      </c>
      <c r="I857">
        <f>IF(AND(B857&gt;=DATE(2025,7,1),B857&lt;=DATE(2026,6,30)),1,0)</f>
        <v>1</v>
      </c>
      <c r="J857">
        <f>IF(B857&lt;=DATE(2026,6,30),1,0)</f>
        <v>1</v>
      </c>
      <c r="K857" t="inlineStr"/>
      <c r="L857" t="inlineStr">
        <is>
          <t>Driver</t>
        </is>
      </c>
      <c r="M857">
        <f>COUNTIFS('Asset Log'!$A$5:$A$1379,A857,'Asset Log'!$E$5:$E$1379,E857,'Asset Log'!$G$5:$G$1379,G857)</f>
        <v>1</v>
      </c>
    </row>
    <row r="858">
      <c r="A858" t="inlineStr">
        <is>
          <t>D71560</t>
        </is>
      </c>
      <c r="B858" s="11" t="n">
        <v>46051</v>
      </c>
      <c r="C858" t="inlineStr">
        <is>
          <t>S0162</t>
        </is>
      </c>
      <c r="D858" t="inlineStr">
        <is>
          <t>S0162</t>
        </is>
      </c>
      <c r="E858" t="inlineStr">
        <is>
          <t>FP</t>
        </is>
      </c>
      <c r="F858" t="n">
        <v>100</v>
      </c>
      <c r="G858" t="inlineStr">
        <is>
          <t>OUT</t>
        </is>
      </c>
      <c r="H858">
        <f>IF(G858="OUT",F858,-F858)</f>
        <v>100</v>
      </c>
      <c r="I858">
        <f>IF(AND(B858&gt;=DATE(2025,7,1),B858&lt;=DATE(2026,6,30)),1,0)</f>
        <v>1</v>
      </c>
      <c r="J858">
        <f>IF(B858&lt;=DATE(2026,6,30),1,0)</f>
        <v>1</v>
      </c>
      <c r="K858" t="inlineStr"/>
      <c r="L858" t="inlineStr">
        <is>
          <t>Yard</t>
        </is>
      </c>
      <c r="M858">
        <f>COUNTIFS('Asset Log'!$A$5:$A$1379,A858,'Asset Log'!$E$5:$E$1379,E858,'Asset Log'!$G$5:$G$1379,G858)</f>
        <v>1</v>
      </c>
    </row>
    <row r="859">
      <c r="A859" t="inlineStr">
        <is>
          <t>D71565</t>
        </is>
      </c>
      <c r="B859" s="11" t="n">
        <v>46051</v>
      </c>
      <c r="C859" t="inlineStr">
        <is>
          <t>s162</t>
        </is>
      </c>
      <c r="D859" t="inlineStr">
        <is>
          <t>S0162</t>
        </is>
      </c>
      <c r="E859" t="inlineStr">
        <is>
          <t>FB</t>
        </is>
      </c>
      <c r="F859" t="n">
        <v>110</v>
      </c>
      <c r="G859" t="inlineStr">
        <is>
          <t>OUT</t>
        </is>
      </c>
      <c r="H859">
        <f>IF(G859="OUT",F859,-F859)</f>
        <v>110</v>
      </c>
      <c r="I859">
        <f>IF(AND(B859&gt;=DATE(2025,7,1),B859&lt;=DATE(2026,6,30)),1,0)</f>
        <v>1</v>
      </c>
      <c r="J859">
        <f>IF(B859&lt;=DATE(2026,6,30),1,0)</f>
        <v>1</v>
      </c>
      <c r="K859" t="inlineStr">
        <is>
          <t>Site text normalised</t>
        </is>
      </c>
      <c r="L859" t="inlineStr">
        <is>
          <t>Office</t>
        </is>
      </c>
      <c r="M859">
        <f>COUNTIFS('Asset Log'!$A$5:$A$1379,A859,'Asset Log'!$E$5:$E$1379,E859,'Asset Log'!$G$5:$G$1379,G859)</f>
        <v>1</v>
      </c>
    </row>
    <row r="860">
      <c r="A860" t="inlineStr">
        <is>
          <t>D72205</t>
        </is>
      </c>
      <c r="B860" s="11" t="n">
        <v>46051</v>
      </c>
      <c r="C860" t="inlineStr">
        <is>
          <t>S0233 St Kilda</t>
        </is>
      </c>
      <c r="D860" t="inlineStr">
        <is>
          <t>S0233</t>
        </is>
      </c>
      <c r="E860" t="inlineStr">
        <is>
          <t>ST</t>
        </is>
      </c>
      <c r="F860" t="n">
        <v>2</v>
      </c>
      <c r="G860" t="inlineStr">
        <is>
          <t>IN</t>
        </is>
      </c>
      <c r="H860">
        <f>IF(G860="OUT",F860,-F860)</f>
        <v>-2</v>
      </c>
      <c r="I860">
        <f>IF(AND(B860&gt;=DATE(2025,7,1),B860&lt;=DATE(2026,6,30)),1,0)</f>
        <v>1</v>
      </c>
      <c r="J860">
        <f>IF(B860&lt;=DATE(2026,6,30),1,0)</f>
        <v>1</v>
      </c>
      <c r="K860" t="inlineStr">
        <is>
          <t>Site text normalised</t>
        </is>
      </c>
      <c r="L860" t="inlineStr">
        <is>
          <t>Driver</t>
        </is>
      </c>
      <c r="M860">
        <f>COUNTIFS('Asset Log'!$A$5:$A$1379,A860,'Asset Log'!$E$5:$E$1379,E860,'Asset Log'!$G$5:$G$1379,G860)</f>
        <v>1</v>
      </c>
    </row>
    <row r="861">
      <c r="A861" t="inlineStr">
        <is>
          <t>D72698</t>
        </is>
      </c>
      <c r="B861" s="11" t="n">
        <v>46051</v>
      </c>
      <c r="C861" t="inlineStr">
        <is>
          <t>S0445</t>
        </is>
      </c>
      <c r="D861" t="inlineStr">
        <is>
          <t>S0445</t>
        </is>
      </c>
      <c r="E861" t="inlineStr">
        <is>
          <t>TK</t>
        </is>
      </c>
      <c r="F861" t="n">
        <v>2</v>
      </c>
      <c r="G861" t="inlineStr">
        <is>
          <t>IN</t>
        </is>
      </c>
      <c r="H861">
        <f>IF(G861="OUT",F861,-F861)</f>
        <v>-2</v>
      </c>
      <c r="I861">
        <f>IF(AND(B861&gt;=DATE(2025,7,1),B861&lt;=DATE(2026,6,30)),1,0)</f>
        <v>1</v>
      </c>
      <c r="J861">
        <f>IF(B861&lt;=DATE(2026,6,30),1,0)</f>
        <v>1</v>
      </c>
      <c r="K861" t="inlineStr"/>
      <c r="L861" t="inlineStr">
        <is>
          <t>Office</t>
        </is>
      </c>
      <c r="M861">
        <f>COUNTIFS('Asset Log'!$A$5:$A$1379,A861,'Asset Log'!$E$5:$E$1379,E861,'Asset Log'!$G$5:$G$1379,G861)</f>
        <v>1</v>
      </c>
    </row>
    <row r="862">
      <c r="A862" t="inlineStr">
        <is>
          <t>D70525</t>
        </is>
      </c>
      <c r="B862" s="11" t="n">
        <v>46053</v>
      </c>
      <c r="C862" t="inlineStr">
        <is>
          <t>S0057</t>
        </is>
      </c>
      <c r="D862" t="inlineStr">
        <is>
          <t>S0057</t>
        </is>
      </c>
      <c r="E862" t="inlineStr">
        <is>
          <t>FP</t>
        </is>
      </c>
      <c r="F862" t="n">
        <v>133</v>
      </c>
      <c r="G862" t="inlineStr">
        <is>
          <t>OUT</t>
        </is>
      </c>
      <c r="H862">
        <f>IF(G862="OUT",F862,-F862)</f>
        <v>133</v>
      </c>
      <c r="I862">
        <f>IF(AND(B862&gt;=DATE(2025,7,1),B862&lt;=DATE(2026,6,30)),1,0)</f>
        <v>1</v>
      </c>
      <c r="J862">
        <f>IF(B862&lt;=DATE(2026,6,30),1,0)</f>
        <v>1</v>
      </c>
      <c r="K862" t="inlineStr"/>
      <c r="L862" t="inlineStr">
        <is>
          <t>Office</t>
        </is>
      </c>
      <c r="M862">
        <f>COUNTIFS('Asset Log'!$A$5:$A$1379,A862,'Asset Log'!$E$5:$E$1379,E862,'Asset Log'!$G$5:$G$1379,G862)</f>
        <v>1</v>
      </c>
    </row>
    <row r="863">
      <c r="A863" t="inlineStr">
        <is>
          <t>D70528</t>
        </is>
      </c>
      <c r="B863" s="11" t="n">
        <v>46053</v>
      </c>
      <c r="C863" t="inlineStr">
        <is>
          <t>S0057</t>
        </is>
      </c>
      <c r="D863" t="inlineStr">
        <is>
          <t>S0057</t>
        </is>
      </c>
      <c r="E863" t="inlineStr">
        <is>
          <t>FB</t>
        </is>
      </c>
      <c r="F863" t="n">
        <v>146</v>
      </c>
      <c r="G863" t="inlineStr">
        <is>
          <t>OUT</t>
        </is>
      </c>
      <c r="H863">
        <f>IF(G863="OUT",F863,-F863)</f>
        <v>146</v>
      </c>
      <c r="I863">
        <f>IF(AND(B863&gt;=DATE(2025,7,1),B863&lt;=DATE(2026,6,30)),1,0)</f>
        <v>1</v>
      </c>
      <c r="J863">
        <f>IF(B863&lt;=DATE(2026,6,30),1,0)</f>
        <v>1</v>
      </c>
      <c r="K863" t="inlineStr"/>
      <c r="L863" t="inlineStr">
        <is>
          <t>Office</t>
        </is>
      </c>
      <c r="M863">
        <f>COUNTIFS('Asset Log'!$A$5:$A$1379,A863,'Asset Log'!$E$5:$E$1379,E863,'Asset Log'!$G$5:$G$1379,G863)</f>
        <v>1</v>
      </c>
    </row>
    <row r="864">
      <c r="A864" t="inlineStr">
        <is>
          <t>D72763</t>
        </is>
      </c>
      <c r="B864" s="11" t="n">
        <v>46053</v>
      </c>
      <c r="C864" t="inlineStr">
        <is>
          <t>S0496</t>
        </is>
      </c>
      <c r="D864" t="inlineStr">
        <is>
          <t>S0496</t>
        </is>
      </c>
      <c r="E864" t="inlineStr">
        <is>
          <t>TK</t>
        </is>
      </c>
      <c r="F864" t="n">
        <v>1</v>
      </c>
      <c r="G864" t="inlineStr">
        <is>
          <t>IN</t>
        </is>
      </c>
      <c r="H864">
        <f>IF(G864="OUT",F864,-F864)</f>
        <v>-1</v>
      </c>
      <c r="I864">
        <f>IF(AND(B864&gt;=DATE(2025,7,1),B864&lt;=DATE(2026,6,30)),1,0)</f>
        <v>1</v>
      </c>
      <c r="J864">
        <f>IF(B864&lt;=DATE(2026,6,30),1,0)</f>
        <v>1</v>
      </c>
      <c r="K864" t="inlineStr"/>
      <c r="L864" t="inlineStr">
        <is>
          <t>Yard</t>
        </is>
      </c>
      <c r="M864">
        <f>COUNTIFS('Asset Log'!$A$5:$A$1379,A864,'Asset Log'!$E$5:$E$1379,E864,'Asset Log'!$G$5:$G$1379,G864)</f>
        <v>1</v>
      </c>
    </row>
    <row r="865">
      <c r="A865" t="inlineStr">
        <is>
          <t>D71843</t>
        </is>
      </c>
      <c r="B865" s="11" t="n">
        <v>46054</v>
      </c>
      <c r="C865" t="inlineStr">
        <is>
          <t>S0195</t>
        </is>
      </c>
      <c r="D865" t="inlineStr">
        <is>
          <t>S0195</t>
        </is>
      </c>
      <c r="E865" t="inlineStr">
        <is>
          <t>FP</t>
        </is>
      </c>
      <c r="F865" t="n">
        <v>20</v>
      </c>
      <c r="G865" t="inlineStr">
        <is>
          <t>IN</t>
        </is>
      </c>
      <c r="H865">
        <f>IF(G865="OUT",F865,-F865)</f>
        <v>-20</v>
      </c>
      <c r="I865">
        <f>IF(AND(B865&gt;=DATE(2025,7,1),B865&lt;=DATE(2026,6,30)),1,0)</f>
        <v>1</v>
      </c>
      <c r="J865">
        <f>IF(B865&lt;=DATE(2026,6,30),1,0)</f>
        <v>1</v>
      </c>
      <c r="K865" t="inlineStr"/>
      <c r="L865" t="inlineStr">
        <is>
          <t>Yard</t>
        </is>
      </c>
      <c r="M865">
        <f>COUNTIFS('Asset Log'!$A$5:$A$1379,A865,'Asset Log'!$E$5:$E$1379,E865,'Asset Log'!$G$5:$G$1379,G865)</f>
        <v>1</v>
      </c>
    </row>
    <row r="866">
      <c r="A866" t="inlineStr">
        <is>
          <t>D71850</t>
        </is>
      </c>
      <c r="B866" s="11" t="n">
        <v>46054</v>
      </c>
      <c r="C866" t="inlineStr">
        <is>
          <t>S0195</t>
        </is>
      </c>
      <c r="D866" t="inlineStr">
        <is>
          <t>S0195</t>
        </is>
      </c>
      <c r="E866" t="inlineStr">
        <is>
          <t>FB</t>
        </is>
      </c>
      <c r="F866" t="n">
        <v>27</v>
      </c>
      <c r="G866" t="inlineStr">
        <is>
          <t>IN</t>
        </is>
      </c>
      <c r="H866">
        <f>IF(G866="OUT",F866,-F866)</f>
        <v>-27</v>
      </c>
      <c r="I866">
        <f>IF(AND(B866&gt;=DATE(2025,7,1),B866&lt;=DATE(2026,6,30)),1,0)</f>
        <v>1</v>
      </c>
      <c r="J866">
        <f>IF(B866&lt;=DATE(2026,6,30),1,0)</f>
        <v>1</v>
      </c>
      <c r="K866" t="inlineStr"/>
      <c r="L866" t="inlineStr">
        <is>
          <t>Yard</t>
        </is>
      </c>
      <c r="M866">
        <f>COUNTIFS('Asset Log'!$A$5:$A$1379,A866,'Asset Log'!$E$5:$E$1379,E866,'Asset Log'!$G$5:$G$1379,G866)</f>
        <v>1</v>
      </c>
    </row>
    <row r="867">
      <c r="A867" t="inlineStr">
        <is>
          <t>D72447</t>
        </is>
      </c>
      <c r="B867" s="11" t="n">
        <v>46054</v>
      </c>
      <c r="C867" t="inlineStr">
        <is>
          <t>S0294</t>
        </is>
      </c>
      <c r="D867" t="inlineStr">
        <is>
          <t>S0294</t>
        </is>
      </c>
      <c r="E867" t="inlineStr">
        <is>
          <t>ST</t>
        </is>
      </c>
      <c r="F867" t="n">
        <v>4</v>
      </c>
      <c r="G867" t="inlineStr">
        <is>
          <t>OUT</t>
        </is>
      </c>
      <c r="H867">
        <f>IF(G867="OUT",F867,-F867)</f>
        <v>4</v>
      </c>
      <c r="I867">
        <f>IF(AND(B867&gt;=DATE(2025,7,1),B867&lt;=DATE(2026,6,30)),1,0)</f>
        <v>1</v>
      </c>
      <c r="J867">
        <f>IF(B867&lt;=DATE(2026,6,30),1,0)</f>
        <v>1</v>
      </c>
      <c r="K867" t="inlineStr"/>
      <c r="L867" t="inlineStr">
        <is>
          <t>Office</t>
        </is>
      </c>
      <c r="M867">
        <f>COUNTIFS('Asset Log'!$A$5:$A$1379,A867,'Asset Log'!$E$5:$E$1379,E867,'Asset Log'!$G$5:$G$1379,G867)</f>
        <v>1</v>
      </c>
    </row>
    <row r="868">
      <c r="A868" t="inlineStr">
        <is>
          <t>D70166</t>
        </is>
      </c>
      <c r="B868" s="11" t="n">
        <v>46055</v>
      </c>
      <c r="C868" t="inlineStr">
        <is>
          <t>s019</t>
        </is>
      </c>
      <c r="D868" t="inlineStr">
        <is>
          <t>S0019</t>
        </is>
      </c>
      <c r="E868" t="inlineStr">
        <is>
          <t>FP</t>
        </is>
      </c>
      <c r="F868" t="n">
        <v>73</v>
      </c>
      <c r="G868" t="inlineStr">
        <is>
          <t>IN</t>
        </is>
      </c>
      <c r="H868">
        <f>IF(G868="OUT",F868,-F868)</f>
        <v>-73</v>
      </c>
      <c r="I868">
        <f>IF(AND(B868&gt;=DATE(2025,7,1),B868&lt;=DATE(2026,6,30)),1,0)</f>
        <v>1</v>
      </c>
      <c r="J868">
        <f>IF(B868&lt;=DATE(2026,6,30),1,0)</f>
        <v>1</v>
      </c>
      <c r="K868" t="inlineStr">
        <is>
          <t>Site text normalised</t>
        </is>
      </c>
      <c r="L868" t="inlineStr">
        <is>
          <t>Yard</t>
        </is>
      </c>
      <c r="M868">
        <f>COUNTIFS('Asset Log'!$A$5:$A$1379,A868,'Asset Log'!$E$5:$E$1379,E868,'Asset Log'!$G$5:$G$1379,G868)</f>
        <v>1</v>
      </c>
    </row>
    <row r="869">
      <c r="A869" t="inlineStr">
        <is>
          <t>D70172</t>
        </is>
      </c>
      <c r="B869" s="11" t="n">
        <v>46055</v>
      </c>
      <c r="C869" t="inlineStr">
        <is>
          <t>S0019</t>
        </is>
      </c>
      <c r="D869" t="inlineStr">
        <is>
          <t>S0019</t>
        </is>
      </c>
      <c r="E869" t="inlineStr">
        <is>
          <t>FB</t>
        </is>
      </c>
      <c r="F869" t="n">
        <v>73</v>
      </c>
      <c r="G869" t="inlineStr">
        <is>
          <t>IN</t>
        </is>
      </c>
      <c r="H869">
        <f>IF(G869="OUT",F869,-F869)</f>
        <v>-73</v>
      </c>
      <c r="I869">
        <f>IF(AND(B869&gt;=DATE(2025,7,1),B869&lt;=DATE(2026,6,30)),1,0)</f>
        <v>1</v>
      </c>
      <c r="J869">
        <f>IF(B869&lt;=DATE(2026,6,30),1,0)</f>
        <v>1</v>
      </c>
      <c r="K869" t="inlineStr"/>
      <c r="L869" t="inlineStr">
        <is>
          <t>Driver</t>
        </is>
      </c>
      <c r="M869">
        <f>COUNTIFS('Asset Log'!$A$5:$A$1379,A869,'Asset Log'!$E$5:$E$1379,E869,'Asset Log'!$G$5:$G$1379,G869)</f>
        <v>1</v>
      </c>
    </row>
    <row r="870">
      <c r="A870" t="inlineStr">
        <is>
          <t>D70402</t>
        </is>
      </c>
      <c r="B870" s="11" t="n">
        <v>46055</v>
      </c>
      <c r="C870" t="inlineStr">
        <is>
          <t>S0042</t>
        </is>
      </c>
      <c r="D870" t="inlineStr">
        <is>
          <t>S0042</t>
        </is>
      </c>
      <c r="E870" t="inlineStr">
        <is>
          <t>FP</t>
        </is>
      </c>
      <c r="F870" t="n">
        <v>81</v>
      </c>
      <c r="G870" t="inlineStr">
        <is>
          <t>OUT</t>
        </is>
      </c>
      <c r="H870">
        <f>IF(G870="OUT",F870,-F870)</f>
        <v>81</v>
      </c>
      <c r="I870">
        <f>IF(AND(B870&gt;=DATE(2025,7,1),B870&lt;=DATE(2026,6,30)),1,0)</f>
        <v>1</v>
      </c>
      <c r="J870">
        <f>IF(B870&lt;=DATE(2026,6,30),1,0)</f>
        <v>1</v>
      </c>
      <c r="K870" t="inlineStr"/>
      <c r="L870" t="inlineStr">
        <is>
          <t>Office</t>
        </is>
      </c>
      <c r="M870">
        <f>COUNTIFS('Asset Log'!$A$5:$A$1379,A870,'Asset Log'!$E$5:$E$1379,E870,'Asset Log'!$G$5:$G$1379,G870)</f>
        <v>1</v>
      </c>
    </row>
    <row r="871">
      <c r="A871" t="inlineStr">
        <is>
          <t>D70404</t>
        </is>
      </c>
      <c r="B871" s="11" t="n">
        <v>46055</v>
      </c>
      <c r="C871" t="inlineStr">
        <is>
          <t>S0042</t>
        </is>
      </c>
      <c r="D871" t="inlineStr">
        <is>
          <t>S0042</t>
        </is>
      </c>
      <c r="E871" t="inlineStr">
        <is>
          <t>FB</t>
        </is>
      </c>
      <c r="F871" t="n">
        <v>89</v>
      </c>
      <c r="G871" t="inlineStr">
        <is>
          <t>OUT</t>
        </is>
      </c>
      <c r="H871">
        <f>IF(G871="OUT",F871,-F871)</f>
        <v>89</v>
      </c>
      <c r="I871">
        <f>IF(AND(B871&gt;=DATE(2025,7,1),B871&lt;=DATE(2026,6,30)),1,0)</f>
        <v>1</v>
      </c>
      <c r="J871">
        <f>IF(B871&lt;=DATE(2026,6,30),1,0)</f>
        <v>1</v>
      </c>
      <c r="K871" t="inlineStr"/>
      <c r="L871" t="inlineStr">
        <is>
          <t>Office</t>
        </is>
      </c>
      <c r="M871">
        <f>COUNTIFS('Asset Log'!$A$5:$A$1379,A871,'Asset Log'!$E$5:$E$1379,E871,'Asset Log'!$G$5:$G$1379,G871)</f>
        <v>1</v>
      </c>
    </row>
    <row r="872">
      <c r="A872" t="inlineStr">
        <is>
          <t>D71264</t>
        </is>
      </c>
      <c r="B872" s="11" t="n">
        <v>46055</v>
      </c>
      <c r="C872" t="inlineStr">
        <is>
          <t>S0132</t>
        </is>
      </c>
      <c r="D872" t="inlineStr">
        <is>
          <t>S0132</t>
        </is>
      </c>
      <c r="E872" t="inlineStr">
        <is>
          <t>FP</t>
        </is>
      </c>
      <c r="F872" t="n">
        <v>146</v>
      </c>
      <c r="G872" t="inlineStr">
        <is>
          <t>IN</t>
        </is>
      </c>
      <c r="H872">
        <f>IF(G872="OUT",F872,-F872)</f>
        <v>-146</v>
      </c>
      <c r="I872">
        <f>IF(AND(B872&gt;=DATE(2025,7,1),B872&lt;=DATE(2026,6,30)),1,0)</f>
        <v>1</v>
      </c>
      <c r="J872">
        <f>IF(B872&lt;=DATE(2026,6,30),1,0)</f>
        <v>1</v>
      </c>
      <c r="K872" t="inlineStr"/>
      <c r="L872" t="inlineStr">
        <is>
          <t>Office</t>
        </is>
      </c>
      <c r="M872">
        <f>COUNTIFS('Asset Log'!$A$5:$A$1379,A872,'Asset Log'!$E$5:$E$1379,E872,'Asset Log'!$G$5:$G$1379,G872)</f>
        <v>1</v>
      </c>
    </row>
    <row r="873">
      <c r="A873" t="inlineStr">
        <is>
          <t>D71269</t>
        </is>
      </c>
      <c r="B873" s="11" t="n">
        <v>46055</v>
      </c>
      <c r="C873" t="inlineStr">
        <is>
          <t>S0132 Ringwood</t>
        </is>
      </c>
      <c r="D873" t="inlineStr">
        <is>
          <t>S0132</t>
        </is>
      </c>
      <c r="E873" t="inlineStr">
        <is>
          <t>FB</t>
        </is>
      </c>
      <c r="F873" t="n">
        <v>160</v>
      </c>
      <c r="G873" t="inlineStr">
        <is>
          <t>IN</t>
        </is>
      </c>
      <c r="H873">
        <f>IF(G873="OUT",F873,-F873)</f>
        <v>-160</v>
      </c>
      <c r="I873">
        <f>IF(AND(B873&gt;=DATE(2025,7,1),B873&lt;=DATE(2026,6,30)),1,0)</f>
        <v>1</v>
      </c>
      <c r="J873">
        <f>IF(B873&lt;=DATE(2026,6,30),1,0)</f>
        <v>1</v>
      </c>
      <c r="K873" t="inlineStr">
        <is>
          <t>Site text normalised</t>
        </is>
      </c>
      <c r="L873" t="inlineStr">
        <is>
          <t>Yard</t>
        </is>
      </c>
      <c r="M873">
        <f>COUNTIFS('Asset Log'!$A$5:$A$1379,A873,'Asset Log'!$E$5:$E$1379,E873,'Asset Log'!$G$5:$G$1379,G873)</f>
        <v>1</v>
      </c>
    </row>
    <row r="874">
      <c r="A874" t="inlineStr">
        <is>
          <t>D71608</t>
        </is>
      </c>
      <c r="B874" s="11" t="n">
        <v>46055</v>
      </c>
      <c r="C874" t="inlineStr">
        <is>
          <t>S0169</t>
        </is>
      </c>
      <c r="D874" t="inlineStr">
        <is>
          <t>S0169</t>
        </is>
      </c>
      <c r="E874" t="inlineStr">
        <is>
          <t>FP</t>
        </is>
      </c>
      <c r="F874" t="n">
        <v>29</v>
      </c>
      <c r="G874" t="inlineStr">
        <is>
          <t>OUT</t>
        </is>
      </c>
      <c r="H874">
        <f>IF(G874="OUT",F874,-F874)</f>
        <v>29</v>
      </c>
      <c r="I874">
        <f>IF(AND(B874&gt;=DATE(2025,7,1),B874&lt;=DATE(2026,6,30)),1,0)</f>
        <v>1</v>
      </c>
      <c r="J874">
        <f>IF(B874&lt;=DATE(2026,6,30),1,0)</f>
        <v>1</v>
      </c>
      <c r="K874" t="inlineStr"/>
      <c r="L874" t="inlineStr">
        <is>
          <t>Driver</t>
        </is>
      </c>
      <c r="M874">
        <f>COUNTIFS('Asset Log'!$A$5:$A$1379,A874,'Asset Log'!$E$5:$E$1379,E874,'Asset Log'!$G$5:$G$1379,G874)</f>
        <v>1</v>
      </c>
    </row>
    <row r="875">
      <c r="A875" t="inlineStr">
        <is>
          <t>D71613</t>
        </is>
      </c>
      <c r="B875" s="11" t="n">
        <v>46055</v>
      </c>
      <c r="C875" t="inlineStr">
        <is>
          <t>S0169</t>
        </is>
      </c>
      <c r="D875" t="inlineStr">
        <is>
          <t>S0169</t>
        </is>
      </c>
      <c r="E875" t="inlineStr">
        <is>
          <t>FB</t>
        </is>
      </c>
      <c r="F875" t="n">
        <v>31</v>
      </c>
      <c r="G875" t="inlineStr">
        <is>
          <t>OUT</t>
        </is>
      </c>
      <c r="H875">
        <f>IF(G875="OUT",F875,-F875)</f>
        <v>31</v>
      </c>
      <c r="I875">
        <f>IF(AND(B875&gt;=DATE(2025,7,1),B875&lt;=DATE(2026,6,30)),1,0)</f>
        <v>1</v>
      </c>
      <c r="J875">
        <f>IF(B875&lt;=DATE(2026,6,30),1,0)</f>
        <v>1</v>
      </c>
      <c r="K875" t="inlineStr"/>
      <c r="L875" t="inlineStr">
        <is>
          <t>Office</t>
        </is>
      </c>
      <c r="M875">
        <f>COUNTIFS('Asset Log'!$A$5:$A$1379,A875,'Asset Log'!$E$5:$E$1379,E875,'Asset Log'!$G$5:$G$1379,G875)</f>
        <v>1</v>
      </c>
    </row>
    <row r="876">
      <c r="A876" t="inlineStr">
        <is>
          <t>D71619</t>
        </is>
      </c>
      <c r="B876" s="11" t="n">
        <v>46055</v>
      </c>
      <c r="C876" t="inlineStr">
        <is>
          <t>S0169</t>
        </is>
      </c>
      <c r="D876" t="inlineStr">
        <is>
          <t>S0169</t>
        </is>
      </c>
      <c r="E876" t="inlineStr">
        <is>
          <t>BR</t>
        </is>
      </c>
      <c r="F876" t="n">
        <v>16</v>
      </c>
      <c r="G876" t="inlineStr">
        <is>
          <t>OUT</t>
        </is>
      </c>
      <c r="H876">
        <f>IF(G876="OUT",F876,-F876)</f>
        <v>16</v>
      </c>
      <c r="I876">
        <f>IF(AND(B876&gt;=DATE(2025,7,1),B876&lt;=DATE(2026,6,30)),1,0)</f>
        <v>1</v>
      </c>
      <c r="J876">
        <f>IF(B876&lt;=DATE(2026,6,30),1,0)</f>
        <v>1</v>
      </c>
      <c r="K876" t="inlineStr"/>
      <c r="L876" t="inlineStr">
        <is>
          <t>Yard</t>
        </is>
      </c>
      <c r="M876">
        <f>COUNTIFS('Asset Log'!$A$5:$A$1379,A876,'Asset Log'!$E$5:$E$1379,E876,'Asset Log'!$G$5:$G$1379,G876)</f>
        <v>1</v>
      </c>
    </row>
    <row r="877">
      <c r="A877" t="inlineStr">
        <is>
          <t>D72594</t>
        </is>
      </c>
      <c r="B877" s="11" t="n">
        <v>46055</v>
      </c>
      <c r="C877" t="inlineStr">
        <is>
          <t>390</t>
        </is>
      </c>
      <c r="D877" t="inlineStr">
        <is>
          <t>S0390</t>
        </is>
      </c>
      <c r="E877" t="inlineStr">
        <is>
          <t>TK</t>
        </is>
      </c>
      <c r="F877" t="n">
        <v>2</v>
      </c>
      <c r="G877" t="inlineStr">
        <is>
          <t>IN</t>
        </is>
      </c>
      <c r="H877">
        <f>IF(G877="OUT",F877,-F877)</f>
        <v>-2</v>
      </c>
      <c r="I877">
        <f>IF(AND(B877&gt;=DATE(2025,7,1),B877&lt;=DATE(2026,6,30)),1,0)</f>
        <v>1</v>
      </c>
      <c r="J877">
        <f>IF(B877&lt;=DATE(2026,6,30),1,0)</f>
        <v>1</v>
      </c>
      <c r="K877" t="inlineStr">
        <is>
          <t>Site text normalised</t>
        </is>
      </c>
      <c r="L877" t="inlineStr">
        <is>
          <t>Yard</t>
        </is>
      </c>
      <c r="M877">
        <f>COUNTIFS('Asset Log'!$A$5:$A$1379,A877,'Asset Log'!$E$5:$E$1379,E877,'Asset Log'!$G$5:$G$1379,G877)</f>
        <v>1</v>
      </c>
    </row>
    <row r="878">
      <c r="A878" t="inlineStr">
        <is>
          <t>D72835</t>
        </is>
      </c>
      <c r="B878" s="11" t="n">
        <v>46055</v>
      </c>
      <c r="C878" t="inlineStr">
        <is>
          <t>S0546</t>
        </is>
      </c>
      <c r="D878" t="inlineStr">
        <is>
          <t>S0546</t>
        </is>
      </c>
      <c r="E878" t="inlineStr">
        <is>
          <t>TK</t>
        </is>
      </c>
      <c r="F878" t="n">
        <v>3</v>
      </c>
      <c r="G878" t="inlineStr">
        <is>
          <t>IN</t>
        </is>
      </c>
      <c r="H878">
        <f>IF(G878="OUT",F878,-F878)</f>
        <v>-3</v>
      </c>
      <c r="I878">
        <f>IF(AND(B878&gt;=DATE(2025,7,1),B878&lt;=DATE(2026,6,30)),1,0)</f>
        <v>1</v>
      </c>
      <c r="J878">
        <f>IF(B878&lt;=DATE(2026,6,30),1,0)</f>
        <v>1</v>
      </c>
      <c r="K878" t="inlineStr"/>
      <c r="L878" t="inlineStr">
        <is>
          <t>Office</t>
        </is>
      </c>
      <c r="M878">
        <f>COUNTIFS('Asset Log'!$A$5:$A$1379,A878,'Asset Log'!$E$5:$E$1379,E878,'Asset Log'!$G$5:$G$1379,G878)</f>
        <v>1</v>
      </c>
    </row>
    <row r="879">
      <c r="A879" t="inlineStr">
        <is>
          <t>D70956</t>
        </is>
      </c>
      <c r="B879" s="11" t="n">
        <v>46056</v>
      </c>
      <c r="C879" t="inlineStr">
        <is>
          <t>S0103</t>
        </is>
      </c>
      <c r="D879" t="inlineStr">
        <is>
          <t>S0103</t>
        </is>
      </c>
      <c r="E879" t="inlineStr">
        <is>
          <t>FP</t>
        </is>
      </c>
      <c r="F879" t="n">
        <v>21</v>
      </c>
      <c r="G879" t="inlineStr">
        <is>
          <t>IN</t>
        </is>
      </c>
      <c r="H879">
        <f>IF(G879="OUT",F879,-F879)</f>
        <v>-21</v>
      </c>
      <c r="I879">
        <f>IF(AND(B879&gt;=DATE(2025,7,1),B879&lt;=DATE(2026,6,30)),1,0)</f>
        <v>1</v>
      </c>
      <c r="J879">
        <f>IF(B879&lt;=DATE(2026,6,30),1,0)</f>
        <v>1</v>
      </c>
      <c r="K879" t="inlineStr"/>
      <c r="L879" t="inlineStr">
        <is>
          <t>Driver</t>
        </is>
      </c>
      <c r="M879">
        <f>COUNTIFS('Asset Log'!$A$5:$A$1379,A879,'Asset Log'!$E$5:$E$1379,E879,'Asset Log'!$G$5:$G$1379,G879)</f>
        <v>1</v>
      </c>
    </row>
    <row r="880">
      <c r="A880" t="inlineStr">
        <is>
          <t>D70962</t>
        </is>
      </c>
      <c r="B880" s="11" t="n">
        <v>46056</v>
      </c>
      <c r="C880" t="inlineStr">
        <is>
          <t>S0103</t>
        </is>
      </c>
      <c r="D880" t="inlineStr">
        <is>
          <t>S0103</t>
        </is>
      </c>
      <c r="E880" t="inlineStr">
        <is>
          <t>FB</t>
        </is>
      </c>
      <c r="F880" t="n">
        <v>23</v>
      </c>
      <c r="G880" t="inlineStr">
        <is>
          <t>IN</t>
        </is>
      </c>
      <c r="H880">
        <f>IF(G880="OUT",F880,-F880)</f>
        <v>-23</v>
      </c>
      <c r="I880">
        <f>IF(AND(B880&gt;=DATE(2025,7,1),B880&lt;=DATE(2026,6,30)),1,0)</f>
        <v>1</v>
      </c>
      <c r="J880">
        <f>IF(B880&lt;=DATE(2026,6,30),1,0)</f>
        <v>1</v>
      </c>
      <c r="K880" t="inlineStr"/>
      <c r="L880" t="inlineStr">
        <is>
          <t>Office</t>
        </is>
      </c>
      <c r="M880">
        <f>COUNTIFS('Asset Log'!$A$5:$A$1379,A880,'Asset Log'!$E$5:$E$1379,E880,'Asset Log'!$G$5:$G$1379,G880)</f>
        <v>1</v>
      </c>
    </row>
    <row r="881">
      <c r="A881" t="inlineStr">
        <is>
          <t>D70981</t>
        </is>
      </c>
      <c r="B881" s="11" t="n">
        <v>46056</v>
      </c>
      <c r="C881" t="inlineStr">
        <is>
          <t>S0106</t>
        </is>
      </c>
      <c r="D881" t="inlineStr">
        <is>
          <t>S0106</t>
        </is>
      </c>
      <c r="E881" t="inlineStr">
        <is>
          <t>FP</t>
        </is>
      </c>
      <c r="F881" t="n">
        <v>19</v>
      </c>
      <c r="G881" t="inlineStr">
        <is>
          <t>OUT</t>
        </is>
      </c>
      <c r="H881">
        <f>IF(G881="OUT",F881,-F881)</f>
        <v>19</v>
      </c>
      <c r="I881">
        <f>IF(AND(B881&gt;=DATE(2025,7,1),B881&lt;=DATE(2026,6,30)),1,0)</f>
        <v>1</v>
      </c>
      <c r="J881">
        <f>IF(B881&lt;=DATE(2026,6,30),1,0)</f>
        <v>1</v>
      </c>
      <c r="K881" t="inlineStr"/>
      <c r="L881" t="inlineStr">
        <is>
          <t>Office</t>
        </is>
      </c>
      <c r="M881">
        <f>COUNTIFS('Asset Log'!$A$5:$A$1379,A881,'Asset Log'!$E$5:$E$1379,E881,'Asset Log'!$G$5:$G$1379,G881)</f>
        <v>1</v>
      </c>
    </row>
    <row r="882">
      <c r="A882" t="inlineStr">
        <is>
          <t>D70984</t>
        </is>
      </c>
      <c r="B882" s="11" t="n">
        <v>46056</v>
      </c>
      <c r="C882" t="inlineStr">
        <is>
          <t>S0106</t>
        </is>
      </c>
      <c r="D882" t="inlineStr">
        <is>
          <t>S0106</t>
        </is>
      </c>
      <c r="E882" t="inlineStr">
        <is>
          <t>FB</t>
        </is>
      </c>
      <c r="F882" t="n">
        <v>20</v>
      </c>
      <c r="G882" t="inlineStr">
        <is>
          <t>OUT</t>
        </is>
      </c>
      <c r="H882">
        <f>IF(G882="OUT",F882,-F882)</f>
        <v>20</v>
      </c>
      <c r="I882">
        <f>IF(AND(B882&gt;=DATE(2025,7,1),B882&lt;=DATE(2026,6,30)),1,0)</f>
        <v>1</v>
      </c>
      <c r="J882">
        <f>IF(B882&lt;=DATE(2026,6,30),1,0)</f>
        <v>1</v>
      </c>
      <c r="K882" t="inlineStr"/>
      <c r="L882" t="inlineStr">
        <is>
          <t>Driver</t>
        </is>
      </c>
      <c r="M882">
        <f>COUNTIFS('Asset Log'!$A$5:$A$1379,A882,'Asset Log'!$E$5:$E$1379,E882,'Asset Log'!$G$5:$G$1379,G882)</f>
        <v>1</v>
      </c>
    </row>
    <row r="883">
      <c r="A883" t="inlineStr">
        <is>
          <t>D72709</t>
        </is>
      </c>
      <c r="B883" s="11" t="n">
        <v>46056</v>
      </c>
      <c r="C883" t="inlineStr">
        <is>
          <t>S0453</t>
        </is>
      </c>
      <c r="D883" t="inlineStr">
        <is>
          <t>S0453</t>
        </is>
      </c>
      <c r="E883" t="inlineStr">
        <is>
          <t>TK</t>
        </is>
      </c>
      <c r="F883" t="n">
        <v>1</v>
      </c>
      <c r="G883" t="inlineStr">
        <is>
          <t>IN</t>
        </is>
      </c>
      <c r="H883">
        <f>IF(G883="OUT",F883,-F883)</f>
        <v>-1</v>
      </c>
      <c r="I883">
        <f>IF(AND(B883&gt;=DATE(2025,7,1),B883&lt;=DATE(2026,6,30)),1,0)</f>
        <v>1</v>
      </c>
      <c r="J883">
        <f>IF(B883&lt;=DATE(2026,6,30),1,0)</f>
        <v>1</v>
      </c>
      <c r="K883" t="inlineStr"/>
      <c r="L883" t="inlineStr">
        <is>
          <t>Yard</t>
        </is>
      </c>
      <c r="M883">
        <f>COUNTIFS('Asset Log'!$A$5:$A$1379,A883,'Asset Log'!$E$5:$E$1379,E883,'Asset Log'!$G$5:$G$1379,G883)</f>
        <v>1</v>
      </c>
    </row>
    <row r="884">
      <c r="A884" t="inlineStr">
        <is>
          <t>D71000</t>
        </is>
      </c>
      <c r="B884" s="11" t="n">
        <v>46057</v>
      </c>
      <c r="C884" t="inlineStr">
        <is>
          <t>S0108</t>
        </is>
      </c>
      <c r="D884" t="inlineStr">
        <is>
          <t>S0108</t>
        </is>
      </c>
      <c r="E884" t="inlineStr">
        <is>
          <t>FP</t>
        </is>
      </c>
      <c r="F884" t="n">
        <v>88</v>
      </c>
      <c r="G884" t="inlineStr">
        <is>
          <t>IN</t>
        </is>
      </c>
      <c r="H884">
        <f>IF(G884="OUT",F884,-F884)</f>
        <v>-88</v>
      </c>
      <c r="I884">
        <f>IF(AND(B884&gt;=DATE(2025,7,1),B884&lt;=DATE(2026,6,30)),1,0)</f>
        <v>1</v>
      </c>
      <c r="J884">
        <f>IF(B884&lt;=DATE(2026,6,30),1,0)</f>
        <v>1</v>
      </c>
      <c r="K884" t="inlineStr"/>
      <c r="L884" t="inlineStr">
        <is>
          <t>Yard</t>
        </is>
      </c>
      <c r="M884">
        <f>COUNTIFS('Asset Log'!$A$5:$A$1379,A884,'Asset Log'!$E$5:$E$1379,E884,'Asset Log'!$G$5:$G$1379,G884)</f>
        <v>1</v>
      </c>
    </row>
    <row r="885">
      <c r="A885" t="inlineStr">
        <is>
          <t>D71005</t>
        </is>
      </c>
      <c r="B885" s="11" t="n">
        <v>46057</v>
      </c>
      <c r="C885" t="inlineStr">
        <is>
          <t>S0108</t>
        </is>
      </c>
      <c r="D885" t="inlineStr">
        <is>
          <t>S0108</t>
        </is>
      </c>
      <c r="E885" t="inlineStr">
        <is>
          <t>FB</t>
        </is>
      </c>
      <c r="F885" t="n">
        <v>101</v>
      </c>
      <c r="G885" t="inlineStr">
        <is>
          <t>IN</t>
        </is>
      </c>
      <c r="H885">
        <f>IF(G885="OUT",F885,-F885)</f>
        <v>-101</v>
      </c>
      <c r="I885">
        <f>IF(AND(B885&gt;=DATE(2025,7,1),B885&lt;=DATE(2026,6,30)),1,0)</f>
        <v>1</v>
      </c>
      <c r="J885">
        <f>IF(B885&lt;=DATE(2026,6,30),1,0)</f>
        <v>1</v>
      </c>
      <c r="K885" t="inlineStr"/>
      <c r="L885" t="inlineStr">
        <is>
          <t>Office</t>
        </is>
      </c>
      <c r="M885">
        <f>COUNTIFS('Asset Log'!$A$5:$A$1379,A885,'Asset Log'!$E$5:$E$1379,E885,'Asset Log'!$G$5:$G$1379,G885)</f>
        <v>1</v>
      </c>
    </row>
    <row r="886">
      <c r="A886" t="inlineStr">
        <is>
          <t>D71009</t>
        </is>
      </c>
      <c r="B886" s="11" t="n">
        <v>46057</v>
      </c>
      <c r="C886" t="inlineStr">
        <is>
          <t>S0108</t>
        </is>
      </c>
      <c r="D886" t="inlineStr">
        <is>
          <t>S0108</t>
        </is>
      </c>
      <c r="E886" t="inlineStr">
        <is>
          <t>BR</t>
        </is>
      </c>
      <c r="F886" t="n">
        <v>17</v>
      </c>
      <c r="G886" t="inlineStr">
        <is>
          <t>IN</t>
        </is>
      </c>
      <c r="H886">
        <f>IF(G886="OUT",F886,-F886)</f>
        <v>-17</v>
      </c>
      <c r="I886">
        <f>IF(AND(B886&gt;=DATE(2025,7,1),B886&lt;=DATE(2026,6,30)),1,0)</f>
        <v>1</v>
      </c>
      <c r="J886">
        <f>IF(B886&lt;=DATE(2026,6,30),1,0)</f>
        <v>1</v>
      </c>
      <c r="K886" t="inlineStr"/>
      <c r="L886" t="inlineStr">
        <is>
          <t>Driver</t>
        </is>
      </c>
      <c r="M886">
        <f>COUNTIFS('Asset Log'!$A$5:$A$1379,A886,'Asset Log'!$E$5:$E$1379,E886,'Asset Log'!$G$5:$G$1379,G886)</f>
        <v>1</v>
      </c>
    </row>
    <row r="887">
      <c r="A887" t="inlineStr">
        <is>
          <t>D71011</t>
        </is>
      </c>
      <c r="B887" s="11" t="n">
        <v>46057</v>
      </c>
      <c r="C887" t="inlineStr">
        <is>
          <t>S0108</t>
        </is>
      </c>
      <c r="D887" t="inlineStr">
        <is>
          <t>S0108</t>
        </is>
      </c>
      <c r="E887" t="inlineStr">
        <is>
          <t>FP</t>
        </is>
      </c>
      <c r="F887" t="n">
        <v>4</v>
      </c>
      <c r="G887" t="inlineStr">
        <is>
          <t>LOST</t>
        </is>
      </c>
      <c r="H887">
        <f>IF(G887="OUT",F887,-F887)</f>
        <v>-4</v>
      </c>
      <c r="I887">
        <f>IF(AND(B887&gt;=DATE(2025,7,1),B887&lt;=DATE(2026,6,30)),1,0)</f>
        <v>1</v>
      </c>
      <c r="J887">
        <f>IF(B887&lt;=DATE(2026,6,30),1,0)</f>
        <v>1</v>
      </c>
      <c r="K887" t="inlineStr"/>
      <c r="L887" t="inlineStr">
        <is>
          <t>Driver</t>
        </is>
      </c>
      <c r="M887">
        <f>COUNTIFS('Asset Log'!$A$5:$A$1379,A887,'Asset Log'!$E$5:$E$1379,E887,'Asset Log'!$G$5:$G$1379,G887)</f>
        <v>1</v>
      </c>
    </row>
    <row r="888">
      <c r="A888" t="inlineStr">
        <is>
          <t>D72607</t>
        </is>
      </c>
      <c r="B888" s="11" t="n">
        <v>46057</v>
      </c>
      <c r="C888" t="inlineStr">
        <is>
          <t>S0398</t>
        </is>
      </c>
      <c r="D888" t="inlineStr">
        <is>
          <t>S0398</t>
        </is>
      </c>
      <c r="E888" t="inlineStr">
        <is>
          <t>TK</t>
        </is>
      </c>
      <c r="F888" t="n">
        <v>2</v>
      </c>
      <c r="G888" t="inlineStr">
        <is>
          <t>OUT</t>
        </is>
      </c>
      <c r="H888">
        <f>IF(G888="OUT",F888,-F888)</f>
        <v>2</v>
      </c>
      <c r="I888">
        <f>IF(AND(B888&gt;=DATE(2025,7,1),B888&lt;=DATE(2026,6,30)),1,0)</f>
        <v>1</v>
      </c>
      <c r="J888">
        <f>IF(B888&lt;=DATE(2026,6,30),1,0)</f>
        <v>1</v>
      </c>
      <c r="K888" t="inlineStr"/>
      <c r="L888" t="inlineStr">
        <is>
          <t>Office</t>
        </is>
      </c>
      <c r="M888">
        <f>COUNTIFS('Asset Log'!$A$5:$A$1379,A888,'Asset Log'!$E$5:$E$1379,E888,'Asset Log'!$G$5:$G$1379,G888)</f>
        <v>1</v>
      </c>
    </row>
    <row r="889">
      <c r="A889" t="inlineStr">
        <is>
          <t>D72471</t>
        </is>
      </c>
      <c r="B889" s="11" t="n">
        <v>46058</v>
      </c>
      <c r="C889" t="inlineStr">
        <is>
          <t>S0302</t>
        </is>
      </c>
      <c r="D889" t="inlineStr">
        <is>
          <t>S0302</t>
        </is>
      </c>
      <c r="E889" t="inlineStr">
        <is>
          <t>TK</t>
        </is>
      </c>
      <c r="F889" t="n">
        <v>2</v>
      </c>
      <c r="G889" t="inlineStr">
        <is>
          <t>OUT</t>
        </is>
      </c>
      <c r="H889">
        <f>IF(G889="OUT",F889,-F889)</f>
        <v>2</v>
      </c>
      <c r="I889">
        <f>IF(AND(B889&gt;=DATE(2025,7,1),B889&lt;=DATE(2026,6,30)),1,0)</f>
        <v>1</v>
      </c>
      <c r="J889">
        <f>IF(B889&lt;=DATE(2026,6,30),1,0)</f>
        <v>1</v>
      </c>
      <c r="K889" t="inlineStr"/>
      <c r="L889" t="inlineStr">
        <is>
          <t>Yard</t>
        </is>
      </c>
      <c r="M889">
        <f>COUNTIFS('Asset Log'!$A$5:$A$1379,A889,'Asset Log'!$E$5:$E$1379,E889,'Asset Log'!$G$5:$G$1379,G889)</f>
        <v>1</v>
      </c>
    </row>
    <row r="890">
      <c r="A890" t="inlineStr">
        <is>
          <t>D70406</t>
        </is>
      </c>
      <c r="B890" s="11" t="n">
        <v>46059</v>
      </c>
      <c r="C890" t="inlineStr">
        <is>
          <t>S0043</t>
        </is>
      </c>
      <c r="D890" t="inlineStr">
        <is>
          <t>S0043</t>
        </is>
      </c>
      <c r="E890" t="inlineStr">
        <is>
          <t>FP</t>
        </is>
      </c>
      <c r="F890" t="n">
        <v>78</v>
      </c>
      <c r="G890" t="inlineStr">
        <is>
          <t>OUT</t>
        </is>
      </c>
      <c r="H890">
        <f>IF(G890="OUT",F890,-F890)</f>
        <v>78</v>
      </c>
      <c r="I890">
        <f>IF(AND(B890&gt;=DATE(2025,7,1),B890&lt;=DATE(2026,6,30)),1,0)</f>
        <v>1</v>
      </c>
      <c r="J890">
        <f>IF(B890&lt;=DATE(2026,6,30),1,0)</f>
        <v>1</v>
      </c>
      <c r="K890" t="inlineStr"/>
      <c r="L890" t="inlineStr">
        <is>
          <t>Office</t>
        </is>
      </c>
      <c r="M890">
        <f>COUNTIFS('Asset Log'!$A$5:$A$1379,A890,'Asset Log'!$E$5:$E$1379,E890,'Asset Log'!$G$5:$G$1379,G890)</f>
        <v>1</v>
      </c>
    </row>
    <row r="891">
      <c r="A891" t="inlineStr">
        <is>
          <t>D70409</t>
        </is>
      </c>
      <c r="B891" s="11" t="n">
        <v>46059</v>
      </c>
      <c r="C891" t="inlineStr">
        <is>
          <t>S0043</t>
        </is>
      </c>
      <c r="D891" t="inlineStr">
        <is>
          <t>S0043</t>
        </is>
      </c>
      <c r="E891" t="inlineStr">
        <is>
          <t>FB</t>
        </is>
      </c>
      <c r="F891" t="n">
        <v>85</v>
      </c>
      <c r="G891" t="inlineStr">
        <is>
          <t>OUT</t>
        </is>
      </c>
      <c r="H891">
        <f>IF(G891="OUT",F891,-F891)</f>
        <v>85</v>
      </c>
      <c r="I891">
        <f>IF(AND(B891&gt;=DATE(2025,7,1),B891&lt;=DATE(2026,6,30)),1,0)</f>
        <v>1</v>
      </c>
      <c r="J891">
        <f>IF(B891&lt;=DATE(2026,6,30),1,0)</f>
        <v>1</v>
      </c>
      <c r="K891" t="inlineStr"/>
      <c r="L891" t="inlineStr">
        <is>
          <t>Office</t>
        </is>
      </c>
      <c r="M891">
        <f>COUNTIFS('Asset Log'!$A$5:$A$1379,A891,'Asset Log'!$E$5:$E$1379,E891,'Asset Log'!$G$5:$G$1379,G891)</f>
        <v>1</v>
      </c>
    </row>
    <row r="892">
      <c r="A892" t="inlineStr">
        <is>
          <t>D71697</t>
        </is>
      </c>
      <c r="B892" s="11" t="n">
        <v>46059</v>
      </c>
      <c r="C892" t="inlineStr">
        <is>
          <t>S0179</t>
        </is>
      </c>
      <c r="D892" t="inlineStr">
        <is>
          <t>S0179</t>
        </is>
      </c>
      <c r="E892" t="inlineStr">
        <is>
          <t>FP</t>
        </is>
      </c>
      <c r="F892" t="n">
        <v>64</v>
      </c>
      <c r="G892" t="inlineStr">
        <is>
          <t>IN</t>
        </is>
      </c>
      <c r="H892">
        <f>IF(G892="OUT",F892,-F892)</f>
        <v>-64</v>
      </c>
      <c r="I892">
        <f>IF(AND(B892&gt;=DATE(2025,7,1),B892&lt;=DATE(2026,6,30)),1,0)</f>
        <v>1</v>
      </c>
      <c r="J892">
        <f>IF(B892&lt;=DATE(2026,6,30),1,0)</f>
        <v>1</v>
      </c>
      <c r="K892" t="inlineStr"/>
      <c r="L892" t="inlineStr">
        <is>
          <t>Office</t>
        </is>
      </c>
      <c r="M892">
        <f>COUNTIFS('Asset Log'!$A$5:$A$1379,A892,'Asset Log'!$E$5:$E$1379,E892,'Asset Log'!$G$5:$G$1379,G892)</f>
        <v>1</v>
      </c>
    </row>
    <row r="893">
      <c r="A893" t="inlineStr">
        <is>
          <t>D71702</t>
        </is>
      </c>
      <c r="B893" s="11" t="n">
        <v>46059</v>
      </c>
      <c r="C893" t="inlineStr">
        <is>
          <t>S0179 Footscray</t>
        </is>
      </c>
      <c r="D893" t="inlineStr">
        <is>
          <t>S0179</t>
        </is>
      </c>
      <c r="E893" t="inlineStr">
        <is>
          <t>FB</t>
        </is>
      </c>
      <c r="F893" t="n">
        <v>64</v>
      </c>
      <c r="G893" t="inlineStr">
        <is>
          <t>IN</t>
        </is>
      </c>
      <c r="H893">
        <f>IF(G893="OUT",F893,-F893)</f>
        <v>-64</v>
      </c>
      <c r="I893">
        <f>IF(AND(B893&gt;=DATE(2025,7,1),B893&lt;=DATE(2026,6,30)),1,0)</f>
        <v>1</v>
      </c>
      <c r="J893">
        <f>IF(B893&lt;=DATE(2026,6,30),1,0)</f>
        <v>1</v>
      </c>
      <c r="K893" t="inlineStr">
        <is>
          <t>Site text normalised</t>
        </is>
      </c>
      <c r="L893" t="inlineStr">
        <is>
          <t>Yard</t>
        </is>
      </c>
      <c r="M893">
        <f>COUNTIFS('Asset Log'!$A$5:$A$1379,A893,'Asset Log'!$E$5:$E$1379,E893,'Asset Log'!$G$5:$G$1379,G893)</f>
        <v>1</v>
      </c>
    </row>
    <row r="894">
      <c r="A894" t="inlineStr">
        <is>
          <t>D71824</t>
        </is>
      </c>
      <c r="B894" s="11" t="n">
        <v>46059</v>
      </c>
      <c r="C894" t="inlineStr">
        <is>
          <t>S0193</t>
        </is>
      </c>
      <c r="D894" t="inlineStr">
        <is>
          <t>S0193</t>
        </is>
      </c>
      <c r="E894" t="inlineStr">
        <is>
          <t>FP</t>
        </is>
      </c>
      <c r="F894" t="n">
        <v>73</v>
      </c>
      <c r="G894" t="inlineStr">
        <is>
          <t>IN</t>
        </is>
      </c>
      <c r="H894">
        <f>IF(G894="OUT",F894,-F894)</f>
        <v>-73</v>
      </c>
      <c r="I894">
        <f>IF(AND(B894&gt;=DATE(2025,7,1),B894&lt;=DATE(2026,6,30)),1,0)</f>
        <v>1</v>
      </c>
      <c r="J894">
        <f>IF(B894&lt;=DATE(2026,6,30),1,0)</f>
        <v>1</v>
      </c>
      <c r="K894" t="inlineStr"/>
      <c r="L894" t="inlineStr">
        <is>
          <t>Driver</t>
        </is>
      </c>
      <c r="M894">
        <f>COUNTIFS('Asset Log'!$A$5:$A$1379,A894,'Asset Log'!$E$5:$E$1379,E894,'Asset Log'!$G$5:$G$1379,G894)</f>
        <v>1</v>
      </c>
    </row>
    <row r="895">
      <c r="A895" t="inlineStr">
        <is>
          <t>D71828</t>
        </is>
      </c>
      <c r="B895" s="11" t="n">
        <v>46059</v>
      </c>
      <c r="C895" t="inlineStr">
        <is>
          <t>193</t>
        </is>
      </c>
      <c r="D895" t="inlineStr">
        <is>
          <t>S0193</t>
        </is>
      </c>
      <c r="E895" t="inlineStr">
        <is>
          <t>FB</t>
        </is>
      </c>
      <c r="F895" t="n">
        <v>80</v>
      </c>
      <c r="G895" t="inlineStr">
        <is>
          <t>IN</t>
        </is>
      </c>
      <c r="H895">
        <f>IF(G895="OUT",F895,-F895)</f>
        <v>-80</v>
      </c>
      <c r="I895">
        <f>IF(AND(B895&gt;=DATE(2025,7,1),B895&lt;=DATE(2026,6,30)),1,0)</f>
        <v>1</v>
      </c>
      <c r="J895">
        <f>IF(B895&lt;=DATE(2026,6,30),1,0)</f>
        <v>1</v>
      </c>
      <c r="K895" t="inlineStr">
        <is>
          <t>Site text normalised</t>
        </is>
      </c>
      <c r="L895" t="inlineStr">
        <is>
          <t>Office</t>
        </is>
      </c>
      <c r="M895">
        <f>COUNTIFS('Asset Log'!$A$5:$A$1379,A895,'Asset Log'!$E$5:$E$1379,E895,'Asset Log'!$G$5:$G$1379,G895)</f>
        <v>1</v>
      </c>
    </row>
    <row r="896">
      <c r="A896" t="inlineStr">
        <is>
          <t>D72306</t>
        </is>
      </c>
      <c r="B896" s="11" t="n">
        <v>46059</v>
      </c>
      <c r="C896" t="inlineStr">
        <is>
          <t>S0258</t>
        </is>
      </c>
      <c r="D896" t="inlineStr">
        <is>
          <t>S0258</t>
        </is>
      </c>
      <c r="E896" t="inlineStr">
        <is>
          <t>ST</t>
        </is>
      </c>
      <c r="F896" t="n">
        <v>2</v>
      </c>
      <c r="G896" t="inlineStr">
        <is>
          <t>OUT</t>
        </is>
      </c>
      <c r="H896">
        <f>IF(G896="OUT",F896,-F896)</f>
        <v>2</v>
      </c>
      <c r="I896">
        <f>IF(AND(B896&gt;=DATE(2025,7,1),B896&lt;=DATE(2026,6,30)),1,0)</f>
        <v>1</v>
      </c>
      <c r="J896">
        <f>IF(B896&lt;=DATE(2026,6,30),1,0)</f>
        <v>1</v>
      </c>
      <c r="K896" t="inlineStr"/>
      <c r="L896" t="inlineStr">
        <is>
          <t>Office</t>
        </is>
      </c>
      <c r="M896">
        <f>COUNTIFS('Asset Log'!$A$5:$A$1379,A896,'Asset Log'!$E$5:$E$1379,E896,'Asset Log'!$G$5:$G$1379,G896)</f>
        <v>1</v>
      </c>
    </row>
    <row r="897">
      <c r="A897" t="inlineStr">
        <is>
          <t>D70817</t>
        </is>
      </c>
      <c r="B897" s="11" t="n">
        <v>46060</v>
      </c>
      <c r="C897" t="inlineStr">
        <is>
          <t>S0087 South Morang</t>
        </is>
      </c>
      <c r="D897" t="inlineStr">
        <is>
          <t>S0087</t>
        </is>
      </c>
      <c r="E897" t="inlineStr">
        <is>
          <t>FP</t>
        </is>
      </c>
      <c r="F897" t="n">
        <v>101</v>
      </c>
      <c r="G897" t="inlineStr">
        <is>
          <t>OUT</t>
        </is>
      </c>
      <c r="H897">
        <f>IF(G897="OUT",F897,-F897)</f>
        <v>101</v>
      </c>
      <c r="I897">
        <f>IF(AND(B897&gt;=DATE(2025,7,1),B897&lt;=DATE(2026,6,30)),1,0)</f>
        <v>1</v>
      </c>
      <c r="J897">
        <f>IF(B897&lt;=DATE(2026,6,30),1,0)</f>
        <v>1</v>
      </c>
      <c r="K897" t="inlineStr">
        <is>
          <t>Site text normalised</t>
        </is>
      </c>
      <c r="L897" t="inlineStr">
        <is>
          <t>Driver</t>
        </is>
      </c>
      <c r="M897">
        <f>COUNTIFS('Asset Log'!$A$5:$A$1379,A897,'Asset Log'!$E$5:$E$1379,E897,'Asset Log'!$G$5:$G$1379,G897)</f>
        <v>1</v>
      </c>
    </row>
    <row r="898">
      <c r="A898" t="inlineStr">
        <is>
          <t>D70822</t>
        </is>
      </c>
      <c r="B898" s="11" t="n">
        <v>46060</v>
      </c>
      <c r="C898" t="inlineStr">
        <is>
          <t>S0087</t>
        </is>
      </c>
      <c r="D898" t="inlineStr">
        <is>
          <t>S0087</t>
        </is>
      </c>
      <c r="E898" t="inlineStr">
        <is>
          <t>FB</t>
        </is>
      </c>
      <c r="F898" t="n">
        <v>111</v>
      </c>
      <c r="G898" t="inlineStr">
        <is>
          <t>OUT</t>
        </is>
      </c>
      <c r="H898">
        <f>IF(G898="OUT",F898,-F898)</f>
        <v>111</v>
      </c>
      <c r="I898">
        <f>IF(AND(B898&gt;=DATE(2025,7,1),B898&lt;=DATE(2026,6,30)),1,0)</f>
        <v>1</v>
      </c>
      <c r="J898">
        <f>IF(B898&lt;=DATE(2026,6,30),1,0)</f>
        <v>1</v>
      </c>
      <c r="K898" t="inlineStr"/>
      <c r="L898" t="inlineStr">
        <is>
          <t>Driver</t>
        </is>
      </c>
      <c r="M898">
        <f>COUNTIFS('Asset Log'!$A$5:$A$1379,A898,'Asset Log'!$E$5:$E$1379,E898,'Asset Log'!$G$5:$G$1379,G898)</f>
        <v>1</v>
      </c>
    </row>
    <row r="899">
      <c r="A899" t="inlineStr">
        <is>
          <t>D70825</t>
        </is>
      </c>
      <c r="B899" s="11" t="n">
        <v>46060</v>
      </c>
      <c r="C899" t="inlineStr">
        <is>
          <t>S0087</t>
        </is>
      </c>
      <c r="D899" t="inlineStr">
        <is>
          <t>S0087</t>
        </is>
      </c>
      <c r="E899" t="inlineStr">
        <is>
          <t>BR</t>
        </is>
      </c>
      <c r="F899" t="n">
        <v>8</v>
      </c>
      <c r="G899" t="inlineStr">
        <is>
          <t>OUT</t>
        </is>
      </c>
      <c r="H899">
        <f>IF(G899="OUT",F899,-F899)</f>
        <v>8</v>
      </c>
      <c r="I899">
        <f>IF(AND(B899&gt;=DATE(2025,7,1),B899&lt;=DATE(2026,6,30)),1,0)</f>
        <v>1</v>
      </c>
      <c r="J899">
        <f>IF(B899&lt;=DATE(2026,6,30),1,0)</f>
        <v>1</v>
      </c>
      <c r="K899" t="inlineStr"/>
      <c r="L899" t="inlineStr">
        <is>
          <t>Office</t>
        </is>
      </c>
      <c r="M899">
        <f>COUNTIFS('Asset Log'!$A$5:$A$1379,A899,'Asset Log'!$E$5:$E$1379,E899,'Asset Log'!$G$5:$G$1379,G899)</f>
        <v>1</v>
      </c>
    </row>
    <row r="900">
      <c r="A900" t="inlineStr">
        <is>
          <t>D71210</t>
        </is>
      </c>
      <c r="B900" s="11" t="n">
        <v>46060</v>
      </c>
      <c r="C900" t="inlineStr">
        <is>
          <t>S0126</t>
        </is>
      </c>
      <c r="D900" t="inlineStr">
        <is>
          <t>S0126</t>
        </is>
      </c>
      <c r="E900" t="inlineStr">
        <is>
          <t>FP</t>
        </is>
      </c>
      <c r="F900" t="n">
        <v>82</v>
      </c>
      <c r="G900" t="inlineStr">
        <is>
          <t>IN</t>
        </is>
      </c>
      <c r="H900">
        <f>IF(G900="OUT",F900,-F900)</f>
        <v>-82</v>
      </c>
      <c r="I900">
        <f>IF(AND(B900&gt;=DATE(2025,7,1),B900&lt;=DATE(2026,6,30)),1,0)</f>
        <v>1</v>
      </c>
      <c r="J900">
        <f>IF(B900&lt;=DATE(2026,6,30),1,0)</f>
        <v>1</v>
      </c>
      <c r="K900" t="inlineStr"/>
      <c r="L900" t="inlineStr">
        <is>
          <t>Office</t>
        </is>
      </c>
      <c r="M900">
        <f>COUNTIFS('Asset Log'!$A$5:$A$1379,A900,'Asset Log'!$E$5:$E$1379,E900,'Asset Log'!$G$5:$G$1379,G900)</f>
        <v>1</v>
      </c>
    </row>
    <row r="901">
      <c r="A901" t="inlineStr">
        <is>
          <t>D71219</t>
        </is>
      </c>
      <c r="B901" s="11" t="n">
        <v>46060</v>
      </c>
      <c r="C901" t="inlineStr">
        <is>
          <t>126</t>
        </is>
      </c>
      <c r="D901" t="inlineStr">
        <is>
          <t>S0126</t>
        </is>
      </c>
      <c r="E901" t="inlineStr">
        <is>
          <t>FB</t>
        </is>
      </c>
      <c r="F901" t="n">
        <v>94</v>
      </c>
      <c r="G901" t="inlineStr">
        <is>
          <t>IN</t>
        </is>
      </c>
      <c r="H901">
        <f>IF(G901="OUT",F901,-F901)</f>
        <v>-94</v>
      </c>
      <c r="I901">
        <f>IF(AND(B901&gt;=DATE(2025,7,1),B901&lt;=DATE(2026,6,30)),1,0)</f>
        <v>1</v>
      </c>
      <c r="J901">
        <f>IF(B901&lt;=DATE(2026,6,30),1,0)</f>
        <v>1</v>
      </c>
      <c r="K901" t="inlineStr">
        <is>
          <t>Site text normalised</t>
        </is>
      </c>
      <c r="L901" t="inlineStr">
        <is>
          <t>Driver</t>
        </is>
      </c>
      <c r="M901">
        <f>COUNTIFS('Asset Log'!$A$5:$A$1379,A901,'Asset Log'!$E$5:$E$1379,E901,'Asset Log'!$G$5:$G$1379,G901)</f>
        <v>1</v>
      </c>
    </row>
    <row r="902">
      <c r="A902" t="inlineStr">
        <is>
          <t>D71348</t>
        </is>
      </c>
      <c r="B902" s="11" t="n">
        <v>46060</v>
      </c>
      <c r="C902" t="inlineStr">
        <is>
          <t>S0143</t>
        </is>
      </c>
      <c r="D902" t="inlineStr">
        <is>
          <t>S0143</t>
        </is>
      </c>
      <c r="E902" t="inlineStr">
        <is>
          <t>FP</t>
        </is>
      </c>
      <c r="F902" t="n">
        <v>140</v>
      </c>
      <c r="G902" t="inlineStr">
        <is>
          <t>OUT</t>
        </is>
      </c>
      <c r="H902">
        <f>IF(G902="OUT",F902,-F902)</f>
        <v>140</v>
      </c>
      <c r="I902">
        <f>IF(AND(B902&gt;=DATE(2025,7,1),B902&lt;=DATE(2026,6,30)),1,0)</f>
        <v>1</v>
      </c>
      <c r="J902">
        <f>IF(B902&lt;=DATE(2026,6,30),1,0)</f>
        <v>1</v>
      </c>
      <c r="K902" t="inlineStr"/>
      <c r="L902" t="inlineStr">
        <is>
          <t>Driver</t>
        </is>
      </c>
      <c r="M902">
        <f>COUNTIFS('Asset Log'!$A$5:$A$1379,A902,'Asset Log'!$E$5:$E$1379,E902,'Asset Log'!$G$5:$G$1379,G902)</f>
        <v>1</v>
      </c>
    </row>
    <row r="903">
      <c r="A903" t="inlineStr">
        <is>
          <t>D71352</t>
        </is>
      </c>
      <c r="B903" s="11" t="n">
        <v>46060</v>
      </c>
      <c r="C903" t="inlineStr">
        <is>
          <t>S0143</t>
        </is>
      </c>
      <c r="D903" t="inlineStr">
        <is>
          <t>S0143</t>
        </is>
      </c>
      <c r="E903" t="inlineStr">
        <is>
          <t>FB</t>
        </is>
      </c>
      <c r="F903" t="n">
        <v>154</v>
      </c>
      <c r="G903" t="inlineStr">
        <is>
          <t>OUT</t>
        </is>
      </c>
      <c r="H903">
        <f>IF(G903="OUT",F903,-F903)</f>
        <v>154</v>
      </c>
      <c r="I903">
        <f>IF(AND(B903&gt;=DATE(2025,7,1),B903&lt;=DATE(2026,6,30)),1,0)</f>
        <v>1</v>
      </c>
      <c r="J903">
        <f>IF(B903&lt;=DATE(2026,6,30),1,0)</f>
        <v>1</v>
      </c>
      <c r="K903" t="inlineStr"/>
      <c r="L903" t="inlineStr">
        <is>
          <t>Yard</t>
        </is>
      </c>
      <c r="M903">
        <f>COUNTIFS('Asset Log'!$A$5:$A$1379,A903,'Asset Log'!$E$5:$E$1379,E903,'Asset Log'!$G$5:$G$1379,G903)</f>
        <v>1</v>
      </c>
    </row>
    <row r="904">
      <c r="A904" t="inlineStr">
        <is>
          <t>D70155</t>
        </is>
      </c>
      <c r="B904" s="11" t="n">
        <v>46061</v>
      </c>
      <c r="C904" t="inlineStr">
        <is>
          <t>S0018</t>
        </is>
      </c>
      <c r="D904" t="inlineStr">
        <is>
          <t>S0018</t>
        </is>
      </c>
      <c r="E904" t="inlineStr">
        <is>
          <t>FP</t>
        </is>
      </c>
      <c r="F904" t="n">
        <v>37</v>
      </c>
      <c r="G904" t="inlineStr">
        <is>
          <t>IN</t>
        </is>
      </c>
      <c r="H904">
        <f>IF(G904="OUT",F904,-F904)</f>
        <v>-37</v>
      </c>
      <c r="I904">
        <f>IF(AND(B904&gt;=DATE(2025,7,1),B904&lt;=DATE(2026,6,30)),1,0)</f>
        <v>1</v>
      </c>
      <c r="J904">
        <f>IF(B904&lt;=DATE(2026,6,30),1,0)</f>
        <v>1</v>
      </c>
      <c r="K904" t="inlineStr"/>
      <c r="L904" t="inlineStr">
        <is>
          <t>Office</t>
        </is>
      </c>
      <c r="M904">
        <f>COUNTIFS('Asset Log'!$A$5:$A$1379,A904,'Asset Log'!$E$5:$E$1379,E904,'Asset Log'!$G$5:$G$1379,G904)</f>
        <v>1</v>
      </c>
    </row>
    <row r="905">
      <c r="A905" t="inlineStr">
        <is>
          <t>D70160</t>
        </is>
      </c>
      <c r="B905" s="11" t="n">
        <v>46061</v>
      </c>
      <c r="C905" t="inlineStr">
        <is>
          <t>s018</t>
        </is>
      </c>
      <c r="D905" t="inlineStr">
        <is>
          <t>S0018</t>
        </is>
      </c>
      <c r="E905" t="inlineStr">
        <is>
          <t>FB</t>
        </is>
      </c>
      <c r="F905" t="n">
        <v>52</v>
      </c>
      <c r="G905" t="inlineStr">
        <is>
          <t>IN</t>
        </is>
      </c>
      <c r="H905">
        <f>IF(G905="OUT",F905,-F905)</f>
        <v>-52</v>
      </c>
      <c r="I905">
        <f>IF(AND(B905&gt;=DATE(2025,7,1),B905&lt;=DATE(2026,6,30)),1,0)</f>
        <v>1</v>
      </c>
      <c r="J905">
        <f>IF(B905&lt;=DATE(2026,6,30),1,0)</f>
        <v>1</v>
      </c>
      <c r="K905" t="inlineStr">
        <is>
          <t>Site text normalised</t>
        </is>
      </c>
      <c r="L905" t="inlineStr">
        <is>
          <t>Office</t>
        </is>
      </c>
      <c r="M905">
        <f>COUNTIFS('Asset Log'!$A$5:$A$1379,A905,'Asset Log'!$E$5:$E$1379,E905,'Asset Log'!$G$5:$G$1379,G905)</f>
        <v>1</v>
      </c>
    </row>
    <row r="906">
      <c r="A906" t="inlineStr">
        <is>
          <t>D70567</t>
        </is>
      </c>
      <c r="B906" s="11" t="n">
        <v>46061</v>
      </c>
      <c r="C906" t="inlineStr">
        <is>
          <t>62</t>
        </is>
      </c>
      <c r="D906" t="inlineStr">
        <is>
          <t>S0062</t>
        </is>
      </c>
      <c r="E906" t="inlineStr">
        <is>
          <t>FP</t>
        </is>
      </c>
      <c r="F906" t="n">
        <v>9</v>
      </c>
      <c r="G906" t="inlineStr">
        <is>
          <t>OUT</t>
        </is>
      </c>
      <c r="H906">
        <f>IF(G906="OUT",F906,-F906)</f>
        <v>9</v>
      </c>
      <c r="I906">
        <f>IF(AND(B906&gt;=DATE(2025,7,1),B906&lt;=DATE(2026,6,30)),1,0)</f>
        <v>1</v>
      </c>
      <c r="J906">
        <f>IF(B906&lt;=DATE(2026,6,30),1,0)</f>
        <v>1</v>
      </c>
      <c r="K906" t="inlineStr">
        <is>
          <t>Site text normalised</t>
        </is>
      </c>
      <c r="L906" t="inlineStr">
        <is>
          <t>Driver</t>
        </is>
      </c>
      <c r="M906">
        <f>COUNTIFS('Asset Log'!$A$5:$A$1379,A906,'Asset Log'!$E$5:$E$1379,E906,'Asset Log'!$G$5:$G$1379,G906)</f>
        <v>1</v>
      </c>
    </row>
    <row r="907">
      <c r="A907" t="inlineStr">
        <is>
          <t>D70573</t>
        </is>
      </c>
      <c r="B907" s="11" t="n">
        <v>46061</v>
      </c>
      <c r="C907" t="inlineStr">
        <is>
          <t>S0062</t>
        </is>
      </c>
      <c r="D907" t="inlineStr">
        <is>
          <t>S0062</t>
        </is>
      </c>
      <c r="E907" t="inlineStr">
        <is>
          <t>FB</t>
        </is>
      </c>
      <c r="F907" t="n">
        <v>9</v>
      </c>
      <c r="G907" t="inlineStr">
        <is>
          <t>OUT</t>
        </is>
      </c>
      <c r="H907">
        <f>IF(G907="OUT",F907,-F907)</f>
        <v>9</v>
      </c>
      <c r="I907">
        <f>IF(AND(B907&gt;=DATE(2025,7,1),B907&lt;=DATE(2026,6,30)),1,0)</f>
        <v>1</v>
      </c>
      <c r="J907">
        <f>IF(B907&lt;=DATE(2026,6,30),1,0)</f>
        <v>1</v>
      </c>
      <c r="K907" t="inlineStr"/>
      <c r="L907" t="inlineStr">
        <is>
          <t>Office</t>
        </is>
      </c>
      <c r="M907">
        <f>COUNTIFS('Asset Log'!$A$5:$A$1379,A907,'Asset Log'!$E$5:$E$1379,E907,'Asset Log'!$G$5:$G$1379,G907)</f>
        <v>1</v>
      </c>
    </row>
    <row r="908">
      <c r="A908" t="inlineStr">
        <is>
          <t>D71438</t>
        </is>
      </c>
      <c r="B908" s="11" t="n">
        <v>46062</v>
      </c>
      <c r="C908" t="inlineStr">
        <is>
          <t>S0151</t>
        </is>
      </c>
      <c r="D908" t="inlineStr">
        <is>
          <t>S0151</t>
        </is>
      </c>
      <c r="E908" t="inlineStr">
        <is>
          <t>FP</t>
        </is>
      </c>
      <c r="F908" t="n">
        <v>87</v>
      </c>
      <c r="G908" t="inlineStr">
        <is>
          <t>OUT</t>
        </is>
      </c>
      <c r="H908">
        <f>IF(G908="OUT",F908,-F908)</f>
        <v>87</v>
      </c>
      <c r="I908">
        <f>IF(AND(B908&gt;=DATE(2025,7,1),B908&lt;=DATE(2026,6,30)),1,0)</f>
        <v>1</v>
      </c>
      <c r="J908">
        <f>IF(B908&lt;=DATE(2026,6,30),1,0)</f>
        <v>1</v>
      </c>
      <c r="K908" t="inlineStr"/>
      <c r="L908" t="inlineStr">
        <is>
          <t>Office</t>
        </is>
      </c>
      <c r="M908">
        <f>COUNTIFS('Asset Log'!$A$5:$A$1379,A908,'Asset Log'!$E$5:$E$1379,E908,'Asset Log'!$G$5:$G$1379,G908)</f>
        <v>1</v>
      </c>
    </row>
    <row r="909">
      <c r="A909" t="inlineStr">
        <is>
          <t>D71444</t>
        </is>
      </c>
      <c r="B909" s="11" t="n">
        <v>46062</v>
      </c>
      <c r="C909" t="inlineStr">
        <is>
          <t>S0151</t>
        </is>
      </c>
      <c r="D909" t="inlineStr">
        <is>
          <t>S0151</t>
        </is>
      </c>
      <c r="E909" t="inlineStr">
        <is>
          <t>FB</t>
        </is>
      </c>
      <c r="F909" t="n">
        <v>95</v>
      </c>
      <c r="G909" t="inlineStr">
        <is>
          <t>OUT</t>
        </is>
      </c>
      <c r="H909">
        <f>IF(G909="OUT",F909,-F909)</f>
        <v>95</v>
      </c>
      <c r="I909">
        <f>IF(AND(B909&gt;=DATE(2025,7,1),B909&lt;=DATE(2026,6,30)),1,0)</f>
        <v>1</v>
      </c>
      <c r="J909">
        <f>IF(B909&lt;=DATE(2026,6,30),1,0)</f>
        <v>1</v>
      </c>
      <c r="K909" t="inlineStr"/>
      <c r="L909" t="inlineStr">
        <is>
          <t>Office</t>
        </is>
      </c>
      <c r="M909">
        <f>COUNTIFS('Asset Log'!$A$5:$A$1379,A909,'Asset Log'!$E$5:$E$1379,E909,'Asset Log'!$G$5:$G$1379,G909)</f>
        <v>1</v>
      </c>
    </row>
    <row r="910">
      <c r="A910" t="inlineStr">
        <is>
          <t>D71946</t>
        </is>
      </c>
      <c r="B910" s="11" t="n">
        <v>46062</v>
      </c>
      <c r="C910" t="inlineStr">
        <is>
          <t>S0206</t>
        </is>
      </c>
      <c r="D910" t="inlineStr">
        <is>
          <t>S0206</t>
        </is>
      </c>
      <c r="E910" t="inlineStr">
        <is>
          <t>FP</t>
        </is>
      </c>
      <c r="F910" t="n">
        <v>89</v>
      </c>
      <c r="G910" t="inlineStr">
        <is>
          <t>OUT</t>
        </is>
      </c>
      <c r="H910">
        <f>IF(G910="OUT",F910,-F910)</f>
        <v>89</v>
      </c>
      <c r="I910">
        <f>IF(AND(B910&gt;=DATE(2025,7,1),B910&lt;=DATE(2026,6,30)),1,0)</f>
        <v>1</v>
      </c>
      <c r="J910">
        <f>IF(B910&lt;=DATE(2026,6,30),1,0)</f>
        <v>1</v>
      </c>
      <c r="K910" t="inlineStr"/>
      <c r="L910" t="inlineStr">
        <is>
          <t>Driver</t>
        </is>
      </c>
      <c r="M910">
        <f>COUNTIFS('Asset Log'!$A$5:$A$1379,A910,'Asset Log'!$E$5:$E$1379,E910,'Asset Log'!$G$5:$G$1379,G910)</f>
        <v>1</v>
      </c>
    </row>
    <row r="911">
      <c r="A911" t="inlineStr">
        <is>
          <t>D71948</t>
        </is>
      </c>
      <c r="B911" s="11" t="n">
        <v>46062</v>
      </c>
      <c r="C911" t="inlineStr">
        <is>
          <t>S0206</t>
        </is>
      </c>
      <c r="D911" t="inlineStr">
        <is>
          <t>S0206</t>
        </is>
      </c>
      <c r="E911" t="inlineStr">
        <is>
          <t>FB</t>
        </is>
      </c>
      <c r="F911" t="n">
        <v>97</v>
      </c>
      <c r="G911" t="inlineStr">
        <is>
          <t>OUT</t>
        </is>
      </c>
      <c r="H911">
        <f>IF(G911="OUT",F911,-F911)</f>
        <v>97</v>
      </c>
      <c r="I911">
        <f>IF(AND(B911&gt;=DATE(2025,7,1),B911&lt;=DATE(2026,6,30)),1,0)</f>
        <v>1</v>
      </c>
      <c r="J911">
        <f>IF(B911&lt;=DATE(2026,6,30),1,0)</f>
        <v>1</v>
      </c>
      <c r="K911" t="inlineStr"/>
      <c r="L911" t="inlineStr">
        <is>
          <t>Driver</t>
        </is>
      </c>
      <c r="M911">
        <f>COUNTIFS('Asset Log'!$A$5:$A$1379,A911,'Asset Log'!$E$5:$E$1379,E911,'Asset Log'!$G$5:$G$1379,G911)</f>
        <v>1</v>
      </c>
    </row>
    <row r="912">
      <c r="A912" t="inlineStr">
        <is>
          <t>D72759</t>
        </is>
      </c>
      <c r="B912" s="11" t="n">
        <v>46062</v>
      </c>
      <c r="C912" t="inlineStr">
        <is>
          <t>S0493</t>
        </is>
      </c>
      <c r="D912" t="inlineStr">
        <is>
          <t>S0493</t>
        </is>
      </c>
      <c r="E912" t="inlineStr">
        <is>
          <t>TK</t>
        </is>
      </c>
      <c r="F912" t="n">
        <v>1</v>
      </c>
      <c r="G912" t="inlineStr">
        <is>
          <t>IN</t>
        </is>
      </c>
      <c r="H912">
        <f>IF(G912="OUT",F912,-F912)</f>
        <v>-1</v>
      </c>
      <c r="I912">
        <f>IF(AND(B912&gt;=DATE(2025,7,1),B912&lt;=DATE(2026,6,30)),1,0)</f>
        <v>1</v>
      </c>
      <c r="J912">
        <f>IF(B912&lt;=DATE(2026,6,30),1,0)</f>
        <v>1</v>
      </c>
      <c r="K912" t="inlineStr"/>
      <c r="L912" t="inlineStr">
        <is>
          <t>Driver</t>
        </is>
      </c>
      <c r="M912">
        <f>COUNTIFS('Asset Log'!$A$5:$A$1379,A912,'Asset Log'!$E$5:$E$1379,E912,'Asset Log'!$G$5:$G$1379,G912)</f>
        <v>1</v>
      </c>
    </row>
    <row r="913">
      <c r="A913" t="inlineStr">
        <is>
          <t>D71960</t>
        </is>
      </c>
      <c r="B913" s="11" t="n">
        <v>46063</v>
      </c>
      <c r="C913" t="inlineStr">
        <is>
          <t>S0208</t>
        </is>
      </c>
      <c r="D913" t="inlineStr">
        <is>
          <t>S0208</t>
        </is>
      </c>
      <c r="E913" t="inlineStr">
        <is>
          <t>FP</t>
        </is>
      </c>
      <c r="F913" t="n">
        <v>72</v>
      </c>
      <c r="G913" t="inlineStr">
        <is>
          <t>OUT</t>
        </is>
      </c>
      <c r="H913">
        <f>IF(G913="OUT",F913,-F913)</f>
        <v>72</v>
      </c>
      <c r="I913">
        <f>IF(AND(B913&gt;=DATE(2025,7,1),B913&lt;=DATE(2026,6,30)),1,0)</f>
        <v>1</v>
      </c>
      <c r="J913">
        <f>IF(B913&lt;=DATE(2026,6,30),1,0)</f>
        <v>1</v>
      </c>
      <c r="K913" t="inlineStr"/>
      <c r="L913" t="inlineStr">
        <is>
          <t>Office</t>
        </is>
      </c>
      <c r="M913">
        <f>COUNTIFS('Asset Log'!$A$5:$A$1379,A913,'Asset Log'!$E$5:$E$1379,E913,'Asset Log'!$G$5:$G$1379,G913)</f>
        <v>1</v>
      </c>
    </row>
    <row r="914">
      <c r="A914" t="inlineStr">
        <is>
          <t>D71963</t>
        </is>
      </c>
      <c r="B914" s="11" t="n">
        <v>46063</v>
      </c>
      <c r="C914" t="inlineStr">
        <is>
          <t>s208</t>
        </is>
      </c>
      <c r="D914" t="inlineStr">
        <is>
          <t>S0208</t>
        </is>
      </c>
      <c r="E914" t="inlineStr">
        <is>
          <t>FB</t>
        </is>
      </c>
      <c r="F914" t="n">
        <v>79</v>
      </c>
      <c r="G914" t="inlineStr">
        <is>
          <t>OUT</t>
        </is>
      </c>
      <c r="H914">
        <f>IF(G914="OUT",F914,-F914)</f>
        <v>79</v>
      </c>
      <c r="I914">
        <f>IF(AND(B914&gt;=DATE(2025,7,1),B914&lt;=DATE(2026,6,30)),1,0)</f>
        <v>1</v>
      </c>
      <c r="J914">
        <f>IF(B914&lt;=DATE(2026,6,30),1,0)</f>
        <v>1</v>
      </c>
      <c r="K914" t="inlineStr">
        <is>
          <t>Site text normalised</t>
        </is>
      </c>
      <c r="L914" t="inlineStr">
        <is>
          <t>Yard</t>
        </is>
      </c>
      <c r="M914">
        <f>COUNTIFS('Asset Log'!$A$5:$A$1379,A914,'Asset Log'!$E$5:$E$1379,E914,'Asset Log'!$G$5:$G$1379,G914)</f>
        <v>1</v>
      </c>
    </row>
    <row r="915">
      <c r="A915" t="inlineStr">
        <is>
          <t>D72613</t>
        </is>
      </c>
      <c r="B915" s="11" t="n">
        <v>46063</v>
      </c>
      <c r="C915" t="inlineStr">
        <is>
          <t>s399</t>
        </is>
      </c>
      <c r="D915" t="inlineStr">
        <is>
          <t>S0399</t>
        </is>
      </c>
      <c r="E915" t="inlineStr">
        <is>
          <t>TK</t>
        </is>
      </c>
      <c r="F915" t="n">
        <v>3</v>
      </c>
      <c r="G915" t="inlineStr">
        <is>
          <t>IN</t>
        </is>
      </c>
      <c r="H915">
        <f>IF(G915="OUT",F915,-F915)</f>
        <v>-3</v>
      </c>
      <c r="I915">
        <f>IF(AND(B915&gt;=DATE(2025,7,1),B915&lt;=DATE(2026,6,30)),1,0)</f>
        <v>1</v>
      </c>
      <c r="J915">
        <f>IF(B915&lt;=DATE(2026,6,30),1,0)</f>
        <v>1</v>
      </c>
      <c r="K915" t="inlineStr">
        <is>
          <t>Site text normalised</t>
        </is>
      </c>
      <c r="L915" t="inlineStr">
        <is>
          <t>Office</t>
        </is>
      </c>
      <c r="M915">
        <f>COUNTIFS('Asset Log'!$A$5:$A$1379,A915,'Asset Log'!$E$5:$E$1379,E915,'Asset Log'!$G$5:$G$1379,G915)</f>
        <v>1</v>
      </c>
    </row>
    <row r="916">
      <c r="A916" t="inlineStr">
        <is>
          <t>D70787</t>
        </is>
      </c>
      <c r="B916" s="11" t="n">
        <v>46064</v>
      </c>
      <c r="C916" t="inlineStr">
        <is>
          <t>S0084</t>
        </is>
      </c>
      <c r="D916" t="inlineStr">
        <is>
          <t>S0084</t>
        </is>
      </c>
      <c r="E916" t="inlineStr">
        <is>
          <t>FP</t>
        </is>
      </c>
      <c r="F916" t="n">
        <v>18</v>
      </c>
      <c r="G916" t="inlineStr">
        <is>
          <t>OUT</t>
        </is>
      </c>
      <c r="H916">
        <f>IF(G916="OUT",F916,-F916)</f>
        <v>18</v>
      </c>
      <c r="I916">
        <f>IF(AND(B916&gt;=DATE(2025,7,1),B916&lt;=DATE(2026,6,30)),1,0)</f>
        <v>1</v>
      </c>
      <c r="J916">
        <f>IF(B916&lt;=DATE(2026,6,30),1,0)</f>
        <v>1</v>
      </c>
      <c r="K916" t="inlineStr"/>
      <c r="L916" t="inlineStr">
        <is>
          <t>Yard</t>
        </is>
      </c>
      <c r="M916">
        <f>COUNTIFS('Asset Log'!$A$5:$A$1379,A916,'Asset Log'!$E$5:$E$1379,E916,'Asset Log'!$G$5:$G$1379,G916)</f>
        <v>1</v>
      </c>
    </row>
    <row r="917">
      <c r="A917" t="inlineStr">
        <is>
          <t>D70791</t>
        </is>
      </c>
      <c r="B917" s="11" t="n">
        <v>46064</v>
      </c>
      <c r="C917" t="inlineStr">
        <is>
          <t>S0084</t>
        </is>
      </c>
      <c r="D917" t="inlineStr">
        <is>
          <t>S0084</t>
        </is>
      </c>
      <c r="E917" t="inlineStr">
        <is>
          <t>FB</t>
        </is>
      </c>
      <c r="F917" t="n">
        <v>19</v>
      </c>
      <c r="G917" t="inlineStr">
        <is>
          <t>OUT</t>
        </is>
      </c>
      <c r="H917">
        <f>IF(G917="OUT",F917,-F917)</f>
        <v>19</v>
      </c>
      <c r="I917">
        <f>IF(AND(B917&gt;=DATE(2025,7,1),B917&lt;=DATE(2026,6,30)),1,0)</f>
        <v>1</v>
      </c>
      <c r="J917">
        <f>IF(B917&lt;=DATE(2026,6,30),1,0)</f>
        <v>1</v>
      </c>
      <c r="K917" t="inlineStr"/>
      <c r="L917" t="inlineStr">
        <is>
          <t>Yard</t>
        </is>
      </c>
      <c r="M917">
        <f>COUNTIFS('Asset Log'!$A$5:$A$1379,A917,'Asset Log'!$E$5:$E$1379,E917,'Asset Log'!$G$5:$G$1379,G917)</f>
        <v>1</v>
      </c>
    </row>
    <row r="918">
      <c r="A918" t="inlineStr">
        <is>
          <t>D71255</t>
        </is>
      </c>
      <c r="B918" s="11" t="n">
        <v>46065</v>
      </c>
      <c r="C918" t="inlineStr">
        <is>
          <t>S0131</t>
        </is>
      </c>
      <c r="D918" t="inlineStr">
        <is>
          <t>S0131</t>
        </is>
      </c>
      <c r="E918" t="inlineStr">
        <is>
          <t>FP</t>
        </is>
      </c>
      <c r="F918" t="n">
        <v>62</v>
      </c>
      <c r="G918" t="inlineStr">
        <is>
          <t>OUT</t>
        </is>
      </c>
      <c r="H918">
        <f>IF(G918="OUT",F918,-F918)</f>
        <v>62</v>
      </c>
      <c r="I918">
        <f>IF(AND(B918&gt;=DATE(2025,7,1),B918&lt;=DATE(2026,6,30)),1,0)</f>
        <v>1</v>
      </c>
      <c r="J918">
        <f>IF(B918&lt;=DATE(2026,6,30),1,0)</f>
        <v>1</v>
      </c>
      <c r="K918" t="inlineStr"/>
      <c r="L918" t="inlineStr">
        <is>
          <t>Driver</t>
        </is>
      </c>
      <c r="M918">
        <f>COUNTIFS('Asset Log'!$A$5:$A$1379,A918,'Asset Log'!$E$5:$E$1379,E918,'Asset Log'!$G$5:$G$1379,G918)</f>
        <v>1</v>
      </c>
    </row>
    <row r="919">
      <c r="A919" t="inlineStr">
        <is>
          <t>D71260</t>
        </is>
      </c>
      <c r="B919" s="11" t="n">
        <v>46065</v>
      </c>
      <c r="C919" t="inlineStr">
        <is>
          <t>131</t>
        </is>
      </c>
      <c r="D919" t="inlineStr">
        <is>
          <t>S0131</t>
        </is>
      </c>
      <c r="E919" t="inlineStr">
        <is>
          <t>FB</t>
        </is>
      </c>
      <c r="F919" t="n">
        <v>68</v>
      </c>
      <c r="G919" t="inlineStr">
        <is>
          <t>OUT</t>
        </is>
      </c>
      <c r="H919">
        <f>IF(G919="OUT",F919,-F919)</f>
        <v>68</v>
      </c>
      <c r="I919">
        <f>IF(AND(B919&gt;=DATE(2025,7,1),B919&lt;=DATE(2026,6,30)),1,0)</f>
        <v>1</v>
      </c>
      <c r="J919">
        <f>IF(B919&lt;=DATE(2026,6,30),1,0)</f>
        <v>1</v>
      </c>
      <c r="K919" t="inlineStr">
        <is>
          <t>Site text normalised</t>
        </is>
      </c>
      <c r="L919" t="inlineStr">
        <is>
          <t>Office</t>
        </is>
      </c>
      <c r="M919">
        <f>COUNTIFS('Asset Log'!$A$5:$A$1379,A919,'Asset Log'!$E$5:$E$1379,E919,'Asset Log'!$G$5:$G$1379,G919)</f>
        <v>1</v>
      </c>
    </row>
    <row r="920">
      <c r="A920" t="inlineStr">
        <is>
          <t>D70640</t>
        </is>
      </c>
      <c r="B920" s="11" t="n">
        <v>46067</v>
      </c>
      <c r="C920" t="inlineStr">
        <is>
          <t>S0069</t>
        </is>
      </c>
      <c r="D920" t="inlineStr">
        <is>
          <t>S0069</t>
        </is>
      </c>
      <c r="E920" t="inlineStr">
        <is>
          <t>FP</t>
        </is>
      </c>
      <c r="F920" t="n">
        <v>39</v>
      </c>
      <c r="G920" t="inlineStr">
        <is>
          <t>OUT</t>
        </is>
      </c>
      <c r="H920">
        <f>IF(G920="OUT",F920,-F920)</f>
        <v>39</v>
      </c>
      <c r="I920">
        <f>IF(AND(B920&gt;=DATE(2025,7,1),B920&lt;=DATE(2026,6,30)),1,0)</f>
        <v>1</v>
      </c>
      <c r="J920">
        <f>IF(B920&lt;=DATE(2026,6,30),1,0)</f>
        <v>1</v>
      </c>
      <c r="K920" t="inlineStr"/>
      <c r="L920" t="inlineStr">
        <is>
          <t>Office</t>
        </is>
      </c>
      <c r="M920">
        <f>COUNTIFS('Asset Log'!$A$5:$A$1379,A920,'Asset Log'!$E$5:$E$1379,E920,'Asset Log'!$G$5:$G$1379,G920)</f>
        <v>1</v>
      </c>
    </row>
    <row r="921">
      <c r="A921" t="inlineStr">
        <is>
          <t>D70644</t>
        </is>
      </c>
      <c r="B921" s="11" t="n">
        <v>46067</v>
      </c>
      <c r="C921" t="inlineStr">
        <is>
          <t>S0069</t>
        </is>
      </c>
      <c r="D921" t="inlineStr">
        <is>
          <t>S0069</t>
        </is>
      </c>
      <c r="E921" t="inlineStr">
        <is>
          <t>FB</t>
        </is>
      </c>
      <c r="F921" t="n">
        <v>42</v>
      </c>
      <c r="G921" t="inlineStr">
        <is>
          <t>OUT</t>
        </is>
      </c>
      <c r="H921">
        <f>IF(G921="OUT",F921,-F921)</f>
        <v>42</v>
      </c>
      <c r="I921">
        <f>IF(AND(B921&gt;=DATE(2025,7,1),B921&lt;=DATE(2026,6,30)),1,0)</f>
        <v>1</v>
      </c>
      <c r="J921">
        <f>IF(B921&lt;=DATE(2026,6,30),1,0)</f>
        <v>1</v>
      </c>
      <c r="K921" t="inlineStr"/>
      <c r="L921" t="inlineStr">
        <is>
          <t>Office</t>
        </is>
      </c>
      <c r="M921">
        <f>COUNTIFS('Asset Log'!$A$5:$A$1379,A921,'Asset Log'!$E$5:$E$1379,E921,'Asset Log'!$G$5:$G$1379,G921)</f>
        <v>1</v>
      </c>
    </row>
    <row r="922">
      <c r="A922" t="inlineStr">
        <is>
          <t>D70983</t>
        </is>
      </c>
      <c r="B922" s="11" t="n">
        <v>46067</v>
      </c>
      <c r="C922" t="inlineStr">
        <is>
          <t>S0106</t>
        </is>
      </c>
      <c r="D922" t="inlineStr">
        <is>
          <t>S0106</t>
        </is>
      </c>
      <c r="E922" t="inlineStr">
        <is>
          <t>FP</t>
        </is>
      </c>
      <c r="F922" t="n">
        <v>19</v>
      </c>
      <c r="G922" t="inlineStr">
        <is>
          <t>IN</t>
        </is>
      </c>
      <c r="H922">
        <f>IF(G922="OUT",F922,-F922)</f>
        <v>-19</v>
      </c>
      <c r="I922">
        <f>IF(AND(B922&gt;=DATE(2025,7,1),B922&lt;=DATE(2026,6,30)),1,0)</f>
        <v>1</v>
      </c>
      <c r="J922">
        <f>IF(B922&lt;=DATE(2026,6,30),1,0)</f>
        <v>1</v>
      </c>
      <c r="K922" t="inlineStr"/>
      <c r="L922" t="inlineStr">
        <is>
          <t>Driver</t>
        </is>
      </c>
      <c r="M922">
        <f>COUNTIFS('Asset Log'!$A$5:$A$1379,A922,'Asset Log'!$E$5:$E$1379,E922,'Asset Log'!$G$5:$G$1379,G922)</f>
        <v>1</v>
      </c>
    </row>
    <row r="923">
      <c r="A923" t="inlineStr">
        <is>
          <t>D70987</t>
        </is>
      </c>
      <c r="B923" s="11" t="n">
        <v>46067</v>
      </c>
      <c r="C923" t="inlineStr">
        <is>
          <t>S0106</t>
        </is>
      </c>
      <c r="D923" t="inlineStr">
        <is>
          <t>S0106</t>
        </is>
      </c>
      <c r="E923" t="inlineStr">
        <is>
          <t>FB</t>
        </is>
      </c>
      <c r="F923" t="n">
        <v>20</v>
      </c>
      <c r="G923" t="inlineStr">
        <is>
          <t>IN</t>
        </is>
      </c>
      <c r="H923">
        <f>IF(G923="OUT",F923,-F923)</f>
        <v>-20</v>
      </c>
      <c r="I923">
        <f>IF(AND(B923&gt;=DATE(2025,7,1),B923&lt;=DATE(2026,6,30)),1,0)</f>
        <v>1</v>
      </c>
      <c r="J923">
        <f>IF(B923&lt;=DATE(2026,6,30),1,0)</f>
        <v>1</v>
      </c>
      <c r="K923" t="inlineStr"/>
      <c r="L923" t="inlineStr">
        <is>
          <t>Office</t>
        </is>
      </c>
      <c r="M923">
        <f>COUNTIFS('Asset Log'!$A$5:$A$1379,A923,'Asset Log'!$E$5:$E$1379,E923,'Asset Log'!$G$5:$G$1379,G923)</f>
        <v>1</v>
      </c>
    </row>
    <row r="924">
      <c r="A924" t="inlineStr">
        <is>
          <t>D72815</t>
        </is>
      </c>
      <c r="B924" s="11" t="n">
        <v>46068</v>
      </c>
      <c r="C924" t="inlineStr">
        <is>
          <t>S0528</t>
        </is>
      </c>
      <c r="D924" t="inlineStr">
        <is>
          <t>S0528</t>
        </is>
      </c>
      <c r="E924" t="inlineStr">
        <is>
          <t>TK</t>
        </is>
      </c>
      <c r="F924" t="n">
        <v>3</v>
      </c>
      <c r="G924" t="inlineStr">
        <is>
          <t>IN</t>
        </is>
      </c>
      <c r="H924">
        <f>IF(G924="OUT",F924,-F924)</f>
        <v>-3</v>
      </c>
      <c r="I924">
        <f>IF(AND(B924&gt;=DATE(2025,7,1),B924&lt;=DATE(2026,6,30)),1,0)</f>
        <v>1</v>
      </c>
      <c r="J924">
        <f>IF(B924&lt;=DATE(2026,6,30),1,0)</f>
        <v>1</v>
      </c>
      <c r="K924" t="inlineStr"/>
      <c r="L924" t="inlineStr">
        <is>
          <t>Driver</t>
        </is>
      </c>
      <c r="M924">
        <f>COUNTIFS('Asset Log'!$A$5:$A$1379,A924,'Asset Log'!$E$5:$E$1379,E924,'Asset Log'!$G$5:$G$1379,G924)</f>
        <v>1</v>
      </c>
    </row>
    <row r="925">
      <c r="A925" t="inlineStr">
        <is>
          <t>D72705</t>
        </is>
      </c>
      <c r="B925" s="11" t="n">
        <v>46070</v>
      </c>
      <c r="C925" t="inlineStr">
        <is>
          <t>S0449</t>
        </is>
      </c>
      <c r="D925" t="inlineStr">
        <is>
          <t>S0449</t>
        </is>
      </c>
      <c r="E925" t="inlineStr">
        <is>
          <t>TK</t>
        </is>
      </c>
      <c r="F925" t="n">
        <v>1</v>
      </c>
      <c r="G925" t="inlineStr">
        <is>
          <t>OUT</t>
        </is>
      </c>
      <c r="H925">
        <f>IF(G925="OUT",F925,-F925)</f>
        <v>1</v>
      </c>
      <c r="I925">
        <f>IF(AND(B925&gt;=DATE(2025,7,1),B925&lt;=DATE(2026,6,30)),1,0)</f>
        <v>1</v>
      </c>
      <c r="J925">
        <f>IF(B925&lt;=DATE(2026,6,30),1,0)</f>
        <v>1</v>
      </c>
      <c r="K925" t="inlineStr"/>
      <c r="L925" t="inlineStr">
        <is>
          <t>Office</t>
        </is>
      </c>
      <c r="M925">
        <f>COUNTIFS('Asset Log'!$A$5:$A$1379,A925,'Asset Log'!$E$5:$E$1379,E925,'Asset Log'!$G$5:$G$1379,G925)</f>
        <v>1</v>
      </c>
    </row>
    <row r="926">
      <c r="A926" t="inlineStr">
        <is>
          <t>D70061</t>
        </is>
      </c>
      <c r="B926" s="11" t="n">
        <v>46071</v>
      </c>
      <c r="C926" t="inlineStr">
        <is>
          <t>S0007</t>
        </is>
      </c>
      <c r="D926" t="inlineStr">
        <is>
          <t>S0007</t>
        </is>
      </c>
      <c r="E926" t="inlineStr">
        <is>
          <t>FP</t>
        </is>
      </c>
      <c r="F926" t="n">
        <v>71</v>
      </c>
      <c r="G926" t="inlineStr">
        <is>
          <t>IN</t>
        </is>
      </c>
      <c r="H926">
        <f>IF(G926="OUT",F926,-F926)</f>
        <v>-71</v>
      </c>
      <c r="I926">
        <f>IF(AND(B926&gt;=DATE(2025,7,1),B926&lt;=DATE(2026,6,30)),1,0)</f>
        <v>1</v>
      </c>
      <c r="J926">
        <f>IF(B926&lt;=DATE(2026,6,30),1,0)</f>
        <v>1</v>
      </c>
      <c r="K926" t="inlineStr"/>
      <c r="L926" t="inlineStr">
        <is>
          <t>Office</t>
        </is>
      </c>
      <c r="M926">
        <f>COUNTIFS('Asset Log'!$A$5:$A$1379,A926,'Asset Log'!$E$5:$E$1379,E926,'Asset Log'!$G$5:$G$1379,G926)</f>
        <v>1</v>
      </c>
    </row>
    <row r="927">
      <c r="A927" t="inlineStr">
        <is>
          <t>D70066</t>
        </is>
      </c>
      <c r="B927" s="11" t="n">
        <v>46071</v>
      </c>
      <c r="C927" t="inlineStr">
        <is>
          <t>S0007</t>
        </is>
      </c>
      <c r="D927" t="inlineStr">
        <is>
          <t>S0007</t>
        </is>
      </c>
      <c r="E927" t="inlineStr">
        <is>
          <t>FB</t>
        </is>
      </c>
      <c r="F927" t="n">
        <v>78</v>
      </c>
      <c r="G927" t="inlineStr">
        <is>
          <t>IN</t>
        </is>
      </c>
      <c r="H927">
        <f>IF(G927="OUT",F927,-F927)</f>
        <v>-78</v>
      </c>
      <c r="I927">
        <f>IF(AND(B927&gt;=DATE(2025,7,1),B927&lt;=DATE(2026,6,30)),1,0)</f>
        <v>1</v>
      </c>
      <c r="J927">
        <f>IF(B927&lt;=DATE(2026,6,30),1,0)</f>
        <v>1</v>
      </c>
      <c r="K927" t="inlineStr"/>
      <c r="L927" t="inlineStr">
        <is>
          <t>Driver</t>
        </is>
      </c>
      <c r="M927">
        <f>COUNTIFS('Asset Log'!$A$5:$A$1379,A927,'Asset Log'!$E$5:$E$1379,E927,'Asset Log'!$G$5:$G$1379,G927)</f>
        <v>1</v>
      </c>
    </row>
    <row r="928">
      <c r="A928" t="inlineStr">
        <is>
          <t>D70069</t>
        </is>
      </c>
      <c r="B928" s="11" t="n">
        <v>46071</v>
      </c>
      <c r="C928" t="inlineStr">
        <is>
          <t>S0008</t>
        </is>
      </c>
      <c r="D928" t="inlineStr">
        <is>
          <t>S0008</t>
        </is>
      </c>
      <c r="E928" t="inlineStr">
        <is>
          <t>FP</t>
        </is>
      </c>
      <c r="F928" t="n">
        <v>62</v>
      </c>
      <c r="G928" t="inlineStr">
        <is>
          <t>OUT</t>
        </is>
      </c>
      <c r="H928">
        <f>IF(G928="OUT",F928,-F928)</f>
        <v>62</v>
      </c>
      <c r="I928">
        <f>IF(AND(B928&gt;=DATE(2025,7,1),B928&lt;=DATE(2026,6,30)),1,0)</f>
        <v>1</v>
      </c>
      <c r="J928">
        <f>IF(B928&lt;=DATE(2026,6,30),1,0)</f>
        <v>1</v>
      </c>
      <c r="K928" t="inlineStr"/>
      <c r="L928" t="inlineStr">
        <is>
          <t>Yard</t>
        </is>
      </c>
      <c r="M928">
        <f>COUNTIFS('Asset Log'!$A$5:$A$1379,A928,'Asset Log'!$E$5:$E$1379,E928,'Asset Log'!$G$5:$G$1379,G928)</f>
        <v>1</v>
      </c>
    </row>
    <row r="929">
      <c r="A929" t="inlineStr">
        <is>
          <t>D70074</t>
        </is>
      </c>
      <c r="B929" s="11" t="n">
        <v>46071</v>
      </c>
      <c r="C929" t="inlineStr">
        <is>
          <t>S0008</t>
        </is>
      </c>
      <c r="D929" t="inlineStr">
        <is>
          <t>S0008</t>
        </is>
      </c>
      <c r="E929" t="inlineStr">
        <is>
          <t>FB</t>
        </is>
      </c>
      <c r="F929" t="n">
        <v>68</v>
      </c>
      <c r="G929" t="inlineStr">
        <is>
          <t>OUT</t>
        </is>
      </c>
      <c r="H929">
        <f>IF(G929="OUT",F929,-F929)</f>
        <v>68</v>
      </c>
      <c r="I929">
        <f>IF(AND(B929&gt;=DATE(2025,7,1),B929&lt;=DATE(2026,6,30)),1,0)</f>
        <v>1</v>
      </c>
      <c r="J929">
        <f>IF(B929&lt;=DATE(2026,6,30),1,0)</f>
        <v>1</v>
      </c>
      <c r="K929" t="inlineStr"/>
      <c r="L929" t="inlineStr">
        <is>
          <t>Yard</t>
        </is>
      </c>
      <c r="M929">
        <f>COUNTIFS('Asset Log'!$A$5:$A$1379,A929,'Asset Log'!$E$5:$E$1379,E929,'Asset Log'!$G$5:$G$1379,G929)</f>
        <v>1</v>
      </c>
    </row>
    <row r="930">
      <c r="A930" t="inlineStr">
        <is>
          <t>D70076</t>
        </is>
      </c>
      <c r="B930" s="11" t="n">
        <v>46071</v>
      </c>
      <c r="C930" t="inlineStr">
        <is>
          <t>s008</t>
        </is>
      </c>
      <c r="D930" t="inlineStr">
        <is>
          <t>S0008</t>
        </is>
      </c>
      <c r="E930" t="inlineStr">
        <is>
          <t>BR</t>
        </is>
      </c>
      <c r="F930" t="n">
        <v>21</v>
      </c>
      <c r="G930" t="inlineStr">
        <is>
          <t>OUT</t>
        </is>
      </c>
      <c r="H930">
        <f>IF(G930="OUT",F930,-F930)</f>
        <v>21</v>
      </c>
      <c r="I930">
        <f>IF(AND(B930&gt;=DATE(2025,7,1),B930&lt;=DATE(2026,6,30)),1,0)</f>
        <v>1</v>
      </c>
      <c r="J930">
        <f>IF(B930&lt;=DATE(2026,6,30),1,0)</f>
        <v>1</v>
      </c>
      <c r="K930" t="inlineStr">
        <is>
          <t>Site text normalised</t>
        </is>
      </c>
      <c r="L930" t="inlineStr">
        <is>
          <t>Driver</t>
        </is>
      </c>
      <c r="M930">
        <f>COUNTIFS('Asset Log'!$A$5:$A$1379,A930,'Asset Log'!$E$5:$E$1379,E930,'Asset Log'!$G$5:$G$1379,G930)</f>
        <v>1</v>
      </c>
    </row>
    <row r="931">
      <c r="A931" t="inlineStr">
        <is>
          <t>D72163</t>
        </is>
      </c>
      <c r="B931" s="11" t="n">
        <v>46071</v>
      </c>
      <c r="C931" t="inlineStr">
        <is>
          <t>S0229</t>
        </is>
      </c>
      <c r="D931" t="inlineStr">
        <is>
          <t>S0229</t>
        </is>
      </c>
      <c r="E931" t="inlineStr">
        <is>
          <t>FP</t>
        </is>
      </c>
      <c r="F931" t="n">
        <v>40</v>
      </c>
      <c r="G931" t="inlineStr">
        <is>
          <t>OUT</t>
        </is>
      </c>
      <c r="H931">
        <f>IF(G931="OUT",F931,-F931)</f>
        <v>40</v>
      </c>
      <c r="I931">
        <f>IF(AND(B931&gt;=DATE(2025,7,1),B931&lt;=DATE(2026,6,30)),1,0)</f>
        <v>1</v>
      </c>
      <c r="J931">
        <f>IF(B931&lt;=DATE(2026,6,30),1,0)</f>
        <v>1</v>
      </c>
      <c r="K931" t="inlineStr"/>
      <c r="L931" t="inlineStr">
        <is>
          <t>Office</t>
        </is>
      </c>
      <c r="M931">
        <f>COUNTIFS('Asset Log'!$A$5:$A$1379,A931,'Asset Log'!$E$5:$E$1379,E931,'Asset Log'!$G$5:$G$1379,G931)</f>
        <v>1</v>
      </c>
    </row>
    <row r="932">
      <c r="A932" t="inlineStr">
        <is>
          <t>D72169</t>
        </is>
      </c>
      <c r="B932" s="11" t="n">
        <v>46071</v>
      </c>
      <c r="C932" t="inlineStr">
        <is>
          <t>S0229</t>
        </is>
      </c>
      <c r="D932" t="inlineStr">
        <is>
          <t>S0229</t>
        </is>
      </c>
      <c r="E932" t="inlineStr">
        <is>
          <t>FB</t>
        </is>
      </c>
      <c r="F932" t="n">
        <v>44</v>
      </c>
      <c r="G932" t="inlineStr">
        <is>
          <t>OUT</t>
        </is>
      </c>
      <c r="H932">
        <f>IF(G932="OUT",F932,-F932)</f>
        <v>44</v>
      </c>
      <c r="I932">
        <f>IF(AND(B932&gt;=DATE(2025,7,1),B932&lt;=DATE(2026,6,30)),1,0)</f>
        <v>1</v>
      </c>
      <c r="J932">
        <f>IF(B932&lt;=DATE(2026,6,30),1,0)</f>
        <v>1</v>
      </c>
      <c r="K932" t="inlineStr"/>
      <c r="L932" t="inlineStr">
        <is>
          <t>Yard</t>
        </is>
      </c>
      <c r="M932">
        <f>COUNTIFS('Asset Log'!$A$5:$A$1379,A932,'Asset Log'!$E$5:$E$1379,E932,'Asset Log'!$G$5:$G$1379,G932)</f>
        <v>1</v>
      </c>
    </row>
    <row r="933">
      <c r="A933" t="inlineStr">
        <is>
          <t>D72373</t>
        </is>
      </c>
      <c r="B933" s="11" t="n">
        <v>46071</v>
      </c>
      <c r="C933" t="inlineStr">
        <is>
          <t>S0275 Epping</t>
        </is>
      </c>
      <c r="D933" t="inlineStr">
        <is>
          <t>S0275</t>
        </is>
      </c>
      <c r="E933" t="inlineStr">
        <is>
          <t>ST</t>
        </is>
      </c>
      <c r="F933" t="n">
        <v>4</v>
      </c>
      <c r="G933" t="inlineStr">
        <is>
          <t>IN</t>
        </is>
      </c>
      <c r="H933">
        <f>IF(G933="OUT",F933,-F933)</f>
        <v>-4</v>
      </c>
      <c r="I933">
        <f>IF(AND(B933&gt;=DATE(2025,7,1),B933&lt;=DATE(2026,6,30)),1,0)</f>
        <v>1</v>
      </c>
      <c r="J933">
        <f>IF(B933&lt;=DATE(2026,6,30),1,0)</f>
        <v>1</v>
      </c>
      <c r="K933" t="inlineStr">
        <is>
          <t>Site text normalised</t>
        </is>
      </c>
      <c r="L933" t="inlineStr">
        <is>
          <t>Office</t>
        </is>
      </c>
      <c r="M933">
        <f>COUNTIFS('Asset Log'!$A$5:$A$1379,A933,'Asset Log'!$E$5:$E$1379,E933,'Asset Log'!$G$5:$G$1379,G933)</f>
        <v>1</v>
      </c>
    </row>
    <row r="934">
      <c r="A934" t="inlineStr">
        <is>
          <t>D72610</t>
        </is>
      </c>
      <c r="B934" s="11" t="n">
        <v>46071</v>
      </c>
      <c r="C934" t="inlineStr">
        <is>
          <t>S0398</t>
        </is>
      </c>
      <c r="D934" t="inlineStr">
        <is>
          <t>S0398</t>
        </is>
      </c>
      <c r="E934" t="inlineStr">
        <is>
          <t>TK</t>
        </is>
      </c>
      <c r="F934" t="n">
        <v>2</v>
      </c>
      <c r="G934" t="inlineStr">
        <is>
          <t>IN</t>
        </is>
      </c>
      <c r="H934">
        <f>IF(G934="OUT",F934,-F934)</f>
        <v>-2</v>
      </c>
      <c r="I934">
        <f>IF(AND(B934&gt;=DATE(2025,7,1),B934&lt;=DATE(2026,6,30)),1,0)</f>
        <v>1</v>
      </c>
      <c r="J934">
        <f>IF(B934&lt;=DATE(2026,6,30),1,0)</f>
        <v>1</v>
      </c>
      <c r="K934" t="inlineStr"/>
      <c r="L934" t="inlineStr">
        <is>
          <t>Office</t>
        </is>
      </c>
      <c r="M934">
        <f>COUNTIFS('Asset Log'!$A$5:$A$1379,A934,'Asset Log'!$E$5:$E$1379,E934,'Asset Log'!$G$5:$G$1379,G934)</f>
        <v>1</v>
      </c>
    </row>
    <row r="935">
      <c r="A935" t="inlineStr">
        <is>
          <t>D72677</t>
        </is>
      </c>
      <c r="B935" s="11" t="n">
        <v>46072</v>
      </c>
      <c r="C935" t="inlineStr">
        <is>
          <t>S0435</t>
        </is>
      </c>
      <c r="D935" t="inlineStr">
        <is>
          <t>S0435</t>
        </is>
      </c>
      <c r="E935" t="inlineStr">
        <is>
          <t>TK</t>
        </is>
      </c>
      <c r="F935" t="n">
        <v>2</v>
      </c>
      <c r="G935" t="inlineStr">
        <is>
          <t>IN</t>
        </is>
      </c>
      <c r="H935">
        <f>IF(G935="OUT",F935,-F935)</f>
        <v>-2</v>
      </c>
      <c r="I935">
        <f>IF(AND(B935&gt;=DATE(2025,7,1),B935&lt;=DATE(2026,6,30)),1,0)</f>
        <v>1</v>
      </c>
      <c r="J935">
        <f>IF(B935&lt;=DATE(2026,6,30),1,0)</f>
        <v>1</v>
      </c>
      <c r="K935" t="inlineStr"/>
      <c r="L935" t="inlineStr">
        <is>
          <t>Yard</t>
        </is>
      </c>
      <c r="M935">
        <f>COUNTIFS('Asset Log'!$A$5:$A$1379,A935,'Asset Log'!$E$5:$E$1379,E935,'Asset Log'!$G$5:$G$1379,G935)</f>
        <v>1</v>
      </c>
    </row>
    <row r="936">
      <c r="A936" t="inlineStr">
        <is>
          <t>D72054</t>
        </is>
      </c>
      <c r="B936" s="11" t="n">
        <v>46074</v>
      </c>
      <c r="C936" t="inlineStr">
        <is>
          <t>S0217</t>
        </is>
      </c>
      <c r="D936" t="inlineStr">
        <is>
          <t>S0217</t>
        </is>
      </c>
      <c r="E936" t="inlineStr">
        <is>
          <t>FP</t>
        </is>
      </c>
      <c r="F936" t="n">
        <v>128</v>
      </c>
      <c r="G936" t="inlineStr">
        <is>
          <t>IN</t>
        </is>
      </c>
      <c r="H936">
        <f>IF(G936="OUT",F936,-F936)</f>
        <v>-128</v>
      </c>
      <c r="I936">
        <f>IF(AND(B936&gt;=DATE(2025,7,1),B936&lt;=DATE(2026,6,30)),1,0)</f>
        <v>1</v>
      </c>
      <c r="J936">
        <f>IF(B936&lt;=DATE(2026,6,30),1,0)</f>
        <v>1</v>
      </c>
      <c r="K936" t="inlineStr"/>
      <c r="L936" t="inlineStr">
        <is>
          <t>Yard</t>
        </is>
      </c>
      <c r="M936">
        <f>COUNTIFS('Asset Log'!$A$5:$A$1379,A936,'Asset Log'!$E$5:$E$1379,E936,'Asset Log'!$G$5:$G$1379,G936)</f>
        <v>1</v>
      </c>
    </row>
    <row r="937">
      <c r="A937" t="inlineStr">
        <is>
          <t>D72060</t>
        </is>
      </c>
      <c r="B937" s="11" t="n">
        <v>46074</v>
      </c>
      <c r="C937" t="inlineStr">
        <is>
          <t>S0217</t>
        </is>
      </c>
      <c r="D937" t="inlineStr">
        <is>
          <t>S0217</t>
        </is>
      </c>
      <c r="E937" t="inlineStr">
        <is>
          <t>FB</t>
        </is>
      </c>
      <c r="F937" t="n">
        <v>140</v>
      </c>
      <c r="G937" t="inlineStr">
        <is>
          <t>IN</t>
        </is>
      </c>
      <c r="H937">
        <f>IF(G937="OUT",F937,-F937)</f>
        <v>-140</v>
      </c>
      <c r="I937">
        <f>IF(AND(B937&gt;=DATE(2025,7,1),B937&lt;=DATE(2026,6,30)),1,0)</f>
        <v>1</v>
      </c>
      <c r="J937">
        <f>IF(B937&lt;=DATE(2026,6,30),1,0)</f>
        <v>1</v>
      </c>
      <c r="K937" t="inlineStr"/>
      <c r="L937" t="inlineStr">
        <is>
          <t>Office</t>
        </is>
      </c>
      <c r="M937">
        <f>COUNTIFS('Asset Log'!$A$5:$A$1379,A937,'Asset Log'!$E$5:$E$1379,E937,'Asset Log'!$G$5:$G$1379,G937)</f>
        <v>1</v>
      </c>
    </row>
    <row r="938">
      <c r="A938" t="inlineStr">
        <is>
          <t>D72149</t>
        </is>
      </c>
      <c r="B938" s="11" t="n">
        <v>46075</v>
      </c>
      <c r="C938" t="inlineStr">
        <is>
          <t>S0228</t>
        </is>
      </c>
      <c r="D938" t="inlineStr">
        <is>
          <t>S0228</t>
        </is>
      </c>
      <c r="E938" t="inlineStr">
        <is>
          <t>FP</t>
        </is>
      </c>
      <c r="F938" t="n">
        <v>154</v>
      </c>
      <c r="G938" t="inlineStr">
        <is>
          <t>OUT</t>
        </is>
      </c>
      <c r="H938">
        <f>IF(G938="OUT",F938,-F938)</f>
        <v>154</v>
      </c>
      <c r="I938">
        <f>IF(AND(B938&gt;=DATE(2025,7,1),B938&lt;=DATE(2026,6,30)),1,0)</f>
        <v>1</v>
      </c>
      <c r="J938">
        <f>IF(B938&lt;=DATE(2026,6,30),1,0)</f>
        <v>1</v>
      </c>
      <c r="K938" t="inlineStr"/>
      <c r="L938" t="inlineStr">
        <is>
          <t>Yard</t>
        </is>
      </c>
      <c r="M938">
        <f>COUNTIFS('Asset Log'!$A$5:$A$1379,A938,'Asset Log'!$E$5:$E$1379,E938,'Asset Log'!$G$5:$G$1379,G938)</f>
        <v>1</v>
      </c>
    </row>
    <row r="939">
      <c r="A939" t="inlineStr">
        <is>
          <t>D72152</t>
        </is>
      </c>
      <c r="B939" s="11" t="n">
        <v>46075</v>
      </c>
      <c r="C939" t="inlineStr">
        <is>
          <t>S0228</t>
        </is>
      </c>
      <c r="D939" t="inlineStr">
        <is>
          <t>S0228</t>
        </is>
      </c>
      <c r="E939" t="inlineStr">
        <is>
          <t>FB</t>
        </is>
      </c>
      <c r="F939" t="n">
        <v>169</v>
      </c>
      <c r="G939" t="inlineStr">
        <is>
          <t>OUT</t>
        </is>
      </c>
      <c r="H939">
        <f>IF(G939="OUT",F939,-F939)</f>
        <v>169</v>
      </c>
      <c r="I939">
        <f>IF(AND(B939&gt;=DATE(2025,7,1),B939&lt;=DATE(2026,6,30)),1,0)</f>
        <v>1</v>
      </c>
      <c r="J939">
        <f>IF(B939&lt;=DATE(2026,6,30),1,0)</f>
        <v>1</v>
      </c>
      <c r="K939" t="inlineStr"/>
      <c r="L939" t="inlineStr">
        <is>
          <t>Driver</t>
        </is>
      </c>
      <c r="M939">
        <f>COUNTIFS('Asset Log'!$A$5:$A$1379,A939,'Asset Log'!$E$5:$E$1379,E939,'Asset Log'!$G$5:$G$1379,G939)</f>
        <v>1</v>
      </c>
    </row>
    <row r="940">
      <c r="A940" t="inlineStr">
        <is>
          <t>D72158</t>
        </is>
      </c>
      <c r="B940" s="11" t="n">
        <v>46075</v>
      </c>
      <c r="C940" t="inlineStr">
        <is>
          <t>S0228</t>
        </is>
      </c>
      <c r="D940" t="inlineStr">
        <is>
          <t>S0228</t>
        </is>
      </c>
      <c r="E940" t="inlineStr">
        <is>
          <t>BR</t>
        </is>
      </c>
      <c r="F940" t="n">
        <v>12</v>
      </c>
      <c r="G940" t="inlineStr">
        <is>
          <t>OUT</t>
        </is>
      </c>
      <c r="H940">
        <f>IF(G940="OUT",F940,-F940)</f>
        <v>12</v>
      </c>
      <c r="I940">
        <f>IF(AND(B940&gt;=DATE(2025,7,1),B940&lt;=DATE(2026,6,30)),1,0)</f>
        <v>1</v>
      </c>
      <c r="J940">
        <f>IF(B940&lt;=DATE(2026,6,30),1,0)</f>
        <v>1</v>
      </c>
      <c r="K940" t="inlineStr"/>
      <c r="L940" t="inlineStr">
        <is>
          <t>Office</t>
        </is>
      </c>
      <c r="M940">
        <f>COUNTIFS('Asset Log'!$A$5:$A$1379,A940,'Asset Log'!$E$5:$E$1379,E940,'Asset Log'!$G$5:$G$1379,G940)</f>
        <v>1</v>
      </c>
    </row>
    <row r="941">
      <c r="A941" t="inlineStr">
        <is>
          <t>D72391</t>
        </is>
      </c>
      <c r="B941" s="11" t="n">
        <v>46075</v>
      </c>
      <c r="C941" t="inlineStr">
        <is>
          <t>S0280</t>
        </is>
      </c>
      <c r="D941" t="inlineStr">
        <is>
          <t>S0280</t>
        </is>
      </c>
      <c r="E941" t="inlineStr">
        <is>
          <t>ST</t>
        </is>
      </c>
      <c r="F941" t="n">
        <v>2</v>
      </c>
      <c r="G941" t="inlineStr">
        <is>
          <t>OUT</t>
        </is>
      </c>
      <c r="H941">
        <f>IF(G941="OUT",F941,-F941)</f>
        <v>2</v>
      </c>
      <c r="I941">
        <f>IF(AND(B941&gt;=DATE(2025,7,1),B941&lt;=DATE(2026,6,30)),1,0)</f>
        <v>1</v>
      </c>
      <c r="J941">
        <f>IF(B941&lt;=DATE(2026,6,30),1,0)</f>
        <v>1</v>
      </c>
      <c r="K941" t="inlineStr"/>
      <c r="L941" t="inlineStr">
        <is>
          <t>Yard</t>
        </is>
      </c>
      <c r="M941">
        <f>COUNTIFS('Asset Log'!$A$5:$A$1379,A941,'Asset Log'!$E$5:$E$1379,E941,'Asset Log'!$G$5:$G$1379,G941)</f>
        <v>1</v>
      </c>
    </row>
    <row r="942">
      <c r="A942" t="inlineStr">
        <is>
          <t>D70407</t>
        </is>
      </c>
      <c r="B942" s="11" t="n">
        <v>46077</v>
      </c>
      <c r="C942" t="inlineStr">
        <is>
          <t>S0043</t>
        </is>
      </c>
      <c r="D942" t="inlineStr">
        <is>
          <t>S0043</t>
        </is>
      </c>
      <c r="E942" t="inlineStr">
        <is>
          <t>FP</t>
        </is>
      </c>
      <c r="F942" t="n">
        <v>78</v>
      </c>
      <c r="G942" t="inlineStr">
        <is>
          <t>IN</t>
        </is>
      </c>
      <c r="H942">
        <f>IF(G942="OUT",F942,-F942)</f>
        <v>-78</v>
      </c>
      <c r="I942">
        <f>IF(AND(B942&gt;=DATE(2025,7,1),B942&lt;=DATE(2026,6,30)),1,0)</f>
        <v>1</v>
      </c>
      <c r="J942">
        <f>IF(B942&lt;=DATE(2026,6,30),1,0)</f>
        <v>1</v>
      </c>
      <c r="K942" t="inlineStr"/>
      <c r="L942" t="inlineStr">
        <is>
          <t>Yard</t>
        </is>
      </c>
      <c r="M942">
        <f>COUNTIFS('Asset Log'!$A$5:$A$1379,A942,'Asset Log'!$E$5:$E$1379,E942,'Asset Log'!$G$5:$G$1379,G942)</f>
        <v>1</v>
      </c>
    </row>
    <row r="943">
      <c r="A943" t="inlineStr">
        <is>
          <t>D70410</t>
        </is>
      </c>
      <c r="B943" s="11" t="n">
        <v>46077</v>
      </c>
      <c r="C943" t="inlineStr">
        <is>
          <t>S0043</t>
        </is>
      </c>
      <c r="D943" t="inlineStr">
        <is>
          <t>S0043</t>
        </is>
      </c>
      <c r="E943" t="inlineStr">
        <is>
          <t>FB</t>
        </is>
      </c>
      <c r="F943" t="n">
        <v>85</v>
      </c>
      <c r="G943" t="inlineStr">
        <is>
          <t>IN</t>
        </is>
      </c>
      <c r="H943">
        <f>IF(G943="OUT",F943,-F943)</f>
        <v>-85</v>
      </c>
      <c r="I943">
        <f>IF(AND(B943&gt;=DATE(2025,7,1),B943&lt;=DATE(2026,6,30)),1,0)</f>
        <v>1</v>
      </c>
      <c r="J943">
        <f>IF(B943&lt;=DATE(2026,6,30),1,0)</f>
        <v>1</v>
      </c>
      <c r="K943" t="inlineStr"/>
      <c r="L943" t="inlineStr">
        <is>
          <t>Office</t>
        </is>
      </c>
      <c r="M943">
        <f>COUNTIFS('Asset Log'!$A$5:$A$1379,A943,'Asset Log'!$E$5:$E$1379,E943,'Asset Log'!$G$5:$G$1379,G943)</f>
        <v>1</v>
      </c>
    </row>
    <row r="944">
      <c r="A944" t="inlineStr">
        <is>
          <t>D70387</t>
        </is>
      </c>
      <c r="B944" s="11" t="n">
        <v>46078</v>
      </c>
      <c r="C944" t="inlineStr">
        <is>
          <t>S0041</t>
        </is>
      </c>
      <c r="D944" t="inlineStr">
        <is>
          <t>S0041</t>
        </is>
      </c>
      <c r="E944" t="inlineStr">
        <is>
          <t>FP</t>
        </is>
      </c>
      <c r="F944" t="n">
        <v>140</v>
      </c>
      <c r="G944" t="inlineStr">
        <is>
          <t>IN</t>
        </is>
      </c>
      <c r="H944">
        <f>IF(G944="OUT",F944,-F944)</f>
        <v>-140</v>
      </c>
      <c r="I944">
        <f>IF(AND(B944&gt;=DATE(2025,7,1),B944&lt;=DATE(2026,6,30)),1,0)</f>
        <v>1</v>
      </c>
      <c r="J944">
        <f>IF(B944&lt;=DATE(2026,6,30),1,0)</f>
        <v>1</v>
      </c>
      <c r="K944" t="inlineStr"/>
      <c r="L944" t="inlineStr">
        <is>
          <t>Driver</t>
        </is>
      </c>
      <c r="M944">
        <f>COUNTIFS('Asset Log'!$A$5:$A$1379,A944,'Asset Log'!$E$5:$E$1379,E944,'Asset Log'!$G$5:$G$1379,G944)</f>
        <v>1</v>
      </c>
    </row>
    <row r="945">
      <c r="A945" t="inlineStr">
        <is>
          <t>D70392</t>
        </is>
      </c>
      <c r="B945" s="11" t="n">
        <v>46078</v>
      </c>
      <c r="C945" t="inlineStr">
        <is>
          <t>S0041</t>
        </is>
      </c>
      <c r="D945" t="inlineStr">
        <is>
          <t>S0041</t>
        </is>
      </c>
      <c r="E945" t="inlineStr">
        <is>
          <t>FB</t>
        </is>
      </c>
      <c r="F945" t="n">
        <v>151</v>
      </c>
      <c r="G945" t="inlineStr">
        <is>
          <t>IN</t>
        </is>
      </c>
      <c r="H945">
        <f>IF(G945="OUT",F945,-F945)</f>
        <v>-151</v>
      </c>
      <c r="I945">
        <f>IF(AND(B945&gt;=DATE(2025,7,1),B945&lt;=DATE(2026,6,30)),1,0)</f>
        <v>1</v>
      </c>
      <c r="J945">
        <f>IF(B945&lt;=DATE(2026,6,30),1,0)</f>
        <v>1</v>
      </c>
      <c r="K945" t="inlineStr"/>
      <c r="L945" t="inlineStr">
        <is>
          <t>Office</t>
        </is>
      </c>
      <c r="M945">
        <f>COUNTIFS('Asset Log'!$A$5:$A$1379,A945,'Asset Log'!$E$5:$E$1379,E945,'Asset Log'!$G$5:$G$1379,G945)</f>
        <v>1</v>
      </c>
    </row>
    <row r="946">
      <c r="A946" t="inlineStr">
        <is>
          <t>D70397</t>
        </is>
      </c>
      <c r="B946" s="11" t="n">
        <v>46078</v>
      </c>
      <c r="C946" t="inlineStr">
        <is>
          <t>S0041</t>
        </is>
      </c>
      <c r="D946" t="inlineStr">
        <is>
          <t>S0041</t>
        </is>
      </c>
      <c r="E946" t="inlineStr">
        <is>
          <t>BR</t>
        </is>
      </c>
      <c r="F946" t="n">
        <v>13</v>
      </c>
      <c r="G946" t="inlineStr">
        <is>
          <t>IN</t>
        </is>
      </c>
      <c r="H946">
        <f>IF(G946="OUT",F946,-F946)</f>
        <v>-13</v>
      </c>
      <c r="I946">
        <f>IF(AND(B946&gt;=DATE(2025,7,1),B946&lt;=DATE(2026,6,30)),1,0)</f>
        <v>1</v>
      </c>
      <c r="J946">
        <f>IF(B946&lt;=DATE(2026,6,30),1,0)</f>
        <v>1</v>
      </c>
      <c r="K946" t="inlineStr"/>
      <c r="L946" t="inlineStr">
        <is>
          <t>Office</t>
        </is>
      </c>
      <c r="M946">
        <f>COUNTIFS('Asset Log'!$A$5:$A$1379,A946,'Asset Log'!$E$5:$E$1379,E946,'Asset Log'!$G$5:$G$1379,G946)</f>
        <v>1</v>
      </c>
    </row>
    <row r="947">
      <c r="A947" t="inlineStr">
        <is>
          <t>D70399</t>
        </is>
      </c>
      <c r="B947" s="11" t="n">
        <v>46078</v>
      </c>
      <c r="C947" t="inlineStr">
        <is>
          <t>S0041</t>
        </is>
      </c>
      <c r="D947" t="inlineStr">
        <is>
          <t>S0041</t>
        </is>
      </c>
      <c r="E947" t="inlineStr">
        <is>
          <t>FP</t>
        </is>
      </c>
      <c r="F947" t="n">
        <v>1</v>
      </c>
      <c r="G947" t="inlineStr">
        <is>
          <t>LOST</t>
        </is>
      </c>
      <c r="H947">
        <f>IF(G947="OUT",F947,-F947)</f>
        <v>-1</v>
      </c>
      <c r="I947">
        <f>IF(AND(B947&gt;=DATE(2025,7,1),B947&lt;=DATE(2026,6,30)),1,0)</f>
        <v>1</v>
      </c>
      <c r="J947">
        <f>IF(B947&lt;=DATE(2026,6,30),1,0)</f>
        <v>1</v>
      </c>
      <c r="K947" t="inlineStr"/>
      <c r="L947" t="inlineStr">
        <is>
          <t>Office</t>
        </is>
      </c>
      <c r="M947">
        <f>COUNTIFS('Asset Log'!$A$5:$A$1379,A947,'Asset Log'!$E$5:$E$1379,E947,'Asset Log'!$G$5:$G$1379,G947)</f>
        <v>1</v>
      </c>
    </row>
    <row r="948">
      <c r="A948" t="inlineStr">
        <is>
          <t>D72166</t>
        </is>
      </c>
      <c r="B948" s="11" t="n">
        <v>46078</v>
      </c>
      <c r="C948" t="inlineStr">
        <is>
          <t>S0229</t>
        </is>
      </c>
      <c r="D948" t="inlineStr">
        <is>
          <t>S0229</t>
        </is>
      </c>
      <c r="E948" t="inlineStr">
        <is>
          <t>FP</t>
        </is>
      </c>
      <c r="F948" t="n">
        <v>40</v>
      </c>
      <c r="G948" t="inlineStr">
        <is>
          <t>IN</t>
        </is>
      </c>
      <c r="H948">
        <f>IF(G948="OUT",F948,-F948)</f>
        <v>-40</v>
      </c>
      <c r="I948">
        <f>IF(AND(B948&gt;=DATE(2025,7,1),B948&lt;=DATE(2026,6,30)),1,0)</f>
        <v>1</v>
      </c>
      <c r="J948">
        <f>IF(B948&lt;=DATE(2026,6,30),1,0)</f>
        <v>1</v>
      </c>
      <c r="K948" t="inlineStr"/>
      <c r="L948" t="inlineStr">
        <is>
          <t>Office</t>
        </is>
      </c>
      <c r="M948">
        <f>COUNTIFS('Asset Log'!$A$5:$A$1379,A948,'Asset Log'!$E$5:$E$1379,E948,'Asset Log'!$G$5:$G$1379,G948)</f>
        <v>1</v>
      </c>
    </row>
    <row r="949">
      <c r="A949" t="inlineStr">
        <is>
          <t>D72172</t>
        </is>
      </c>
      <c r="B949" s="11" t="n">
        <v>46078</v>
      </c>
      <c r="C949" t="inlineStr">
        <is>
          <t>S0229</t>
        </is>
      </c>
      <c r="D949" t="inlineStr">
        <is>
          <t>S0229</t>
        </is>
      </c>
      <c r="E949" t="inlineStr">
        <is>
          <t>FB</t>
        </is>
      </c>
      <c r="F949" t="n">
        <v>44</v>
      </c>
      <c r="G949" t="inlineStr">
        <is>
          <t>IN</t>
        </is>
      </c>
      <c r="H949">
        <f>IF(G949="OUT",F949,-F949)</f>
        <v>-44</v>
      </c>
      <c r="I949">
        <f>IF(AND(B949&gt;=DATE(2025,7,1),B949&lt;=DATE(2026,6,30)),1,0)</f>
        <v>1</v>
      </c>
      <c r="J949">
        <f>IF(B949&lt;=DATE(2026,6,30),1,0)</f>
        <v>1</v>
      </c>
      <c r="K949" t="inlineStr"/>
      <c r="L949" t="inlineStr">
        <is>
          <t>Office</t>
        </is>
      </c>
      <c r="M949">
        <f>COUNTIFS('Asset Log'!$A$5:$A$1379,A949,'Asset Log'!$E$5:$E$1379,E949,'Asset Log'!$G$5:$G$1379,G949)</f>
        <v>1</v>
      </c>
    </row>
    <row r="950">
      <c r="A950" t="inlineStr">
        <is>
          <t>D71274</t>
        </is>
      </c>
      <c r="B950" s="11" t="n">
        <v>46079</v>
      </c>
      <c r="C950" t="inlineStr">
        <is>
          <t>S0134</t>
        </is>
      </c>
      <c r="D950" t="inlineStr">
        <is>
          <t>S0134</t>
        </is>
      </c>
      <c r="E950" t="inlineStr">
        <is>
          <t>FP</t>
        </is>
      </c>
      <c r="F950" t="n">
        <v>117</v>
      </c>
      <c r="G950" t="inlineStr">
        <is>
          <t>OUT</t>
        </is>
      </c>
      <c r="H950">
        <f>IF(G950="OUT",F950,-F950)</f>
        <v>117</v>
      </c>
      <c r="I950">
        <f>IF(AND(B950&gt;=DATE(2025,7,1),B950&lt;=DATE(2026,6,30)),1,0)</f>
        <v>1</v>
      </c>
      <c r="J950">
        <f>IF(B950&lt;=DATE(2026,6,30),1,0)</f>
        <v>1</v>
      </c>
      <c r="K950" t="inlineStr"/>
      <c r="L950" t="inlineStr">
        <is>
          <t>Office</t>
        </is>
      </c>
      <c r="M950">
        <f>COUNTIFS('Asset Log'!$A$5:$A$1379,A950,'Asset Log'!$E$5:$E$1379,E950,'Asset Log'!$G$5:$G$1379,G950)</f>
        <v>1</v>
      </c>
    </row>
    <row r="951">
      <c r="A951" t="inlineStr">
        <is>
          <t>D71275</t>
        </is>
      </c>
      <c r="B951" s="11" t="n">
        <v>46079</v>
      </c>
      <c r="C951" t="inlineStr">
        <is>
          <t>S0134 Northcote</t>
        </is>
      </c>
      <c r="D951" t="inlineStr">
        <is>
          <t>S0134</t>
        </is>
      </c>
      <c r="E951" t="inlineStr">
        <is>
          <t>FB</t>
        </is>
      </c>
      <c r="F951" t="n">
        <v>128</v>
      </c>
      <c r="G951" t="inlineStr">
        <is>
          <t>OUT</t>
        </is>
      </c>
      <c r="H951">
        <f>IF(G951="OUT",F951,-F951)</f>
        <v>128</v>
      </c>
      <c r="I951">
        <f>IF(AND(B951&gt;=DATE(2025,7,1),B951&lt;=DATE(2026,6,30)),1,0)</f>
        <v>1</v>
      </c>
      <c r="J951">
        <f>IF(B951&lt;=DATE(2026,6,30),1,0)</f>
        <v>1</v>
      </c>
      <c r="K951" t="inlineStr">
        <is>
          <t>Site text normalised</t>
        </is>
      </c>
      <c r="L951" t="inlineStr">
        <is>
          <t>Office</t>
        </is>
      </c>
      <c r="M951">
        <f>COUNTIFS('Asset Log'!$A$5:$A$1379,A951,'Asset Log'!$E$5:$E$1379,E951,'Asset Log'!$G$5:$G$1379,G951)</f>
        <v>1</v>
      </c>
    </row>
    <row r="952">
      <c r="A952" t="inlineStr">
        <is>
          <t>D71865</t>
        </is>
      </c>
      <c r="B952" s="11" t="n">
        <v>46079</v>
      </c>
      <c r="C952" t="inlineStr">
        <is>
          <t>S0197</t>
        </is>
      </c>
      <c r="D952" t="inlineStr">
        <is>
          <t>S0197</t>
        </is>
      </c>
      <c r="E952" t="inlineStr">
        <is>
          <t>FP</t>
        </is>
      </c>
      <c r="F952" t="n">
        <v>112</v>
      </c>
      <c r="G952" t="inlineStr">
        <is>
          <t>IN</t>
        </is>
      </c>
      <c r="H952">
        <f>IF(G952="OUT",F952,-F952)</f>
        <v>-112</v>
      </c>
      <c r="I952">
        <f>IF(AND(B952&gt;=DATE(2025,7,1),B952&lt;=DATE(2026,6,30)),1,0)</f>
        <v>1</v>
      </c>
      <c r="J952">
        <f>IF(B952&lt;=DATE(2026,6,30),1,0)</f>
        <v>1</v>
      </c>
      <c r="K952" t="inlineStr"/>
      <c r="L952" t="inlineStr">
        <is>
          <t>Driver</t>
        </is>
      </c>
      <c r="M952">
        <f>COUNTIFS('Asset Log'!$A$5:$A$1379,A952,'Asset Log'!$E$5:$E$1379,E952,'Asset Log'!$G$5:$G$1379,G952)</f>
        <v>1</v>
      </c>
    </row>
    <row r="953">
      <c r="A953" t="inlineStr">
        <is>
          <t>D71872</t>
        </is>
      </c>
      <c r="B953" s="11" t="n">
        <v>46079</v>
      </c>
      <c r="C953" t="inlineStr">
        <is>
          <t>S0197</t>
        </is>
      </c>
      <c r="D953" t="inlineStr">
        <is>
          <t>S0197</t>
        </is>
      </c>
      <c r="E953" t="inlineStr">
        <is>
          <t>FB</t>
        </is>
      </c>
      <c r="F953" t="n">
        <v>119</v>
      </c>
      <c r="G953" t="inlineStr">
        <is>
          <t>IN</t>
        </is>
      </c>
      <c r="H953">
        <f>IF(G953="OUT",F953,-F953)</f>
        <v>-119</v>
      </c>
      <c r="I953">
        <f>IF(AND(B953&gt;=DATE(2025,7,1),B953&lt;=DATE(2026,6,30)),1,0)</f>
        <v>1</v>
      </c>
      <c r="J953">
        <f>IF(B953&lt;=DATE(2026,6,30),1,0)</f>
        <v>1</v>
      </c>
      <c r="K953" t="inlineStr"/>
      <c r="L953" t="inlineStr">
        <is>
          <t>Office</t>
        </is>
      </c>
      <c r="M953">
        <f>COUNTIFS('Asset Log'!$A$5:$A$1379,A953,'Asset Log'!$E$5:$E$1379,E953,'Asset Log'!$G$5:$G$1379,G953)</f>
        <v>1</v>
      </c>
    </row>
    <row r="954">
      <c r="A954" t="inlineStr">
        <is>
          <t>D71875</t>
        </is>
      </c>
      <c r="B954" s="11" t="n">
        <v>46079</v>
      </c>
      <c r="C954" t="inlineStr">
        <is>
          <t>S0197</t>
        </is>
      </c>
      <c r="D954" t="inlineStr">
        <is>
          <t>S0197</t>
        </is>
      </c>
      <c r="E954" t="inlineStr">
        <is>
          <t>BR</t>
        </is>
      </c>
      <c r="F954" t="n">
        <v>4</v>
      </c>
      <c r="G954" t="inlineStr">
        <is>
          <t>IN</t>
        </is>
      </c>
      <c r="H954">
        <f>IF(G954="OUT",F954,-F954)</f>
        <v>-4</v>
      </c>
      <c r="I954">
        <f>IF(AND(B954&gt;=DATE(2025,7,1),B954&lt;=DATE(2026,6,30)),1,0)</f>
        <v>1</v>
      </c>
      <c r="J954">
        <f>IF(B954&lt;=DATE(2026,6,30),1,0)</f>
        <v>1</v>
      </c>
      <c r="K954" t="inlineStr"/>
      <c r="L954" t="inlineStr">
        <is>
          <t>Yard</t>
        </is>
      </c>
      <c r="M954">
        <f>COUNTIFS('Asset Log'!$A$5:$A$1379,A954,'Asset Log'!$E$5:$E$1379,E954,'Asset Log'!$G$5:$G$1379,G954)</f>
        <v>1</v>
      </c>
    </row>
    <row r="955">
      <c r="A955" t="inlineStr">
        <is>
          <t>D70798</t>
        </is>
      </c>
      <c r="B955" s="11" t="n">
        <v>46080</v>
      </c>
      <c r="C955" t="inlineStr">
        <is>
          <t>S0085</t>
        </is>
      </c>
      <c r="D955" t="inlineStr">
        <is>
          <t>S0085</t>
        </is>
      </c>
      <c r="E955" t="inlineStr">
        <is>
          <t>FP</t>
        </is>
      </c>
      <c r="F955" t="n">
        <v>89</v>
      </c>
      <c r="G955" t="inlineStr">
        <is>
          <t>IN</t>
        </is>
      </c>
      <c r="H955">
        <f>IF(G955="OUT",F955,-F955)</f>
        <v>-89</v>
      </c>
      <c r="I955">
        <f>IF(AND(B955&gt;=DATE(2025,7,1),B955&lt;=DATE(2026,6,30)),1,0)</f>
        <v>1</v>
      </c>
      <c r="J955">
        <f>IF(B955&lt;=DATE(2026,6,30),1,0)</f>
        <v>1</v>
      </c>
      <c r="K955" t="inlineStr"/>
      <c r="L955" t="inlineStr">
        <is>
          <t>Driver</t>
        </is>
      </c>
      <c r="M955">
        <f>COUNTIFS('Asset Log'!$A$5:$A$1379,A955,'Asset Log'!$E$5:$E$1379,E955,'Asset Log'!$G$5:$G$1379,G955)</f>
        <v>1</v>
      </c>
    </row>
    <row r="956">
      <c r="A956" t="inlineStr">
        <is>
          <t>D70805</t>
        </is>
      </c>
      <c r="B956" s="11" t="n">
        <v>46080</v>
      </c>
      <c r="C956" t="inlineStr">
        <is>
          <t>S0085</t>
        </is>
      </c>
      <c r="D956" t="inlineStr">
        <is>
          <t>S0085</t>
        </is>
      </c>
      <c r="E956" t="inlineStr">
        <is>
          <t>FB</t>
        </is>
      </c>
      <c r="F956" t="n">
        <v>103</v>
      </c>
      <c r="G956" t="inlineStr">
        <is>
          <t>IN</t>
        </is>
      </c>
      <c r="H956">
        <f>IF(G956="OUT",F956,-F956)</f>
        <v>-103</v>
      </c>
      <c r="I956">
        <f>IF(AND(B956&gt;=DATE(2025,7,1),B956&lt;=DATE(2026,6,30)),1,0)</f>
        <v>1</v>
      </c>
      <c r="J956">
        <f>IF(B956&lt;=DATE(2026,6,30),1,0)</f>
        <v>1</v>
      </c>
      <c r="K956" t="inlineStr"/>
      <c r="L956" t="inlineStr">
        <is>
          <t>Driver</t>
        </is>
      </c>
      <c r="M956">
        <f>COUNTIFS('Asset Log'!$A$5:$A$1379,A956,'Asset Log'!$E$5:$E$1379,E956,'Asset Log'!$G$5:$G$1379,G956)</f>
        <v>1</v>
      </c>
    </row>
    <row r="957">
      <c r="A957" t="inlineStr">
        <is>
          <t>D70807</t>
        </is>
      </c>
      <c r="B957" s="11" t="n">
        <v>46080</v>
      </c>
      <c r="C957" t="inlineStr">
        <is>
          <t>S0085</t>
        </is>
      </c>
      <c r="D957" t="inlineStr">
        <is>
          <t>S0085</t>
        </is>
      </c>
      <c r="E957" t="inlineStr">
        <is>
          <t>BR</t>
        </is>
      </c>
      <c r="F957" t="n">
        <v>9</v>
      </c>
      <c r="G957" t="inlineStr">
        <is>
          <t>IN</t>
        </is>
      </c>
      <c r="H957">
        <f>IF(G957="OUT",F957,-F957)</f>
        <v>-9</v>
      </c>
      <c r="I957">
        <f>IF(AND(B957&gt;=DATE(2025,7,1),B957&lt;=DATE(2026,6,30)),1,0)</f>
        <v>1</v>
      </c>
      <c r="J957">
        <f>IF(B957&lt;=DATE(2026,6,30),1,0)</f>
        <v>1</v>
      </c>
      <c r="K957" t="inlineStr"/>
      <c r="L957" t="inlineStr">
        <is>
          <t>Office</t>
        </is>
      </c>
      <c r="M957">
        <f>COUNTIFS('Asset Log'!$A$5:$A$1379,A957,'Asset Log'!$E$5:$E$1379,E957,'Asset Log'!$G$5:$G$1379,G957)</f>
        <v>1</v>
      </c>
    </row>
    <row r="958">
      <c r="A958" t="inlineStr">
        <is>
          <t>D72514</t>
        </is>
      </c>
      <c r="B958" s="11" t="n">
        <v>46081</v>
      </c>
      <c r="C958" t="inlineStr">
        <is>
          <t>S0338</t>
        </is>
      </c>
      <c r="D958" t="inlineStr">
        <is>
          <t>S0338</t>
        </is>
      </c>
      <c r="E958" t="inlineStr">
        <is>
          <t>TK</t>
        </is>
      </c>
      <c r="F958" t="n">
        <v>1</v>
      </c>
      <c r="G958" t="inlineStr">
        <is>
          <t>OUT</t>
        </is>
      </c>
      <c r="H958">
        <f>IF(G958="OUT",F958,-F958)</f>
        <v>1</v>
      </c>
      <c r="I958">
        <f>IF(AND(B958&gt;=DATE(2025,7,1),B958&lt;=DATE(2026,6,30)),1,0)</f>
        <v>1</v>
      </c>
      <c r="J958">
        <f>IF(B958&lt;=DATE(2026,6,30),1,0)</f>
        <v>1</v>
      </c>
      <c r="K958" t="inlineStr"/>
      <c r="L958" t="inlineStr">
        <is>
          <t>Office</t>
        </is>
      </c>
      <c r="M958">
        <f>COUNTIFS('Asset Log'!$A$5:$A$1379,A958,'Asset Log'!$E$5:$E$1379,E958,'Asset Log'!$G$5:$G$1379,G958)</f>
        <v>1</v>
      </c>
    </row>
    <row r="959">
      <c r="A959" t="inlineStr">
        <is>
          <t>D70123</t>
        </is>
      </c>
      <c r="B959" s="11" t="n">
        <v>46082</v>
      </c>
      <c r="C959" t="inlineStr">
        <is>
          <t>S0014</t>
        </is>
      </c>
      <c r="D959" t="inlineStr">
        <is>
          <t>S0014</t>
        </is>
      </c>
      <c r="E959" t="inlineStr">
        <is>
          <t>FP</t>
        </is>
      </c>
      <c r="F959" t="n">
        <v>30</v>
      </c>
      <c r="G959" t="inlineStr">
        <is>
          <t>OUT</t>
        </is>
      </c>
      <c r="H959">
        <f>IF(G959="OUT",F959,-F959)</f>
        <v>30</v>
      </c>
      <c r="I959">
        <f>IF(AND(B959&gt;=DATE(2025,7,1),B959&lt;=DATE(2026,6,30)),1,0)</f>
        <v>1</v>
      </c>
      <c r="J959">
        <f>IF(B959&lt;=DATE(2026,6,30),1,0)</f>
        <v>1</v>
      </c>
      <c r="K959" t="inlineStr"/>
      <c r="L959" t="inlineStr">
        <is>
          <t>Driver</t>
        </is>
      </c>
      <c r="M959">
        <f>COUNTIFS('Asset Log'!$A$5:$A$1379,A959,'Asset Log'!$E$5:$E$1379,E959,'Asset Log'!$G$5:$G$1379,G959)</f>
        <v>1</v>
      </c>
    </row>
    <row r="960">
      <c r="A960" t="inlineStr">
        <is>
          <t>D70126</t>
        </is>
      </c>
      <c r="B960" s="11" t="n">
        <v>46082</v>
      </c>
      <c r="C960" t="inlineStr">
        <is>
          <t>S0014</t>
        </is>
      </c>
      <c r="D960" t="inlineStr">
        <is>
          <t>S0014</t>
        </is>
      </c>
      <c r="E960" t="inlineStr">
        <is>
          <t>FB</t>
        </is>
      </c>
      <c r="F960" t="n">
        <v>33</v>
      </c>
      <c r="G960" t="inlineStr">
        <is>
          <t>OUT</t>
        </is>
      </c>
      <c r="H960">
        <f>IF(G960="OUT",F960,-F960)</f>
        <v>33</v>
      </c>
      <c r="I960">
        <f>IF(AND(B960&gt;=DATE(2025,7,1),B960&lt;=DATE(2026,6,30)),1,0)</f>
        <v>1</v>
      </c>
      <c r="J960">
        <f>IF(B960&lt;=DATE(2026,6,30),1,0)</f>
        <v>1</v>
      </c>
      <c r="K960" t="inlineStr"/>
      <c r="L960" t="inlineStr">
        <is>
          <t>Driver</t>
        </is>
      </c>
      <c r="M960">
        <f>COUNTIFS('Asset Log'!$A$5:$A$1379,A960,'Asset Log'!$E$5:$E$1379,E960,'Asset Log'!$G$5:$G$1379,G960)</f>
        <v>1</v>
      </c>
    </row>
    <row r="961">
      <c r="A961" t="inlineStr">
        <is>
          <t>D70129</t>
        </is>
      </c>
      <c r="B961" s="11" t="n">
        <v>46082</v>
      </c>
      <c r="C961" t="inlineStr">
        <is>
          <t>s014</t>
        </is>
      </c>
      <c r="D961" t="inlineStr">
        <is>
          <t>S0014</t>
        </is>
      </c>
      <c r="E961" t="inlineStr">
        <is>
          <t>BR</t>
        </is>
      </c>
      <c r="F961" t="n">
        <v>14</v>
      </c>
      <c r="G961" t="inlineStr">
        <is>
          <t>OUT</t>
        </is>
      </c>
      <c r="H961">
        <f>IF(G961="OUT",F961,-F961)</f>
        <v>14</v>
      </c>
      <c r="I961">
        <f>IF(AND(B961&gt;=DATE(2025,7,1),B961&lt;=DATE(2026,6,30)),1,0)</f>
        <v>1</v>
      </c>
      <c r="J961">
        <f>IF(B961&lt;=DATE(2026,6,30),1,0)</f>
        <v>1</v>
      </c>
      <c r="K961" t="inlineStr">
        <is>
          <t>Site text normalised</t>
        </is>
      </c>
      <c r="L961" t="inlineStr">
        <is>
          <t>Office</t>
        </is>
      </c>
      <c r="M961">
        <f>COUNTIFS('Asset Log'!$A$5:$A$1379,A961,'Asset Log'!$E$5:$E$1379,E961,'Asset Log'!$G$5:$G$1379,G961)</f>
        <v>1</v>
      </c>
    </row>
    <row r="962">
      <c r="A962" t="inlineStr">
        <is>
          <t>D70137</t>
        </is>
      </c>
      <c r="B962" s="11" t="n">
        <v>46082</v>
      </c>
      <c r="C962" t="inlineStr">
        <is>
          <t>S0016</t>
        </is>
      </c>
      <c r="D962" t="inlineStr">
        <is>
          <t>S0016</t>
        </is>
      </c>
      <c r="E962" t="inlineStr">
        <is>
          <t>FP</t>
        </is>
      </c>
      <c r="F962" t="n">
        <v>49</v>
      </c>
      <c r="G962" t="inlineStr">
        <is>
          <t>OUT</t>
        </is>
      </c>
      <c r="H962">
        <f>IF(G962="OUT",F962,-F962)</f>
        <v>49</v>
      </c>
      <c r="I962">
        <f>IF(AND(B962&gt;=DATE(2025,7,1),B962&lt;=DATE(2026,6,30)),1,0)</f>
        <v>1</v>
      </c>
      <c r="J962">
        <f>IF(B962&lt;=DATE(2026,6,30),1,0)</f>
        <v>1</v>
      </c>
      <c r="K962" t="inlineStr"/>
      <c r="L962" t="inlineStr">
        <is>
          <t>Driver</t>
        </is>
      </c>
      <c r="M962">
        <f>COUNTIFS('Asset Log'!$A$5:$A$1379,A962,'Asset Log'!$E$5:$E$1379,E962,'Asset Log'!$G$5:$G$1379,G962)</f>
        <v>1</v>
      </c>
    </row>
    <row r="963">
      <c r="A963" t="inlineStr">
        <is>
          <t>D70140</t>
        </is>
      </c>
      <c r="B963" s="11" t="n">
        <v>46082</v>
      </c>
      <c r="C963" t="inlineStr">
        <is>
          <t>16</t>
        </is>
      </c>
      <c r="D963" t="inlineStr">
        <is>
          <t>S0016</t>
        </is>
      </c>
      <c r="E963" t="inlineStr">
        <is>
          <t>FB</t>
        </is>
      </c>
      <c r="F963" t="n">
        <v>53</v>
      </c>
      <c r="G963" t="inlineStr">
        <is>
          <t>OUT</t>
        </is>
      </c>
      <c r="H963">
        <f>IF(G963="OUT",F963,-F963)</f>
        <v>53</v>
      </c>
      <c r="I963">
        <f>IF(AND(B963&gt;=DATE(2025,7,1),B963&lt;=DATE(2026,6,30)),1,0)</f>
        <v>1</v>
      </c>
      <c r="J963">
        <f>IF(B963&lt;=DATE(2026,6,30),1,0)</f>
        <v>1</v>
      </c>
      <c r="K963" t="inlineStr">
        <is>
          <t>Site text normalised</t>
        </is>
      </c>
      <c r="L963" t="inlineStr">
        <is>
          <t>Office</t>
        </is>
      </c>
      <c r="M963">
        <f>COUNTIFS('Asset Log'!$A$5:$A$1379,A963,'Asset Log'!$E$5:$E$1379,E963,'Asset Log'!$G$5:$G$1379,G963)</f>
        <v>1</v>
      </c>
    </row>
    <row r="964">
      <c r="A964" t="inlineStr">
        <is>
          <t>D70141</t>
        </is>
      </c>
      <c r="B964" s="11" t="n">
        <v>46082</v>
      </c>
      <c r="C964" t="inlineStr">
        <is>
          <t>S0016 Frankston</t>
        </is>
      </c>
      <c r="D964" t="inlineStr">
        <is>
          <t>S0016</t>
        </is>
      </c>
      <c r="E964" t="inlineStr">
        <is>
          <t>BR</t>
        </is>
      </c>
      <c r="F964" t="n">
        <v>13</v>
      </c>
      <c r="G964" t="inlineStr">
        <is>
          <t>OUT</t>
        </is>
      </c>
      <c r="H964">
        <f>IF(G964="OUT",F964,-F964)</f>
        <v>13</v>
      </c>
      <c r="I964">
        <f>IF(AND(B964&gt;=DATE(2025,7,1),B964&lt;=DATE(2026,6,30)),1,0)</f>
        <v>1</v>
      </c>
      <c r="J964">
        <f>IF(B964&lt;=DATE(2026,6,30),1,0)</f>
        <v>1</v>
      </c>
      <c r="K964" t="inlineStr">
        <is>
          <t>Site text normalised</t>
        </is>
      </c>
      <c r="L964" t="inlineStr">
        <is>
          <t>Yard</t>
        </is>
      </c>
      <c r="M964">
        <f>COUNTIFS('Asset Log'!$A$5:$A$1379,A964,'Asset Log'!$E$5:$E$1379,E964,'Asset Log'!$G$5:$G$1379,G964)</f>
        <v>1</v>
      </c>
    </row>
    <row r="965">
      <c r="A965" t="inlineStr">
        <is>
          <t>D70715</t>
        </is>
      </c>
      <c r="B965" s="11" t="n">
        <v>46082</v>
      </c>
      <c r="C965" t="inlineStr">
        <is>
          <t>s077</t>
        </is>
      </c>
      <c r="D965" t="inlineStr">
        <is>
          <t>S0077</t>
        </is>
      </c>
      <c r="E965" t="inlineStr">
        <is>
          <t>FP</t>
        </is>
      </c>
      <c r="F965" t="n">
        <v>33</v>
      </c>
      <c r="G965" t="inlineStr">
        <is>
          <t>OUT</t>
        </is>
      </c>
      <c r="H965">
        <f>IF(G965="OUT",F965,-F965)</f>
        <v>33</v>
      </c>
      <c r="I965">
        <f>IF(AND(B965&gt;=DATE(2025,7,1),B965&lt;=DATE(2026,6,30)),1,0)</f>
        <v>1</v>
      </c>
      <c r="J965">
        <f>IF(B965&lt;=DATE(2026,6,30),1,0)</f>
        <v>1</v>
      </c>
      <c r="K965" t="inlineStr">
        <is>
          <t>Site text normalised</t>
        </is>
      </c>
      <c r="L965" t="inlineStr">
        <is>
          <t>Yard</t>
        </is>
      </c>
      <c r="M965">
        <f>COUNTIFS('Asset Log'!$A$5:$A$1379,A965,'Asset Log'!$E$5:$E$1379,E965,'Asset Log'!$G$5:$G$1379,G965)</f>
        <v>1</v>
      </c>
    </row>
    <row r="966">
      <c r="A966" t="inlineStr">
        <is>
          <t>D70721</t>
        </is>
      </c>
      <c r="B966" s="11" t="n">
        <v>46082</v>
      </c>
      <c r="C966" t="inlineStr">
        <is>
          <t>s077</t>
        </is>
      </c>
      <c r="D966" t="inlineStr">
        <is>
          <t>S0077</t>
        </is>
      </c>
      <c r="E966" t="inlineStr">
        <is>
          <t>FB</t>
        </is>
      </c>
      <c r="F966" t="n">
        <v>36</v>
      </c>
      <c r="G966" t="inlineStr">
        <is>
          <t>OUT</t>
        </is>
      </c>
      <c r="H966">
        <f>IF(G966="OUT",F966,-F966)</f>
        <v>36</v>
      </c>
      <c r="I966">
        <f>IF(AND(B966&gt;=DATE(2025,7,1),B966&lt;=DATE(2026,6,30)),1,0)</f>
        <v>1</v>
      </c>
      <c r="J966">
        <f>IF(B966&lt;=DATE(2026,6,30),1,0)</f>
        <v>1</v>
      </c>
      <c r="K966" t="inlineStr">
        <is>
          <t>Site text normalised</t>
        </is>
      </c>
      <c r="L966" t="inlineStr">
        <is>
          <t>Driver</t>
        </is>
      </c>
      <c r="M966">
        <f>COUNTIFS('Asset Log'!$A$5:$A$1379,A966,'Asset Log'!$E$5:$E$1379,E966,'Asset Log'!$G$5:$G$1379,G966)</f>
        <v>1</v>
      </c>
    </row>
    <row r="967">
      <c r="A967" t="inlineStr">
        <is>
          <t>D70726</t>
        </is>
      </c>
      <c r="B967" s="11" t="n">
        <v>46082</v>
      </c>
      <c r="C967" t="inlineStr">
        <is>
          <t>S0077</t>
        </is>
      </c>
      <c r="D967" t="inlineStr">
        <is>
          <t>S0077</t>
        </is>
      </c>
      <c r="E967" t="inlineStr">
        <is>
          <t>BR</t>
        </is>
      </c>
      <c r="F967" t="n">
        <v>14</v>
      </c>
      <c r="G967" t="inlineStr">
        <is>
          <t>OUT</t>
        </is>
      </c>
      <c r="H967">
        <f>IF(G967="OUT",F967,-F967)</f>
        <v>14</v>
      </c>
      <c r="I967">
        <f>IF(AND(B967&gt;=DATE(2025,7,1),B967&lt;=DATE(2026,6,30)),1,0)</f>
        <v>1</v>
      </c>
      <c r="J967">
        <f>IF(B967&lt;=DATE(2026,6,30),1,0)</f>
        <v>1</v>
      </c>
      <c r="K967" t="inlineStr"/>
      <c r="L967" t="inlineStr">
        <is>
          <t>Office</t>
        </is>
      </c>
      <c r="M967">
        <f>COUNTIFS('Asset Log'!$A$5:$A$1379,A967,'Asset Log'!$E$5:$E$1379,E967,'Asset Log'!$G$5:$G$1379,G967)</f>
        <v>1</v>
      </c>
    </row>
    <row r="968">
      <c r="A968" t="inlineStr">
        <is>
          <t>D71917</t>
        </is>
      </c>
      <c r="B968" s="11" t="n">
        <v>46083</v>
      </c>
      <c r="C968" t="inlineStr">
        <is>
          <t>S0203</t>
        </is>
      </c>
      <c r="D968" t="inlineStr">
        <is>
          <t>S0203</t>
        </is>
      </c>
      <c r="E968" t="inlineStr">
        <is>
          <t>FP</t>
        </is>
      </c>
      <c r="F968" t="n">
        <v>28</v>
      </c>
      <c r="G968" t="inlineStr">
        <is>
          <t>OUT</t>
        </is>
      </c>
      <c r="H968">
        <f>IF(G968="OUT",F968,-F968)</f>
        <v>28</v>
      </c>
      <c r="I968">
        <f>IF(AND(B968&gt;=DATE(2025,7,1),B968&lt;=DATE(2026,6,30)),1,0)</f>
        <v>1</v>
      </c>
      <c r="J968">
        <f>IF(B968&lt;=DATE(2026,6,30),1,0)</f>
        <v>1</v>
      </c>
      <c r="K968" t="inlineStr"/>
      <c r="L968" t="inlineStr">
        <is>
          <t>Office</t>
        </is>
      </c>
      <c r="M968">
        <f>COUNTIFS('Asset Log'!$A$5:$A$1379,A968,'Asset Log'!$E$5:$E$1379,E968,'Asset Log'!$G$5:$G$1379,G968)</f>
        <v>1</v>
      </c>
    </row>
    <row r="969">
      <c r="A969" t="inlineStr">
        <is>
          <t>D71922</t>
        </is>
      </c>
      <c r="B969" s="11" t="n">
        <v>46083</v>
      </c>
      <c r="C969" t="inlineStr">
        <is>
          <t>s203</t>
        </is>
      </c>
      <c r="D969" t="inlineStr">
        <is>
          <t>S0203</t>
        </is>
      </c>
      <c r="E969" t="inlineStr">
        <is>
          <t>FB</t>
        </is>
      </c>
      <c r="F969" t="n">
        <v>30</v>
      </c>
      <c r="G969" t="inlineStr">
        <is>
          <t>OUT</t>
        </is>
      </c>
      <c r="H969">
        <f>IF(G969="OUT",F969,-F969)</f>
        <v>30</v>
      </c>
      <c r="I969">
        <f>IF(AND(B969&gt;=DATE(2025,7,1),B969&lt;=DATE(2026,6,30)),1,0)</f>
        <v>1</v>
      </c>
      <c r="J969">
        <f>IF(B969&lt;=DATE(2026,6,30),1,0)</f>
        <v>1</v>
      </c>
      <c r="K969" t="inlineStr">
        <is>
          <t>Site text normalised</t>
        </is>
      </c>
      <c r="L969" t="inlineStr">
        <is>
          <t>Office</t>
        </is>
      </c>
      <c r="M969">
        <f>COUNTIFS('Asset Log'!$A$5:$A$1379,A969,'Asset Log'!$E$5:$E$1379,E969,'Asset Log'!$G$5:$G$1379,G969)</f>
        <v>1</v>
      </c>
    </row>
    <row r="970">
      <c r="A970" t="inlineStr">
        <is>
          <t>D71926</t>
        </is>
      </c>
      <c r="B970" s="11" t="n">
        <v>46083</v>
      </c>
      <c r="C970" t="inlineStr">
        <is>
          <t>S0203</t>
        </is>
      </c>
      <c r="D970" t="inlineStr">
        <is>
          <t>S0203</t>
        </is>
      </c>
      <c r="E970" t="inlineStr">
        <is>
          <t>BR</t>
        </is>
      </c>
      <c r="F970" t="n">
        <v>6</v>
      </c>
      <c r="G970" t="inlineStr">
        <is>
          <t>OUT</t>
        </is>
      </c>
      <c r="H970">
        <f>IF(G970="OUT",F970,-F970)</f>
        <v>6</v>
      </c>
      <c r="I970">
        <f>IF(AND(B970&gt;=DATE(2025,7,1),B970&lt;=DATE(2026,6,30)),1,0)</f>
        <v>1</v>
      </c>
      <c r="J970">
        <f>IF(B970&lt;=DATE(2026,6,30),1,0)</f>
        <v>1</v>
      </c>
      <c r="K970" t="inlineStr"/>
      <c r="L970" t="inlineStr">
        <is>
          <t>Driver</t>
        </is>
      </c>
      <c r="M970">
        <f>COUNTIFS('Asset Log'!$A$5:$A$1379,A970,'Asset Log'!$E$5:$E$1379,E970,'Asset Log'!$G$5:$G$1379,G970)</f>
        <v>1</v>
      </c>
    </row>
    <row r="971">
      <c r="A971" t="inlineStr">
        <is>
          <t>D71947</t>
        </is>
      </c>
      <c r="B971" s="11" t="n">
        <v>46083</v>
      </c>
      <c r="C971" t="inlineStr">
        <is>
          <t>S0206 Heidelberg</t>
        </is>
      </c>
      <c r="D971" t="inlineStr">
        <is>
          <t>S0206</t>
        </is>
      </c>
      <c r="E971" t="inlineStr">
        <is>
          <t>FP</t>
        </is>
      </c>
      <c r="F971" t="n">
        <v>89</v>
      </c>
      <c r="G971" t="inlineStr">
        <is>
          <t>IN</t>
        </is>
      </c>
      <c r="H971">
        <f>IF(G971="OUT",F971,-F971)</f>
        <v>-89</v>
      </c>
      <c r="I971">
        <f>IF(AND(B971&gt;=DATE(2025,7,1),B971&lt;=DATE(2026,6,30)),1,0)</f>
        <v>1</v>
      </c>
      <c r="J971">
        <f>IF(B971&lt;=DATE(2026,6,30),1,0)</f>
        <v>1</v>
      </c>
      <c r="K971" t="inlineStr">
        <is>
          <t>Site text normalised</t>
        </is>
      </c>
      <c r="L971" t="inlineStr">
        <is>
          <t>Office</t>
        </is>
      </c>
      <c r="M971">
        <f>COUNTIFS('Asset Log'!$A$5:$A$1379,A971,'Asset Log'!$E$5:$E$1379,E971,'Asset Log'!$G$5:$G$1379,G971)</f>
        <v>1</v>
      </c>
    </row>
    <row r="972">
      <c r="A972" t="inlineStr">
        <is>
          <t>D71950</t>
        </is>
      </c>
      <c r="B972" s="11" t="n">
        <v>46083</v>
      </c>
      <c r="C972" t="inlineStr">
        <is>
          <t>S0206</t>
        </is>
      </c>
      <c r="D972" t="inlineStr">
        <is>
          <t>S0206</t>
        </is>
      </c>
      <c r="E972" t="inlineStr">
        <is>
          <t>FB</t>
        </is>
      </c>
      <c r="F972" t="n">
        <v>97</v>
      </c>
      <c r="G972" t="inlineStr">
        <is>
          <t>IN</t>
        </is>
      </c>
      <c r="H972">
        <f>IF(G972="OUT",F972,-F972)</f>
        <v>-97</v>
      </c>
      <c r="I972">
        <f>IF(AND(B972&gt;=DATE(2025,7,1),B972&lt;=DATE(2026,6,30)),1,0)</f>
        <v>1</v>
      </c>
      <c r="J972">
        <f>IF(B972&lt;=DATE(2026,6,30),1,0)</f>
        <v>1</v>
      </c>
      <c r="K972" t="inlineStr"/>
      <c r="L972" t="inlineStr">
        <is>
          <t>Driver</t>
        </is>
      </c>
      <c r="M972">
        <f>COUNTIFS('Asset Log'!$A$5:$A$1379,A972,'Asset Log'!$E$5:$E$1379,E972,'Asset Log'!$G$5:$G$1379,G972)</f>
        <v>1</v>
      </c>
    </row>
    <row r="973">
      <c r="A973" t="inlineStr">
        <is>
          <t>D71175</t>
        </is>
      </c>
      <c r="B973" s="11" t="n">
        <v>46086</v>
      </c>
      <c r="C973" t="inlineStr">
        <is>
          <t>S0123</t>
        </is>
      </c>
      <c r="D973" t="inlineStr">
        <is>
          <t>S0123</t>
        </is>
      </c>
      <c r="E973" t="inlineStr">
        <is>
          <t>FP</t>
        </is>
      </c>
      <c r="F973" t="n">
        <v>70</v>
      </c>
      <c r="G973" t="inlineStr">
        <is>
          <t>IN</t>
        </is>
      </c>
      <c r="H973">
        <f>IF(G973="OUT",F973,-F973)</f>
        <v>-70</v>
      </c>
      <c r="I973">
        <f>IF(AND(B973&gt;=DATE(2025,7,1),B973&lt;=DATE(2026,6,30)),1,0)</f>
        <v>1</v>
      </c>
      <c r="J973">
        <f>IF(B973&lt;=DATE(2026,6,30),1,0)</f>
        <v>1</v>
      </c>
      <c r="K973" t="inlineStr"/>
      <c r="L973" t="inlineStr">
        <is>
          <t>Yard</t>
        </is>
      </c>
      <c r="M973">
        <f>COUNTIFS('Asset Log'!$A$5:$A$1379,A973,'Asset Log'!$E$5:$E$1379,E973,'Asset Log'!$G$5:$G$1379,G973)</f>
        <v>1</v>
      </c>
    </row>
    <row r="974">
      <c r="A974" t="inlineStr">
        <is>
          <t>D71180</t>
        </is>
      </c>
      <c r="B974" s="11" t="n">
        <v>46086</v>
      </c>
      <c r="C974" t="inlineStr">
        <is>
          <t>S0123</t>
        </is>
      </c>
      <c r="D974" t="inlineStr">
        <is>
          <t>S0123</t>
        </is>
      </c>
      <c r="E974" t="inlineStr">
        <is>
          <t>FB</t>
        </is>
      </c>
      <c r="F974" t="n">
        <v>83</v>
      </c>
      <c r="G974" t="inlineStr">
        <is>
          <t>IN</t>
        </is>
      </c>
      <c r="H974">
        <f>IF(G974="OUT",F974,-F974)</f>
        <v>-83</v>
      </c>
      <c r="I974">
        <f>IF(AND(B974&gt;=DATE(2025,7,1),B974&lt;=DATE(2026,6,30)),1,0)</f>
        <v>1</v>
      </c>
      <c r="J974">
        <f>IF(B974&lt;=DATE(2026,6,30),1,0)</f>
        <v>1</v>
      </c>
      <c r="K974" t="inlineStr"/>
      <c r="L974" t="inlineStr">
        <is>
          <t>Yard</t>
        </is>
      </c>
      <c r="M974">
        <f>COUNTIFS('Asset Log'!$A$5:$A$1379,A974,'Asset Log'!$E$5:$E$1379,E974,'Asset Log'!$G$5:$G$1379,G974)</f>
        <v>1</v>
      </c>
    </row>
    <row r="975">
      <c r="A975" t="inlineStr">
        <is>
          <t>D72472</t>
        </is>
      </c>
      <c r="B975" s="11" t="n">
        <v>46086</v>
      </c>
      <c r="C975" t="inlineStr">
        <is>
          <t>S0302</t>
        </is>
      </c>
      <c r="D975" t="inlineStr">
        <is>
          <t>S0302</t>
        </is>
      </c>
      <c r="E975" t="inlineStr">
        <is>
          <t>TK</t>
        </is>
      </c>
      <c r="F975" t="n">
        <v>2</v>
      </c>
      <c r="G975" t="inlineStr">
        <is>
          <t>IN</t>
        </is>
      </c>
      <c r="H975">
        <f>IF(G975="OUT",F975,-F975)</f>
        <v>-2</v>
      </c>
      <c r="I975">
        <f>IF(AND(B975&gt;=DATE(2025,7,1),B975&lt;=DATE(2026,6,30)),1,0)</f>
        <v>1</v>
      </c>
      <c r="J975">
        <f>IF(B975&lt;=DATE(2026,6,30),1,0)</f>
        <v>1</v>
      </c>
      <c r="K975" t="inlineStr"/>
      <c r="L975" t="inlineStr">
        <is>
          <t>Yard</t>
        </is>
      </c>
      <c r="M975">
        <f>COUNTIFS('Asset Log'!$A$5:$A$1379,A975,'Asset Log'!$E$5:$E$1379,E975,'Asset Log'!$G$5:$G$1379,G975)</f>
        <v>1</v>
      </c>
    </row>
    <row r="976">
      <c r="A976" t="inlineStr">
        <is>
          <t>D72819</t>
        </is>
      </c>
      <c r="B976" s="11" t="n">
        <v>46086</v>
      </c>
      <c r="C976" t="inlineStr">
        <is>
          <t>S0529 Werribee</t>
        </is>
      </c>
      <c r="D976" t="inlineStr">
        <is>
          <t>S0529</t>
        </is>
      </c>
      <c r="E976" t="inlineStr">
        <is>
          <t>TK</t>
        </is>
      </c>
      <c r="F976" t="n">
        <v>3</v>
      </c>
      <c r="G976" t="inlineStr">
        <is>
          <t>IN</t>
        </is>
      </c>
      <c r="H976">
        <f>IF(G976="OUT",F976,-F976)</f>
        <v>-3</v>
      </c>
      <c r="I976">
        <f>IF(AND(B976&gt;=DATE(2025,7,1),B976&lt;=DATE(2026,6,30)),1,0)</f>
        <v>1</v>
      </c>
      <c r="J976">
        <f>IF(B976&lt;=DATE(2026,6,30),1,0)</f>
        <v>1</v>
      </c>
      <c r="K976" t="inlineStr">
        <is>
          <t>Site text normalised</t>
        </is>
      </c>
      <c r="L976" t="inlineStr">
        <is>
          <t>Office</t>
        </is>
      </c>
      <c r="M976">
        <f>COUNTIFS('Asset Log'!$A$5:$A$1379,A976,'Asset Log'!$E$5:$E$1379,E976,'Asset Log'!$G$5:$G$1379,G976)</f>
        <v>1</v>
      </c>
    </row>
    <row r="977">
      <c r="A977" t="inlineStr">
        <is>
          <t>D70479</t>
        </is>
      </c>
      <c r="B977" s="11" t="n">
        <v>46087</v>
      </c>
      <c r="C977" t="inlineStr">
        <is>
          <t>s052</t>
        </is>
      </c>
      <c r="D977" t="inlineStr">
        <is>
          <t>S0052</t>
        </is>
      </c>
      <c r="E977" t="inlineStr">
        <is>
          <t>FP</t>
        </is>
      </c>
      <c r="F977" t="n">
        <v>107</v>
      </c>
      <c r="G977" t="inlineStr">
        <is>
          <t>OUT</t>
        </is>
      </c>
      <c r="H977">
        <f>IF(G977="OUT",F977,-F977)</f>
        <v>107</v>
      </c>
      <c r="I977">
        <f>IF(AND(B977&gt;=DATE(2025,7,1),B977&lt;=DATE(2026,6,30)),1,0)</f>
        <v>1</v>
      </c>
      <c r="J977">
        <f>IF(B977&lt;=DATE(2026,6,30),1,0)</f>
        <v>1</v>
      </c>
      <c r="K977" t="inlineStr">
        <is>
          <t>Site text normalised</t>
        </is>
      </c>
      <c r="L977" t="inlineStr">
        <is>
          <t>Office</t>
        </is>
      </c>
      <c r="M977">
        <f>COUNTIFS('Asset Log'!$A$5:$A$1379,A977,'Asset Log'!$E$5:$E$1379,E977,'Asset Log'!$G$5:$G$1379,G977)</f>
        <v>1</v>
      </c>
    </row>
    <row r="978">
      <c r="A978" t="inlineStr">
        <is>
          <t>D70484</t>
        </is>
      </c>
      <c r="B978" s="11" t="n">
        <v>46087</v>
      </c>
      <c r="C978" t="inlineStr">
        <is>
          <t>s052</t>
        </is>
      </c>
      <c r="D978" t="inlineStr">
        <is>
          <t>S0052</t>
        </is>
      </c>
      <c r="E978" t="inlineStr">
        <is>
          <t>FB</t>
        </is>
      </c>
      <c r="F978" t="n">
        <v>117</v>
      </c>
      <c r="G978" t="inlineStr">
        <is>
          <t>OUT</t>
        </is>
      </c>
      <c r="H978">
        <f>IF(G978="OUT",F978,-F978)</f>
        <v>117</v>
      </c>
      <c r="I978">
        <f>IF(AND(B978&gt;=DATE(2025,7,1),B978&lt;=DATE(2026,6,30)),1,0)</f>
        <v>1</v>
      </c>
      <c r="J978">
        <f>IF(B978&lt;=DATE(2026,6,30),1,0)</f>
        <v>1</v>
      </c>
      <c r="K978" t="inlineStr">
        <is>
          <t>Site text normalised</t>
        </is>
      </c>
      <c r="L978" t="inlineStr">
        <is>
          <t>Driver</t>
        </is>
      </c>
      <c r="M978">
        <f>COUNTIFS('Asset Log'!$A$5:$A$1379,A978,'Asset Log'!$E$5:$E$1379,E978,'Asset Log'!$G$5:$G$1379,G978)</f>
        <v>1</v>
      </c>
    </row>
    <row r="979">
      <c r="A979" t="inlineStr">
        <is>
          <t>D70819</t>
        </is>
      </c>
      <c r="B979" s="11" t="n">
        <v>46087</v>
      </c>
      <c r="C979" t="inlineStr">
        <is>
          <t>S0087</t>
        </is>
      </c>
      <c r="D979" t="inlineStr">
        <is>
          <t>S0087</t>
        </is>
      </c>
      <c r="E979" t="inlineStr">
        <is>
          <t>FP</t>
        </is>
      </c>
      <c r="F979" t="n">
        <v>95</v>
      </c>
      <c r="G979" t="inlineStr">
        <is>
          <t>IN</t>
        </is>
      </c>
      <c r="H979">
        <f>IF(G979="OUT",F979,-F979)</f>
        <v>-95</v>
      </c>
      <c r="I979">
        <f>IF(AND(B979&gt;=DATE(2025,7,1),B979&lt;=DATE(2026,6,30)),1,0)</f>
        <v>1</v>
      </c>
      <c r="J979">
        <f>IF(B979&lt;=DATE(2026,6,30),1,0)</f>
        <v>1</v>
      </c>
      <c r="K979" t="inlineStr"/>
      <c r="L979" t="inlineStr">
        <is>
          <t>Office</t>
        </is>
      </c>
      <c r="M979">
        <f>COUNTIFS('Asset Log'!$A$5:$A$1379,A979,'Asset Log'!$E$5:$E$1379,E979,'Asset Log'!$G$5:$G$1379,G979)</f>
        <v>1</v>
      </c>
    </row>
    <row r="980">
      <c r="A980" t="inlineStr">
        <is>
          <t>D70823</t>
        </is>
      </c>
      <c r="B980" s="11" t="n">
        <v>46087</v>
      </c>
      <c r="C980" t="inlineStr">
        <is>
          <t>S0087</t>
        </is>
      </c>
      <c r="D980" t="inlineStr">
        <is>
          <t>S0087</t>
        </is>
      </c>
      <c r="E980" t="inlineStr">
        <is>
          <t>FB</t>
        </is>
      </c>
      <c r="F980" t="n">
        <v>111</v>
      </c>
      <c r="G980" t="inlineStr">
        <is>
          <t>IN</t>
        </is>
      </c>
      <c r="H980">
        <f>IF(G980="OUT",F980,-F980)</f>
        <v>-111</v>
      </c>
      <c r="I980">
        <f>IF(AND(B980&gt;=DATE(2025,7,1),B980&lt;=DATE(2026,6,30)),1,0)</f>
        <v>1</v>
      </c>
      <c r="J980">
        <f>IF(B980&lt;=DATE(2026,6,30),1,0)</f>
        <v>1</v>
      </c>
      <c r="K980" t="inlineStr"/>
      <c r="L980" t="inlineStr">
        <is>
          <t>Office</t>
        </is>
      </c>
      <c r="M980">
        <f>COUNTIFS('Asset Log'!$A$5:$A$1379,A980,'Asset Log'!$E$5:$E$1379,E980,'Asset Log'!$G$5:$G$1379,G980)</f>
        <v>1</v>
      </c>
    </row>
    <row r="981">
      <c r="A981" t="inlineStr">
        <is>
          <t>D70827</t>
        </is>
      </c>
      <c r="B981" s="11" t="n">
        <v>46087</v>
      </c>
      <c r="C981" t="inlineStr">
        <is>
          <t>S0087</t>
        </is>
      </c>
      <c r="D981" t="inlineStr">
        <is>
          <t>S0087</t>
        </is>
      </c>
      <c r="E981" t="inlineStr">
        <is>
          <t>BR</t>
        </is>
      </c>
      <c r="F981" t="n">
        <v>8</v>
      </c>
      <c r="G981" t="inlineStr">
        <is>
          <t>IN</t>
        </is>
      </c>
      <c r="H981">
        <f>IF(G981="OUT",F981,-F981)</f>
        <v>-8</v>
      </c>
      <c r="I981">
        <f>IF(AND(B981&gt;=DATE(2025,7,1),B981&lt;=DATE(2026,6,30)),1,0)</f>
        <v>1</v>
      </c>
      <c r="J981">
        <f>IF(B981&lt;=DATE(2026,6,30),1,0)</f>
        <v>1</v>
      </c>
      <c r="K981" t="inlineStr"/>
      <c r="L981" t="inlineStr">
        <is>
          <t>Office</t>
        </is>
      </c>
      <c r="M981">
        <f>COUNTIFS('Asset Log'!$A$5:$A$1379,A981,'Asset Log'!$E$5:$E$1379,E981,'Asset Log'!$G$5:$G$1379,G981)</f>
        <v>1</v>
      </c>
    </row>
    <row r="982">
      <c r="A982" t="inlineStr">
        <is>
          <t>D70829</t>
        </is>
      </c>
      <c r="B982" s="11" t="n">
        <v>46087</v>
      </c>
      <c r="C982" t="inlineStr">
        <is>
          <t>87</t>
        </is>
      </c>
      <c r="D982" t="inlineStr">
        <is>
          <t>S0087</t>
        </is>
      </c>
      <c r="E982" t="inlineStr">
        <is>
          <t>FP</t>
        </is>
      </c>
      <c r="F982" t="n">
        <v>6</v>
      </c>
      <c r="G982" t="inlineStr">
        <is>
          <t>LOST</t>
        </is>
      </c>
      <c r="H982">
        <f>IF(G982="OUT",F982,-F982)</f>
        <v>-6</v>
      </c>
      <c r="I982">
        <f>IF(AND(B982&gt;=DATE(2025,7,1),B982&lt;=DATE(2026,6,30)),1,0)</f>
        <v>1</v>
      </c>
      <c r="J982">
        <f>IF(B982&lt;=DATE(2026,6,30),1,0)</f>
        <v>1</v>
      </c>
      <c r="K982" t="inlineStr">
        <is>
          <t>Site text normalised</t>
        </is>
      </c>
      <c r="L982" t="inlineStr">
        <is>
          <t>Driver</t>
        </is>
      </c>
      <c r="M982">
        <f>COUNTIFS('Asset Log'!$A$5:$A$1379,A982,'Asset Log'!$E$5:$E$1379,E982,'Asset Log'!$G$5:$G$1379,G982)</f>
        <v>1</v>
      </c>
    </row>
    <row r="983">
      <c r="A983" t="inlineStr">
        <is>
          <t>D72237</t>
        </is>
      </c>
      <c r="B983" s="11" t="n">
        <v>46088</v>
      </c>
      <c r="C983" t="inlineStr">
        <is>
          <t>S0242</t>
        </is>
      </c>
      <c r="D983" t="inlineStr">
        <is>
          <t>S0242</t>
        </is>
      </c>
      <c r="E983" t="inlineStr">
        <is>
          <t>ST</t>
        </is>
      </c>
      <c r="F983" t="n">
        <v>4</v>
      </c>
      <c r="G983" t="inlineStr">
        <is>
          <t>OUT</t>
        </is>
      </c>
      <c r="H983">
        <f>IF(G983="OUT",F983,-F983)</f>
        <v>4</v>
      </c>
      <c r="I983">
        <f>IF(AND(B983&gt;=DATE(2025,7,1),B983&lt;=DATE(2026,6,30)),1,0)</f>
        <v>1</v>
      </c>
      <c r="J983">
        <f>IF(B983&lt;=DATE(2026,6,30),1,0)</f>
        <v>1</v>
      </c>
      <c r="K983" t="inlineStr"/>
      <c r="L983" t="inlineStr">
        <is>
          <t>Driver</t>
        </is>
      </c>
      <c r="M983">
        <f>COUNTIFS('Asset Log'!$A$5:$A$1379,A983,'Asset Log'!$E$5:$E$1379,E983,'Asset Log'!$G$5:$G$1379,G983)</f>
        <v>1</v>
      </c>
    </row>
    <row r="984">
      <c r="A984" t="inlineStr">
        <is>
          <t>D72328</t>
        </is>
      </c>
      <c r="B984" s="11" t="n">
        <v>46088</v>
      </c>
      <c r="C984" t="inlineStr">
        <is>
          <t>S0263</t>
        </is>
      </c>
      <c r="D984" t="inlineStr">
        <is>
          <t>S0263</t>
        </is>
      </c>
      <c r="E984" t="inlineStr">
        <is>
          <t>ST</t>
        </is>
      </c>
      <c r="F984" t="n">
        <v>3</v>
      </c>
      <c r="G984" t="inlineStr">
        <is>
          <t>IN</t>
        </is>
      </c>
      <c r="H984">
        <f>IF(G984="OUT",F984,-F984)</f>
        <v>-3</v>
      </c>
      <c r="I984">
        <f>IF(AND(B984&gt;=DATE(2025,7,1),B984&lt;=DATE(2026,6,30)),1,0)</f>
        <v>1</v>
      </c>
      <c r="J984">
        <f>IF(B984&lt;=DATE(2026,6,30),1,0)</f>
        <v>1</v>
      </c>
      <c r="K984" t="inlineStr"/>
      <c r="L984" t="inlineStr">
        <is>
          <t>Driver</t>
        </is>
      </c>
      <c r="M984">
        <f>COUNTIFS('Asset Log'!$A$5:$A$1379,A984,'Asset Log'!$E$5:$E$1379,E984,'Asset Log'!$G$5:$G$1379,G984)</f>
        <v>1</v>
      </c>
    </row>
    <row r="985">
      <c r="A985" t="inlineStr">
        <is>
          <t>D70614</t>
        </is>
      </c>
      <c r="B985" s="11" t="n">
        <v>46089</v>
      </c>
      <c r="C985" t="inlineStr">
        <is>
          <t>s066</t>
        </is>
      </c>
      <c r="D985" t="inlineStr">
        <is>
          <t>S0066</t>
        </is>
      </c>
      <c r="E985" t="inlineStr">
        <is>
          <t>FP</t>
        </is>
      </c>
      <c r="F985" t="n">
        <v>9</v>
      </c>
      <c r="G985" t="inlineStr">
        <is>
          <t>OUT</t>
        </is>
      </c>
      <c r="H985">
        <f>IF(G985="OUT",F985,-F985)</f>
        <v>9</v>
      </c>
      <c r="I985">
        <f>IF(AND(B985&gt;=DATE(2025,7,1),B985&lt;=DATE(2026,6,30)),1,0)</f>
        <v>1</v>
      </c>
      <c r="J985">
        <f>IF(B985&lt;=DATE(2026,6,30),1,0)</f>
        <v>1</v>
      </c>
      <c r="K985" t="inlineStr">
        <is>
          <t>Site text normalised</t>
        </is>
      </c>
      <c r="L985" t="inlineStr">
        <is>
          <t>Driver</t>
        </is>
      </c>
      <c r="M985">
        <f>COUNTIFS('Asset Log'!$A$5:$A$1379,A985,'Asset Log'!$E$5:$E$1379,E985,'Asset Log'!$G$5:$G$1379,G985)</f>
        <v>1</v>
      </c>
    </row>
    <row r="986">
      <c r="A986" t="inlineStr">
        <is>
          <t>D70619</t>
        </is>
      </c>
      <c r="B986" s="11" t="n">
        <v>46089</v>
      </c>
      <c r="C986" t="inlineStr">
        <is>
          <t>S0066</t>
        </is>
      </c>
      <c r="D986" t="inlineStr">
        <is>
          <t>S0066</t>
        </is>
      </c>
      <c r="E986" t="inlineStr">
        <is>
          <t>FB</t>
        </is>
      </c>
      <c r="F986" t="n">
        <v>9</v>
      </c>
      <c r="G986" t="inlineStr">
        <is>
          <t>OUT</t>
        </is>
      </c>
      <c r="H986">
        <f>IF(G986="OUT",F986,-F986)</f>
        <v>9</v>
      </c>
      <c r="I986">
        <f>IF(AND(B986&gt;=DATE(2025,7,1),B986&lt;=DATE(2026,6,30)),1,0)</f>
        <v>1</v>
      </c>
      <c r="J986">
        <f>IF(B986&lt;=DATE(2026,6,30),1,0)</f>
        <v>1</v>
      </c>
      <c r="K986" t="inlineStr"/>
      <c r="L986" t="inlineStr">
        <is>
          <t>Driver</t>
        </is>
      </c>
      <c r="M986">
        <f>COUNTIFS('Asset Log'!$A$5:$A$1379,A986,'Asset Log'!$E$5:$E$1379,E986,'Asset Log'!$G$5:$G$1379,G986)</f>
        <v>1</v>
      </c>
    </row>
    <row r="987">
      <c r="A987" t="inlineStr">
        <is>
          <t>D72780</t>
        </is>
      </c>
      <c r="B987" s="11" t="n">
        <v>46091</v>
      </c>
      <c r="C987" t="inlineStr">
        <is>
          <t>S0504</t>
        </is>
      </c>
      <c r="D987" t="inlineStr">
        <is>
          <t>S0504</t>
        </is>
      </c>
      <c r="E987" t="inlineStr">
        <is>
          <t>TK</t>
        </is>
      </c>
      <c r="F987" t="n">
        <v>3</v>
      </c>
      <c r="G987" t="inlineStr">
        <is>
          <t>OUT</t>
        </is>
      </c>
      <c r="H987">
        <f>IF(G987="OUT",F987,-F987)</f>
        <v>3</v>
      </c>
      <c r="I987">
        <f>IF(AND(B987&gt;=DATE(2025,7,1),B987&lt;=DATE(2026,6,30)),1,0)</f>
        <v>1</v>
      </c>
      <c r="J987">
        <f>IF(B987&lt;=DATE(2026,6,30),1,0)</f>
        <v>1</v>
      </c>
      <c r="K987" t="inlineStr"/>
      <c r="L987" t="inlineStr">
        <is>
          <t>Driver</t>
        </is>
      </c>
      <c r="M987">
        <f>COUNTIFS('Asset Log'!$A$5:$A$1379,A987,'Asset Log'!$E$5:$E$1379,E987,'Asset Log'!$G$5:$G$1379,G987)</f>
        <v>1</v>
      </c>
    </row>
    <row r="988">
      <c r="A988" t="inlineStr">
        <is>
          <t>D71279</t>
        </is>
      </c>
      <c r="B988" s="11" t="n">
        <v>46092</v>
      </c>
      <c r="C988" t="inlineStr">
        <is>
          <t>135</t>
        </is>
      </c>
      <c r="D988" t="inlineStr">
        <is>
          <t>S0135</t>
        </is>
      </c>
      <c r="E988" t="inlineStr">
        <is>
          <t>FP</t>
        </is>
      </c>
      <c r="F988" t="n">
        <v>65</v>
      </c>
      <c r="G988" t="inlineStr">
        <is>
          <t>IN</t>
        </is>
      </c>
      <c r="H988">
        <f>IF(G988="OUT",F988,-F988)</f>
        <v>-65</v>
      </c>
      <c r="I988">
        <f>IF(AND(B988&gt;=DATE(2025,7,1),B988&lt;=DATE(2026,6,30)),1,0)</f>
        <v>1</v>
      </c>
      <c r="J988">
        <f>IF(B988&lt;=DATE(2026,6,30),1,0)</f>
        <v>1</v>
      </c>
      <c r="K988" t="inlineStr">
        <is>
          <t>Site text normalised</t>
        </is>
      </c>
      <c r="L988" t="inlineStr">
        <is>
          <t>Yard</t>
        </is>
      </c>
      <c r="M988">
        <f>COUNTIFS('Asset Log'!$A$5:$A$1379,A988,'Asset Log'!$E$5:$E$1379,E988,'Asset Log'!$G$5:$G$1379,G988)</f>
        <v>1</v>
      </c>
    </row>
    <row r="989">
      <c r="A989" t="inlineStr">
        <is>
          <t>D71284</t>
        </is>
      </c>
      <c r="B989" s="11" t="n">
        <v>46092</v>
      </c>
      <c r="C989" t="inlineStr">
        <is>
          <t>S0135</t>
        </is>
      </c>
      <c r="D989" t="inlineStr">
        <is>
          <t>S0135</t>
        </is>
      </c>
      <c r="E989" t="inlineStr">
        <is>
          <t>FB</t>
        </is>
      </c>
      <c r="F989" t="n">
        <v>71</v>
      </c>
      <c r="G989" t="inlineStr">
        <is>
          <t>IN</t>
        </is>
      </c>
      <c r="H989">
        <f>IF(G989="OUT",F989,-F989)</f>
        <v>-71</v>
      </c>
      <c r="I989">
        <f>IF(AND(B989&gt;=DATE(2025,7,1),B989&lt;=DATE(2026,6,30)),1,0)</f>
        <v>1</v>
      </c>
      <c r="J989">
        <f>IF(B989&lt;=DATE(2026,6,30),1,0)</f>
        <v>1</v>
      </c>
      <c r="K989" t="inlineStr"/>
      <c r="L989" t="inlineStr">
        <is>
          <t>Office</t>
        </is>
      </c>
      <c r="M989">
        <f>COUNTIFS('Asset Log'!$A$5:$A$1379,A989,'Asset Log'!$E$5:$E$1379,E989,'Asset Log'!$G$5:$G$1379,G989)</f>
        <v>1</v>
      </c>
    </row>
    <row r="990">
      <c r="A990" t="inlineStr">
        <is>
          <t>D71287</t>
        </is>
      </c>
      <c r="B990" s="11" t="n">
        <v>46092</v>
      </c>
      <c r="C990" t="inlineStr">
        <is>
          <t>135</t>
        </is>
      </c>
      <c r="D990" t="inlineStr">
        <is>
          <t>S0135</t>
        </is>
      </c>
      <c r="E990" t="inlineStr">
        <is>
          <t>BR</t>
        </is>
      </c>
      <c r="F990" t="n">
        <v>11</v>
      </c>
      <c r="G990" t="inlineStr">
        <is>
          <t>IN</t>
        </is>
      </c>
      <c r="H990">
        <f>IF(G990="OUT",F990,-F990)</f>
        <v>-11</v>
      </c>
      <c r="I990">
        <f>IF(AND(B990&gt;=DATE(2025,7,1),B990&lt;=DATE(2026,6,30)),1,0)</f>
        <v>1</v>
      </c>
      <c r="J990">
        <f>IF(B990&lt;=DATE(2026,6,30),1,0)</f>
        <v>1</v>
      </c>
      <c r="K990" t="inlineStr">
        <is>
          <t>Site text normalised</t>
        </is>
      </c>
      <c r="L990" t="inlineStr">
        <is>
          <t>Office</t>
        </is>
      </c>
      <c r="M990">
        <f>COUNTIFS('Asset Log'!$A$5:$A$1379,A990,'Asset Log'!$E$5:$E$1379,E990,'Asset Log'!$G$5:$G$1379,G990)</f>
        <v>1</v>
      </c>
    </row>
    <row r="991">
      <c r="A991" t="inlineStr">
        <is>
          <t>D71564</t>
        </is>
      </c>
      <c r="B991" s="11" t="n">
        <v>46093</v>
      </c>
      <c r="C991" t="inlineStr">
        <is>
          <t>S0162</t>
        </is>
      </c>
      <c r="D991" t="inlineStr">
        <is>
          <t>S0162</t>
        </is>
      </c>
      <c r="E991" t="inlineStr">
        <is>
          <t>FP</t>
        </is>
      </c>
      <c r="F991" t="n">
        <v>61</v>
      </c>
      <c r="G991" t="inlineStr">
        <is>
          <t>IN</t>
        </is>
      </c>
      <c r="H991">
        <f>IF(G991="OUT",F991,-F991)</f>
        <v>-61</v>
      </c>
      <c r="I991">
        <f>IF(AND(B991&gt;=DATE(2025,7,1),B991&lt;=DATE(2026,6,30)),1,0)</f>
        <v>1</v>
      </c>
      <c r="J991">
        <f>IF(B991&lt;=DATE(2026,6,30),1,0)</f>
        <v>1</v>
      </c>
      <c r="K991" t="inlineStr"/>
      <c r="L991" t="inlineStr">
        <is>
          <t>Yard</t>
        </is>
      </c>
      <c r="M991">
        <f>COUNTIFS('Asset Log'!$A$5:$A$1379,A991,'Asset Log'!$E$5:$E$1379,E991,'Asset Log'!$G$5:$G$1379,G991)</f>
        <v>1</v>
      </c>
    </row>
    <row r="992">
      <c r="A992" t="inlineStr">
        <is>
          <t>D71568</t>
        </is>
      </c>
      <c r="B992" s="11" t="n">
        <v>46093</v>
      </c>
      <c r="C992" t="inlineStr">
        <is>
          <t>S0162</t>
        </is>
      </c>
      <c r="D992" t="inlineStr">
        <is>
          <t>S0162</t>
        </is>
      </c>
      <c r="E992" t="inlineStr">
        <is>
          <t>FB</t>
        </is>
      </c>
      <c r="F992" t="n">
        <v>61</v>
      </c>
      <c r="G992" t="inlineStr">
        <is>
          <t>IN</t>
        </is>
      </c>
      <c r="H992">
        <f>IF(G992="OUT",F992,-F992)</f>
        <v>-61</v>
      </c>
      <c r="I992">
        <f>IF(AND(B992&gt;=DATE(2025,7,1),B992&lt;=DATE(2026,6,30)),1,0)</f>
        <v>1</v>
      </c>
      <c r="J992">
        <f>IF(B992&lt;=DATE(2026,6,30),1,0)</f>
        <v>1</v>
      </c>
      <c r="K992" t="inlineStr"/>
      <c r="L992" t="inlineStr">
        <is>
          <t>Office</t>
        </is>
      </c>
      <c r="M992">
        <f>COUNTIFS('Asset Log'!$A$5:$A$1379,A992,'Asset Log'!$E$5:$E$1379,E992,'Asset Log'!$G$5:$G$1379,G992)</f>
        <v>1</v>
      </c>
    </row>
    <row r="993">
      <c r="A993" t="inlineStr">
        <is>
          <t>D72125</t>
        </is>
      </c>
      <c r="B993" s="11" t="n">
        <v>46093</v>
      </c>
      <c r="C993" t="inlineStr">
        <is>
          <t>S0225</t>
        </is>
      </c>
      <c r="D993" t="inlineStr">
        <is>
          <t>S0225</t>
        </is>
      </c>
      <c r="E993" t="inlineStr">
        <is>
          <t>FP</t>
        </is>
      </c>
      <c r="F993" t="n">
        <v>84</v>
      </c>
      <c r="G993" t="inlineStr">
        <is>
          <t>OUT</t>
        </is>
      </c>
      <c r="H993">
        <f>IF(G993="OUT",F993,-F993)</f>
        <v>84</v>
      </c>
      <c r="I993">
        <f>IF(AND(B993&gt;=DATE(2025,7,1),B993&lt;=DATE(2026,6,30)),1,0)</f>
        <v>1</v>
      </c>
      <c r="J993">
        <f>IF(B993&lt;=DATE(2026,6,30),1,0)</f>
        <v>1</v>
      </c>
      <c r="K993" t="inlineStr"/>
      <c r="L993" t="inlineStr">
        <is>
          <t>Office</t>
        </is>
      </c>
      <c r="M993">
        <f>COUNTIFS('Asset Log'!$A$5:$A$1379,A993,'Asset Log'!$E$5:$E$1379,E993,'Asset Log'!$G$5:$G$1379,G993)</f>
        <v>1</v>
      </c>
    </row>
    <row r="994">
      <c r="A994" t="inlineStr">
        <is>
          <t>D72127</t>
        </is>
      </c>
      <c r="B994" s="11" t="n">
        <v>46093</v>
      </c>
      <c r="C994" t="inlineStr">
        <is>
          <t>S0225</t>
        </is>
      </c>
      <c r="D994" t="inlineStr">
        <is>
          <t>S0225</t>
        </is>
      </c>
      <c r="E994" t="inlineStr">
        <is>
          <t>FB</t>
        </is>
      </c>
      <c r="F994" t="n">
        <v>92</v>
      </c>
      <c r="G994" t="inlineStr">
        <is>
          <t>OUT</t>
        </is>
      </c>
      <c r="H994">
        <f>IF(G994="OUT",F994,-F994)</f>
        <v>92</v>
      </c>
      <c r="I994">
        <f>IF(AND(B994&gt;=DATE(2025,7,1),B994&lt;=DATE(2026,6,30)),1,0)</f>
        <v>1</v>
      </c>
      <c r="J994">
        <f>IF(B994&lt;=DATE(2026,6,30),1,0)</f>
        <v>1</v>
      </c>
      <c r="K994" t="inlineStr"/>
      <c r="L994" t="inlineStr">
        <is>
          <t>Yard</t>
        </is>
      </c>
      <c r="M994">
        <f>COUNTIFS('Asset Log'!$A$5:$A$1379,A994,'Asset Log'!$E$5:$E$1379,E994,'Asset Log'!$G$5:$G$1379,G994)</f>
        <v>1</v>
      </c>
    </row>
    <row r="995">
      <c r="A995" t="inlineStr">
        <is>
          <t>D72130</t>
        </is>
      </c>
      <c r="B995" s="11" t="n">
        <v>46093</v>
      </c>
      <c r="C995" t="inlineStr">
        <is>
          <t>S0225 Moorabbin</t>
        </is>
      </c>
      <c r="D995" t="inlineStr">
        <is>
          <t>S0225</t>
        </is>
      </c>
      <c r="E995" t="inlineStr">
        <is>
          <t>BR</t>
        </is>
      </c>
      <c r="F995" t="n">
        <v>16</v>
      </c>
      <c r="G995" t="inlineStr">
        <is>
          <t>OUT</t>
        </is>
      </c>
      <c r="H995">
        <f>IF(G995="OUT",F995,-F995)</f>
        <v>16</v>
      </c>
      <c r="I995">
        <f>IF(AND(B995&gt;=DATE(2025,7,1),B995&lt;=DATE(2026,6,30)),1,0)</f>
        <v>1</v>
      </c>
      <c r="J995">
        <f>IF(B995&lt;=DATE(2026,6,30),1,0)</f>
        <v>1</v>
      </c>
      <c r="K995" t="inlineStr">
        <is>
          <t>Site text normalised</t>
        </is>
      </c>
      <c r="L995" t="inlineStr">
        <is>
          <t>Office</t>
        </is>
      </c>
      <c r="M995">
        <f>COUNTIFS('Asset Log'!$A$5:$A$1379,A995,'Asset Log'!$E$5:$E$1379,E995,'Asset Log'!$G$5:$G$1379,G995)</f>
        <v>1</v>
      </c>
    </row>
    <row r="996">
      <c r="A996" t="inlineStr">
        <is>
          <t>D70085</t>
        </is>
      </c>
      <c r="B996" s="11" t="n">
        <v>46095</v>
      </c>
      <c r="C996" t="inlineStr">
        <is>
          <t>S0010</t>
        </is>
      </c>
      <c r="D996" t="inlineStr">
        <is>
          <t>S0010</t>
        </is>
      </c>
      <c r="E996" t="inlineStr">
        <is>
          <t>FP</t>
        </is>
      </c>
      <c r="F996" t="n">
        <v>16</v>
      </c>
      <c r="G996" t="inlineStr">
        <is>
          <t>OUT</t>
        </is>
      </c>
      <c r="H996">
        <f>IF(G996="OUT",F996,-F996)</f>
        <v>16</v>
      </c>
      <c r="I996">
        <f>IF(AND(B996&gt;=DATE(2025,7,1),B996&lt;=DATE(2026,6,30)),1,0)</f>
        <v>1</v>
      </c>
      <c r="J996">
        <f>IF(B996&lt;=DATE(2026,6,30),1,0)</f>
        <v>1</v>
      </c>
      <c r="K996" t="inlineStr"/>
      <c r="L996" t="inlineStr">
        <is>
          <t>Yard</t>
        </is>
      </c>
      <c r="M996">
        <f>COUNTIFS('Asset Log'!$A$5:$A$1379,A996,'Asset Log'!$E$5:$E$1379,E996,'Asset Log'!$G$5:$G$1379,G996)</f>
        <v>1</v>
      </c>
    </row>
    <row r="997">
      <c r="A997" t="inlineStr">
        <is>
          <t>D70088</t>
        </is>
      </c>
      <c r="B997" s="11" t="n">
        <v>46095</v>
      </c>
      <c r="C997" t="inlineStr">
        <is>
          <t>S0010</t>
        </is>
      </c>
      <c r="D997" t="inlineStr">
        <is>
          <t>S0010</t>
        </is>
      </c>
      <c r="E997" t="inlineStr">
        <is>
          <t>FB</t>
        </is>
      </c>
      <c r="F997" t="n">
        <v>17</v>
      </c>
      <c r="G997" t="inlineStr">
        <is>
          <t>OUT</t>
        </is>
      </c>
      <c r="H997">
        <f>IF(G997="OUT",F997,-F997)</f>
        <v>17</v>
      </c>
      <c r="I997">
        <f>IF(AND(B997&gt;=DATE(2025,7,1),B997&lt;=DATE(2026,6,30)),1,0)</f>
        <v>1</v>
      </c>
      <c r="J997">
        <f>IF(B997&lt;=DATE(2026,6,30),1,0)</f>
        <v>1</v>
      </c>
      <c r="K997" t="inlineStr"/>
      <c r="L997" t="inlineStr">
        <is>
          <t>Office</t>
        </is>
      </c>
      <c r="M997">
        <f>COUNTIFS('Asset Log'!$A$5:$A$1379,A997,'Asset Log'!$E$5:$E$1379,E997,'Asset Log'!$G$5:$G$1379,G997)</f>
        <v>1</v>
      </c>
    </row>
    <row r="998">
      <c r="A998" t="inlineStr">
        <is>
          <t>D70093</t>
        </is>
      </c>
      <c r="B998" s="11" t="n">
        <v>46095</v>
      </c>
      <c r="C998" t="inlineStr">
        <is>
          <t>S0010</t>
        </is>
      </c>
      <c r="D998" t="inlineStr">
        <is>
          <t>S0010</t>
        </is>
      </c>
      <c r="E998" t="inlineStr">
        <is>
          <t>BR</t>
        </is>
      </c>
      <c r="F998" t="n">
        <v>9</v>
      </c>
      <c r="G998" t="inlineStr">
        <is>
          <t>OUT</t>
        </is>
      </c>
      <c r="H998">
        <f>IF(G998="OUT",F998,-F998)</f>
        <v>9</v>
      </c>
      <c r="I998">
        <f>IF(AND(B998&gt;=DATE(2025,7,1),B998&lt;=DATE(2026,6,30)),1,0)</f>
        <v>1</v>
      </c>
      <c r="J998">
        <f>IF(B998&lt;=DATE(2026,6,30),1,0)</f>
        <v>1</v>
      </c>
      <c r="K998" t="inlineStr"/>
      <c r="L998" t="inlineStr">
        <is>
          <t>Yard</t>
        </is>
      </c>
      <c r="M998">
        <f>COUNTIFS('Asset Log'!$A$5:$A$1379,A998,'Asset Log'!$E$5:$E$1379,E998,'Asset Log'!$G$5:$G$1379,G998)</f>
        <v>1</v>
      </c>
    </row>
    <row r="999">
      <c r="A999" t="inlineStr">
        <is>
          <t>D71157</t>
        </is>
      </c>
      <c r="B999" s="11" t="n">
        <v>46095</v>
      </c>
      <c r="C999" t="inlineStr">
        <is>
          <t>s122</t>
        </is>
      </c>
      <c r="D999" t="inlineStr">
        <is>
          <t>S0122</t>
        </is>
      </c>
      <c r="E999" t="inlineStr">
        <is>
          <t>FP</t>
        </is>
      </c>
      <c r="F999" t="n">
        <v>19</v>
      </c>
      <c r="G999" t="inlineStr">
        <is>
          <t>OUT</t>
        </is>
      </c>
      <c r="H999">
        <f>IF(G999="OUT",F999,-F999)</f>
        <v>19</v>
      </c>
      <c r="I999">
        <f>IF(AND(B999&gt;=DATE(2025,7,1),B999&lt;=DATE(2026,6,30)),1,0)</f>
        <v>1</v>
      </c>
      <c r="J999">
        <f>IF(B999&lt;=DATE(2026,6,30),1,0)</f>
        <v>1</v>
      </c>
      <c r="K999" t="inlineStr">
        <is>
          <t>Site text normalised</t>
        </is>
      </c>
      <c r="L999" t="inlineStr">
        <is>
          <t>Driver</t>
        </is>
      </c>
      <c r="M999">
        <f>COUNTIFS('Asset Log'!$A$5:$A$1379,A999,'Asset Log'!$E$5:$E$1379,E999,'Asset Log'!$G$5:$G$1379,G999)</f>
        <v>1</v>
      </c>
    </row>
    <row r="1000">
      <c r="A1000" t="inlineStr">
        <is>
          <t>D71161</t>
        </is>
      </c>
      <c r="B1000" s="11" t="n">
        <v>46095</v>
      </c>
      <c r="C1000" t="inlineStr">
        <is>
          <t>S0122 Point Cook</t>
        </is>
      </c>
      <c r="D1000" t="inlineStr">
        <is>
          <t>S0122</t>
        </is>
      </c>
      <c r="E1000" t="inlineStr">
        <is>
          <t>FB</t>
        </is>
      </c>
      <c r="F1000" t="n">
        <v>20</v>
      </c>
      <c r="G1000" t="inlineStr">
        <is>
          <t>OUT</t>
        </is>
      </c>
      <c r="H1000">
        <f>IF(G1000="OUT",F1000,-F1000)</f>
        <v>20</v>
      </c>
      <c r="I1000">
        <f>IF(AND(B1000&gt;=DATE(2025,7,1),B1000&lt;=DATE(2026,6,30)),1,0)</f>
        <v>1</v>
      </c>
      <c r="J1000">
        <f>IF(B1000&lt;=DATE(2026,6,30),1,0)</f>
        <v>1</v>
      </c>
      <c r="K1000" t="inlineStr">
        <is>
          <t>Site text normalised</t>
        </is>
      </c>
      <c r="L1000" t="inlineStr">
        <is>
          <t>Driver</t>
        </is>
      </c>
      <c r="M1000">
        <f>COUNTIFS('Asset Log'!$A$5:$A$1379,A1000,'Asset Log'!$E$5:$E$1379,E1000,'Asset Log'!$G$5:$G$1379,G1000)</f>
        <v>1</v>
      </c>
    </row>
    <row r="1001">
      <c r="A1001" t="inlineStr">
        <is>
          <t>D71165</t>
        </is>
      </c>
      <c r="B1001" s="11" t="n">
        <v>46095</v>
      </c>
      <c r="C1001" t="inlineStr">
        <is>
          <t>S0122</t>
        </is>
      </c>
      <c r="D1001" t="inlineStr">
        <is>
          <t>S0122</t>
        </is>
      </c>
      <c r="E1001" t="inlineStr">
        <is>
          <t>BR</t>
        </is>
      </c>
      <c r="F1001" t="n">
        <v>5</v>
      </c>
      <c r="G1001" t="inlineStr">
        <is>
          <t>OUT</t>
        </is>
      </c>
      <c r="H1001">
        <f>IF(G1001="OUT",F1001,-F1001)</f>
        <v>5</v>
      </c>
      <c r="I1001">
        <f>IF(AND(B1001&gt;=DATE(2025,7,1),B1001&lt;=DATE(2026,6,30)),1,0)</f>
        <v>1</v>
      </c>
      <c r="J1001">
        <f>IF(B1001&lt;=DATE(2026,6,30),1,0)</f>
        <v>1</v>
      </c>
      <c r="K1001" t="inlineStr"/>
      <c r="L1001" t="inlineStr">
        <is>
          <t>Office</t>
        </is>
      </c>
      <c r="M1001">
        <f>COUNTIFS('Asset Log'!$A$5:$A$1379,A1001,'Asset Log'!$E$5:$E$1379,E1001,'Asset Log'!$G$5:$G$1379,G1001)</f>
        <v>1</v>
      </c>
    </row>
    <row r="1002">
      <c r="A1002" t="inlineStr">
        <is>
          <t>D71854</t>
        </is>
      </c>
      <c r="B1002" s="11" t="n">
        <v>46095</v>
      </c>
      <c r="C1002" t="inlineStr">
        <is>
          <t>S0196</t>
        </is>
      </c>
      <c r="D1002" t="inlineStr">
        <is>
          <t>S0196</t>
        </is>
      </c>
      <c r="E1002" t="inlineStr">
        <is>
          <t>FP</t>
        </is>
      </c>
      <c r="F1002" t="n">
        <v>120</v>
      </c>
      <c r="G1002" t="inlineStr">
        <is>
          <t>IN</t>
        </is>
      </c>
      <c r="H1002">
        <f>IF(G1002="OUT",F1002,-F1002)</f>
        <v>-120</v>
      </c>
      <c r="I1002">
        <f>IF(AND(B1002&gt;=DATE(2025,7,1),B1002&lt;=DATE(2026,6,30)),1,0)</f>
        <v>1</v>
      </c>
      <c r="J1002">
        <f>IF(B1002&lt;=DATE(2026,6,30),1,0)</f>
        <v>1</v>
      </c>
      <c r="K1002" t="inlineStr"/>
      <c r="L1002" t="inlineStr">
        <is>
          <t>Driver</t>
        </is>
      </c>
      <c r="M1002">
        <f>COUNTIFS('Asset Log'!$A$5:$A$1379,A1002,'Asset Log'!$E$5:$E$1379,E1002,'Asset Log'!$G$5:$G$1379,G1002)</f>
        <v>1</v>
      </c>
    </row>
    <row r="1003">
      <c r="A1003" t="inlineStr">
        <is>
          <t>D71860</t>
        </is>
      </c>
      <c r="B1003" s="11" t="n">
        <v>46095</v>
      </c>
      <c r="C1003" t="inlineStr">
        <is>
          <t>S0196</t>
        </is>
      </c>
      <c r="D1003" t="inlineStr">
        <is>
          <t>S0196</t>
        </is>
      </c>
      <c r="E1003" t="inlineStr">
        <is>
          <t>FB</t>
        </is>
      </c>
      <c r="F1003" t="n">
        <v>134</v>
      </c>
      <c r="G1003" t="inlineStr">
        <is>
          <t>IN</t>
        </is>
      </c>
      <c r="H1003">
        <f>IF(G1003="OUT",F1003,-F1003)</f>
        <v>-134</v>
      </c>
      <c r="I1003">
        <f>IF(AND(B1003&gt;=DATE(2025,7,1),B1003&lt;=DATE(2026,6,30)),1,0)</f>
        <v>1</v>
      </c>
      <c r="J1003">
        <f>IF(B1003&lt;=DATE(2026,6,30),1,0)</f>
        <v>1</v>
      </c>
      <c r="K1003" t="inlineStr"/>
      <c r="L1003" t="inlineStr">
        <is>
          <t>Office</t>
        </is>
      </c>
      <c r="M1003">
        <f>COUNTIFS('Asset Log'!$A$5:$A$1379,A1003,'Asset Log'!$E$5:$E$1379,E1003,'Asset Log'!$G$5:$G$1379,G1003)</f>
        <v>1</v>
      </c>
    </row>
    <row r="1004">
      <c r="A1004" t="inlineStr">
        <is>
          <t>D72517</t>
        </is>
      </c>
      <c r="B1004" s="11" t="n">
        <v>46095</v>
      </c>
      <c r="C1004" t="inlineStr">
        <is>
          <t>S0338</t>
        </is>
      </c>
      <c r="D1004" t="inlineStr">
        <is>
          <t>S0338</t>
        </is>
      </c>
      <c r="E1004" t="inlineStr">
        <is>
          <t>TK</t>
        </is>
      </c>
      <c r="F1004" t="n">
        <v>1</v>
      </c>
      <c r="G1004" t="inlineStr">
        <is>
          <t>IN</t>
        </is>
      </c>
      <c r="H1004">
        <f>IF(G1004="OUT",F1004,-F1004)</f>
        <v>-1</v>
      </c>
      <c r="I1004">
        <f>IF(AND(B1004&gt;=DATE(2025,7,1),B1004&lt;=DATE(2026,6,30)),1,0)</f>
        <v>1</v>
      </c>
      <c r="J1004">
        <f>IF(B1004&lt;=DATE(2026,6,30),1,0)</f>
        <v>1</v>
      </c>
      <c r="K1004" t="inlineStr"/>
      <c r="L1004" t="inlineStr">
        <is>
          <t>Office</t>
        </is>
      </c>
      <c r="M1004">
        <f>COUNTIFS('Asset Log'!$A$5:$A$1379,A1004,'Asset Log'!$E$5:$E$1379,E1004,'Asset Log'!$G$5:$G$1379,G1004)</f>
        <v>1</v>
      </c>
    </row>
    <row r="1005">
      <c r="A1005" t="inlineStr">
        <is>
          <t>D70194</t>
        </is>
      </c>
      <c r="B1005" s="11" t="n">
        <v>46096</v>
      </c>
      <c r="C1005" t="inlineStr">
        <is>
          <t>S0021</t>
        </is>
      </c>
      <c r="D1005" t="inlineStr">
        <is>
          <t>S0021</t>
        </is>
      </c>
      <c r="E1005" t="inlineStr">
        <is>
          <t>FP</t>
        </is>
      </c>
      <c r="F1005" t="n">
        <v>101</v>
      </c>
      <c r="G1005" t="inlineStr">
        <is>
          <t>IN</t>
        </is>
      </c>
      <c r="H1005">
        <f>IF(G1005="OUT",F1005,-F1005)</f>
        <v>-101</v>
      </c>
      <c r="I1005">
        <f>IF(AND(B1005&gt;=DATE(2025,7,1),B1005&lt;=DATE(2026,6,30)),1,0)</f>
        <v>1</v>
      </c>
      <c r="J1005">
        <f>IF(B1005&lt;=DATE(2026,6,30),1,0)</f>
        <v>1</v>
      </c>
      <c r="K1005" t="inlineStr"/>
      <c r="L1005" t="inlineStr">
        <is>
          <t>Office</t>
        </is>
      </c>
      <c r="M1005">
        <f>COUNTIFS('Asset Log'!$A$5:$A$1379,A1005,'Asset Log'!$E$5:$E$1379,E1005,'Asset Log'!$G$5:$G$1379,G1005)</f>
        <v>1</v>
      </c>
    </row>
    <row r="1006">
      <c r="A1006" t="inlineStr">
        <is>
          <t>D70199</t>
        </is>
      </c>
      <c r="B1006" s="11" t="n">
        <v>46096</v>
      </c>
      <c r="C1006" t="inlineStr">
        <is>
          <t>S0021</t>
        </is>
      </c>
      <c r="D1006" t="inlineStr">
        <is>
          <t>S0021</t>
        </is>
      </c>
      <c r="E1006" t="inlineStr">
        <is>
          <t>FB</t>
        </is>
      </c>
      <c r="F1006" t="n">
        <v>111</v>
      </c>
      <c r="G1006" t="inlineStr">
        <is>
          <t>IN</t>
        </is>
      </c>
      <c r="H1006">
        <f>IF(G1006="OUT",F1006,-F1006)</f>
        <v>-111</v>
      </c>
      <c r="I1006">
        <f>IF(AND(B1006&gt;=DATE(2025,7,1),B1006&lt;=DATE(2026,6,30)),1,0)</f>
        <v>1</v>
      </c>
      <c r="J1006">
        <f>IF(B1006&lt;=DATE(2026,6,30),1,0)</f>
        <v>1</v>
      </c>
      <c r="K1006" t="inlineStr"/>
      <c r="L1006" t="inlineStr">
        <is>
          <t>Office</t>
        </is>
      </c>
      <c r="M1006">
        <f>COUNTIFS('Asset Log'!$A$5:$A$1379,A1006,'Asset Log'!$E$5:$E$1379,E1006,'Asset Log'!$G$5:$G$1379,G1006)</f>
        <v>1</v>
      </c>
    </row>
    <row r="1007">
      <c r="A1007" t="inlineStr">
        <is>
          <t>D70203</t>
        </is>
      </c>
      <c r="B1007" s="11" t="n">
        <v>46096</v>
      </c>
      <c r="C1007" t="inlineStr">
        <is>
          <t>S0021</t>
        </is>
      </c>
      <c r="D1007" t="inlineStr">
        <is>
          <t>S0021</t>
        </is>
      </c>
      <c r="E1007" t="inlineStr">
        <is>
          <t>BR</t>
        </is>
      </c>
      <c r="F1007" t="n">
        <v>20</v>
      </c>
      <c r="G1007" t="inlineStr">
        <is>
          <t>IN</t>
        </is>
      </c>
      <c r="H1007">
        <f>IF(G1007="OUT",F1007,-F1007)</f>
        <v>-20</v>
      </c>
      <c r="I1007">
        <f>IF(AND(B1007&gt;=DATE(2025,7,1),B1007&lt;=DATE(2026,6,30)),1,0)</f>
        <v>1</v>
      </c>
      <c r="J1007">
        <f>IF(B1007&lt;=DATE(2026,6,30),1,0)</f>
        <v>1</v>
      </c>
      <c r="K1007" t="inlineStr"/>
      <c r="L1007" t="inlineStr">
        <is>
          <t>Yard</t>
        </is>
      </c>
      <c r="M1007">
        <f>COUNTIFS('Asset Log'!$A$5:$A$1379,A1007,'Asset Log'!$E$5:$E$1379,E1007,'Asset Log'!$G$5:$G$1379,G1007)</f>
        <v>1</v>
      </c>
    </row>
    <row r="1008">
      <c r="A1008" t="inlineStr">
        <is>
          <t>D70844</t>
        </is>
      </c>
      <c r="B1008" s="11" t="n">
        <v>46096</v>
      </c>
      <c r="C1008" t="inlineStr">
        <is>
          <t>S0089</t>
        </is>
      </c>
      <c r="D1008" t="inlineStr">
        <is>
          <t>S0089</t>
        </is>
      </c>
      <c r="E1008" t="inlineStr">
        <is>
          <t>FP</t>
        </is>
      </c>
      <c r="F1008" t="n">
        <v>19</v>
      </c>
      <c r="G1008" t="inlineStr">
        <is>
          <t>OUT</t>
        </is>
      </c>
      <c r="H1008">
        <f>IF(G1008="OUT",F1008,-F1008)</f>
        <v>19</v>
      </c>
      <c r="I1008">
        <f>IF(AND(B1008&gt;=DATE(2025,7,1),B1008&lt;=DATE(2026,6,30)),1,0)</f>
        <v>1</v>
      </c>
      <c r="J1008">
        <f>IF(B1008&lt;=DATE(2026,6,30),1,0)</f>
        <v>1</v>
      </c>
      <c r="K1008" t="inlineStr"/>
      <c r="L1008" t="inlineStr">
        <is>
          <t>Office</t>
        </is>
      </c>
      <c r="M1008">
        <f>COUNTIFS('Asset Log'!$A$5:$A$1379,A1008,'Asset Log'!$E$5:$E$1379,E1008,'Asset Log'!$G$5:$G$1379,G1008)</f>
        <v>1</v>
      </c>
    </row>
    <row r="1009">
      <c r="A1009" t="inlineStr">
        <is>
          <t>D70848</t>
        </is>
      </c>
      <c r="B1009" s="11" t="n">
        <v>46096</v>
      </c>
      <c r="C1009" t="inlineStr">
        <is>
          <t>S0089</t>
        </is>
      </c>
      <c r="D1009" t="inlineStr">
        <is>
          <t>S0089</t>
        </is>
      </c>
      <c r="E1009" t="inlineStr">
        <is>
          <t>FB</t>
        </is>
      </c>
      <c r="F1009" t="n">
        <v>20</v>
      </c>
      <c r="G1009" t="inlineStr">
        <is>
          <t>OUT</t>
        </is>
      </c>
      <c r="H1009">
        <f>IF(G1009="OUT",F1009,-F1009)</f>
        <v>20</v>
      </c>
      <c r="I1009">
        <f>IF(AND(B1009&gt;=DATE(2025,7,1),B1009&lt;=DATE(2026,6,30)),1,0)</f>
        <v>1</v>
      </c>
      <c r="J1009">
        <f>IF(B1009&lt;=DATE(2026,6,30),1,0)</f>
        <v>1</v>
      </c>
      <c r="K1009" t="inlineStr"/>
      <c r="L1009" t="inlineStr">
        <is>
          <t>Office</t>
        </is>
      </c>
      <c r="M1009">
        <f>COUNTIFS('Asset Log'!$A$5:$A$1379,A1009,'Asset Log'!$E$5:$E$1379,E1009,'Asset Log'!$G$5:$G$1379,G1009)</f>
        <v>1</v>
      </c>
    </row>
    <row r="1010">
      <c r="A1010" t="inlineStr">
        <is>
          <t>D71620</t>
        </is>
      </c>
      <c r="B1010" s="11" t="n">
        <v>46096</v>
      </c>
      <c r="C1010" t="inlineStr">
        <is>
          <t>S0170</t>
        </is>
      </c>
      <c r="D1010" t="inlineStr">
        <is>
          <t>S0170</t>
        </is>
      </c>
      <c r="E1010" t="inlineStr">
        <is>
          <t>FP</t>
        </is>
      </c>
      <c r="F1010" t="n">
        <v>46</v>
      </c>
      <c r="G1010" t="inlineStr">
        <is>
          <t>OUT</t>
        </is>
      </c>
      <c r="H1010">
        <f>IF(G1010="OUT",F1010,-F1010)</f>
        <v>46</v>
      </c>
      <c r="I1010">
        <f>IF(AND(B1010&gt;=DATE(2025,7,1),B1010&lt;=DATE(2026,6,30)),1,0)</f>
        <v>1</v>
      </c>
      <c r="J1010">
        <f>IF(B1010&lt;=DATE(2026,6,30),1,0)</f>
        <v>1</v>
      </c>
      <c r="K1010" t="inlineStr"/>
      <c r="L1010" t="inlineStr">
        <is>
          <t>Office</t>
        </is>
      </c>
      <c r="M1010">
        <f>COUNTIFS('Asset Log'!$A$5:$A$1379,A1010,'Asset Log'!$E$5:$E$1379,E1010,'Asset Log'!$G$5:$G$1379,G1010)</f>
        <v>1</v>
      </c>
    </row>
    <row r="1011">
      <c r="A1011" t="inlineStr">
        <is>
          <t>D71626</t>
        </is>
      </c>
      <c r="B1011" s="11" t="n">
        <v>46096</v>
      </c>
      <c r="C1011" t="inlineStr">
        <is>
          <t>S0170</t>
        </is>
      </c>
      <c r="D1011" t="inlineStr">
        <is>
          <t>S0170</t>
        </is>
      </c>
      <c r="E1011" t="inlineStr">
        <is>
          <t>FB</t>
        </is>
      </c>
      <c r="F1011" t="n">
        <v>50</v>
      </c>
      <c r="G1011" t="inlineStr">
        <is>
          <t>OUT</t>
        </is>
      </c>
      <c r="H1011">
        <f>IF(G1011="OUT",F1011,-F1011)</f>
        <v>50</v>
      </c>
      <c r="I1011">
        <f>IF(AND(B1011&gt;=DATE(2025,7,1),B1011&lt;=DATE(2026,6,30)),1,0)</f>
        <v>1</v>
      </c>
      <c r="J1011">
        <f>IF(B1011&lt;=DATE(2026,6,30),1,0)</f>
        <v>1</v>
      </c>
      <c r="K1011" t="inlineStr"/>
      <c r="L1011" t="inlineStr">
        <is>
          <t>Yard</t>
        </is>
      </c>
      <c r="M1011">
        <f>COUNTIFS('Asset Log'!$A$5:$A$1379,A1011,'Asset Log'!$E$5:$E$1379,E1011,'Asset Log'!$G$5:$G$1379,G1011)</f>
        <v>1</v>
      </c>
    </row>
    <row r="1012">
      <c r="A1012" t="inlineStr">
        <is>
          <t>D72448</t>
        </is>
      </c>
      <c r="B1012" s="11" t="n">
        <v>46096</v>
      </c>
      <c r="C1012" t="inlineStr">
        <is>
          <t>s294</t>
        </is>
      </c>
      <c r="D1012" t="inlineStr">
        <is>
          <t>S0294</t>
        </is>
      </c>
      <c r="E1012" t="inlineStr">
        <is>
          <t>ST</t>
        </is>
      </c>
      <c r="F1012" t="n">
        <v>4</v>
      </c>
      <c r="G1012" t="inlineStr">
        <is>
          <t>IN</t>
        </is>
      </c>
      <c r="H1012">
        <f>IF(G1012="OUT",F1012,-F1012)</f>
        <v>-4</v>
      </c>
      <c r="I1012">
        <f>IF(AND(B1012&gt;=DATE(2025,7,1),B1012&lt;=DATE(2026,6,30)),1,0)</f>
        <v>1</v>
      </c>
      <c r="J1012">
        <f>IF(B1012&lt;=DATE(2026,6,30),1,0)</f>
        <v>1</v>
      </c>
      <c r="K1012" t="inlineStr">
        <is>
          <t>Site text normalised</t>
        </is>
      </c>
      <c r="L1012" t="inlineStr">
        <is>
          <t>Yard</t>
        </is>
      </c>
      <c r="M1012">
        <f>COUNTIFS('Asset Log'!$A$5:$A$1379,A1012,'Asset Log'!$E$5:$E$1379,E1012,'Asset Log'!$G$5:$G$1379,G1012)</f>
        <v>1</v>
      </c>
    </row>
    <row r="1013">
      <c r="A1013" t="inlineStr">
        <is>
          <t>D70568</t>
        </is>
      </c>
      <c r="B1013" s="11" t="n">
        <v>46097</v>
      </c>
      <c r="C1013" t="inlineStr">
        <is>
          <t>S0026</t>
        </is>
      </c>
      <c r="D1013" t="inlineStr">
        <is>
          <t>S0062</t>
        </is>
      </c>
      <c r="E1013" t="inlineStr">
        <is>
          <t>FP</t>
        </is>
      </c>
      <c r="F1013" t="n">
        <v>83</v>
      </c>
      <c r="G1013" t="inlineStr">
        <is>
          <t>IN</t>
        </is>
      </c>
      <c r="H1013">
        <f>IF(G1013="OUT",F1013,-F1013)</f>
        <v>-83</v>
      </c>
      <c r="I1013">
        <f>IF(AND(B1013&gt;=DATE(2025,7,1),B1013&lt;=DATE(2026,6,30)),1,0)</f>
        <v>1</v>
      </c>
      <c r="J1013">
        <f>IF(B1013&lt;=DATE(2026,6,30),1,0)</f>
        <v>1</v>
      </c>
      <c r="K1013" t="inlineStr">
        <is>
          <t>Site corrected from S0026 (digits swapped)</t>
        </is>
      </c>
      <c r="L1013" t="inlineStr">
        <is>
          <t>Yard</t>
        </is>
      </c>
      <c r="M1013">
        <f>COUNTIFS('Asset Log'!$A$5:$A$1379,A1013,'Asset Log'!$E$5:$E$1379,E1013,'Asset Log'!$G$5:$G$1379,G1013)</f>
        <v>1</v>
      </c>
    </row>
    <row r="1014">
      <c r="A1014" t="inlineStr">
        <is>
          <t>D70576</t>
        </is>
      </c>
      <c r="B1014" s="11" t="n">
        <v>46097</v>
      </c>
      <c r="C1014" t="inlineStr">
        <is>
          <t>S0062</t>
        </is>
      </c>
      <c r="D1014" t="inlineStr">
        <is>
          <t>S0062</t>
        </is>
      </c>
      <c r="E1014" t="inlineStr">
        <is>
          <t>FB</t>
        </is>
      </c>
      <c r="F1014" t="n">
        <v>83</v>
      </c>
      <c r="G1014" t="inlineStr">
        <is>
          <t>IN</t>
        </is>
      </c>
      <c r="H1014">
        <f>IF(G1014="OUT",F1014,-F1014)</f>
        <v>-83</v>
      </c>
      <c r="I1014">
        <f>IF(AND(B1014&gt;=DATE(2025,7,1),B1014&lt;=DATE(2026,6,30)),1,0)</f>
        <v>1</v>
      </c>
      <c r="J1014">
        <f>IF(B1014&lt;=DATE(2026,6,30),1,0)</f>
        <v>1</v>
      </c>
      <c r="K1014" t="inlineStr"/>
      <c r="L1014" t="inlineStr">
        <is>
          <t>Driver</t>
        </is>
      </c>
      <c r="M1014">
        <f>COUNTIFS('Asset Log'!$A$5:$A$1379,A1014,'Asset Log'!$E$5:$E$1379,E1014,'Asset Log'!$G$5:$G$1379,G1014)</f>
        <v>1</v>
      </c>
    </row>
    <row r="1015">
      <c r="A1015" t="inlineStr">
        <is>
          <t>D72781</t>
        </is>
      </c>
      <c r="B1015" s="11" t="n">
        <v>46098</v>
      </c>
      <c r="C1015" t="inlineStr">
        <is>
          <t>S0504</t>
        </is>
      </c>
      <c r="D1015" t="inlineStr">
        <is>
          <t>S0504</t>
        </is>
      </c>
      <c r="E1015" t="inlineStr">
        <is>
          <t>TK</t>
        </is>
      </c>
      <c r="F1015" t="n">
        <v>3</v>
      </c>
      <c r="G1015" t="inlineStr">
        <is>
          <t>IN</t>
        </is>
      </c>
      <c r="H1015">
        <f>IF(G1015="OUT",F1015,-F1015)</f>
        <v>-3</v>
      </c>
      <c r="I1015">
        <f>IF(AND(B1015&gt;=DATE(2025,7,1),B1015&lt;=DATE(2026,6,30)),1,0)</f>
        <v>1</v>
      </c>
      <c r="J1015">
        <f>IF(B1015&lt;=DATE(2026,6,30),1,0)</f>
        <v>1</v>
      </c>
      <c r="K1015" t="inlineStr"/>
      <c r="L1015" t="inlineStr">
        <is>
          <t>Yard</t>
        </is>
      </c>
      <c r="M1015">
        <f>COUNTIFS('Asset Log'!$A$5:$A$1379,A1015,'Asset Log'!$E$5:$E$1379,E1015,'Asset Log'!$G$5:$G$1379,G1015)</f>
        <v>1</v>
      </c>
    </row>
    <row r="1016">
      <c r="A1016" t="inlineStr">
        <is>
          <t>D71698</t>
        </is>
      </c>
      <c r="B1016" s="11" t="n">
        <v>46100</v>
      </c>
      <c r="C1016" t="inlineStr">
        <is>
          <t>S0179</t>
        </is>
      </c>
      <c r="D1016" t="inlineStr">
        <is>
          <t>S0179</t>
        </is>
      </c>
      <c r="E1016" t="inlineStr">
        <is>
          <t>FP</t>
        </is>
      </c>
      <c r="F1016" t="n">
        <v>51</v>
      </c>
      <c r="G1016" t="inlineStr">
        <is>
          <t>IN</t>
        </is>
      </c>
      <c r="H1016">
        <f>IF(G1016="OUT",F1016,-F1016)</f>
        <v>-51</v>
      </c>
      <c r="I1016">
        <f>IF(AND(B1016&gt;=DATE(2025,7,1),B1016&lt;=DATE(2026,6,30)),1,0)</f>
        <v>1</v>
      </c>
      <c r="J1016">
        <f>IF(B1016&lt;=DATE(2026,6,30),1,0)</f>
        <v>1</v>
      </c>
      <c r="K1016" t="inlineStr"/>
      <c r="L1016" t="inlineStr">
        <is>
          <t>Yard</t>
        </is>
      </c>
      <c r="M1016">
        <f>COUNTIFS('Asset Log'!$A$5:$A$1379,A1016,'Asset Log'!$E$5:$E$1379,E1016,'Asset Log'!$G$5:$G$1379,G1016)</f>
        <v>1</v>
      </c>
    </row>
    <row r="1017">
      <c r="A1017" t="inlineStr">
        <is>
          <t>D71705</t>
        </is>
      </c>
      <c r="B1017" s="11" t="n">
        <v>46100</v>
      </c>
      <c r="C1017" t="inlineStr">
        <is>
          <t>S0179</t>
        </is>
      </c>
      <c r="D1017" t="inlineStr">
        <is>
          <t>S0179</t>
        </is>
      </c>
      <c r="E1017" t="inlineStr">
        <is>
          <t>FB</t>
        </is>
      </c>
      <c r="F1017" t="n">
        <v>62</v>
      </c>
      <c r="G1017" t="inlineStr">
        <is>
          <t>IN</t>
        </is>
      </c>
      <c r="H1017">
        <f>IF(G1017="OUT",F1017,-F1017)</f>
        <v>-62</v>
      </c>
      <c r="I1017">
        <f>IF(AND(B1017&gt;=DATE(2025,7,1),B1017&lt;=DATE(2026,6,30)),1,0)</f>
        <v>1</v>
      </c>
      <c r="J1017">
        <f>IF(B1017&lt;=DATE(2026,6,30),1,0)</f>
        <v>1</v>
      </c>
      <c r="K1017" t="inlineStr"/>
      <c r="L1017" t="inlineStr">
        <is>
          <t>Office</t>
        </is>
      </c>
      <c r="M1017">
        <f>COUNTIFS('Asset Log'!$A$5:$A$1379,A1017,'Asset Log'!$E$5:$E$1379,E1017,'Asset Log'!$G$5:$G$1379,G1017)</f>
        <v>1</v>
      </c>
    </row>
    <row r="1018">
      <c r="A1018" t="inlineStr">
        <is>
          <t>D71709</t>
        </is>
      </c>
      <c r="B1018" s="11" t="n">
        <v>46100</v>
      </c>
      <c r="C1018" t="inlineStr">
        <is>
          <t>S0179</t>
        </is>
      </c>
      <c r="D1018" t="inlineStr">
        <is>
          <t>S0179</t>
        </is>
      </c>
      <c r="E1018" t="inlineStr">
        <is>
          <t>BR</t>
        </is>
      </c>
      <c r="F1018" t="n">
        <v>9</v>
      </c>
      <c r="G1018" t="inlineStr">
        <is>
          <t>IN</t>
        </is>
      </c>
      <c r="H1018">
        <f>IF(G1018="OUT",F1018,-F1018)</f>
        <v>-9</v>
      </c>
      <c r="I1018">
        <f>IF(AND(B1018&gt;=DATE(2025,7,1),B1018&lt;=DATE(2026,6,30)),1,0)</f>
        <v>1</v>
      </c>
      <c r="J1018">
        <f>IF(B1018&lt;=DATE(2026,6,30),1,0)</f>
        <v>1</v>
      </c>
      <c r="K1018" t="inlineStr"/>
      <c r="L1018" t="inlineStr">
        <is>
          <t>Yard</t>
        </is>
      </c>
      <c r="M1018">
        <f>COUNTIFS('Asset Log'!$A$5:$A$1379,A1018,'Asset Log'!$E$5:$E$1379,E1018,'Asset Log'!$G$5:$G$1379,G1018)</f>
        <v>1</v>
      </c>
    </row>
    <row r="1019">
      <c r="A1019" t="inlineStr">
        <is>
          <t>D70460</t>
        </is>
      </c>
      <c r="B1019" s="11" t="n">
        <v>46101</v>
      </c>
      <c r="C1019" t="inlineStr">
        <is>
          <t>S0049</t>
        </is>
      </c>
      <c r="D1019" t="inlineStr">
        <is>
          <t>S0049</t>
        </is>
      </c>
      <c r="E1019" t="inlineStr">
        <is>
          <t>FP</t>
        </is>
      </c>
      <c r="F1019" t="n">
        <v>12</v>
      </c>
      <c r="G1019" t="inlineStr">
        <is>
          <t>IN</t>
        </is>
      </c>
      <c r="H1019">
        <f>IF(G1019="OUT",F1019,-F1019)</f>
        <v>-12</v>
      </c>
      <c r="I1019">
        <f>IF(AND(B1019&gt;=DATE(2025,7,1),B1019&lt;=DATE(2026,6,30)),1,0)</f>
        <v>1</v>
      </c>
      <c r="J1019">
        <f>IF(B1019&lt;=DATE(2026,6,30),1,0)</f>
        <v>1</v>
      </c>
      <c r="K1019" t="inlineStr"/>
      <c r="L1019" t="inlineStr">
        <is>
          <t>Yard</t>
        </is>
      </c>
      <c r="M1019">
        <f>COUNTIFS('Asset Log'!$A$5:$A$1379,A1019,'Asset Log'!$E$5:$E$1379,E1019,'Asset Log'!$G$5:$G$1379,G1019)</f>
        <v>1</v>
      </c>
    </row>
    <row r="1020">
      <c r="A1020" t="inlineStr">
        <is>
          <t>D70465</t>
        </is>
      </c>
      <c r="B1020" s="11" t="n">
        <v>46101</v>
      </c>
      <c r="C1020" t="inlineStr">
        <is>
          <t>S0049</t>
        </is>
      </c>
      <c r="D1020" t="inlineStr">
        <is>
          <t>S0049</t>
        </is>
      </c>
      <c r="E1020" t="inlineStr">
        <is>
          <t>FB</t>
        </is>
      </c>
      <c r="F1020" t="n">
        <v>14</v>
      </c>
      <c r="G1020" t="inlineStr">
        <is>
          <t>IN</t>
        </is>
      </c>
      <c r="H1020">
        <f>IF(G1020="OUT",F1020,-F1020)</f>
        <v>-14</v>
      </c>
      <c r="I1020">
        <f>IF(AND(B1020&gt;=DATE(2025,7,1),B1020&lt;=DATE(2026,6,30)),1,0)</f>
        <v>1</v>
      </c>
      <c r="J1020">
        <f>IF(B1020&lt;=DATE(2026,6,30),1,0)</f>
        <v>1</v>
      </c>
      <c r="K1020" t="inlineStr"/>
      <c r="L1020" t="inlineStr">
        <is>
          <t>Driver</t>
        </is>
      </c>
      <c r="M1020">
        <f>COUNTIFS('Asset Log'!$A$5:$A$1379,A1020,'Asset Log'!$E$5:$E$1379,E1020,'Asset Log'!$G$5:$G$1379,G1020)</f>
        <v>1</v>
      </c>
    </row>
    <row r="1021">
      <c r="A1021" t="inlineStr">
        <is>
          <t>D71270</t>
        </is>
      </c>
      <c r="B1021" s="11" t="n">
        <v>46101</v>
      </c>
      <c r="C1021" t="inlineStr">
        <is>
          <t>S0133</t>
        </is>
      </c>
      <c r="D1021" t="inlineStr">
        <is>
          <t>S0133</t>
        </is>
      </c>
      <c r="E1021" t="inlineStr">
        <is>
          <t>FP</t>
        </is>
      </c>
      <c r="F1021" t="n">
        <v>140</v>
      </c>
      <c r="G1021" t="inlineStr">
        <is>
          <t>OUT</t>
        </is>
      </c>
      <c r="H1021">
        <f>IF(G1021="OUT",F1021,-F1021)</f>
        <v>140</v>
      </c>
      <c r="I1021">
        <f>IF(AND(B1021&gt;=DATE(2025,7,1),B1021&lt;=DATE(2026,6,30)),1,0)</f>
        <v>1</v>
      </c>
      <c r="J1021">
        <f>IF(B1021&lt;=DATE(2026,6,30),1,0)</f>
        <v>1</v>
      </c>
      <c r="K1021" t="inlineStr"/>
      <c r="L1021" t="inlineStr">
        <is>
          <t>Office</t>
        </is>
      </c>
      <c r="M1021">
        <f>COUNTIFS('Asset Log'!$A$5:$A$1379,A1021,'Asset Log'!$E$5:$E$1379,E1021,'Asset Log'!$G$5:$G$1379,G1021)</f>
        <v>1</v>
      </c>
    </row>
    <row r="1022">
      <c r="A1022" t="inlineStr">
        <is>
          <t>D71272</t>
        </is>
      </c>
      <c r="B1022" s="11" t="n">
        <v>46101</v>
      </c>
      <c r="C1022" t="inlineStr">
        <is>
          <t>S0133</t>
        </is>
      </c>
      <c r="D1022" t="inlineStr">
        <is>
          <t>S0133</t>
        </is>
      </c>
      <c r="E1022" t="inlineStr">
        <is>
          <t>FB</t>
        </is>
      </c>
      <c r="F1022" t="n">
        <v>154</v>
      </c>
      <c r="G1022" t="inlineStr">
        <is>
          <t>OUT</t>
        </is>
      </c>
      <c r="H1022">
        <f>IF(G1022="OUT",F1022,-F1022)</f>
        <v>154</v>
      </c>
      <c r="I1022">
        <f>IF(AND(B1022&gt;=DATE(2025,7,1),B1022&lt;=DATE(2026,6,30)),1,0)</f>
        <v>1</v>
      </c>
      <c r="J1022">
        <f>IF(B1022&lt;=DATE(2026,6,30),1,0)</f>
        <v>1</v>
      </c>
      <c r="K1022" t="inlineStr"/>
      <c r="L1022" t="inlineStr">
        <is>
          <t>Office</t>
        </is>
      </c>
      <c r="M1022">
        <f>COUNTIFS('Asset Log'!$A$5:$A$1379,A1022,'Asset Log'!$E$5:$E$1379,E1022,'Asset Log'!$G$5:$G$1379,G1022)</f>
        <v>1</v>
      </c>
    </row>
    <row r="1023">
      <c r="A1023" t="inlineStr">
        <is>
          <t>D72238</t>
        </is>
      </c>
      <c r="B1023" s="11" t="n">
        <v>46102</v>
      </c>
      <c r="C1023" t="inlineStr">
        <is>
          <t>S0242</t>
        </is>
      </c>
      <c r="D1023" t="inlineStr">
        <is>
          <t>S0242</t>
        </is>
      </c>
      <c r="E1023" t="inlineStr">
        <is>
          <t>ST</t>
        </is>
      </c>
      <c r="F1023" t="n">
        <v>4</v>
      </c>
      <c r="G1023" t="inlineStr">
        <is>
          <t>IN</t>
        </is>
      </c>
      <c r="H1023">
        <f>IF(G1023="OUT",F1023,-F1023)</f>
        <v>-4</v>
      </c>
      <c r="I1023">
        <f>IF(AND(B1023&gt;=DATE(2025,7,1),B1023&lt;=DATE(2026,6,30)),1,0)</f>
        <v>1</v>
      </c>
      <c r="J1023">
        <f>IF(B1023&lt;=DATE(2026,6,30),1,0)</f>
        <v>1</v>
      </c>
      <c r="K1023" t="inlineStr"/>
      <c r="L1023" t="inlineStr">
        <is>
          <t>Office</t>
        </is>
      </c>
      <c r="M1023">
        <f>COUNTIFS('Asset Log'!$A$5:$A$1379,A1023,'Asset Log'!$E$5:$E$1379,E1023,'Asset Log'!$G$5:$G$1379,G1023)</f>
        <v>1</v>
      </c>
    </row>
    <row r="1024">
      <c r="A1024" t="inlineStr">
        <is>
          <t>D72394</t>
        </is>
      </c>
      <c r="B1024" s="11" t="n">
        <v>46103</v>
      </c>
      <c r="C1024" t="inlineStr">
        <is>
          <t>s280</t>
        </is>
      </c>
      <c r="D1024" t="inlineStr">
        <is>
          <t>S0280</t>
        </is>
      </c>
      <c r="E1024" t="inlineStr">
        <is>
          <t>ST</t>
        </is>
      </c>
      <c r="F1024" t="n">
        <v>2</v>
      </c>
      <c r="G1024" t="inlineStr">
        <is>
          <t>IN</t>
        </is>
      </c>
      <c r="H1024">
        <f>IF(G1024="OUT",F1024,-F1024)</f>
        <v>-2</v>
      </c>
      <c r="I1024">
        <f>IF(AND(B1024&gt;=DATE(2025,7,1),B1024&lt;=DATE(2026,6,30)),1,0)</f>
        <v>1</v>
      </c>
      <c r="J1024">
        <f>IF(B1024&lt;=DATE(2026,6,30),1,0)</f>
        <v>1</v>
      </c>
      <c r="K1024" t="inlineStr">
        <is>
          <t>Site text normalised</t>
        </is>
      </c>
      <c r="L1024" t="inlineStr">
        <is>
          <t>Yard</t>
        </is>
      </c>
      <c r="M1024">
        <f>COUNTIFS('Asset Log'!$A$5:$A$1379,A1024,'Asset Log'!$E$5:$E$1379,E1024,'Asset Log'!$G$5:$G$1379,G1024)</f>
        <v>1</v>
      </c>
    </row>
    <row r="1025">
      <c r="A1025" t="inlineStr">
        <is>
          <t>D72412</t>
        </is>
      </c>
      <c r="B1025" s="11" t="n">
        <v>46103</v>
      </c>
      <c r="C1025" t="inlineStr">
        <is>
          <t>S0285</t>
        </is>
      </c>
      <c r="D1025" t="inlineStr">
        <is>
          <t>S0285</t>
        </is>
      </c>
      <c r="E1025" t="inlineStr">
        <is>
          <t>ST</t>
        </is>
      </c>
      <c r="F1025" t="n">
        <v>1</v>
      </c>
      <c r="G1025" t="inlineStr">
        <is>
          <t>OUT</t>
        </is>
      </c>
      <c r="H1025">
        <f>IF(G1025="OUT",F1025,-F1025)</f>
        <v>1</v>
      </c>
      <c r="I1025">
        <f>IF(AND(B1025&gt;=DATE(2025,7,1),B1025&lt;=DATE(2026,6,30)),1,0)</f>
        <v>1</v>
      </c>
      <c r="J1025">
        <f>IF(B1025&lt;=DATE(2026,6,30),1,0)</f>
        <v>1</v>
      </c>
      <c r="K1025" t="inlineStr"/>
      <c r="L1025" t="inlineStr">
        <is>
          <t>Office</t>
        </is>
      </c>
      <c r="M1025">
        <f>COUNTIFS('Asset Log'!$A$5:$A$1379,A1025,'Asset Log'!$E$5:$E$1379,E1025,'Asset Log'!$G$5:$G$1379,G1025)</f>
        <v>1</v>
      </c>
    </row>
    <row r="1026">
      <c r="A1026" t="inlineStr">
        <is>
          <t>D72732</t>
        </is>
      </c>
      <c r="B1026" s="11" t="n">
        <v>46103</v>
      </c>
      <c r="C1026" t="inlineStr">
        <is>
          <t>S0483</t>
        </is>
      </c>
      <c r="D1026" t="inlineStr">
        <is>
          <t>S0483</t>
        </is>
      </c>
      <c r="E1026" t="inlineStr">
        <is>
          <t>TK</t>
        </is>
      </c>
      <c r="F1026" t="n">
        <v>2</v>
      </c>
      <c r="G1026" t="inlineStr">
        <is>
          <t>OUT</t>
        </is>
      </c>
      <c r="H1026">
        <f>IF(G1026="OUT",F1026,-F1026)</f>
        <v>2</v>
      </c>
      <c r="I1026">
        <f>IF(AND(B1026&gt;=DATE(2025,7,1),B1026&lt;=DATE(2026,6,30)),1,0)</f>
        <v>1</v>
      </c>
      <c r="J1026">
        <f>IF(B1026&lt;=DATE(2026,6,30),1,0)</f>
        <v>1</v>
      </c>
      <c r="K1026" t="inlineStr"/>
      <c r="L1026" t="inlineStr">
        <is>
          <t>Office</t>
        </is>
      </c>
      <c r="M1026">
        <f>COUNTIFS('Asset Log'!$A$5:$A$1379,A1026,'Asset Log'!$E$5:$E$1379,E1026,'Asset Log'!$G$5:$G$1379,G1026)</f>
        <v>1</v>
      </c>
    </row>
    <row r="1027">
      <c r="A1027" t="inlineStr">
        <is>
          <t>D70007</t>
        </is>
      </c>
      <c r="B1027" s="11" t="n">
        <v>46105</v>
      </c>
      <c r="C1027" t="inlineStr">
        <is>
          <t>1</t>
        </is>
      </c>
      <c r="D1027" t="inlineStr">
        <is>
          <t>S0001</t>
        </is>
      </c>
      <c r="E1027" t="inlineStr">
        <is>
          <t>FP</t>
        </is>
      </c>
      <c r="F1027" t="n">
        <v>101</v>
      </c>
      <c r="G1027" t="inlineStr">
        <is>
          <t>IN</t>
        </is>
      </c>
      <c r="H1027">
        <f>IF(G1027="OUT",F1027,-F1027)</f>
        <v>-101</v>
      </c>
      <c r="I1027">
        <f>IF(AND(B1027&gt;=DATE(2025,7,1),B1027&lt;=DATE(2026,6,30)),1,0)</f>
        <v>1</v>
      </c>
      <c r="J1027">
        <f>IF(B1027&lt;=DATE(2026,6,30),1,0)</f>
        <v>1</v>
      </c>
      <c r="K1027" t="inlineStr">
        <is>
          <t>Site text normalised</t>
        </is>
      </c>
      <c r="L1027" t="inlineStr">
        <is>
          <t>Yard</t>
        </is>
      </c>
      <c r="M1027">
        <f>COUNTIFS('Asset Log'!$A$5:$A$1379,A1027,'Asset Log'!$E$5:$E$1379,E1027,'Asset Log'!$G$5:$G$1379,G1027)</f>
        <v>1</v>
      </c>
    </row>
    <row r="1028">
      <c r="A1028" t="inlineStr">
        <is>
          <t>D70013</t>
        </is>
      </c>
      <c r="B1028" s="11" t="n">
        <v>46105</v>
      </c>
      <c r="C1028" t="inlineStr">
        <is>
          <t>s001</t>
        </is>
      </c>
      <c r="D1028" t="inlineStr">
        <is>
          <t>S0001</t>
        </is>
      </c>
      <c r="E1028" t="inlineStr">
        <is>
          <t>FB</t>
        </is>
      </c>
      <c r="F1028" t="n">
        <v>107</v>
      </c>
      <c r="G1028" t="inlineStr">
        <is>
          <t>IN</t>
        </is>
      </c>
      <c r="H1028">
        <f>IF(G1028="OUT",F1028,-F1028)</f>
        <v>-107</v>
      </c>
      <c r="I1028">
        <f>IF(AND(B1028&gt;=DATE(2025,7,1),B1028&lt;=DATE(2026,6,30)),1,0)</f>
        <v>1</v>
      </c>
      <c r="J1028">
        <f>IF(B1028&lt;=DATE(2026,6,30),1,0)</f>
        <v>1</v>
      </c>
      <c r="K1028" t="inlineStr">
        <is>
          <t>Site text normalised</t>
        </is>
      </c>
      <c r="L1028" t="inlineStr">
        <is>
          <t>Office</t>
        </is>
      </c>
      <c r="M1028">
        <f>COUNTIFS('Asset Log'!$A$5:$A$1379,A1028,'Asset Log'!$E$5:$E$1379,E1028,'Asset Log'!$G$5:$G$1379,G1028)</f>
        <v>1</v>
      </c>
    </row>
    <row r="1029">
      <c r="A1029" t="inlineStr">
        <is>
          <t>D70101</t>
        </is>
      </c>
      <c r="B1029" s="11" t="n">
        <v>46105</v>
      </c>
      <c r="C1029" t="inlineStr">
        <is>
          <t>11</t>
        </is>
      </c>
      <c r="D1029" t="inlineStr">
        <is>
          <t>S0011</t>
        </is>
      </c>
      <c r="E1029" t="inlineStr">
        <is>
          <t>FP</t>
        </is>
      </c>
      <c r="F1029" t="n">
        <v>96</v>
      </c>
      <c r="G1029" t="inlineStr">
        <is>
          <t>IN</t>
        </is>
      </c>
      <c r="H1029">
        <f>IF(G1029="OUT",F1029,-F1029)</f>
        <v>-96</v>
      </c>
      <c r="I1029">
        <f>IF(AND(B1029&gt;=DATE(2025,7,1),B1029&lt;=DATE(2026,6,30)),1,0)</f>
        <v>1</v>
      </c>
      <c r="J1029">
        <f>IF(B1029&lt;=DATE(2026,6,30),1,0)</f>
        <v>1</v>
      </c>
      <c r="K1029" t="inlineStr">
        <is>
          <t>Site text normalised</t>
        </is>
      </c>
      <c r="L1029" t="inlineStr">
        <is>
          <t>Office</t>
        </is>
      </c>
      <c r="M1029">
        <f>COUNTIFS('Asset Log'!$A$5:$A$1379,A1029,'Asset Log'!$E$5:$E$1379,E1029,'Asset Log'!$G$5:$G$1379,G1029)</f>
        <v>1</v>
      </c>
    </row>
    <row r="1030">
      <c r="A1030" t="inlineStr">
        <is>
          <t>D70105</t>
        </is>
      </c>
      <c r="B1030" s="11" t="n">
        <v>46105</v>
      </c>
      <c r="C1030" t="inlineStr">
        <is>
          <t>11</t>
        </is>
      </c>
      <c r="D1030" t="inlineStr">
        <is>
          <t>S0011</t>
        </is>
      </c>
      <c r="E1030" t="inlineStr">
        <is>
          <t>FB</t>
        </is>
      </c>
      <c r="F1030" t="n">
        <v>105</v>
      </c>
      <c r="G1030" t="inlineStr">
        <is>
          <t>IN</t>
        </is>
      </c>
      <c r="H1030">
        <f>IF(G1030="OUT",F1030,-F1030)</f>
        <v>-105</v>
      </c>
      <c r="I1030">
        <f>IF(AND(B1030&gt;=DATE(2025,7,1),B1030&lt;=DATE(2026,6,30)),1,0)</f>
        <v>1</v>
      </c>
      <c r="J1030">
        <f>IF(B1030&lt;=DATE(2026,6,30),1,0)</f>
        <v>1</v>
      </c>
      <c r="K1030" t="inlineStr">
        <is>
          <t>Site text normalised</t>
        </is>
      </c>
      <c r="L1030" t="inlineStr">
        <is>
          <t>Office</t>
        </is>
      </c>
      <c r="M1030">
        <f>COUNTIFS('Asset Log'!$A$5:$A$1379,A1030,'Asset Log'!$E$5:$E$1379,E1030,'Asset Log'!$G$5:$G$1379,G1030)</f>
        <v>1</v>
      </c>
    </row>
    <row r="1031">
      <c r="A1031" t="inlineStr">
        <is>
          <t>D70772</t>
        </is>
      </c>
      <c r="B1031" s="11" t="n">
        <v>46105</v>
      </c>
      <c r="C1031" t="inlineStr">
        <is>
          <t>S0082</t>
        </is>
      </c>
      <c r="D1031" t="inlineStr">
        <is>
          <t>S0082</t>
        </is>
      </c>
      <c r="E1031" t="inlineStr">
        <is>
          <t>FP</t>
        </is>
      </c>
      <c r="F1031" t="n">
        <v>158</v>
      </c>
      <c r="G1031" t="inlineStr">
        <is>
          <t>IN</t>
        </is>
      </c>
      <c r="H1031">
        <f>IF(G1031="OUT",F1031,-F1031)</f>
        <v>-158</v>
      </c>
      <c r="I1031">
        <f>IF(AND(B1031&gt;=DATE(2025,7,1),B1031&lt;=DATE(2026,6,30)),1,0)</f>
        <v>1</v>
      </c>
      <c r="J1031">
        <f>IF(B1031&lt;=DATE(2026,6,30),1,0)</f>
        <v>1</v>
      </c>
      <c r="K1031" t="inlineStr"/>
      <c r="L1031" t="inlineStr">
        <is>
          <t>Driver</t>
        </is>
      </c>
      <c r="M1031">
        <f>COUNTIFS('Asset Log'!$A$5:$A$1379,A1031,'Asset Log'!$E$5:$E$1379,E1031,'Asset Log'!$G$5:$G$1379,G1031)</f>
        <v>1</v>
      </c>
    </row>
    <row r="1032">
      <c r="A1032" t="inlineStr">
        <is>
          <t>D70776</t>
        </is>
      </c>
      <c r="B1032" s="11" t="n">
        <v>46105</v>
      </c>
      <c r="C1032" t="inlineStr">
        <is>
          <t>S0082</t>
        </is>
      </c>
      <c r="D1032" t="inlineStr">
        <is>
          <t>S0082</t>
        </is>
      </c>
      <c r="E1032" t="inlineStr">
        <is>
          <t>FB</t>
        </is>
      </c>
      <c r="F1032" t="n">
        <v>173</v>
      </c>
      <c r="G1032" t="inlineStr">
        <is>
          <t>IN</t>
        </is>
      </c>
      <c r="H1032">
        <f>IF(G1032="OUT",F1032,-F1032)</f>
        <v>-173</v>
      </c>
      <c r="I1032">
        <f>IF(AND(B1032&gt;=DATE(2025,7,1),B1032&lt;=DATE(2026,6,30)),1,0)</f>
        <v>1</v>
      </c>
      <c r="J1032">
        <f>IF(B1032&lt;=DATE(2026,6,30),1,0)</f>
        <v>1</v>
      </c>
      <c r="K1032" t="inlineStr"/>
      <c r="L1032" t="inlineStr">
        <is>
          <t>Yard</t>
        </is>
      </c>
      <c r="M1032">
        <f>COUNTIFS('Asset Log'!$A$5:$A$1379,A1032,'Asset Log'!$E$5:$E$1379,E1032,'Asset Log'!$G$5:$G$1379,G1032)</f>
        <v>1</v>
      </c>
    </row>
    <row r="1033">
      <c r="A1033" t="inlineStr">
        <is>
          <t>D71929</t>
        </is>
      </c>
      <c r="B1033" s="11" t="n">
        <v>46105</v>
      </c>
      <c r="C1033" t="inlineStr">
        <is>
          <t>S0204</t>
        </is>
      </c>
      <c r="D1033" t="inlineStr">
        <is>
          <t>S0204</t>
        </is>
      </c>
      <c r="E1033" t="inlineStr">
        <is>
          <t>FP</t>
        </is>
      </c>
      <c r="F1033" t="n">
        <v>148</v>
      </c>
      <c r="G1033" t="inlineStr">
        <is>
          <t>OUT</t>
        </is>
      </c>
      <c r="H1033">
        <f>IF(G1033="OUT",F1033,-F1033)</f>
        <v>148</v>
      </c>
      <c r="I1033">
        <f>IF(AND(B1033&gt;=DATE(2025,7,1),B1033&lt;=DATE(2026,6,30)),1,0)</f>
        <v>1</v>
      </c>
      <c r="J1033">
        <f>IF(B1033&lt;=DATE(2026,6,30),1,0)</f>
        <v>1</v>
      </c>
      <c r="K1033" t="inlineStr"/>
      <c r="L1033" t="inlineStr">
        <is>
          <t>Office</t>
        </is>
      </c>
      <c r="M1033">
        <f>COUNTIFS('Asset Log'!$A$5:$A$1379,A1033,'Asset Log'!$E$5:$E$1379,E1033,'Asset Log'!$G$5:$G$1379,G1033)</f>
        <v>1</v>
      </c>
    </row>
    <row r="1034">
      <c r="A1034" t="inlineStr">
        <is>
          <t>D71933</t>
        </is>
      </c>
      <c r="B1034" s="11" t="n">
        <v>46105</v>
      </c>
      <c r="C1034" t="inlineStr">
        <is>
          <t>S0204</t>
        </is>
      </c>
      <c r="D1034" t="inlineStr">
        <is>
          <t>S0204</t>
        </is>
      </c>
      <c r="E1034" t="inlineStr">
        <is>
          <t>FB</t>
        </is>
      </c>
      <c r="F1034" t="n">
        <v>162</v>
      </c>
      <c r="G1034" t="inlineStr">
        <is>
          <t>OUT</t>
        </is>
      </c>
      <c r="H1034">
        <f>IF(G1034="OUT",F1034,-F1034)</f>
        <v>162</v>
      </c>
      <c r="I1034">
        <f>IF(AND(B1034&gt;=DATE(2025,7,1),B1034&lt;=DATE(2026,6,30)),1,0)</f>
        <v>1</v>
      </c>
      <c r="J1034">
        <f>IF(B1034&lt;=DATE(2026,6,30),1,0)</f>
        <v>1</v>
      </c>
      <c r="K1034" t="inlineStr"/>
      <c r="L1034" t="inlineStr">
        <is>
          <t>Driver</t>
        </is>
      </c>
      <c r="M1034">
        <f>COUNTIFS('Asset Log'!$A$5:$A$1379,A1034,'Asset Log'!$E$5:$E$1379,E1034,'Asset Log'!$G$5:$G$1379,G1034)</f>
        <v>1</v>
      </c>
    </row>
    <row r="1035">
      <c r="A1035" t="inlineStr">
        <is>
          <t>D72249</t>
        </is>
      </c>
      <c r="B1035" s="11" t="n">
        <v>46105</v>
      </c>
      <c r="C1035" t="inlineStr">
        <is>
          <t>S0245 Reservoir</t>
        </is>
      </c>
      <c r="D1035" t="inlineStr">
        <is>
          <t>S0245</t>
        </is>
      </c>
      <c r="E1035" t="inlineStr">
        <is>
          <t>ST</t>
        </is>
      </c>
      <c r="F1035" t="n">
        <v>4</v>
      </c>
      <c r="G1035" t="inlineStr">
        <is>
          <t>IN</t>
        </is>
      </c>
      <c r="H1035">
        <f>IF(G1035="OUT",F1035,-F1035)</f>
        <v>-4</v>
      </c>
      <c r="I1035">
        <f>IF(AND(B1035&gt;=DATE(2025,7,1),B1035&lt;=DATE(2026,6,30)),1,0)</f>
        <v>1</v>
      </c>
      <c r="J1035">
        <f>IF(B1035&lt;=DATE(2026,6,30),1,0)</f>
        <v>1</v>
      </c>
      <c r="K1035" t="inlineStr">
        <is>
          <t>Site text normalised</t>
        </is>
      </c>
      <c r="L1035" t="inlineStr">
        <is>
          <t>Office</t>
        </is>
      </c>
      <c r="M1035">
        <f>COUNTIFS('Asset Log'!$A$5:$A$1379,A1035,'Asset Log'!$E$5:$E$1379,E1035,'Asset Log'!$G$5:$G$1379,G1035)</f>
        <v>1</v>
      </c>
    </row>
    <row r="1036">
      <c r="A1036" t="inlineStr">
        <is>
          <t>D72337</t>
        </is>
      </c>
      <c r="B1036" s="11" t="n">
        <v>46105</v>
      </c>
      <c r="C1036" t="inlineStr">
        <is>
          <t>s266</t>
        </is>
      </c>
      <c r="D1036" t="inlineStr">
        <is>
          <t>S0266</t>
        </is>
      </c>
      <c r="E1036" t="inlineStr">
        <is>
          <t>ST</t>
        </is>
      </c>
      <c r="F1036" t="n">
        <v>4</v>
      </c>
      <c r="G1036" t="inlineStr">
        <is>
          <t>OUT</t>
        </is>
      </c>
      <c r="H1036">
        <f>IF(G1036="OUT",F1036,-F1036)</f>
        <v>4</v>
      </c>
      <c r="I1036">
        <f>IF(AND(B1036&gt;=DATE(2025,7,1),B1036&lt;=DATE(2026,6,30)),1,0)</f>
        <v>1</v>
      </c>
      <c r="J1036">
        <f>IF(B1036&lt;=DATE(2026,6,30),1,0)</f>
        <v>1</v>
      </c>
      <c r="K1036" t="inlineStr">
        <is>
          <t>Site text normalised</t>
        </is>
      </c>
      <c r="L1036" t="inlineStr">
        <is>
          <t>Yard</t>
        </is>
      </c>
      <c r="M1036">
        <f>COUNTIFS('Asset Log'!$A$5:$A$1379,A1036,'Asset Log'!$E$5:$E$1379,E1036,'Asset Log'!$G$5:$G$1379,G1036)</f>
        <v>1</v>
      </c>
    </row>
    <row r="1037">
      <c r="A1037" t="inlineStr">
        <is>
          <t>D72475</t>
        </is>
      </c>
      <c r="B1037" s="11" t="n">
        <v>46105</v>
      </c>
      <c r="C1037" t="inlineStr">
        <is>
          <t>S0303</t>
        </is>
      </c>
      <c r="D1037" t="inlineStr">
        <is>
          <t>S0303</t>
        </is>
      </c>
      <c r="E1037" t="inlineStr">
        <is>
          <t>TK</t>
        </is>
      </c>
      <c r="F1037" t="n">
        <v>3</v>
      </c>
      <c r="G1037" t="inlineStr">
        <is>
          <t>OUT</t>
        </is>
      </c>
      <c r="H1037">
        <f>IF(G1037="OUT",F1037,-F1037)</f>
        <v>3</v>
      </c>
      <c r="I1037">
        <f>IF(AND(B1037&gt;=DATE(2025,7,1),B1037&lt;=DATE(2026,6,30)),1,0)</f>
        <v>1</v>
      </c>
      <c r="J1037">
        <f>IF(B1037&lt;=DATE(2026,6,30),1,0)</f>
        <v>1</v>
      </c>
      <c r="K1037" t="inlineStr"/>
      <c r="L1037" t="inlineStr">
        <is>
          <t>Yard</t>
        </is>
      </c>
      <c r="M1037">
        <f>COUNTIFS('Asset Log'!$A$5:$A$1379,A1037,'Asset Log'!$E$5:$E$1379,E1037,'Asset Log'!$G$5:$G$1379,G1037)</f>
        <v>1</v>
      </c>
    </row>
    <row r="1038">
      <c r="A1038" t="inlineStr">
        <is>
          <t>D71483</t>
        </is>
      </c>
      <c r="B1038" s="11" t="n">
        <v>46106</v>
      </c>
      <c r="C1038" t="inlineStr">
        <is>
          <t>S0155</t>
        </is>
      </c>
      <c r="D1038" t="inlineStr">
        <is>
          <t>S0155</t>
        </is>
      </c>
      <c r="E1038" t="inlineStr">
        <is>
          <t>FP</t>
        </is>
      </c>
      <c r="F1038" t="n">
        <v>42</v>
      </c>
      <c r="G1038" t="inlineStr">
        <is>
          <t>OUT</t>
        </is>
      </c>
      <c r="H1038">
        <f>IF(G1038="OUT",F1038,-F1038)</f>
        <v>42</v>
      </c>
      <c r="I1038">
        <f>IF(AND(B1038&gt;=DATE(2025,7,1),B1038&lt;=DATE(2026,6,30)),1,0)</f>
        <v>1</v>
      </c>
      <c r="J1038">
        <f>IF(B1038&lt;=DATE(2026,6,30),1,0)</f>
        <v>1</v>
      </c>
      <c r="K1038" t="inlineStr"/>
      <c r="L1038" t="inlineStr">
        <is>
          <t>Driver</t>
        </is>
      </c>
      <c r="M1038">
        <f>COUNTIFS('Asset Log'!$A$5:$A$1379,A1038,'Asset Log'!$E$5:$E$1379,E1038,'Asset Log'!$G$5:$G$1379,G1038)</f>
        <v>1</v>
      </c>
    </row>
    <row r="1039">
      <c r="A1039" t="inlineStr">
        <is>
          <t>D71487</t>
        </is>
      </c>
      <c r="B1039" s="11" t="n">
        <v>46106</v>
      </c>
      <c r="C1039" t="inlineStr">
        <is>
          <t>S0155</t>
        </is>
      </c>
      <c r="D1039" t="inlineStr">
        <is>
          <t>S0155</t>
        </is>
      </c>
      <c r="E1039" t="inlineStr">
        <is>
          <t>FB</t>
        </is>
      </c>
      <c r="F1039" t="n">
        <v>46</v>
      </c>
      <c r="G1039" t="inlineStr">
        <is>
          <t>OUT</t>
        </is>
      </c>
      <c r="H1039">
        <f>IF(G1039="OUT",F1039,-F1039)</f>
        <v>46</v>
      </c>
      <c r="I1039">
        <f>IF(AND(B1039&gt;=DATE(2025,7,1),B1039&lt;=DATE(2026,6,30)),1,0)</f>
        <v>1</v>
      </c>
      <c r="J1039">
        <f>IF(B1039&lt;=DATE(2026,6,30),1,0)</f>
        <v>1</v>
      </c>
      <c r="K1039" t="inlineStr"/>
      <c r="L1039" t="inlineStr">
        <is>
          <t>Office</t>
        </is>
      </c>
      <c r="M1039">
        <f>COUNTIFS('Asset Log'!$A$5:$A$1379,A1039,'Asset Log'!$E$5:$E$1379,E1039,'Asset Log'!$G$5:$G$1379,G1039)</f>
        <v>1</v>
      </c>
    </row>
    <row r="1040">
      <c r="A1040" t="inlineStr">
        <is>
          <t>D70731</t>
        </is>
      </c>
      <c r="B1040" s="11" t="n">
        <v>46107</v>
      </c>
      <c r="C1040" t="inlineStr">
        <is>
          <t>S0078</t>
        </is>
      </c>
      <c r="D1040" t="inlineStr">
        <is>
          <t>S0078</t>
        </is>
      </c>
      <c r="E1040" t="inlineStr">
        <is>
          <t>FP</t>
        </is>
      </c>
      <c r="F1040" t="n">
        <v>145</v>
      </c>
      <c r="G1040" t="inlineStr">
        <is>
          <t>OUT</t>
        </is>
      </c>
      <c r="H1040">
        <f>IF(G1040="OUT",F1040,-F1040)</f>
        <v>145</v>
      </c>
      <c r="I1040">
        <f>IF(AND(B1040&gt;=DATE(2025,7,1),B1040&lt;=DATE(2026,6,30)),1,0)</f>
        <v>1</v>
      </c>
      <c r="J1040">
        <f>IF(B1040&lt;=DATE(2026,6,30),1,0)</f>
        <v>1</v>
      </c>
      <c r="K1040" t="inlineStr"/>
      <c r="L1040" t="inlineStr">
        <is>
          <t>Office</t>
        </is>
      </c>
      <c r="M1040">
        <f>COUNTIFS('Asset Log'!$A$5:$A$1379,A1040,'Asset Log'!$E$5:$E$1379,E1040,'Asset Log'!$G$5:$G$1379,G1040)</f>
        <v>1</v>
      </c>
    </row>
    <row r="1041">
      <c r="A1041" t="inlineStr">
        <is>
          <t>D70734</t>
        </is>
      </c>
      <c r="B1041" s="11" t="n">
        <v>46107</v>
      </c>
      <c r="C1041" t="inlineStr">
        <is>
          <t>S0078</t>
        </is>
      </c>
      <c r="D1041" t="inlineStr">
        <is>
          <t>S0078</t>
        </is>
      </c>
      <c r="E1041" t="inlineStr">
        <is>
          <t>FB</t>
        </is>
      </c>
      <c r="F1041" t="n">
        <v>159</v>
      </c>
      <c r="G1041" t="inlineStr">
        <is>
          <t>OUT</t>
        </is>
      </c>
      <c r="H1041">
        <f>IF(G1041="OUT",F1041,-F1041)</f>
        <v>159</v>
      </c>
      <c r="I1041">
        <f>IF(AND(B1041&gt;=DATE(2025,7,1),B1041&lt;=DATE(2026,6,30)),1,0)</f>
        <v>1</v>
      </c>
      <c r="J1041">
        <f>IF(B1041&lt;=DATE(2026,6,30),1,0)</f>
        <v>1</v>
      </c>
      <c r="K1041" t="inlineStr"/>
      <c r="L1041" t="inlineStr">
        <is>
          <t>Yard</t>
        </is>
      </c>
      <c r="M1041">
        <f>COUNTIFS('Asset Log'!$A$5:$A$1379,A1041,'Asset Log'!$E$5:$E$1379,E1041,'Asset Log'!$G$5:$G$1379,G1041)</f>
        <v>1</v>
      </c>
    </row>
    <row r="1042">
      <c r="A1042" t="inlineStr">
        <is>
          <t>D70831</t>
        </is>
      </c>
      <c r="B1042" s="11" t="n">
        <v>46107</v>
      </c>
      <c r="C1042" t="inlineStr">
        <is>
          <t>S0088</t>
        </is>
      </c>
      <c r="D1042" t="inlineStr">
        <is>
          <t>S0088</t>
        </is>
      </c>
      <c r="E1042" t="inlineStr">
        <is>
          <t>FP</t>
        </is>
      </c>
      <c r="F1042" t="n">
        <v>44</v>
      </c>
      <c r="G1042" t="inlineStr">
        <is>
          <t>OUT</t>
        </is>
      </c>
      <c r="H1042">
        <f>IF(G1042="OUT",F1042,-F1042)</f>
        <v>44</v>
      </c>
      <c r="I1042">
        <f>IF(AND(B1042&gt;=DATE(2025,7,1),B1042&lt;=DATE(2026,6,30)),1,0)</f>
        <v>1</v>
      </c>
      <c r="J1042">
        <f>IF(B1042&lt;=DATE(2026,6,30),1,0)</f>
        <v>1</v>
      </c>
      <c r="K1042" t="inlineStr"/>
      <c r="L1042" t="inlineStr">
        <is>
          <t>Driver</t>
        </is>
      </c>
      <c r="M1042">
        <f>COUNTIFS('Asset Log'!$A$5:$A$1379,A1042,'Asset Log'!$E$5:$E$1379,E1042,'Asset Log'!$G$5:$G$1379,G1042)</f>
        <v>1</v>
      </c>
    </row>
    <row r="1043">
      <c r="A1043" t="inlineStr">
        <is>
          <t>D70835</t>
        </is>
      </c>
      <c r="B1043" s="11" t="n">
        <v>46107</v>
      </c>
      <c r="C1043" t="inlineStr">
        <is>
          <t>S0088</t>
        </is>
      </c>
      <c r="D1043" t="inlineStr">
        <is>
          <t>S0088</t>
        </is>
      </c>
      <c r="E1043" t="inlineStr">
        <is>
          <t>FB</t>
        </is>
      </c>
      <c r="F1043" t="n">
        <v>48</v>
      </c>
      <c r="G1043" t="inlineStr">
        <is>
          <t>OUT</t>
        </is>
      </c>
      <c r="H1043">
        <f>IF(G1043="OUT",F1043,-F1043)</f>
        <v>48</v>
      </c>
      <c r="I1043">
        <f>IF(AND(B1043&gt;=DATE(2025,7,1),B1043&lt;=DATE(2026,6,30)),1,0)</f>
        <v>1</v>
      </c>
      <c r="J1043">
        <f>IF(B1043&lt;=DATE(2026,6,30),1,0)</f>
        <v>1</v>
      </c>
      <c r="K1043" t="inlineStr"/>
      <c r="L1043" t="inlineStr">
        <is>
          <t>Driver</t>
        </is>
      </c>
      <c r="M1043">
        <f>COUNTIFS('Asset Log'!$A$5:$A$1379,A1043,'Asset Log'!$E$5:$E$1379,E1043,'Asset Log'!$G$5:$G$1379,G1043)</f>
        <v>1</v>
      </c>
    </row>
    <row r="1044">
      <c r="A1044" t="inlineStr">
        <is>
          <t>D70840</t>
        </is>
      </c>
      <c r="B1044" s="11" t="n">
        <v>46107</v>
      </c>
      <c r="C1044" t="inlineStr">
        <is>
          <t>S0088</t>
        </is>
      </c>
      <c r="D1044" t="inlineStr">
        <is>
          <t>S0088</t>
        </is>
      </c>
      <c r="E1044" t="inlineStr">
        <is>
          <t>BR</t>
        </is>
      </c>
      <c r="F1044" t="n">
        <v>21</v>
      </c>
      <c r="G1044" t="inlineStr">
        <is>
          <t>OUT</t>
        </is>
      </c>
      <c r="H1044">
        <f>IF(G1044="OUT",F1044,-F1044)</f>
        <v>21</v>
      </c>
      <c r="I1044">
        <f>IF(AND(B1044&gt;=DATE(2025,7,1),B1044&lt;=DATE(2026,6,30)),1,0)</f>
        <v>1</v>
      </c>
      <c r="J1044">
        <f>IF(B1044&lt;=DATE(2026,6,30),1,0)</f>
        <v>1</v>
      </c>
      <c r="K1044" t="inlineStr"/>
      <c r="L1044" t="inlineStr">
        <is>
          <t>Driver</t>
        </is>
      </c>
      <c r="M1044">
        <f>COUNTIFS('Asset Log'!$A$5:$A$1379,A1044,'Asset Log'!$E$5:$E$1379,E1044,'Asset Log'!$G$5:$G$1379,G1044)</f>
        <v>1</v>
      </c>
    </row>
    <row r="1045">
      <c r="A1045" t="inlineStr">
        <is>
          <t>D72566</t>
        </is>
      </c>
      <c r="B1045" s="11" t="n">
        <v>46107</v>
      </c>
      <c r="C1045" t="inlineStr">
        <is>
          <t>s376</t>
        </is>
      </c>
      <c r="D1045" t="inlineStr">
        <is>
          <t>S0376</t>
        </is>
      </c>
      <c r="E1045" t="inlineStr">
        <is>
          <t>TK</t>
        </is>
      </c>
      <c r="F1045" t="n">
        <v>1</v>
      </c>
      <c r="G1045" t="inlineStr">
        <is>
          <t>OUT</t>
        </is>
      </c>
      <c r="H1045">
        <f>IF(G1045="OUT",F1045,-F1045)</f>
        <v>1</v>
      </c>
      <c r="I1045">
        <f>IF(AND(B1045&gt;=DATE(2025,7,1),B1045&lt;=DATE(2026,6,30)),1,0)</f>
        <v>1</v>
      </c>
      <c r="J1045">
        <f>IF(B1045&lt;=DATE(2026,6,30),1,0)</f>
        <v>1</v>
      </c>
      <c r="K1045" t="inlineStr">
        <is>
          <t>Site text normalised</t>
        </is>
      </c>
      <c r="L1045" t="inlineStr">
        <is>
          <t>Driver</t>
        </is>
      </c>
      <c r="M1045">
        <f>COUNTIFS('Asset Log'!$A$5:$A$1379,A1045,'Asset Log'!$E$5:$E$1379,E1045,'Asset Log'!$G$5:$G$1379,G1045)</f>
        <v>1</v>
      </c>
    </row>
    <row r="1046">
      <c r="A1046" t="inlineStr">
        <is>
          <t>D72274</t>
        </is>
      </c>
      <c r="B1046" s="11" t="n">
        <v>46108</v>
      </c>
      <c r="C1046" t="inlineStr">
        <is>
          <t>S0251</t>
        </is>
      </c>
      <c r="D1046" t="inlineStr">
        <is>
          <t>S0251</t>
        </is>
      </c>
      <c r="E1046" t="inlineStr">
        <is>
          <t>ST</t>
        </is>
      </c>
      <c r="F1046" t="n">
        <v>1</v>
      </c>
      <c r="G1046" t="inlineStr">
        <is>
          <t>IN</t>
        </is>
      </c>
      <c r="H1046">
        <f>IF(G1046="OUT",F1046,-F1046)</f>
        <v>-1</v>
      </c>
      <c r="I1046">
        <f>IF(AND(B1046&gt;=DATE(2025,7,1),B1046&lt;=DATE(2026,6,30)),1,0)</f>
        <v>1</v>
      </c>
      <c r="J1046">
        <f>IF(B1046&lt;=DATE(2026,6,30),1,0)</f>
        <v>1</v>
      </c>
      <c r="K1046" t="inlineStr"/>
      <c r="L1046" t="inlineStr">
        <is>
          <t>Office</t>
        </is>
      </c>
      <c r="M1046">
        <f>COUNTIFS('Asset Log'!$A$5:$A$1379,A1046,'Asset Log'!$E$5:$E$1379,E1046,'Asset Log'!$G$5:$G$1379,G1046)</f>
        <v>1</v>
      </c>
    </row>
    <row r="1047">
      <c r="A1047" t="inlineStr">
        <is>
          <t>D72642</t>
        </is>
      </c>
      <c r="B1047" s="11" t="n">
        <v>46108</v>
      </c>
      <c r="C1047" t="inlineStr">
        <is>
          <t>S0415</t>
        </is>
      </c>
      <c r="D1047" t="inlineStr">
        <is>
          <t>S0415</t>
        </is>
      </c>
      <c r="E1047" t="inlineStr">
        <is>
          <t>TK</t>
        </is>
      </c>
      <c r="F1047" t="n">
        <v>2</v>
      </c>
      <c r="G1047" t="inlineStr">
        <is>
          <t>OUT</t>
        </is>
      </c>
      <c r="H1047">
        <f>IF(G1047="OUT",F1047,-F1047)</f>
        <v>2</v>
      </c>
      <c r="I1047">
        <f>IF(AND(B1047&gt;=DATE(2025,7,1),B1047&lt;=DATE(2026,6,30)),1,0)</f>
        <v>1</v>
      </c>
      <c r="J1047">
        <f>IF(B1047&lt;=DATE(2026,6,30),1,0)</f>
        <v>1</v>
      </c>
      <c r="K1047" t="inlineStr"/>
      <c r="L1047" t="inlineStr">
        <is>
          <t>Office</t>
        </is>
      </c>
      <c r="M1047">
        <f>COUNTIFS('Asset Log'!$A$5:$A$1379,A1047,'Asset Log'!$E$5:$E$1379,E1047,'Asset Log'!$G$5:$G$1379,G1047)</f>
        <v>1</v>
      </c>
    </row>
    <row r="1048">
      <c r="A1048" t="inlineStr">
        <is>
          <t>D72684</t>
        </is>
      </c>
      <c r="B1048" s="11" t="n">
        <v>46108</v>
      </c>
      <c r="C1048" t="inlineStr">
        <is>
          <t>S0440</t>
        </is>
      </c>
      <c r="D1048" t="inlineStr">
        <is>
          <t>S0440</t>
        </is>
      </c>
      <c r="E1048" t="inlineStr">
        <is>
          <t>TK</t>
        </is>
      </c>
      <c r="F1048" t="n">
        <v>2</v>
      </c>
      <c r="G1048" t="inlineStr">
        <is>
          <t>OUT</t>
        </is>
      </c>
      <c r="H1048">
        <f>IF(G1048="OUT",F1048,-F1048)</f>
        <v>2</v>
      </c>
      <c r="I1048">
        <f>IF(AND(B1048&gt;=DATE(2025,7,1),B1048&lt;=DATE(2026,6,30)),1,0)</f>
        <v>1</v>
      </c>
      <c r="J1048">
        <f>IF(B1048&lt;=DATE(2026,6,30),1,0)</f>
        <v>1</v>
      </c>
      <c r="K1048" t="inlineStr"/>
      <c r="L1048" t="inlineStr">
        <is>
          <t>Driver</t>
        </is>
      </c>
      <c r="M1048">
        <f>COUNTIFS('Asset Log'!$A$5:$A$1379,A1048,'Asset Log'!$E$5:$E$1379,E1048,'Asset Log'!$G$5:$G$1379,G1048)</f>
        <v>1</v>
      </c>
    </row>
    <row r="1049">
      <c r="A1049" t="inlineStr">
        <is>
          <t>D70660</t>
        </is>
      </c>
      <c r="B1049" s="11" t="n">
        <v>46109</v>
      </c>
      <c r="C1049" t="inlineStr">
        <is>
          <t>S0071</t>
        </is>
      </c>
      <c r="D1049" t="inlineStr">
        <is>
          <t>S0071</t>
        </is>
      </c>
      <c r="E1049" t="inlineStr">
        <is>
          <t>FP</t>
        </is>
      </c>
      <c r="F1049" t="n">
        <v>82</v>
      </c>
      <c r="G1049" t="inlineStr">
        <is>
          <t>OUT</t>
        </is>
      </c>
      <c r="H1049">
        <f>IF(G1049="OUT",F1049,-F1049)</f>
        <v>82</v>
      </c>
      <c r="I1049">
        <f>IF(AND(B1049&gt;=DATE(2025,7,1),B1049&lt;=DATE(2026,6,30)),1,0)</f>
        <v>1</v>
      </c>
      <c r="J1049">
        <f>IF(B1049&lt;=DATE(2026,6,30),1,0)</f>
        <v>1</v>
      </c>
      <c r="K1049" t="inlineStr"/>
      <c r="L1049" t="inlineStr">
        <is>
          <t>Yard</t>
        </is>
      </c>
      <c r="M1049">
        <f>COUNTIFS('Asset Log'!$A$5:$A$1379,A1049,'Asset Log'!$E$5:$E$1379,E1049,'Asset Log'!$G$5:$G$1379,G1049)</f>
        <v>1</v>
      </c>
    </row>
    <row r="1050">
      <c r="A1050" t="inlineStr">
        <is>
          <t>D70664</t>
        </is>
      </c>
      <c r="B1050" s="11" t="n">
        <v>46109</v>
      </c>
      <c r="C1050" t="inlineStr">
        <is>
          <t>S0071</t>
        </is>
      </c>
      <c r="D1050" t="inlineStr">
        <is>
          <t>S0071</t>
        </is>
      </c>
      <c r="E1050" t="inlineStr">
        <is>
          <t>FB</t>
        </is>
      </c>
      <c r="F1050" t="n">
        <v>90</v>
      </c>
      <c r="G1050" t="inlineStr">
        <is>
          <t>OUT</t>
        </is>
      </c>
      <c r="H1050">
        <f>IF(G1050="OUT",F1050,-F1050)</f>
        <v>90</v>
      </c>
      <c r="I1050">
        <f>IF(AND(B1050&gt;=DATE(2025,7,1),B1050&lt;=DATE(2026,6,30)),1,0)</f>
        <v>1</v>
      </c>
      <c r="J1050">
        <f>IF(B1050&lt;=DATE(2026,6,30),1,0)</f>
        <v>1</v>
      </c>
      <c r="K1050" t="inlineStr"/>
      <c r="L1050" t="inlineStr">
        <is>
          <t>Office</t>
        </is>
      </c>
      <c r="M1050">
        <f>COUNTIFS('Asset Log'!$A$5:$A$1379,A1050,'Asset Log'!$E$5:$E$1379,E1050,'Asset Log'!$G$5:$G$1379,G1050)</f>
        <v>1</v>
      </c>
    </row>
    <row r="1051">
      <c r="A1051" t="inlineStr">
        <is>
          <t>D72173</t>
        </is>
      </c>
      <c r="B1051" s="11" t="n">
        <v>46109</v>
      </c>
      <c r="C1051" t="inlineStr">
        <is>
          <t>S0230</t>
        </is>
      </c>
      <c r="D1051" t="inlineStr">
        <is>
          <t>S0230</t>
        </is>
      </c>
      <c r="E1051" t="inlineStr">
        <is>
          <t>FP</t>
        </is>
      </c>
      <c r="F1051" t="n">
        <v>75</v>
      </c>
      <c r="G1051" t="inlineStr">
        <is>
          <t>OUT</t>
        </is>
      </c>
      <c r="H1051">
        <f>IF(G1051="OUT",F1051,-F1051)</f>
        <v>75</v>
      </c>
      <c r="I1051">
        <f>IF(AND(B1051&gt;=DATE(2025,7,1),B1051&lt;=DATE(2026,6,30)),1,0)</f>
        <v>1</v>
      </c>
      <c r="J1051">
        <f>IF(B1051&lt;=DATE(2026,6,30),1,0)</f>
        <v>1</v>
      </c>
      <c r="K1051" t="inlineStr"/>
      <c r="L1051" t="inlineStr">
        <is>
          <t>Office</t>
        </is>
      </c>
      <c r="M1051">
        <f>COUNTIFS('Asset Log'!$A$5:$A$1379,A1051,'Asset Log'!$E$5:$E$1379,E1051,'Asset Log'!$G$5:$G$1379,G1051)</f>
        <v>1</v>
      </c>
    </row>
    <row r="1052">
      <c r="A1052" t="inlineStr">
        <is>
          <t>D72176</t>
        </is>
      </c>
      <c r="B1052" s="11" t="n">
        <v>46109</v>
      </c>
      <c r="C1052" t="inlineStr">
        <is>
          <t>S0230</t>
        </is>
      </c>
      <c r="D1052" t="inlineStr">
        <is>
          <t>S0230</t>
        </is>
      </c>
      <c r="E1052" t="inlineStr">
        <is>
          <t>FB</t>
        </is>
      </c>
      <c r="F1052" t="n">
        <v>82</v>
      </c>
      <c r="G1052" t="inlineStr">
        <is>
          <t>OUT</t>
        </is>
      </c>
      <c r="H1052">
        <f>IF(G1052="OUT",F1052,-F1052)</f>
        <v>82</v>
      </c>
      <c r="I1052">
        <f>IF(AND(B1052&gt;=DATE(2025,7,1),B1052&lt;=DATE(2026,6,30)),1,0)</f>
        <v>1</v>
      </c>
      <c r="J1052">
        <f>IF(B1052&lt;=DATE(2026,6,30),1,0)</f>
        <v>1</v>
      </c>
      <c r="K1052" t="inlineStr"/>
      <c r="L1052" t="inlineStr">
        <is>
          <t>Office</t>
        </is>
      </c>
      <c r="M1052">
        <f>COUNTIFS('Asset Log'!$A$5:$A$1379,A1052,'Asset Log'!$E$5:$E$1379,E1052,'Asset Log'!$G$5:$G$1379,G1052)</f>
        <v>1</v>
      </c>
    </row>
    <row r="1053">
      <c r="A1053" t="inlineStr">
        <is>
          <t>D70038</t>
        </is>
      </c>
      <c r="B1053" s="11" t="n">
        <v>46110</v>
      </c>
      <c r="C1053" t="inlineStr">
        <is>
          <t>S0005</t>
        </is>
      </c>
      <c r="D1053" t="inlineStr">
        <is>
          <t>S0005</t>
        </is>
      </c>
      <c r="E1053" t="inlineStr">
        <is>
          <t>FP</t>
        </is>
      </c>
      <c r="F1053" t="n">
        <v>53</v>
      </c>
      <c r="G1053" t="inlineStr">
        <is>
          <t>OUT</t>
        </is>
      </c>
      <c r="H1053">
        <f>IF(G1053="OUT",F1053,-F1053)</f>
        <v>53</v>
      </c>
      <c r="I1053">
        <f>IF(AND(B1053&gt;=DATE(2025,7,1),B1053&lt;=DATE(2026,6,30)),1,0)</f>
        <v>1</v>
      </c>
      <c r="J1053">
        <f>IF(B1053&lt;=DATE(2026,6,30),1,0)</f>
        <v>1</v>
      </c>
      <c r="K1053" t="inlineStr"/>
      <c r="L1053" t="inlineStr">
        <is>
          <t>Driver</t>
        </is>
      </c>
      <c r="M1053">
        <f>COUNTIFS('Asset Log'!$A$5:$A$1379,A1053,'Asset Log'!$E$5:$E$1379,E1053,'Asset Log'!$G$5:$G$1379,G1053)</f>
        <v>1</v>
      </c>
    </row>
    <row r="1054">
      <c r="A1054" t="inlineStr">
        <is>
          <t>D70044</t>
        </is>
      </c>
      <c r="B1054" s="11" t="n">
        <v>46110</v>
      </c>
      <c r="C1054" t="inlineStr">
        <is>
          <t>S0005</t>
        </is>
      </c>
      <c r="D1054" t="inlineStr">
        <is>
          <t>S0005</t>
        </is>
      </c>
      <c r="E1054" t="inlineStr">
        <is>
          <t>FB</t>
        </is>
      </c>
      <c r="F1054" t="n">
        <v>58</v>
      </c>
      <c r="G1054" t="inlineStr">
        <is>
          <t>OUT</t>
        </is>
      </c>
      <c r="H1054">
        <f>IF(G1054="OUT",F1054,-F1054)</f>
        <v>58</v>
      </c>
      <c r="I1054">
        <f>IF(AND(B1054&gt;=DATE(2025,7,1),B1054&lt;=DATE(2026,6,30)),1,0)</f>
        <v>1</v>
      </c>
      <c r="J1054">
        <f>IF(B1054&lt;=DATE(2026,6,30),1,0)</f>
        <v>1</v>
      </c>
      <c r="K1054" t="inlineStr"/>
      <c r="L1054" t="inlineStr">
        <is>
          <t>Office</t>
        </is>
      </c>
      <c r="M1054">
        <f>COUNTIFS('Asset Log'!$A$5:$A$1379,A1054,'Asset Log'!$E$5:$E$1379,E1054,'Asset Log'!$G$5:$G$1379,G1054)</f>
        <v>1</v>
      </c>
    </row>
    <row r="1055">
      <c r="A1055" t="inlineStr">
        <is>
          <t>D71938</t>
        </is>
      </c>
      <c r="B1055" s="11" t="n">
        <v>46110</v>
      </c>
      <c r="C1055" t="inlineStr">
        <is>
          <t>S0205</t>
        </is>
      </c>
      <c r="D1055" t="inlineStr">
        <is>
          <t>S0205</t>
        </is>
      </c>
      <c r="E1055" t="inlineStr">
        <is>
          <t>FP</t>
        </is>
      </c>
      <c r="F1055" t="n">
        <v>93</v>
      </c>
      <c r="G1055" t="inlineStr">
        <is>
          <t>IN</t>
        </is>
      </c>
      <c r="H1055">
        <f>IF(G1055="OUT",F1055,-F1055)</f>
        <v>-93</v>
      </c>
      <c r="I1055">
        <f>IF(AND(B1055&gt;=DATE(2025,7,1),B1055&lt;=DATE(2026,6,30)),1,0)</f>
        <v>1</v>
      </c>
      <c r="J1055">
        <f>IF(B1055&lt;=DATE(2026,6,30),1,0)</f>
        <v>1</v>
      </c>
      <c r="K1055" t="inlineStr"/>
      <c r="L1055" t="inlineStr">
        <is>
          <t>Office</t>
        </is>
      </c>
      <c r="M1055">
        <f>COUNTIFS('Asset Log'!$A$5:$A$1379,A1055,'Asset Log'!$E$5:$E$1379,E1055,'Asset Log'!$G$5:$G$1379,G1055)</f>
        <v>1</v>
      </c>
    </row>
    <row r="1056">
      <c r="A1056" t="inlineStr">
        <is>
          <t>D71944</t>
        </is>
      </c>
      <c r="B1056" s="11" t="n">
        <v>46110</v>
      </c>
      <c r="C1056" t="inlineStr">
        <is>
          <t>205</t>
        </is>
      </c>
      <c r="D1056" t="inlineStr">
        <is>
          <t>S0205</t>
        </is>
      </c>
      <c r="E1056" t="inlineStr">
        <is>
          <t>FB</t>
        </is>
      </c>
      <c r="F1056" t="n">
        <v>100</v>
      </c>
      <c r="G1056" t="inlineStr">
        <is>
          <t>IN</t>
        </is>
      </c>
      <c r="H1056">
        <f>IF(G1056="OUT",F1056,-F1056)</f>
        <v>-100</v>
      </c>
      <c r="I1056">
        <f>IF(AND(B1056&gt;=DATE(2025,7,1),B1056&lt;=DATE(2026,6,30)),1,0)</f>
        <v>1</v>
      </c>
      <c r="J1056">
        <f>IF(B1056&lt;=DATE(2026,6,30),1,0)</f>
        <v>1</v>
      </c>
      <c r="K1056" t="inlineStr">
        <is>
          <t>Site text normalised</t>
        </is>
      </c>
      <c r="L1056" t="inlineStr">
        <is>
          <t>Office</t>
        </is>
      </c>
      <c r="M1056">
        <f>COUNTIFS('Asset Log'!$A$5:$A$1379,A1056,'Asset Log'!$E$5:$E$1379,E1056,'Asset Log'!$G$5:$G$1379,G1056)</f>
        <v>1</v>
      </c>
    </row>
    <row r="1057">
      <c r="A1057" t="inlineStr">
        <is>
          <t>D72733</t>
        </is>
      </c>
      <c r="B1057" s="11" t="n">
        <v>46110</v>
      </c>
      <c r="C1057" t="inlineStr">
        <is>
          <t>S0483</t>
        </is>
      </c>
      <c r="D1057" t="inlineStr">
        <is>
          <t>S0483</t>
        </is>
      </c>
      <c r="E1057" t="inlineStr">
        <is>
          <t>TK</t>
        </is>
      </c>
      <c r="F1057" t="n">
        <v>2</v>
      </c>
      <c r="G1057" t="inlineStr">
        <is>
          <t>IN</t>
        </is>
      </c>
      <c r="H1057">
        <f>IF(G1057="OUT",F1057,-F1057)</f>
        <v>-2</v>
      </c>
      <c r="I1057">
        <f>IF(AND(B1057&gt;=DATE(2025,7,1),B1057&lt;=DATE(2026,6,30)),1,0)</f>
        <v>1</v>
      </c>
      <c r="J1057">
        <f>IF(B1057&lt;=DATE(2026,6,30),1,0)</f>
        <v>1</v>
      </c>
      <c r="K1057" t="inlineStr"/>
      <c r="L1057" t="inlineStr">
        <is>
          <t>Office</t>
        </is>
      </c>
      <c r="M1057">
        <f>COUNTIFS('Asset Log'!$A$5:$A$1379,A1057,'Asset Log'!$E$5:$E$1379,E1057,'Asset Log'!$G$5:$G$1379,G1057)</f>
        <v>1</v>
      </c>
    </row>
    <row r="1058">
      <c r="A1058" t="inlineStr">
        <is>
          <t>D70466</t>
        </is>
      </c>
      <c r="B1058" s="11" t="n">
        <v>46111</v>
      </c>
      <c r="C1058" t="inlineStr">
        <is>
          <t>S0050</t>
        </is>
      </c>
      <c r="D1058" t="inlineStr">
        <is>
          <t>S0050</t>
        </is>
      </c>
      <c r="E1058" t="inlineStr">
        <is>
          <t>FP</t>
        </is>
      </c>
      <c r="F1058" t="n">
        <v>26</v>
      </c>
      <c r="G1058" t="inlineStr">
        <is>
          <t>OUT</t>
        </is>
      </c>
      <c r="H1058">
        <f>IF(G1058="OUT",F1058,-F1058)</f>
        <v>26</v>
      </c>
      <c r="I1058">
        <f>IF(AND(B1058&gt;=DATE(2025,7,1),B1058&lt;=DATE(2026,6,30)),1,0)</f>
        <v>1</v>
      </c>
      <c r="J1058">
        <f>IF(B1058&lt;=DATE(2026,6,30),1,0)</f>
        <v>1</v>
      </c>
      <c r="K1058" t="inlineStr"/>
      <c r="L1058" t="inlineStr">
        <is>
          <t>Office</t>
        </is>
      </c>
      <c r="M1058">
        <f>COUNTIFS('Asset Log'!$A$5:$A$1379,A1058,'Asset Log'!$E$5:$E$1379,E1058,'Asset Log'!$G$5:$G$1379,G1058)</f>
        <v>1</v>
      </c>
    </row>
    <row r="1059">
      <c r="A1059" t="inlineStr">
        <is>
          <t>D70469</t>
        </is>
      </c>
      <c r="B1059" s="11" t="n">
        <v>46111</v>
      </c>
      <c r="C1059" t="inlineStr">
        <is>
          <t>S0050</t>
        </is>
      </c>
      <c r="D1059" t="inlineStr">
        <is>
          <t>S0050</t>
        </is>
      </c>
      <c r="E1059" t="inlineStr">
        <is>
          <t>FB</t>
        </is>
      </c>
      <c r="F1059" t="n">
        <v>28</v>
      </c>
      <c r="G1059" t="inlineStr">
        <is>
          <t>OUT</t>
        </is>
      </c>
      <c r="H1059">
        <f>IF(G1059="OUT",F1059,-F1059)</f>
        <v>28</v>
      </c>
      <c r="I1059">
        <f>IF(AND(B1059&gt;=DATE(2025,7,1),B1059&lt;=DATE(2026,6,30)),1,0)</f>
        <v>1</v>
      </c>
      <c r="J1059">
        <f>IF(B1059&lt;=DATE(2026,6,30),1,0)</f>
        <v>1</v>
      </c>
      <c r="K1059" t="inlineStr"/>
      <c r="L1059" t="inlineStr">
        <is>
          <t>Office</t>
        </is>
      </c>
      <c r="M1059">
        <f>COUNTIFS('Asset Log'!$A$5:$A$1379,A1059,'Asset Log'!$E$5:$E$1379,E1059,'Asset Log'!$G$5:$G$1379,G1059)</f>
        <v>1</v>
      </c>
    </row>
    <row r="1060">
      <c r="A1060" t="inlineStr">
        <is>
          <t>D71623</t>
        </is>
      </c>
      <c r="B1060" s="11" t="n">
        <v>46111</v>
      </c>
      <c r="C1060" t="inlineStr">
        <is>
          <t>170</t>
        </is>
      </c>
      <c r="D1060" t="inlineStr">
        <is>
          <t>S0170</t>
        </is>
      </c>
      <c r="E1060" t="inlineStr">
        <is>
          <t>FP</t>
        </is>
      </c>
      <c r="F1060" t="n">
        <v>46</v>
      </c>
      <c r="G1060" t="inlineStr">
        <is>
          <t>IN</t>
        </is>
      </c>
      <c r="H1060">
        <f>IF(G1060="OUT",F1060,-F1060)</f>
        <v>-46</v>
      </c>
      <c r="I1060">
        <f>IF(AND(B1060&gt;=DATE(2025,7,1),B1060&lt;=DATE(2026,6,30)),1,0)</f>
        <v>1</v>
      </c>
      <c r="J1060">
        <f>IF(B1060&lt;=DATE(2026,6,30),1,0)</f>
        <v>1</v>
      </c>
      <c r="K1060" t="inlineStr">
        <is>
          <t>Site text normalised</t>
        </is>
      </c>
      <c r="L1060" t="inlineStr">
        <is>
          <t>Driver</t>
        </is>
      </c>
      <c r="M1060">
        <f>COUNTIFS('Asset Log'!$A$5:$A$1379,A1060,'Asset Log'!$E$5:$E$1379,E1060,'Asset Log'!$G$5:$G$1379,G1060)</f>
        <v>1</v>
      </c>
    </row>
    <row r="1061">
      <c r="A1061" t="inlineStr">
        <is>
          <t>D71627</t>
        </is>
      </c>
      <c r="B1061" s="11" t="n">
        <v>46111</v>
      </c>
      <c r="C1061" t="inlineStr">
        <is>
          <t>S0170</t>
        </is>
      </c>
      <c r="D1061" t="inlineStr">
        <is>
          <t>S0170</t>
        </is>
      </c>
      <c r="E1061" t="inlineStr">
        <is>
          <t>FB</t>
        </is>
      </c>
      <c r="F1061" t="n">
        <v>50</v>
      </c>
      <c r="G1061" t="inlineStr">
        <is>
          <t>IN</t>
        </is>
      </c>
      <c r="H1061">
        <f>IF(G1061="OUT",F1061,-F1061)</f>
        <v>-50</v>
      </c>
      <c r="I1061">
        <f>IF(AND(B1061&gt;=DATE(2025,7,1),B1061&lt;=DATE(2026,6,30)),1,0)</f>
        <v>1</v>
      </c>
      <c r="J1061">
        <f>IF(B1061&lt;=DATE(2026,6,30),1,0)</f>
        <v>1</v>
      </c>
      <c r="K1061" t="inlineStr"/>
      <c r="L1061" t="inlineStr">
        <is>
          <t>Office</t>
        </is>
      </c>
      <c r="M1061">
        <f>COUNTIFS('Asset Log'!$A$5:$A$1379,A1061,'Asset Log'!$E$5:$E$1379,E1061,'Asset Log'!$G$5:$G$1379,G1061)</f>
        <v>1</v>
      </c>
    </row>
    <row r="1062">
      <c r="A1062" t="inlineStr">
        <is>
          <t>D71484</t>
        </is>
      </c>
      <c r="B1062" s="11" t="n">
        <v>46112</v>
      </c>
      <c r="C1062" t="inlineStr">
        <is>
          <t>S0155</t>
        </is>
      </c>
      <c r="D1062" t="inlineStr">
        <is>
          <t>S0155</t>
        </is>
      </c>
      <c r="E1062" t="inlineStr">
        <is>
          <t>FP</t>
        </is>
      </c>
      <c r="F1062" t="n">
        <v>41</v>
      </c>
      <c r="G1062" t="inlineStr">
        <is>
          <t>IN</t>
        </is>
      </c>
      <c r="H1062">
        <f>IF(G1062="OUT",F1062,-F1062)</f>
        <v>-41</v>
      </c>
      <c r="I1062">
        <f>IF(AND(B1062&gt;=DATE(2025,7,1),B1062&lt;=DATE(2026,6,30)),1,0)</f>
        <v>1</v>
      </c>
      <c r="J1062">
        <f>IF(B1062&lt;=DATE(2026,6,30),1,0)</f>
        <v>1</v>
      </c>
      <c r="K1062" t="inlineStr"/>
      <c r="L1062" t="inlineStr">
        <is>
          <t>Office</t>
        </is>
      </c>
      <c r="M1062">
        <f>COUNTIFS('Asset Log'!$A$5:$A$1379,A1062,'Asset Log'!$E$5:$E$1379,E1062,'Asset Log'!$G$5:$G$1379,G1062)</f>
        <v>1</v>
      </c>
    </row>
    <row r="1063">
      <c r="A1063" t="inlineStr">
        <is>
          <t>D71488</t>
        </is>
      </c>
      <c r="B1063" s="11" t="n">
        <v>46112</v>
      </c>
      <c r="C1063" t="inlineStr">
        <is>
          <t>S0155</t>
        </is>
      </c>
      <c r="D1063" t="inlineStr">
        <is>
          <t>S0155</t>
        </is>
      </c>
      <c r="E1063" t="inlineStr">
        <is>
          <t>FB</t>
        </is>
      </c>
      <c r="F1063" t="n">
        <v>46</v>
      </c>
      <c r="G1063" t="inlineStr">
        <is>
          <t>IN</t>
        </is>
      </c>
      <c r="H1063">
        <f>IF(G1063="OUT",F1063,-F1063)</f>
        <v>-46</v>
      </c>
      <c r="I1063">
        <f>IF(AND(B1063&gt;=DATE(2025,7,1),B1063&lt;=DATE(2026,6,30)),1,0)</f>
        <v>1</v>
      </c>
      <c r="J1063">
        <f>IF(B1063&lt;=DATE(2026,6,30),1,0)</f>
        <v>1</v>
      </c>
      <c r="K1063" t="inlineStr"/>
      <c r="L1063" t="inlineStr">
        <is>
          <t>Yard</t>
        </is>
      </c>
      <c r="M1063">
        <f>COUNTIFS('Asset Log'!$A$5:$A$1379,A1063,'Asset Log'!$E$5:$E$1379,E1063,'Asset Log'!$G$5:$G$1379,G1063)</f>
        <v>1</v>
      </c>
    </row>
    <row r="1064">
      <c r="A1064" t="inlineStr">
        <is>
          <t>D71489</t>
        </is>
      </c>
      <c r="B1064" s="11" t="n">
        <v>46112</v>
      </c>
      <c r="C1064" t="inlineStr">
        <is>
          <t>S0155</t>
        </is>
      </c>
      <c r="D1064" t="inlineStr">
        <is>
          <t>S0155</t>
        </is>
      </c>
      <c r="E1064" t="inlineStr">
        <is>
          <t>FP</t>
        </is>
      </c>
      <c r="F1064" t="n">
        <v>1</v>
      </c>
      <c r="G1064" t="inlineStr">
        <is>
          <t>LOST</t>
        </is>
      </c>
      <c r="H1064">
        <f>IF(G1064="OUT",F1064,-F1064)</f>
        <v>-1</v>
      </c>
      <c r="I1064">
        <f>IF(AND(B1064&gt;=DATE(2025,7,1),B1064&lt;=DATE(2026,6,30)),1,0)</f>
        <v>1</v>
      </c>
      <c r="J1064">
        <f>IF(B1064&lt;=DATE(2026,6,30),1,0)</f>
        <v>1</v>
      </c>
      <c r="K1064" t="inlineStr"/>
      <c r="L1064" t="inlineStr">
        <is>
          <t>Office</t>
        </is>
      </c>
      <c r="M1064">
        <f>COUNTIFS('Asset Log'!$A$5:$A$1379,A1064,'Asset Log'!$E$5:$E$1379,E1064,'Asset Log'!$G$5:$G$1379,G1064)</f>
        <v>1</v>
      </c>
    </row>
    <row r="1065">
      <c r="A1065" t="inlineStr">
        <is>
          <t>D72389</t>
        </is>
      </c>
      <c r="B1065" s="11" t="n">
        <v>46112</v>
      </c>
      <c r="C1065" t="inlineStr">
        <is>
          <t>S0279</t>
        </is>
      </c>
      <c r="D1065" t="inlineStr">
        <is>
          <t>S0279</t>
        </is>
      </c>
      <c r="E1065" t="inlineStr">
        <is>
          <t>ST</t>
        </is>
      </c>
      <c r="F1065" t="n">
        <v>2</v>
      </c>
      <c r="G1065" t="inlineStr">
        <is>
          <t>IN</t>
        </is>
      </c>
      <c r="H1065">
        <f>IF(G1065="OUT",F1065,-F1065)</f>
        <v>-2</v>
      </c>
      <c r="I1065">
        <f>IF(AND(B1065&gt;=DATE(2025,7,1),B1065&lt;=DATE(2026,6,30)),1,0)</f>
        <v>1</v>
      </c>
      <c r="J1065">
        <f>IF(B1065&lt;=DATE(2026,6,30),1,0)</f>
        <v>1</v>
      </c>
      <c r="K1065" t="inlineStr"/>
      <c r="L1065" t="inlineStr">
        <is>
          <t>Office</t>
        </is>
      </c>
      <c r="M1065">
        <f>COUNTIFS('Asset Log'!$A$5:$A$1379,A1065,'Asset Log'!$E$5:$E$1379,E1065,'Asset Log'!$G$5:$G$1379,G1065)</f>
        <v>1</v>
      </c>
    </row>
    <row r="1066">
      <c r="A1066" t="inlineStr">
        <is>
          <t>D72707</t>
        </is>
      </c>
      <c r="B1066" s="11" t="n">
        <v>46112</v>
      </c>
      <c r="C1066" t="inlineStr">
        <is>
          <t>S0449</t>
        </is>
      </c>
      <c r="D1066" t="inlineStr">
        <is>
          <t>S0449</t>
        </is>
      </c>
      <c r="E1066" t="inlineStr">
        <is>
          <t>TK</t>
        </is>
      </c>
      <c r="F1066" t="n">
        <v>1</v>
      </c>
      <c r="G1066" t="inlineStr">
        <is>
          <t>IN</t>
        </is>
      </c>
      <c r="H1066">
        <f>IF(G1066="OUT",F1066,-F1066)</f>
        <v>-1</v>
      </c>
      <c r="I1066">
        <f>IF(AND(B1066&gt;=DATE(2025,7,1),B1066&lt;=DATE(2026,6,30)),1,0)</f>
        <v>1</v>
      </c>
      <c r="J1066">
        <f>IF(B1066&lt;=DATE(2026,6,30),1,0)</f>
        <v>1</v>
      </c>
      <c r="K1066" t="inlineStr"/>
      <c r="L1066" t="inlineStr">
        <is>
          <t>Driver</t>
        </is>
      </c>
      <c r="M1066">
        <f>COUNTIFS('Asset Log'!$A$5:$A$1379,A1066,'Asset Log'!$E$5:$E$1379,E1066,'Asset Log'!$G$5:$G$1379,G1066)</f>
        <v>1</v>
      </c>
    </row>
    <row r="1067">
      <c r="A1067" t="inlineStr">
        <is>
          <t>D72456</t>
        </is>
      </c>
      <c r="B1067" s="11" t="n">
        <v>46113</v>
      </c>
      <c r="C1067" t="inlineStr">
        <is>
          <t>296</t>
        </is>
      </c>
      <c r="D1067" t="inlineStr">
        <is>
          <t>S0296</t>
        </is>
      </c>
      <c r="E1067" t="inlineStr">
        <is>
          <t>ST</t>
        </is>
      </c>
      <c r="F1067" t="n">
        <v>2</v>
      </c>
      <c r="G1067" t="inlineStr">
        <is>
          <t>OUT</t>
        </is>
      </c>
      <c r="H1067">
        <f>IF(G1067="OUT",F1067,-F1067)</f>
        <v>2</v>
      </c>
      <c r="I1067">
        <f>IF(AND(B1067&gt;=DATE(2025,7,1),B1067&lt;=DATE(2026,6,30)),1,0)</f>
        <v>1</v>
      </c>
      <c r="J1067">
        <f>IF(B1067&lt;=DATE(2026,6,30),1,0)</f>
        <v>1</v>
      </c>
      <c r="K1067" t="inlineStr">
        <is>
          <t>Site text normalised</t>
        </is>
      </c>
      <c r="L1067" t="inlineStr">
        <is>
          <t>Office</t>
        </is>
      </c>
      <c r="M1067">
        <f>COUNTIFS('Asset Log'!$A$5:$A$1379,A1067,'Asset Log'!$E$5:$E$1379,E1067,'Asset Log'!$G$5:$G$1379,G1067)</f>
        <v>1</v>
      </c>
    </row>
    <row r="1068">
      <c r="A1068" t="inlineStr">
        <is>
          <t>D70832</t>
        </is>
      </c>
      <c r="B1068" s="11" t="n">
        <v>46114</v>
      </c>
      <c r="C1068" t="inlineStr">
        <is>
          <t>s088</t>
        </is>
      </c>
      <c r="D1068" t="inlineStr">
        <is>
          <t>S0088</t>
        </is>
      </c>
      <c r="E1068" t="inlineStr">
        <is>
          <t>FP</t>
        </is>
      </c>
      <c r="F1068" t="n">
        <v>44</v>
      </c>
      <c r="G1068" t="inlineStr">
        <is>
          <t>IN</t>
        </is>
      </c>
      <c r="H1068">
        <f>IF(G1068="OUT",F1068,-F1068)</f>
        <v>-44</v>
      </c>
      <c r="I1068">
        <f>IF(AND(B1068&gt;=DATE(2025,7,1),B1068&lt;=DATE(2026,6,30)),1,0)</f>
        <v>1</v>
      </c>
      <c r="J1068">
        <f>IF(B1068&lt;=DATE(2026,6,30),1,0)</f>
        <v>1</v>
      </c>
      <c r="K1068" t="inlineStr">
        <is>
          <t>Site text normalised</t>
        </is>
      </c>
      <c r="L1068" t="inlineStr">
        <is>
          <t>Office</t>
        </is>
      </c>
      <c r="M1068">
        <f>COUNTIFS('Asset Log'!$A$5:$A$1379,A1068,'Asset Log'!$E$5:$E$1379,E1068,'Asset Log'!$G$5:$G$1379,G1068)</f>
        <v>1</v>
      </c>
    </row>
    <row r="1069">
      <c r="A1069" t="inlineStr">
        <is>
          <t>D70838</t>
        </is>
      </c>
      <c r="B1069" s="11" t="n">
        <v>46114</v>
      </c>
      <c r="C1069" t="inlineStr">
        <is>
          <t>s088</t>
        </is>
      </c>
      <c r="D1069" t="inlineStr">
        <is>
          <t>S0088</t>
        </is>
      </c>
      <c r="E1069" t="inlineStr">
        <is>
          <t>FB</t>
        </is>
      </c>
      <c r="F1069" t="n">
        <v>48</v>
      </c>
      <c r="G1069" t="inlineStr">
        <is>
          <t>IN</t>
        </is>
      </c>
      <c r="H1069">
        <f>IF(G1069="OUT",F1069,-F1069)</f>
        <v>-48</v>
      </c>
      <c r="I1069">
        <f>IF(AND(B1069&gt;=DATE(2025,7,1),B1069&lt;=DATE(2026,6,30)),1,0)</f>
        <v>1</v>
      </c>
      <c r="J1069">
        <f>IF(B1069&lt;=DATE(2026,6,30),1,0)</f>
        <v>1</v>
      </c>
      <c r="K1069" t="inlineStr">
        <is>
          <t>Site text normalised</t>
        </is>
      </c>
      <c r="L1069" t="inlineStr">
        <is>
          <t>Yard</t>
        </is>
      </c>
      <c r="M1069">
        <f>COUNTIFS('Asset Log'!$A$5:$A$1379,A1069,'Asset Log'!$E$5:$E$1379,E1069,'Asset Log'!$G$5:$G$1379,G1069)</f>
        <v>1</v>
      </c>
    </row>
    <row r="1070">
      <c r="A1070" t="inlineStr">
        <is>
          <t>D70843</t>
        </is>
      </c>
      <c r="B1070" s="11" t="n">
        <v>46114</v>
      </c>
      <c r="C1070" t="inlineStr">
        <is>
          <t>S0088</t>
        </is>
      </c>
      <c r="D1070" t="inlineStr">
        <is>
          <t>S0088</t>
        </is>
      </c>
      <c r="E1070" t="inlineStr">
        <is>
          <t>BR</t>
        </is>
      </c>
      <c r="F1070" t="n">
        <v>21</v>
      </c>
      <c r="G1070" t="inlineStr">
        <is>
          <t>IN</t>
        </is>
      </c>
      <c r="H1070">
        <f>IF(G1070="OUT",F1070,-F1070)</f>
        <v>-21</v>
      </c>
      <c r="I1070">
        <f>IF(AND(B1070&gt;=DATE(2025,7,1),B1070&lt;=DATE(2026,6,30)),1,0)</f>
        <v>1</v>
      </c>
      <c r="J1070">
        <f>IF(B1070&lt;=DATE(2026,6,30),1,0)</f>
        <v>1</v>
      </c>
      <c r="K1070" t="inlineStr"/>
      <c r="L1070" t="inlineStr">
        <is>
          <t>Driver</t>
        </is>
      </c>
      <c r="M1070">
        <f>COUNTIFS('Asset Log'!$A$5:$A$1379,A1070,'Asset Log'!$E$5:$E$1379,E1070,'Asset Log'!$G$5:$G$1379,G1070)</f>
        <v>1</v>
      </c>
    </row>
    <row r="1071">
      <c r="A1071" t="inlineStr">
        <is>
          <t>D70873</t>
        </is>
      </c>
      <c r="B1071" s="11" t="n">
        <v>46114</v>
      </c>
      <c r="C1071" t="inlineStr">
        <is>
          <t>s092</t>
        </is>
      </c>
      <c r="D1071" t="inlineStr">
        <is>
          <t>S0092</t>
        </is>
      </c>
      <c r="E1071" t="inlineStr">
        <is>
          <t>FP</t>
        </is>
      </c>
      <c r="F1071" t="n">
        <v>104</v>
      </c>
      <c r="G1071" t="inlineStr">
        <is>
          <t>OUT</t>
        </is>
      </c>
      <c r="H1071">
        <f>IF(G1071="OUT",F1071,-F1071)</f>
        <v>104</v>
      </c>
      <c r="I1071">
        <f>IF(AND(B1071&gt;=DATE(2025,7,1),B1071&lt;=DATE(2026,6,30)),1,0)</f>
        <v>1</v>
      </c>
      <c r="J1071">
        <f>IF(B1071&lt;=DATE(2026,6,30),1,0)</f>
        <v>1</v>
      </c>
      <c r="K1071" t="inlineStr">
        <is>
          <t>Site text normalised</t>
        </is>
      </c>
      <c r="L1071" t="inlineStr">
        <is>
          <t>Yard</t>
        </is>
      </c>
      <c r="M1071">
        <f>COUNTIFS('Asset Log'!$A$5:$A$1379,A1071,'Asset Log'!$E$5:$E$1379,E1071,'Asset Log'!$G$5:$G$1379,G1071)</f>
        <v>1</v>
      </c>
    </row>
    <row r="1072">
      <c r="A1072" t="inlineStr">
        <is>
          <t>D70875</t>
        </is>
      </c>
      <c r="B1072" s="11" t="n">
        <v>46114</v>
      </c>
      <c r="C1072" t="inlineStr">
        <is>
          <t>S0092</t>
        </is>
      </c>
      <c r="D1072" t="inlineStr">
        <is>
          <t>S0092</t>
        </is>
      </c>
      <c r="E1072" t="inlineStr">
        <is>
          <t>FB</t>
        </is>
      </c>
      <c r="F1072" t="n">
        <v>114</v>
      </c>
      <c r="G1072" t="inlineStr">
        <is>
          <t>OUT</t>
        </is>
      </c>
      <c r="H1072">
        <f>IF(G1072="OUT",F1072,-F1072)</f>
        <v>114</v>
      </c>
      <c r="I1072">
        <f>IF(AND(B1072&gt;=DATE(2025,7,1),B1072&lt;=DATE(2026,6,30)),1,0)</f>
        <v>1</v>
      </c>
      <c r="J1072">
        <f>IF(B1072&lt;=DATE(2026,6,30),1,0)</f>
        <v>1</v>
      </c>
      <c r="K1072" t="inlineStr"/>
      <c r="L1072" t="inlineStr">
        <is>
          <t>Driver</t>
        </is>
      </c>
      <c r="M1072">
        <f>COUNTIFS('Asset Log'!$A$5:$A$1379,A1072,'Asset Log'!$E$5:$E$1379,E1072,'Asset Log'!$G$5:$G$1379,G1072)</f>
        <v>1</v>
      </c>
    </row>
    <row r="1073">
      <c r="A1073" t="inlineStr">
        <is>
          <t>D72432</t>
        </is>
      </c>
      <c r="B1073" s="11" t="n">
        <v>46114</v>
      </c>
      <c r="C1073" t="inlineStr">
        <is>
          <t>S0290</t>
        </is>
      </c>
      <c r="D1073" t="inlineStr">
        <is>
          <t>S0290</t>
        </is>
      </c>
      <c r="E1073" t="inlineStr">
        <is>
          <t>ST</t>
        </is>
      </c>
      <c r="F1073" t="n">
        <v>4</v>
      </c>
      <c r="G1073" t="inlineStr">
        <is>
          <t>OUT</t>
        </is>
      </c>
      <c r="H1073">
        <f>IF(G1073="OUT",F1073,-F1073)</f>
        <v>4</v>
      </c>
      <c r="I1073">
        <f>IF(AND(B1073&gt;=DATE(2025,7,1),B1073&lt;=DATE(2026,6,30)),1,0)</f>
        <v>1</v>
      </c>
      <c r="J1073">
        <f>IF(B1073&lt;=DATE(2026,6,30),1,0)</f>
        <v>1</v>
      </c>
      <c r="K1073" t="inlineStr"/>
      <c r="L1073" t="inlineStr">
        <is>
          <t>Office</t>
        </is>
      </c>
      <c r="M1073">
        <f>COUNTIFS('Asset Log'!$A$5:$A$1379,A1073,'Asset Log'!$E$5:$E$1379,E1073,'Asset Log'!$G$5:$G$1379,G1073)</f>
        <v>1</v>
      </c>
    </row>
    <row r="1074">
      <c r="A1074" t="inlineStr">
        <is>
          <t>D72568</t>
        </is>
      </c>
      <c r="B1074" s="11" t="n">
        <v>46114</v>
      </c>
      <c r="C1074" t="inlineStr">
        <is>
          <t>S0376</t>
        </is>
      </c>
      <c r="D1074" t="inlineStr">
        <is>
          <t>S0376</t>
        </is>
      </c>
      <c r="E1074" t="inlineStr">
        <is>
          <t>TK</t>
        </is>
      </c>
      <c r="F1074" t="n">
        <v>1</v>
      </c>
      <c r="G1074" t="inlineStr">
        <is>
          <t>IN</t>
        </is>
      </c>
      <c r="H1074">
        <f>IF(G1074="OUT",F1074,-F1074)</f>
        <v>-1</v>
      </c>
      <c r="I1074">
        <f>IF(AND(B1074&gt;=DATE(2025,7,1),B1074&lt;=DATE(2026,6,30)),1,0)</f>
        <v>1</v>
      </c>
      <c r="J1074">
        <f>IF(B1074&lt;=DATE(2026,6,30),1,0)</f>
        <v>1</v>
      </c>
      <c r="K1074" t="inlineStr"/>
      <c r="L1074" t="inlineStr">
        <is>
          <t>Driver</t>
        </is>
      </c>
      <c r="M1074">
        <f>COUNTIFS('Asset Log'!$A$5:$A$1379,A1074,'Asset Log'!$E$5:$E$1379,E1074,'Asset Log'!$G$5:$G$1379,G1074)</f>
        <v>1</v>
      </c>
    </row>
    <row r="1075">
      <c r="A1075" t="inlineStr">
        <is>
          <t>D72615</t>
        </is>
      </c>
      <c r="B1075" s="11" t="n">
        <v>46114</v>
      </c>
      <c r="C1075" t="inlineStr">
        <is>
          <t>S0403</t>
        </is>
      </c>
      <c r="D1075" t="inlineStr">
        <is>
          <t>S0403</t>
        </is>
      </c>
      <c r="E1075" t="inlineStr">
        <is>
          <t>TK</t>
        </is>
      </c>
      <c r="F1075" t="n">
        <v>2</v>
      </c>
      <c r="G1075" t="inlineStr">
        <is>
          <t>OUT</t>
        </is>
      </c>
      <c r="H1075">
        <f>IF(G1075="OUT",F1075,-F1075)</f>
        <v>2</v>
      </c>
      <c r="I1075">
        <f>IF(AND(B1075&gt;=DATE(2025,7,1),B1075&lt;=DATE(2026,6,30)),1,0)</f>
        <v>1</v>
      </c>
      <c r="J1075">
        <f>IF(B1075&lt;=DATE(2026,6,30),1,0)</f>
        <v>1</v>
      </c>
      <c r="K1075" t="inlineStr"/>
      <c r="L1075" t="inlineStr">
        <is>
          <t>Yard</t>
        </is>
      </c>
      <c r="M1075">
        <f>COUNTIFS('Asset Log'!$A$5:$A$1379,A1075,'Asset Log'!$E$5:$E$1379,E1075,'Asset Log'!$G$5:$G$1379,G1075)</f>
        <v>1</v>
      </c>
    </row>
    <row r="1076">
      <c r="A1076" t="inlineStr">
        <is>
          <t>D71441</t>
        </is>
      </c>
      <c r="B1076" s="11" t="n">
        <v>46115</v>
      </c>
      <c r="C1076" t="inlineStr">
        <is>
          <t>S0151</t>
        </is>
      </c>
      <c r="D1076" t="inlineStr">
        <is>
          <t>S0151</t>
        </is>
      </c>
      <c r="E1076" t="inlineStr">
        <is>
          <t>FP</t>
        </is>
      </c>
      <c r="F1076" t="n">
        <v>87</v>
      </c>
      <c r="G1076" t="inlineStr">
        <is>
          <t>IN</t>
        </is>
      </c>
      <c r="H1076">
        <f>IF(G1076="OUT",F1076,-F1076)</f>
        <v>-87</v>
      </c>
      <c r="I1076">
        <f>IF(AND(B1076&gt;=DATE(2025,7,1),B1076&lt;=DATE(2026,6,30)),1,0)</f>
        <v>1</v>
      </c>
      <c r="J1076">
        <f>IF(B1076&lt;=DATE(2026,6,30),1,0)</f>
        <v>1</v>
      </c>
      <c r="K1076" t="inlineStr"/>
      <c r="L1076" t="inlineStr">
        <is>
          <t>Office</t>
        </is>
      </c>
      <c r="M1076">
        <f>COUNTIFS('Asset Log'!$A$5:$A$1379,A1076,'Asset Log'!$E$5:$E$1379,E1076,'Asset Log'!$G$5:$G$1379,G1076)</f>
        <v>1</v>
      </c>
    </row>
    <row r="1077">
      <c r="A1077" t="inlineStr">
        <is>
          <t>D71445</t>
        </is>
      </c>
      <c r="B1077" s="11" t="n">
        <v>46115</v>
      </c>
      <c r="C1077" t="inlineStr">
        <is>
          <t>151</t>
        </is>
      </c>
      <c r="D1077" t="inlineStr">
        <is>
          <t>S0151</t>
        </is>
      </c>
      <c r="E1077" t="inlineStr">
        <is>
          <t>FB</t>
        </is>
      </c>
      <c r="F1077" t="n">
        <v>95</v>
      </c>
      <c r="G1077" t="inlineStr">
        <is>
          <t>IN</t>
        </is>
      </c>
      <c r="H1077">
        <f>IF(G1077="OUT",F1077,-F1077)</f>
        <v>-95</v>
      </c>
      <c r="I1077">
        <f>IF(AND(B1077&gt;=DATE(2025,7,1),B1077&lt;=DATE(2026,6,30)),1,0)</f>
        <v>1</v>
      </c>
      <c r="J1077">
        <f>IF(B1077&lt;=DATE(2026,6,30),1,0)</f>
        <v>1</v>
      </c>
      <c r="K1077" t="inlineStr">
        <is>
          <t>Site text normalised</t>
        </is>
      </c>
      <c r="L1077" t="inlineStr">
        <is>
          <t>Yard</t>
        </is>
      </c>
      <c r="M1077">
        <f>COUNTIFS('Asset Log'!$A$5:$A$1379,A1077,'Asset Log'!$E$5:$E$1379,E1077,'Asset Log'!$G$5:$G$1379,G1077)</f>
        <v>1</v>
      </c>
    </row>
    <row r="1078">
      <c r="A1078" t="inlineStr">
        <is>
          <t>D72218</t>
        </is>
      </c>
      <c r="B1078" s="11" t="n">
        <v>46115</v>
      </c>
      <c r="C1078" t="inlineStr">
        <is>
          <t>S0237</t>
        </is>
      </c>
      <c r="D1078" t="inlineStr">
        <is>
          <t>S0237</t>
        </is>
      </c>
      <c r="E1078" t="inlineStr">
        <is>
          <t>ST</t>
        </is>
      </c>
      <c r="F1078" t="n">
        <v>1</v>
      </c>
      <c r="G1078" t="inlineStr">
        <is>
          <t>IN</t>
        </is>
      </c>
      <c r="H1078">
        <f>IF(G1078="OUT",F1078,-F1078)</f>
        <v>-1</v>
      </c>
      <c r="I1078">
        <f>IF(AND(B1078&gt;=DATE(2025,7,1),B1078&lt;=DATE(2026,6,30)),1,0)</f>
        <v>1</v>
      </c>
      <c r="J1078">
        <f>IF(B1078&lt;=DATE(2026,6,30),1,0)</f>
        <v>1</v>
      </c>
      <c r="K1078" t="inlineStr"/>
      <c r="L1078" t="inlineStr">
        <is>
          <t>Office</t>
        </is>
      </c>
      <c r="M1078">
        <f>COUNTIFS('Asset Log'!$A$5:$A$1379,A1078,'Asset Log'!$E$5:$E$1379,E1078,'Asset Log'!$G$5:$G$1379,G1078)</f>
        <v>1</v>
      </c>
    </row>
    <row r="1079">
      <c r="A1079" t="inlineStr">
        <is>
          <t>D72625</t>
        </is>
      </c>
      <c r="B1079" s="11" t="n">
        <v>46116</v>
      </c>
      <c r="C1079" t="inlineStr">
        <is>
          <t>S0407</t>
        </is>
      </c>
      <c r="D1079" t="inlineStr">
        <is>
          <t>S0407</t>
        </is>
      </c>
      <c r="E1079" t="inlineStr">
        <is>
          <t>TK</t>
        </is>
      </c>
      <c r="F1079" t="n">
        <v>1</v>
      </c>
      <c r="G1079" t="inlineStr">
        <is>
          <t>OUT</t>
        </is>
      </c>
      <c r="H1079">
        <f>IF(G1079="OUT",F1079,-F1079)</f>
        <v>1</v>
      </c>
      <c r="I1079">
        <f>IF(AND(B1079&gt;=DATE(2025,7,1),B1079&lt;=DATE(2026,6,30)),1,0)</f>
        <v>1</v>
      </c>
      <c r="J1079">
        <f>IF(B1079&lt;=DATE(2026,6,30),1,0)</f>
        <v>1</v>
      </c>
      <c r="K1079" t="inlineStr"/>
      <c r="L1079" t="inlineStr">
        <is>
          <t>Office</t>
        </is>
      </c>
      <c r="M1079">
        <f>COUNTIFS('Asset Log'!$A$5:$A$1379,A1079,'Asset Log'!$E$5:$E$1379,E1079,'Asset Log'!$G$5:$G$1379,G1079)</f>
        <v>1</v>
      </c>
    </row>
    <row r="1080">
      <c r="A1080" t="inlineStr">
        <is>
          <t>D71159</t>
        </is>
      </c>
      <c r="B1080" s="11" t="n">
        <v>46117</v>
      </c>
      <c r="C1080" t="inlineStr">
        <is>
          <t>S0122</t>
        </is>
      </c>
      <c r="D1080" t="inlineStr">
        <is>
          <t>S0122</t>
        </is>
      </c>
      <c r="E1080" t="inlineStr">
        <is>
          <t>FP</t>
        </is>
      </c>
      <c r="F1080" t="n">
        <v>19</v>
      </c>
      <c r="G1080" t="inlineStr">
        <is>
          <t>IN</t>
        </is>
      </c>
      <c r="H1080">
        <f>IF(G1080="OUT",F1080,-F1080)</f>
        <v>-19</v>
      </c>
      <c r="I1080">
        <f>IF(AND(B1080&gt;=DATE(2025,7,1),B1080&lt;=DATE(2026,6,30)),1,0)</f>
        <v>1</v>
      </c>
      <c r="J1080">
        <f>IF(B1080&lt;=DATE(2026,6,30),1,0)</f>
        <v>1</v>
      </c>
      <c r="K1080" t="inlineStr"/>
      <c r="L1080" t="inlineStr">
        <is>
          <t>Driver</t>
        </is>
      </c>
      <c r="M1080">
        <f>COUNTIFS('Asset Log'!$A$5:$A$1379,A1080,'Asset Log'!$E$5:$E$1379,E1080,'Asset Log'!$G$5:$G$1379,G1080)</f>
        <v>1</v>
      </c>
    </row>
    <row r="1081">
      <c r="A1081" t="inlineStr">
        <is>
          <t>D71162</t>
        </is>
      </c>
      <c r="B1081" s="11" t="n">
        <v>46117</v>
      </c>
      <c r="C1081" t="inlineStr">
        <is>
          <t>122</t>
        </is>
      </c>
      <c r="D1081" t="inlineStr">
        <is>
          <t>S0122</t>
        </is>
      </c>
      <c r="E1081" t="inlineStr">
        <is>
          <t>FB</t>
        </is>
      </c>
      <c r="F1081" t="n">
        <v>20</v>
      </c>
      <c r="G1081" t="inlineStr">
        <is>
          <t>IN</t>
        </is>
      </c>
      <c r="H1081">
        <f>IF(G1081="OUT",F1081,-F1081)</f>
        <v>-20</v>
      </c>
      <c r="I1081">
        <f>IF(AND(B1081&gt;=DATE(2025,7,1),B1081&lt;=DATE(2026,6,30)),1,0)</f>
        <v>1</v>
      </c>
      <c r="J1081">
        <f>IF(B1081&lt;=DATE(2026,6,30),1,0)</f>
        <v>1</v>
      </c>
      <c r="K1081" t="inlineStr">
        <is>
          <t>Site text normalised</t>
        </is>
      </c>
      <c r="L1081" t="inlineStr">
        <is>
          <t>Office</t>
        </is>
      </c>
      <c r="M1081">
        <f>COUNTIFS('Asset Log'!$A$5:$A$1379,A1081,'Asset Log'!$E$5:$E$1379,E1081,'Asset Log'!$G$5:$G$1379,G1081)</f>
        <v>1</v>
      </c>
    </row>
    <row r="1082">
      <c r="A1082" t="inlineStr">
        <is>
          <t>D71167</t>
        </is>
      </c>
      <c r="B1082" s="11" t="n">
        <v>46117</v>
      </c>
      <c r="C1082" t="inlineStr">
        <is>
          <t>S0122</t>
        </is>
      </c>
      <c r="D1082" t="inlineStr">
        <is>
          <t>S0122</t>
        </is>
      </c>
      <c r="E1082" t="inlineStr">
        <is>
          <t>BR</t>
        </is>
      </c>
      <c r="F1082" t="n">
        <v>5</v>
      </c>
      <c r="G1082" t="inlineStr">
        <is>
          <t>IN</t>
        </is>
      </c>
      <c r="H1082">
        <f>IF(G1082="OUT",F1082,-F1082)</f>
        <v>-5</v>
      </c>
      <c r="I1082">
        <f>IF(AND(B1082&gt;=DATE(2025,7,1),B1082&lt;=DATE(2026,6,30)),1,0)</f>
        <v>1</v>
      </c>
      <c r="J1082">
        <f>IF(B1082&lt;=DATE(2026,6,30),1,0)</f>
        <v>1</v>
      </c>
      <c r="K1082" t="inlineStr"/>
      <c r="L1082" t="inlineStr">
        <is>
          <t>Yard</t>
        </is>
      </c>
      <c r="M1082">
        <f>COUNTIFS('Asset Log'!$A$5:$A$1379,A1082,'Asset Log'!$E$5:$E$1379,E1082,'Asset Log'!$G$5:$G$1379,G1082)</f>
        <v>1</v>
      </c>
    </row>
    <row r="1083">
      <c r="A1083" t="inlineStr">
        <is>
          <t>D72126</t>
        </is>
      </c>
      <c r="B1083" s="11" t="n">
        <v>46117</v>
      </c>
      <c r="C1083" t="inlineStr">
        <is>
          <t>S0225</t>
        </is>
      </c>
      <c r="D1083" t="inlineStr">
        <is>
          <t>S0225</t>
        </is>
      </c>
      <c r="E1083" t="inlineStr">
        <is>
          <t>FP</t>
        </is>
      </c>
      <c r="F1083" t="n">
        <v>84</v>
      </c>
      <c r="G1083" t="inlineStr">
        <is>
          <t>IN</t>
        </is>
      </c>
      <c r="H1083">
        <f>IF(G1083="OUT",F1083,-F1083)</f>
        <v>-84</v>
      </c>
      <c r="I1083">
        <f>IF(AND(B1083&gt;=DATE(2025,7,1),B1083&lt;=DATE(2026,6,30)),1,0)</f>
        <v>1</v>
      </c>
      <c r="J1083">
        <f>IF(B1083&lt;=DATE(2026,6,30),1,0)</f>
        <v>1</v>
      </c>
      <c r="K1083" t="inlineStr"/>
      <c r="L1083" t="inlineStr">
        <is>
          <t>Office</t>
        </is>
      </c>
      <c r="M1083">
        <f>COUNTIFS('Asset Log'!$A$5:$A$1379,A1083,'Asset Log'!$E$5:$E$1379,E1083,'Asset Log'!$G$5:$G$1379,G1083)</f>
        <v>1</v>
      </c>
    </row>
    <row r="1084">
      <c r="A1084" t="inlineStr">
        <is>
          <t>D72129</t>
        </is>
      </c>
      <c r="B1084" s="11" t="n">
        <v>46117</v>
      </c>
      <c r="C1084" t="inlineStr">
        <is>
          <t>S0225</t>
        </is>
      </c>
      <c r="D1084" t="inlineStr">
        <is>
          <t>S0225</t>
        </is>
      </c>
      <c r="E1084" t="inlineStr">
        <is>
          <t>FB</t>
        </is>
      </c>
      <c r="F1084" t="n">
        <v>92</v>
      </c>
      <c r="G1084" t="inlineStr">
        <is>
          <t>IN</t>
        </is>
      </c>
      <c r="H1084">
        <f>IF(G1084="OUT",F1084,-F1084)</f>
        <v>-92</v>
      </c>
      <c r="I1084">
        <f>IF(AND(B1084&gt;=DATE(2025,7,1),B1084&lt;=DATE(2026,6,30)),1,0)</f>
        <v>1</v>
      </c>
      <c r="J1084">
        <f>IF(B1084&lt;=DATE(2026,6,30),1,0)</f>
        <v>1</v>
      </c>
      <c r="K1084" t="inlineStr"/>
      <c r="L1084" t="inlineStr">
        <is>
          <t>Office</t>
        </is>
      </c>
      <c r="M1084">
        <f>COUNTIFS('Asset Log'!$A$5:$A$1379,A1084,'Asset Log'!$E$5:$E$1379,E1084,'Asset Log'!$G$5:$G$1379,G1084)</f>
        <v>1</v>
      </c>
    </row>
    <row r="1085">
      <c r="A1085" t="inlineStr">
        <is>
          <t>D72131</t>
        </is>
      </c>
      <c r="B1085" s="11" t="n">
        <v>46117</v>
      </c>
      <c r="C1085" t="inlineStr">
        <is>
          <t>S0225</t>
        </is>
      </c>
      <c r="D1085" t="inlineStr">
        <is>
          <t>S0225</t>
        </is>
      </c>
      <c r="E1085" t="inlineStr">
        <is>
          <t>BR</t>
        </is>
      </c>
      <c r="F1085" t="n">
        <v>16</v>
      </c>
      <c r="G1085" t="inlineStr">
        <is>
          <t>IN</t>
        </is>
      </c>
      <c r="H1085">
        <f>IF(G1085="OUT",F1085,-F1085)</f>
        <v>-16</v>
      </c>
      <c r="I1085">
        <f>IF(AND(B1085&gt;=DATE(2025,7,1),B1085&lt;=DATE(2026,6,30)),1,0)</f>
        <v>1</v>
      </c>
      <c r="J1085">
        <f>IF(B1085&lt;=DATE(2026,6,30),1,0)</f>
        <v>1</v>
      </c>
      <c r="K1085" t="inlineStr"/>
      <c r="L1085" t="inlineStr">
        <is>
          <t>Yard</t>
        </is>
      </c>
      <c r="M1085">
        <f>COUNTIFS('Asset Log'!$A$5:$A$1379,A1085,'Asset Log'!$E$5:$E$1379,E1085,'Asset Log'!$G$5:$G$1379,G1085)</f>
        <v>1</v>
      </c>
    </row>
    <row r="1086">
      <c r="A1086" t="inlineStr">
        <is>
          <t>D72414</t>
        </is>
      </c>
      <c r="B1086" s="11" t="n">
        <v>46117</v>
      </c>
      <c r="C1086" t="inlineStr">
        <is>
          <t>s285</t>
        </is>
      </c>
      <c r="D1086" t="inlineStr">
        <is>
          <t>S0285</t>
        </is>
      </c>
      <c r="E1086" t="inlineStr">
        <is>
          <t>ST</t>
        </is>
      </c>
      <c r="F1086" t="n">
        <v>1</v>
      </c>
      <c r="G1086" t="inlineStr">
        <is>
          <t>IN</t>
        </is>
      </c>
      <c r="H1086">
        <f>IF(G1086="OUT",F1086,-F1086)</f>
        <v>-1</v>
      </c>
      <c r="I1086">
        <f>IF(AND(B1086&gt;=DATE(2025,7,1),B1086&lt;=DATE(2026,6,30)),1,0)</f>
        <v>1</v>
      </c>
      <c r="J1086">
        <f>IF(B1086&lt;=DATE(2026,6,30),1,0)</f>
        <v>1</v>
      </c>
      <c r="K1086" t="inlineStr">
        <is>
          <t>Site text normalised</t>
        </is>
      </c>
      <c r="L1086" t="inlineStr">
        <is>
          <t>Driver</t>
        </is>
      </c>
      <c r="M1086">
        <f>COUNTIFS('Asset Log'!$A$5:$A$1379,A1086,'Asset Log'!$E$5:$E$1379,E1086,'Asset Log'!$G$5:$G$1379,G1086)</f>
        <v>1</v>
      </c>
    </row>
    <row r="1087">
      <c r="A1087" t="inlineStr">
        <is>
          <t>D70615</t>
        </is>
      </c>
      <c r="B1087" s="11" t="n">
        <v>46118</v>
      </c>
      <c r="C1087" t="inlineStr">
        <is>
          <t>S0066</t>
        </is>
      </c>
      <c r="D1087" t="inlineStr">
        <is>
          <t>S0066</t>
        </is>
      </c>
      <c r="E1087" t="inlineStr">
        <is>
          <t>FP</t>
        </is>
      </c>
      <c r="F1087" t="n">
        <v>75</v>
      </c>
      <c r="G1087" t="inlineStr">
        <is>
          <t>IN</t>
        </is>
      </c>
      <c r="H1087">
        <f>IF(G1087="OUT",F1087,-F1087)</f>
        <v>-75</v>
      </c>
      <c r="I1087">
        <f>IF(AND(B1087&gt;=DATE(2025,7,1),B1087&lt;=DATE(2026,6,30)),1,0)</f>
        <v>1</v>
      </c>
      <c r="J1087">
        <f>IF(B1087&lt;=DATE(2026,6,30),1,0)</f>
        <v>1</v>
      </c>
      <c r="K1087" t="inlineStr"/>
      <c r="L1087" t="inlineStr">
        <is>
          <t>Office</t>
        </is>
      </c>
      <c r="M1087">
        <f>COUNTIFS('Asset Log'!$A$5:$A$1379,A1087,'Asset Log'!$E$5:$E$1379,E1087,'Asset Log'!$G$5:$G$1379,G1087)</f>
        <v>1</v>
      </c>
    </row>
    <row r="1088">
      <c r="A1088" t="inlineStr">
        <is>
          <t>D70622</t>
        </is>
      </c>
      <c r="B1088" s="11" t="n">
        <v>46118</v>
      </c>
      <c r="C1088" t="inlineStr">
        <is>
          <t>S0066</t>
        </is>
      </c>
      <c r="D1088" t="inlineStr">
        <is>
          <t>S0066</t>
        </is>
      </c>
      <c r="E1088" t="inlineStr">
        <is>
          <t>FB</t>
        </is>
      </c>
      <c r="F1088" t="n">
        <v>94</v>
      </c>
      <c r="G1088" t="inlineStr">
        <is>
          <t>IN</t>
        </is>
      </c>
      <c r="H1088">
        <f>IF(G1088="OUT",F1088,-F1088)</f>
        <v>-94</v>
      </c>
      <c r="I1088">
        <f>IF(AND(B1088&gt;=DATE(2025,7,1),B1088&lt;=DATE(2026,6,30)),1,0)</f>
        <v>1</v>
      </c>
      <c r="J1088">
        <f>IF(B1088&lt;=DATE(2026,6,30),1,0)</f>
        <v>1</v>
      </c>
      <c r="K1088" t="inlineStr"/>
      <c r="L1088" t="inlineStr">
        <is>
          <t>Yard</t>
        </is>
      </c>
      <c r="M1088">
        <f>COUNTIFS('Asset Log'!$A$5:$A$1379,A1088,'Asset Log'!$E$5:$E$1379,E1088,'Asset Log'!$G$5:$G$1379,G1088)</f>
        <v>1</v>
      </c>
    </row>
    <row r="1089">
      <c r="A1089" t="inlineStr">
        <is>
          <t>D70624</t>
        </is>
      </c>
      <c r="B1089" s="11" t="n">
        <v>46118</v>
      </c>
      <c r="C1089" t="inlineStr">
        <is>
          <t>S0066</t>
        </is>
      </c>
      <c r="D1089" t="inlineStr">
        <is>
          <t>S0066</t>
        </is>
      </c>
      <c r="E1089" t="inlineStr">
        <is>
          <t>FP</t>
        </is>
      </c>
      <c r="F1089" t="n">
        <v>3</v>
      </c>
      <c r="G1089" t="inlineStr">
        <is>
          <t>LOST</t>
        </is>
      </c>
      <c r="H1089">
        <f>IF(G1089="OUT",F1089,-F1089)</f>
        <v>-3</v>
      </c>
      <c r="I1089">
        <f>IF(AND(B1089&gt;=DATE(2025,7,1),B1089&lt;=DATE(2026,6,30)),1,0)</f>
        <v>1</v>
      </c>
      <c r="J1089">
        <f>IF(B1089&lt;=DATE(2026,6,30),1,0)</f>
        <v>1</v>
      </c>
      <c r="K1089" t="inlineStr"/>
      <c r="L1089" t="inlineStr">
        <is>
          <t>Yard</t>
        </is>
      </c>
      <c r="M1089">
        <f>COUNTIFS('Asset Log'!$A$5:$A$1379,A1089,'Asset Log'!$E$5:$E$1379,E1089,'Asset Log'!$G$5:$G$1379,G1089)</f>
        <v>1</v>
      </c>
    </row>
    <row r="1090">
      <c r="A1090" t="inlineStr">
        <is>
          <t>D72174</t>
        </is>
      </c>
      <c r="B1090" s="11" t="n">
        <v>46118</v>
      </c>
      <c r="C1090" t="inlineStr">
        <is>
          <t>S0230</t>
        </is>
      </c>
      <c r="D1090" t="inlineStr">
        <is>
          <t>S0230</t>
        </is>
      </c>
      <c r="E1090" t="inlineStr">
        <is>
          <t>FP</t>
        </is>
      </c>
      <c r="F1090" t="n">
        <v>75</v>
      </c>
      <c r="G1090" t="inlineStr">
        <is>
          <t>IN</t>
        </is>
      </c>
      <c r="H1090">
        <f>IF(G1090="OUT",F1090,-F1090)</f>
        <v>-75</v>
      </c>
      <c r="I1090">
        <f>IF(AND(B1090&gt;=DATE(2025,7,1),B1090&lt;=DATE(2026,6,30)),1,0)</f>
        <v>1</v>
      </c>
      <c r="J1090">
        <f>IF(B1090&lt;=DATE(2026,6,30),1,0)</f>
        <v>1</v>
      </c>
      <c r="K1090" t="inlineStr"/>
      <c r="L1090" t="inlineStr">
        <is>
          <t>Office</t>
        </is>
      </c>
      <c r="M1090">
        <f>COUNTIFS('Asset Log'!$A$5:$A$1379,A1090,'Asset Log'!$E$5:$E$1379,E1090,'Asset Log'!$G$5:$G$1379,G1090)</f>
        <v>1</v>
      </c>
    </row>
    <row r="1091">
      <c r="A1091" t="inlineStr">
        <is>
          <t>D72179</t>
        </is>
      </c>
      <c r="B1091" s="11" t="n">
        <v>46118</v>
      </c>
      <c r="C1091" t="inlineStr">
        <is>
          <t>S0230</t>
        </is>
      </c>
      <c r="D1091" t="inlineStr">
        <is>
          <t>S0230</t>
        </is>
      </c>
      <c r="E1091" t="inlineStr">
        <is>
          <t>FB</t>
        </is>
      </c>
      <c r="F1091" t="n">
        <v>82</v>
      </c>
      <c r="G1091" t="inlineStr">
        <is>
          <t>IN</t>
        </is>
      </c>
      <c r="H1091">
        <f>IF(G1091="OUT",F1091,-F1091)</f>
        <v>-82</v>
      </c>
      <c r="I1091">
        <f>IF(AND(B1091&gt;=DATE(2025,7,1),B1091&lt;=DATE(2026,6,30)),1,0)</f>
        <v>1</v>
      </c>
      <c r="J1091">
        <f>IF(B1091&lt;=DATE(2026,6,30),1,0)</f>
        <v>1</v>
      </c>
      <c r="K1091" t="inlineStr"/>
      <c r="L1091" t="inlineStr">
        <is>
          <t>Yard</t>
        </is>
      </c>
      <c r="M1091">
        <f>COUNTIFS('Asset Log'!$A$5:$A$1379,A1091,'Asset Log'!$E$5:$E$1379,E1091,'Asset Log'!$G$5:$G$1379,G1091)</f>
        <v>1</v>
      </c>
    </row>
    <row r="1092">
      <c r="A1092" t="inlineStr">
        <is>
          <t>D72386</t>
        </is>
      </c>
      <c r="B1092" s="11" t="n">
        <v>46118</v>
      </c>
      <c r="C1092" t="inlineStr">
        <is>
          <t>S0278</t>
        </is>
      </c>
      <c r="D1092" t="inlineStr">
        <is>
          <t>S0278</t>
        </is>
      </c>
      <c r="E1092" t="inlineStr">
        <is>
          <t>ST</t>
        </is>
      </c>
      <c r="F1092" t="n">
        <v>2</v>
      </c>
      <c r="G1092" t="inlineStr">
        <is>
          <t>IN</t>
        </is>
      </c>
      <c r="H1092">
        <f>IF(G1092="OUT",F1092,-F1092)</f>
        <v>-2</v>
      </c>
      <c r="I1092">
        <f>IF(AND(B1092&gt;=DATE(2025,7,1),B1092&lt;=DATE(2026,6,30)),1,0)</f>
        <v>1</v>
      </c>
      <c r="J1092">
        <f>IF(B1092&lt;=DATE(2026,6,30),1,0)</f>
        <v>1</v>
      </c>
      <c r="K1092" t="inlineStr"/>
      <c r="L1092" t="inlineStr">
        <is>
          <t>Office</t>
        </is>
      </c>
      <c r="M1092">
        <f>COUNTIFS('Asset Log'!$A$5:$A$1379,A1092,'Asset Log'!$E$5:$E$1379,E1092,'Asset Log'!$G$5:$G$1379,G1092)</f>
        <v>1</v>
      </c>
    </row>
    <row r="1093">
      <c r="A1093" t="inlineStr">
        <is>
          <t>D72560</t>
        </is>
      </c>
      <c r="B1093" s="11" t="n">
        <v>46118</v>
      </c>
      <c r="C1093" t="inlineStr">
        <is>
          <t>S0373</t>
        </is>
      </c>
      <c r="D1093" t="inlineStr">
        <is>
          <t>S0373</t>
        </is>
      </c>
      <c r="E1093" t="inlineStr">
        <is>
          <t>TK</t>
        </is>
      </c>
      <c r="F1093" t="n">
        <v>2</v>
      </c>
      <c r="G1093" t="inlineStr">
        <is>
          <t>OUT</t>
        </is>
      </c>
      <c r="H1093">
        <f>IF(G1093="OUT",F1093,-F1093)</f>
        <v>2</v>
      </c>
      <c r="I1093">
        <f>IF(AND(B1093&gt;=DATE(2025,7,1),B1093&lt;=DATE(2026,6,30)),1,0)</f>
        <v>1</v>
      </c>
      <c r="J1093">
        <f>IF(B1093&lt;=DATE(2026,6,30),1,0)</f>
        <v>1</v>
      </c>
      <c r="K1093" t="inlineStr"/>
      <c r="L1093" t="inlineStr">
        <is>
          <t>Office</t>
        </is>
      </c>
      <c r="M1093">
        <f>COUNTIFS('Asset Log'!$A$5:$A$1379,A1093,'Asset Log'!$E$5:$E$1379,E1093,'Asset Log'!$G$5:$G$1379,G1093)</f>
        <v>1</v>
      </c>
    </row>
    <row r="1094">
      <c r="A1094" t="inlineStr">
        <is>
          <t>D71257</t>
        </is>
      </c>
      <c r="B1094" s="11" t="n">
        <v>46120</v>
      </c>
      <c r="C1094" t="inlineStr">
        <is>
          <t>S0131</t>
        </is>
      </c>
      <c r="D1094" t="inlineStr">
        <is>
          <t>S0131</t>
        </is>
      </c>
      <c r="E1094" t="inlineStr">
        <is>
          <t>FP</t>
        </is>
      </c>
      <c r="F1094" t="n">
        <v>62</v>
      </c>
      <c r="G1094" t="inlineStr">
        <is>
          <t>IN</t>
        </is>
      </c>
      <c r="H1094">
        <f>IF(G1094="OUT",F1094,-F1094)</f>
        <v>-62</v>
      </c>
      <c r="I1094">
        <f>IF(AND(B1094&gt;=DATE(2025,7,1),B1094&lt;=DATE(2026,6,30)),1,0)</f>
        <v>1</v>
      </c>
      <c r="J1094">
        <f>IF(B1094&lt;=DATE(2026,6,30),1,0)</f>
        <v>1</v>
      </c>
      <c r="K1094" t="inlineStr"/>
      <c r="L1094" t="inlineStr">
        <is>
          <t>Office</t>
        </is>
      </c>
      <c r="M1094">
        <f>COUNTIFS('Asset Log'!$A$5:$A$1379,A1094,'Asset Log'!$E$5:$E$1379,E1094,'Asset Log'!$G$5:$G$1379,G1094)</f>
        <v>1</v>
      </c>
    </row>
    <row r="1095">
      <c r="A1095" t="inlineStr">
        <is>
          <t>D71261</t>
        </is>
      </c>
      <c r="B1095" s="11" t="n">
        <v>46120</v>
      </c>
      <c r="C1095" t="inlineStr">
        <is>
          <t>S0131</t>
        </is>
      </c>
      <c r="D1095" t="inlineStr">
        <is>
          <t>S0131</t>
        </is>
      </c>
      <c r="E1095" t="inlineStr">
        <is>
          <t>FB</t>
        </is>
      </c>
      <c r="F1095" t="n">
        <v>68</v>
      </c>
      <c r="G1095" t="inlineStr">
        <is>
          <t>IN</t>
        </is>
      </c>
      <c r="H1095">
        <f>IF(G1095="OUT",F1095,-F1095)</f>
        <v>-68</v>
      </c>
      <c r="I1095">
        <f>IF(AND(B1095&gt;=DATE(2025,7,1),B1095&lt;=DATE(2026,6,30)),1,0)</f>
        <v>1</v>
      </c>
      <c r="J1095">
        <f>IF(B1095&lt;=DATE(2026,6,30),1,0)</f>
        <v>1</v>
      </c>
      <c r="K1095" t="inlineStr"/>
      <c r="L1095" t="inlineStr">
        <is>
          <t>Driver</t>
        </is>
      </c>
      <c r="M1095">
        <f>COUNTIFS('Asset Log'!$A$5:$A$1379,A1095,'Asset Log'!$E$5:$E$1379,E1095,'Asset Log'!$G$5:$G$1379,G1095)</f>
        <v>1</v>
      </c>
    </row>
    <row r="1096">
      <c r="A1096" t="inlineStr">
        <is>
          <t>D71590</t>
        </is>
      </c>
      <c r="B1096" s="11" t="n">
        <v>46120</v>
      </c>
      <c r="C1096" t="inlineStr">
        <is>
          <t>S0166</t>
        </is>
      </c>
      <c r="D1096" t="inlineStr">
        <is>
          <t>S0166</t>
        </is>
      </c>
      <c r="E1096" t="inlineStr">
        <is>
          <t>FP</t>
        </is>
      </c>
      <c r="F1096" t="n">
        <v>79</v>
      </c>
      <c r="G1096" t="inlineStr">
        <is>
          <t>OUT</t>
        </is>
      </c>
      <c r="H1096">
        <f>IF(G1096="OUT",F1096,-F1096)</f>
        <v>79</v>
      </c>
      <c r="I1096">
        <f>IF(AND(B1096&gt;=DATE(2025,7,1),B1096&lt;=DATE(2026,6,30)),1,0)</f>
        <v>1</v>
      </c>
      <c r="J1096">
        <f>IF(B1096&lt;=DATE(2026,6,30),1,0)</f>
        <v>1</v>
      </c>
      <c r="K1096" t="inlineStr"/>
      <c r="L1096" t="inlineStr">
        <is>
          <t>Office</t>
        </is>
      </c>
      <c r="M1096">
        <f>COUNTIFS('Asset Log'!$A$5:$A$1379,A1096,'Asset Log'!$E$5:$E$1379,E1096,'Asset Log'!$G$5:$G$1379,G1096)</f>
        <v>1</v>
      </c>
    </row>
    <row r="1097">
      <c r="A1097" t="inlineStr">
        <is>
          <t>D71591</t>
        </is>
      </c>
      <c r="B1097" s="11" t="n">
        <v>46120</v>
      </c>
      <c r="C1097" t="inlineStr">
        <is>
          <t>S0166</t>
        </is>
      </c>
      <c r="D1097" t="inlineStr">
        <is>
          <t>S0166</t>
        </is>
      </c>
      <c r="E1097" t="inlineStr">
        <is>
          <t>FB</t>
        </is>
      </c>
      <c r="F1097" t="n">
        <v>86</v>
      </c>
      <c r="G1097" t="inlineStr">
        <is>
          <t>OUT</t>
        </is>
      </c>
      <c r="H1097">
        <f>IF(G1097="OUT",F1097,-F1097)</f>
        <v>86</v>
      </c>
      <c r="I1097">
        <f>IF(AND(B1097&gt;=DATE(2025,7,1),B1097&lt;=DATE(2026,6,30)),1,0)</f>
        <v>1</v>
      </c>
      <c r="J1097">
        <f>IF(B1097&lt;=DATE(2026,6,30),1,0)</f>
        <v>1</v>
      </c>
      <c r="K1097" t="inlineStr"/>
      <c r="L1097" t="inlineStr">
        <is>
          <t>Yard</t>
        </is>
      </c>
      <c r="M1097">
        <f>COUNTIFS('Asset Log'!$A$5:$A$1379,A1097,'Asset Log'!$E$5:$E$1379,E1097,'Asset Log'!$G$5:$G$1379,G1097)</f>
        <v>1</v>
      </c>
    </row>
    <row r="1098">
      <c r="A1098" t="inlineStr">
        <is>
          <t>D72542</t>
        </is>
      </c>
      <c r="B1098" s="11" t="n">
        <v>46121</v>
      </c>
      <c r="C1098" t="inlineStr">
        <is>
          <t>S0355</t>
        </is>
      </c>
      <c r="D1098" t="inlineStr">
        <is>
          <t>S0355</t>
        </is>
      </c>
      <c r="E1098" t="inlineStr">
        <is>
          <t>TK</t>
        </is>
      </c>
      <c r="F1098" t="n">
        <v>1</v>
      </c>
      <c r="G1098" t="inlineStr">
        <is>
          <t>OUT</t>
        </is>
      </c>
      <c r="H1098">
        <f>IF(G1098="OUT",F1098,-F1098)</f>
        <v>1</v>
      </c>
      <c r="I1098">
        <f>IF(AND(B1098&gt;=DATE(2025,7,1),B1098&lt;=DATE(2026,6,30)),1,0)</f>
        <v>1</v>
      </c>
      <c r="J1098">
        <f>IF(B1098&lt;=DATE(2026,6,30),1,0)</f>
        <v>1</v>
      </c>
      <c r="K1098" t="inlineStr"/>
      <c r="L1098" t="inlineStr">
        <is>
          <t>Driver</t>
        </is>
      </c>
      <c r="M1098">
        <f>COUNTIFS('Asset Log'!$A$5:$A$1379,A1098,'Asset Log'!$E$5:$E$1379,E1098,'Asset Log'!$G$5:$G$1379,G1098)</f>
        <v>1</v>
      </c>
    </row>
    <row r="1099">
      <c r="A1099" t="inlineStr">
        <is>
          <t>D72787</t>
        </is>
      </c>
      <c r="B1099" s="11" t="n">
        <v>46121</v>
      </c>
      <c r="C1099" t="inlineStr">
        <is>
          <t>S0508</t>
        </is>
      </c>
      <c r="D1099" t="inlineStr">
        <is>
          <t>S0508</t>
        </is>
      </c>
      <c r="E1099" t="inlineStr">
        <is>
          <t>TK</t>
        </is>
      </c>
      <c r="F1099" t="n">
        <v>1</v>
      </c>
      <c r="G1099" t="inlineStr">
        <is>
          <t>OUT</t>
        </is>
      </c>
      <c r="H1099">
        <f>IF(G1099="OUT",F1099,-F1099)</f>
        <v>1</v>
      </c>
      <c r="I1099">
        <f>IF(AND(B1099&gt;=DATE(2025,7,1),B1099&lt;=DATE(2026,6,30)),1,0)</f>
        <v>1</v>
      </c>
      <c r="J1099">
        <f>IF(B1099&lt;=DATE(2026,6,30),1,0)</f>
        <v>1</v>
      </c>
      <c r="K1099" t="inlineStr"/>
      <c r="L1099" t="inlineStr">
        <is>
          <t>Office</t>
        </is>
      </c>
      <c r="M1099">
        <f>COUNTIFS('Asset Log'!$A$5:$A$1379,A1099,'Asset Log'!$E$5:$E$1379,E1099,'Asset Log'!$G$5:$G$1379,G1099)</f>
        <v>1</v>
      </c>
    </row>
    <row r="1100">
      <c r="A1100" t="inlineStr">
        <is>
          <t>D70439</t>
        </is>
      </c>
      <c r="B1100" s="11" t="n">
        <v>46122</v>
      </c>
      <c r="C1100" t="inlineStr">
        <is>
          <t>S0047</t>
        </is>
      </c>
      <c r="D1100" t="inlineStr">
        <is>
          <t>S0047</t>
        </is>
      </c>
      <c r="E1100" t="inlineStr">
        <is>
          <t>FP</t>
        </is>
      </c>
      <c r="F1100" t="n">
        <v>111</v>
      </c>
      <c r="G1100" t="inlineStr">
        <is>
          <t>OUT</t>
        </is>
      </c>
      <c r="H1100">
        <f>IF(G1100="OUT",F1100,-F1100)</f>
        <v>111</v>
      </c>
      <c r="I1100">
        <f>IF(AND(B1100&gt;=DATE(2025,7,1),B1100&lt;=DATE(2026,6,30)),1,0)</f>
        <v>1</v>
      </c>
      <c r="J1100">
        <f>IF(B1100&lt;=DATE(2026,6,30),1,0)</f>
        <v>1</v>
      </c>
      <c r="K1100" t="inlineStr"/>
      <c r="L1100" t="inlineStr">
        <is>
          <t>Office</t>
        </is>
      </c>
      <c r="M1100">
        <f>COUNTIFS('Asset Log'!$A$5:$A$1379,A1100,'Asset Log'!$E$5:$E$1379,E1100,'Asset Log'!$G$5:$G$1379,G1100)</f>
        <v>1</v>
      </c>
    </row>
    <row r="1101">
      <c r="A1101" t="inlineStr">
        <is>
          <t>D70445</t>
        </is>
      </c>
      <c r="B1101" s="11" t="n">
        <v>46122</v>
      </c>
      <c r="C1101" t="inlineStr">
        <is>
          <t>S0047</t>
        </is>
      </c>
      <c r="D1101" t="inlineStr">
        <is>
          <t>S0047</t>
        </is>
      </c>
      <c r="E1101" t="inlineStr">
        <is>
          <t>FB</t>
        </is>
      </c>
      <c r="F1101" t="n">
        <v>122</v>
      </c>
      <c r="G1101" t="inlineStr">
        <is>
          <t>OUT</t>
        </is>
      </c>
      <c r="H1101">
        <f>IF(G1101="OUT",F1101,-F1101)</f>
        <v>122</v>
      </c>
      <c r="I1101">
        <f>IF(AND(B1101&gt;=DATE(2025,7,1),B1101&lt;=DATE(2026,6,30)),1,0)</f>
        <v>1</v>
      </c>
      <c r="J1101">
        <f>IF(B1101&lt;=DATE(2026,6,30),1,0)</f>
        <v>1</v>
      </c>
      <c r="K1101" t="inlineStr"/>
      <c r="L1101" t="inlineStr">
        <is>
          <t>Yard</t>
        </is>
      </c>
      <c r="M1101">
        <f>COUNTIFS('Asset Log'!$A$5:$A$1379,A1101,'Asset Log'!$E$5:$E$1379,E1101,'Asset Log'!$G$5:$G$1379,G1101)</f>
        <v>1</v>
      </c>
    </row>
    <row r="1102">
      <c r="A1102" t="inlineStr">
        <is>
          <t>D70642</t>
        </is>
      </c>
      <c r="B1102" s="11" t="n">
        <v>46122</v>
      </c>
      <c r="C1102" t="inlineStr">
        <is>
          <t>S0069</t>
        </is>
      </c>
      <c r="D1102" t="inlineStr">
        <is>
          <t>S0069</t>
        </is>
      </c>
      <c r="E1102" t="inlineStr">
        <is>
          <t>FP</t>
        </is>
      </c>
      <c r="F1102" t="n">
        <v>39</v>
      </c>
      <c r="G1102" t="inlineStr">
        <is>
          <t>IN</t>
        </is>
      </c>
      <c r="H1102">
        <f>IF(G1102="OUT",F1102,-F1102)</f>
        <v>-39</v>
      </c>
      <c r="I1102">
        <f>IF(AND(B1102&gt;=DATE(2025,7,1),B1102&lt;=DATE(2026,6,30)),1,0)</f>
        <v>1</v>
      </c>
      <c r="J1102">
        <f>IF(B1102&lt;=DATE(2026,6,30),1,0)</f>
        <v>1</v>
      </c>
      <c r="K1102" t="inlineStr"/>
      <c r="L1102" t="inlineStr">
        <is>
          <t>Yard</t>
        </is>
      </c>
      <c r="M1102">
        <f>COUNTIFS('Asset Log'!$A$5:$A$1379,A1102,'Asset Log'!$E$5:$E$1379,E1102,'Asset Log'!$G$5:$G$1379,G1102)</f>
        <v>1</v>
      </c>
    </row>
    <row r="1103">
      <c r="A1103" t="inlineStr">
        <is>
          <t>D70647</t>
        </is>
      </c>
      <c r="B1103" s="11" t="n">
        <v>46122</v>
      </c>
      <c r="C1103" t="inlineStr">
        <is>
          <t>S0069</t>
        </is>
      </c>
      <c r="D1103" t="inlineStr">
        <is>
          <t>S0069</t>
        </is>
      </c>
      <c r="E1103" t="inlineStr">
        <is>
          <t>FB</t>
        </is>
      </c>
      <c r="F1103" t="n">
        <v>42</v>
      </c>
      <c r="G1103" t="inlineStr">
        <is>
          <t>IN</t>
        </is>
      </c>
      <c r="H1103">
        <f>IF(G1103="OUT",F1103,-F1103)</f>
        <v>-42</v>
      </c>
      <c r="I1103">
        <f>IF(AND(B1103&gt;=DATE(2025,7,1),B1103&lt;=DATE(2026,6,30)),1,0)</f>
        <v>1</v>
      </c>
      <c r="J1103">
        <f>IF(B1103&lt;=DATE(2026,6,30),1,0)</f>
        <v>1</v>
      </c>
      <c r="K1103" t="inlineStr"/>
      <c r="L1103" t="inlineStr">
        <is>
          <t>Office</t>
        </is>
      </c>
      <c r="M1103">
        <f>COUNTIFS('Asset Log'!$A$5:$A$1379,A1103,'Asset Log'!$E$5:$E$1379,E1103,'Asset Log'!$G$5:$G$1379,G1103)</f>
        <v>1</v>
      </c>
    </row>
    <row r="1104">
      <c r="A1104" t="inlineStr">
        <is>
          <t>D70882</t>
        </is>
      </c>
      <c r="B1104" s="11" t="n">
        <v>46122</v>
      </c>
      <c r="C1104" t="inlineStr">
        <is>
          <t>S0094</t>
        </is>
      </c>
      <c r="D1104" t="inlineStr">
        <is>
          <t>S0094</t>
        </is>
      </c>
      <c r="E1104" t="inlineStr">
        <is>
          <t>FP</t>
        </is>
      </c>
      <c r="F1104" t="n">
        <v>115</v>
      </c>
      <c r="G1104" t="inlineStr">
        <is>
          <t>OUT</t>
        </is>
      </c>
      <c r="H1104">
        <f>IF(G1104="OUT",F1104,-F1104)</f>
        <v>115</v>
      </c>
      <c r="I1104">
        <f>IF(AND(B1104&gt;=DATE(2025,7,1),B1104&lt;=DATE(2026,6,30)),1,0)</f>
        <v>1</v>
      </c>
      <c r="J1104">
        <f>IF(B1104&lt;=DATE(2026,6,30),1,0)</f>
        <v>1</v>
      </c>
      <c r="K1104" t="inlineStr"/>
      <c r="L1104" t="inlineStr">
        <is>
          <t>Office</t>
        </is>
      </c>
      <c r="M1104">
        <f>COUNTIFS('Asset Log'!$A$5:$A$1379,A1104,'Asset Log'!$E$5:$E$1379,E1104,'Asset Log'!$G$5:$G$1379,G1104)</f>
        <v>1</v>
      </c>
    </row>
    <row r="1105">
      <c r="A1105" t="inlineStr">
        <is>
          <t>D70887</t>
        </is>
      </c>
      <c r="B1105" s="11" t="n">
        <v>46122</v>
      </c>
      <c r="C1105" t="inlineStr">
        <is>
          <t>S0094</t>
        </is>
      </c>
      <c r="D1105" t="inlineStr">
        <is>
          <t>S0094</t>
        </is>
      </c>
      <c r="E1105" t="inlineStr">
        <is>
          <t>FB</t>
        </is>
      </c>
      <c r="F1105" t="n">
        <v>126</v>
      </c>
      <c r="G1105" t="inlineStr">
        <is>
          <t>OUT</t>
        </is>
      </c>
      <c r="H1105">
        <f>IF(G1105="OUT",F1105,-F1105)</f>
        <v>126</v>
      </c>
      <c r="I1105">
        <f>IF(AND(B1105&gt;=DATE(2025,7,1),B1105&lt;=DATE(2026,6,30)),1,0)</f>
        <v>1</v>
      </c>
      <c r="J1105">
        <f>IF(B1105&lt;=DATE(2026,6,30),1,0)</f>
        <v>1</v>
      </c>
      <c r="K1105" t="inlineStr"/>
      <c r="L1105" t="inlineStr">
        <is>
          <t>Driver</t>
        </is>
      </c>
      <c r="M1105">
        <f>COUNTIFS('Asset Log'!$A$5:$A$1379,A1105,'Asset Log'!$E$5:$E$1379,E1105,'Asset Log'!$G$5:$G$1379,G1105)</f>
        <v>1</v>
      </c>
    </row>
    <row r="1106">
      <c r="A1106" t="inlineStr">
        <is>
          <t>D71962</t>
        </is>
      </c>
      <c r="B1106" s="11" t="n">
        <v>46122</v>
      </c>
      <c r="C1106" t="inlineStr">
        <is>
          <t>S0208</t>
        </is>
      </c>
      <c r="D1106" t="inlineStr">
        <is>
          <t>S0208</t>
        </is>
      </c>
      <c r="E1106" t="inlineStr">
        <is>
          <t>FP</t>
        </is>
      </c>
      <c r="F1106" t="n">
        <v>72</v>
      </c>
      <c r="G1106" t="inlineStr">
        <is>
          <t>IN</t>
        </is>
      </c>
      <c r="H1106">
        <f>IF(G1106="OUT",F1106,-F1106)</f>
        <v>-72</v>
      </c>
      <c r="I1106">
        <f>IF(AND(B1106&gt;=DATE(2025,7,1),B1106&lt;=DATE(2026,6,30)),1,0)</f>
        <v>1</v>
      </c>
      <c r="J1106">
        <f>IF(B1106&lt;=DATE(2026,6,30),1,0)</f>
        <v>1</v>
      </c>
      <c r="K1106" t="inlineStr"/>
      <c r="L1106" t="inlineStr">
        <is>
          <t>Yard</t>
        </is>
      </c>
      <c r="M1106">
        <f>COUNTIFS('Asset Log'!$A$5:$A$1379,A1106,'Asset Log'!$E$5:$E$1379,E1106,'Asset Log'!$G$5:$G$1379,G1106)</f>
        <v>1</v>
      </c>
    </row>
    <row r="1107">
      <c r="A1107" t="inlineStr">
        <is>
          <t>D71965</t>
        </is>
      </c>
      <c r="B1107" s="11" t="n">
        <v>46122</v>
      </c>
      <c r="C1107" t="inlineStr">
        <is>
          <t>208</t>
        </is>
      </c>
      <c r="D1107" t="inlineStr">
        <is>
          <t>S0208</t>
        </is>
      </c>
      <c r="E1107" t="inlineStr">
        <is>
          <t>FB</t>
        </is>
      </c>
      <c r="F1107" t="n">
        <v>79</v>
      </c>
      <c r="G1107" t="inlineStr">
        <is>
          <t>IN</t>
        </is>
      </c>
      <c r="H1107">
        <f>IF(G1107="OUT",F1107,-F1107)</f>
        <v>-79</v>
      </c>
      <c r="I1107">
        <f>IF(AND(B1107&gt;=DATE(2025,7,1),B1107&lt;=DATE(2026,6,30)),1,0)</f>
        <v>1</v>
      </c>
      <c r="J1107">
        <f>IF(B1107&lt;=DATE(2026,6,30),1,0)</f>
        <v>1</v>
      </c>
      <c r="K1107" t="inlineStr">
        <is>
          <t>Site text normalised</t>
        </is>
      </c>
      <c r="L1107" t="inlineStr">
        <is>
          <t>Yard</t>
        </is>
      </c>
      <c r="M1107">
        <f>COUNTIFS('Asset Log'!$A$5:$A$1379,A1107,'Asset Log'!$E$5:$E$1379,E1107,'Asset Log'!$G$5:$G$1379,G1107)</f>
        <v>1</v>
      </c>
    </row>
    <row r="1108">
      <c r="A1108" t="inlineStr">
        <is>
          <t>D72633</t>
        </is>
      </c>
      <c r="B1108" s="11" t="n">
        <v>46122</v>
      </c>
      <c r="C1108" t="inlineStr">
        <is>
          <t>s412</t>
        </is>
      </c>
      <c r="D1108" t="inlineStr">
        <is>
          <t>S0412</t>
        </is>
      </c>
      <c r="E1108" t="inlineStr">
        <is>
          <t>TK</t>
        </is>
      </c>
      <c r="F1108" t="n">
        <v>1</v>
      </c>
      <c r="G1108" t="inlineStr">
        <is>
          <t>OUT</t>
        </is>
      </c>
      <c r="H1108">
        <f>IF(G1108="OUT",F1108,-F1108)</f>
        <v>1</v>
      </c>
      <c r="I1108">
        <f>IF(AND(B1108&gt;=DATE(2025,7,1),B1108&lt;=DATE(2026,6,30)),1,0)</f>
        <v>1</v>
      </c>
      <c r="J1108">
        <f>IF(B1108&lt;=DATE(2026,6,30),1,0)</f>
        <v>1</v>
      </c>
      <c r="K1108" t="inlineStr">
        <is>
          <t>Site text normalised</t>
        </is>
      </c>
      <c r="L1108" t="inlineStr">
        <is>
          <t>Office</t>
        </is>
      </c>
      <c r="M1108">
        <f>COUNTIFS('Asset Log'!$A$5:$A$1379,A1108,'Asset Log'!$E$5:$E$1379,E1108,'Asset Log'!$G$5:$G$1379,G1108)</f>
        <v>1</v>
      </c>
    </row>
    <row r="1109">
      <c r="A1109" t="inlineStr">
        <is>
          <t>D72686</t>
        </is>
      </c>
      <c r="B1109" s="11" t="n">
        <v>46122</v>
      </c>
      <c r="C1109" t="inlineStr">
        <is>
          <t>S0440</t>
        </is>
      </c>
      <c r="D1109" t="inlineStr">
        <is>
          <t>S0440</t>
        </is>
      </c>
      <c r="E1109" t="inlineStr">
        <is>
          <t>TK</t>
        </is>
      </c>
      <c r="F1109" t="n">
        <v>2</v>
      </c>
      <c r="G1109" t="inlineStr">
        <is>
          <t>IN</t>
        </is>
      </c>
      <c r="H1109">
        <f>IF(G1109="OUT",F1109,-F1109)</f>
        <v>-2</v>
      </c>
      <c r="I1109">
        <f>IF(AND(B1109&gt;=DATE(2025,7,1),B1109&lt;=DATE(2026,6,30)),1,0)</f>
        <v>1</v>
      </c>
      <c r="J1109">
        <f>IF(B1109&lt;=DATE(2026,6,30),1,0)</f>
        <v>1</v>
      </c>
      <c r="K1109" t="inlineStr"/>
      <c r="L1109" t="inlineStr">
        <is>
          <t>Office</t>
        </is>
      </c>
      <c r="M1109">
        <f>COUNTIFS('Asset Log'!$A$5:$A$1379,A1109,'Asset Log'!$E$5:$E$1379,E1109,'Asset Log'!$G$5:$G$1379,G1109)</f>
        <v>1</v>
      </c>
    </row>
    <row r="1110">
      <c r="A1110" t="inlineStr">
        <is>
          <t>D70106</t>
        </is>
      </c>
      <c r="B1110" s="11" t="n">
        <v>46123</v>
      </c>
      <c r="C1110" t="inlineStr">
        <is>
          <t>12</t>
        </is>
      </c>
      <c r="D1110" t="inlineStr">
        <is>
          <t>S0012</t>
        </is>
      </c>
      <c r="E1110" t="inlineStr">
        <is>
          <t>FP</t>
        </is>
      </c>
      <c r="F1110" t="n">
        <v>86</v>
      </c>
      <c r="G1110" t="inlineStr">
        <is>
          <t>OUT</t>
        </is>
      </c>
      <c r="H1110">
        <f>IF(G1110="OUT",F1110,-F1110)</f>
        <v>86</v>
      </c>
      <c r="I1110">
        <f>IF(AND(B1110&gt;=DATE(2025,7,1),B1110&lt;=DATE(2026,6,30)),1,0)</f>
        <v>1</v>
      </c>
      <c r="J1110">
        <f>IF(B1110&lt;=DATE(2026,6,30),1,0)</f>
        <v>1</v>
      </c>
      <c r="K1110" t="inlineStr">
        <is>
          <t>Site text normalised</t>
        </is>
      </c>
      <c r="L1110" t="inlineStr">
        <is>
          <t>Yard</t>
        </is>
      </c>
      <c r="M1110">
        <f>COUNTIFS('Asset Log'!$A$5:$A$1379,A1110,'Asset Log'!$E$5:$E$1379,E1110,'Asset Log'!$G$5:$G$1379,G1110)</f>
        <v>1</v>
      </c>
    </row>
    <row r="1111">
      <c r="A1111" t="inlineStr">
        <is>
          <t>D70107</t>
        </is>
      </c>
      <c r="B1111" s="11" t="n">
        <v>46123</v>
      </c>
      <c r="C1111" t="inlineStr">
        <is>
          <t>S0012</t>
        </is>
      </c>
      <c r="D1111" t="inlineStr">
        <is>
          <t>S0012</t>
        </is>
      </c>
      <c r="E1111" t="inlineStr">
        <is>
          <t>FB</t>
        </is>
      </c>
      <c r="F1111" t="n">
        <v>94</v>
      </c>
      <c r="G1111" t="inlineStr">
        <is>
          <t>OUT</t>
        </is>
      </c>
      <c r="H1111">
        <f>IF(G1111="OUT",F1111,-F1111)</f>
        <v>94</v>
      </c>
      <c r="I1111">
        <f>IF(AND(B1111&gt;=DATE(2025,7,1),B1111&lt;=DATE(2026,6,30)),1,0)</f>
        <v>1</v>
      </c>
      <c r="J1111">
        <f>IF(B1111&lt;=DATE(2026,6,30),1,0)</f>
        <v>1</v>
      </c>
      <c r="K1111" t="inlineStr"/>
      <c r="L1111" t="inlineStr">
        <is>
          <t>Driver</t>
        </is>
      </c>
      <c r="M1111">
        <f>COUNTIFS('Asset Log'!$A$5:$A$1379,A1111,'Asset Log'!$E$5:$E$1379,E1111,'Asset Log'!$G$5:$G$1379,G1111)</f>
        <v>1</v>
      </c>
    </row>
    <row r="1112">
      <c r="A1112" t="inlineStr">
        <is>
          <t>D70110</t>
        </is>
      </c>
      <c r="B1112" s="11" t="n">
        <v>46123</v>
      </c>
      <c r="C1112" t="inlineStr">
        <is>
          <t>S0012</t>
        </is>
      </c>
      <c r="D1112" t="inlineStr">
        <is>
          <t>S0012</t>
        </is>
      </c>
      <c r="E1112" t="inlineStr">
        <is>
          <t>BR</t>
        </is>
      </c>
      <c r="F1112" t="n">
        <v>4</v>
      </c>
      <c r="G1112" t="inlineStr">
        <is>
          <t>OUT</t>
        </is>
      </c>
      <c r="H1112">
        <f>IF(G1112="OUT",F1112,-F1112)</f>
        <v>4</v>
      </c>
      <c r="I1112">
        <f>IF(AND(B1112&gt;=DATE(2025,7,1),B1112&lt;=DATE(2026,6,30)),1,0)</f>
        <v>1</v>
      </c>
      <c r="J1112">
        <f>IF(B1112&lt;=DATE(2026,6,30),1,0)</f>
        <v>1</v>
      </c>
      <c r="K1112" t="inlineStr"/>
      <c r="L1112" t="inlineStr">
        <is>
          <t>Yard</t>
        </is>
      </c>
      <c r="M1112">
        <f>COUNTIFS('Asset Log'!$A$5:$A$1379,A1112,'Asset Log'!$E$5:$E$1379,E1112,'Asset Log'!$G$5:$G$1379,G1112)</f>
        <v>1</v>
      </c>
    </row>
    <row r="1113">
      <c r="A1113" t="inlineStr">
        <is>
          <t>D70663</t>
        </is>
      </c>
      <c r="B1113" s="11" t="n">
        <v>46123</v>
      </c>
      <c r="C1113" t="inlineStr">
        <is>
          <t>S0071</t>
        </is>
      </c>
      <c r="D1113" t="inlineStr">
        <is>
          <t>S0071</t>
        </is>
      </c>
      <c r="E1113" t="inlineStr">
        <is>
          <t>FP</t>
        </is>
      </c>
      <c r="F1113" t="n">
        <v>82</v>
      </c>
      <c r="G1113" t="inlineStr">
        <is>
          <t>IN</t>
        </is>
      </c>
      <c r="H1113">
        <f>IF(G1113="OUT",F1113,-F1113)</f>
        <v>-82</v>
      </c>
      <c r="I1113">
        <f>IF(AND(B1113&gt;=DATE(2025,7,1),B1113&lt;=DATE(2026,6,30)),1,0)</f>
        <v>1</v>
      </c>
      <c r="J1113">
        <f>IF(B1113&lt;=DATE(2026,6,30),1,0)</f>
        <v>1</v>
      </c>
      <c r="K1113" t="inlineStr"/>
      <c r="L1113" t="inlineStr">
        <is>
          <t>Office</t>
        </is>
      </c>
      <c r="M1113">
        <f>COUNTIFS('Asset Log'!$A$5:$A$1379,A1113,'Asset Log'!$E$5:$E$1379,E1113,'Asset Log'!$G$5:$G$1379,G1113)</f>
        <v>1</v>
      </c>
    </row>
    <row r="1114">
      <c r="A1114" t="inlineStr">
        <is>
          <t>D70667</t>
        </is>
      </c>
      <c r="B1114" s="11" t="n">
        <v>46123</v>
      </c>
      <c r="C1114" t="inlineStr">
        <is>
          <t>S0071</t>
        </is>
      </c>
      <c r="D1114" t="inlineStr">
        <is>
          <t>S0071</t>
        </is>
      </c>
      <c r="E1114" t="inlineStr">
        <is>
          <t>FB</t>
        </is>
      </c>
      <c r="F1114" t="n">
        <v>90</v>
      </c>
      <c r="G1114" t="inlineStr">
        <is>
          <t>IN</t>
        </is>
      </c>
      <c r="H1114">
        <f>IF(G1114="OUT",F1114,-F1114)</f>
        <v>-90</v>
      </c>
      <c r="I1114">
        <f>IF(AND(B1114&gt;=DATE(2025,7,1),B1114&lt;=DATE(2026,6,30)),1,0)</f>
        <v>1</v>
      </c>
      <c r="J1114">
        <f>IF(B1114&lt;=DATE(2026,6,30),1,0)</f>
        <v>1</v>
      </c>
      <c r="K1114" t="inlineStr"/>
      <c r="L1114" t="inlineStr">
        <is>
          <t>Office</t>
        </is>
      </c>
      <c r="M1114">
        <f>COUNTIFS('Asset Log'!$A$5:$A$1379,A1114,'Asset Log'!$E$5:$E$1379,E1114,'Asset Log'!$G$5:$G$1379,G1114)</f>
        <v>1</v>
      </c>
    </row>
    <row r="1115">
      <c r="A1115" t="inlineStr">
        <is>
          <t>D70718</t>
        </is>
      </c>
      <c r="B1115" s="11" t="n">
        <v>46123</v>
      </c>
      <c r="C1115" t="inlineStr">
        <is>
          <t>S0077</t>
        </is>
      </c>
      <c r="D1115" t="inlineStr">
        <is>
          <t>S0077</t>
        </is>
      </c>
      <c r="E1115" t="inlineStr">
        <is>
          <t>FP</t>
        </is>
      </c>
      <c r="F1115" t="n">
        <v>33</v>
      </c>
      <c r="G1115" t="inlineStr">
        <is>
          <t>IN</t>
        </is>
      </c>
      <c r="H1115">
        <f>IF(G1115="OUT",F1115,-F1115)</f>
        <v>-33</v>
      </c>
      <c r="I1115">
        <f>IF(AND(B1115&gt;=DATE(2025,7,1),B1115&lt;=DATE(2026,6,30)),1,0)</f>
        <v>1</v>
      </c>
      <c r="J1115">
        <f>IF(B1115&lt;=DATE(2026,6,30),1,0)</f>
        <v>1</v>
      </c>
      <c r="K1115" t="inlineStr"/>
      <c r="L1115" t="inlineStr">
        <is>
          <t>Office</t>
        </is>
      </c>
      <c r="M1115">
        <f>COUNTIFS('Asset Log'!$A$5:$A$1379,A1115,'Asset Log'!$E$5:$E$1379,E1115,'Asset Log'!$G$5:$G$1379,G1115)</f>
        <v>1</v>
      </c>
    </row>
    <row r="1116">
      <c r="A1116" t="inlineStr">
        <is>
          <t>D70723</t>
        </is>
      </c>
      <c r="B1116" s="11" t="n">
        <v>46123</v>
      </c>
      <c r="C1116" t="inlineStr">
        <is>
          <t>S0077</t>
        </is>
      </c>
      <c r="D1116" t="inlineStr">
        <is>
          <t>S0077</t>
        </is>
      </c>
      <c r="E1116" t="inlineStr">
        <is>
          <t>FB</t>
        </is>
      </c>
      <c r="F1116" t="n">
        <v>36</v>
      </c>
      <c r="G1116" t="inlineStr">
        <is>
          <t>IN</t>
        </is>
      </c>
      <c r="H1116">
        <f>IF(G1116="OUT",F1116,-F1116)</f>
        <v>-36</v>
      </c>
      <c r="I1116">
        <f>IF(AND(B1116&gt;=DATE(2025,7,1),B1116&lt;=DATE(2026,6,30)),1,0)</f>
        <v>1</v>
      </c>
      <c r="J1116">
        <f>IF(B1116&lt;=DATE(2026,6,30),1,0)</f>
        <v>1</v>
      </c>
      <c r="K1116" t="inlineStr"/>
      <c r="L1116" t="inlineStr">
        <is>
          <t>Office</t>
        </is>
      </c>
      <c r="M1116">
        <f>COUNTIFS('Asset Log'!$A$5:$A$1379,A1116,'Asset Log'!$E$5:$E$1379,E1116,'Asset Log'!$G$5:$G$1379,G1116)</f>
        <v>1</v>
      </c>
    </row>
    <row r="1117">
      <c r="A1117" t="inlineStr">
        <is>
          <t>D70729</t>
        </is>
      </c>
      <c r="B1117" s="11" t="n">
        <v>46123</v>
      </c>
      <c r="C1117" t="inlineStr">
        <is>
          <t>77</t>
        </is>
      </c>
      <c r="D1117" t="inlineStr">
        <is>
          <t>S0077</t>
        </is>
      </c>
      <c r="E1117" t="inlineStr">
        <is>
          <t>BR</t>
        </is>
      </c>
      <c r="F1117" t="n">
        <v>14</v>
      </c>
      <c r="G1117" t="inlineStr">
        <is>
          <t>IN</t>
        </is>
      </c>
      <c r="H1117">
        <f>IF(G1117="OUT",F1117,-F1117)</f>
        <v>-14</v>
      </c>
      <c r="I1117">
        <f>IF(AND(B1117&gt;=DATE(2025,7,1),B1117&lt;=DATE(2026,6,30)),1,0)</f>
        <v>1</v>
      </c>
      <c r="J1117">
        <f>IF(B1117&lt;=DATE(2026,6,30),1,0)</f>
        <v>1</v>
      </c>
      <c r="K1117" t="inlineStr">
        <is>
          <t>Site text normalised</t>
        </is>
      </c>
      <c r="L1117" t="inlineStr">
        <is>
          <t>Office</t>
        </is>
      </c>
      <c r="M1117">
        <f>COUNTIFS('Asset Log'!$A$5:$A$1379,A1117,'Asset Log'!$E$5:$E$1379,E1117,'Asset Log'!$G$5:$G$1379,G1117)</f>
        <v>1</v>
      </c>
    </row>
    <row r="1118">
      <c r="A1118" t="inlineStr">
        <is>
          <t>D72287</t>
        </is>
      </c>
      <c r="B1118" s="11" t="n">
        <v>46123</v>
      </c>
      <c r="C1118" t="inlineStr">
        <is>
          <t>S0254</t>
        </is>
      </c>
      <c r="D1118" t="inlineStr">
        <is>
          <t>S0254</t>
        </is>
      </c>
      <c r="E1118" t="inlineStr">
        <is>
          <t>ST</t>
        </is>
      </c>
      <c r="F1118" t="n">
        <v>2</v>
      </c>
      <c r="G1118" t="inlineStr">
        <is>
          <t>OUT</t>
        </is>
      </c>
      <c r="H1118">
        <f>IF(G1118="OUT",F1118,-F1118)</f>
        <v>2</v>
      </c>
      <c r="I1118">
        <f>IF(AND(B1118&gt;=DATE(2025,7,1),B1118&lt;=DATE(2026,6,30)),1,0)</f>
        <v>1</v>
      </c>
      <c r="J1118">
        <f>IF(B1118&lt;=DATE(2026,6,30),1,0)</f>
        <v>1</v>
      </c>
      <c r="K1118" t="inlineStr"/>
      <c r="L1118" t="inlineStr">
        <is>
          <t>Office</t>
        </is>
      </c>
      <c r="M1118">
        <f>COUNTIFS('Asset Log'!$A$5:$A$1379,A1118,'Asset Log'!$E$5:$E$1379,E1118,'Asset Log'!$G$5:$G$1379,G1118)</f>
        <v>1</v>
      </c>
    </row>
    <row r="1119">
      <c r="A1119" t="inlineStr">
        <is>
          <t>D72628</t>
        </is>
      </c>
      <c r="B1119" s="11" t="n">
        <v>46123</v>
      </c>
      <c r="C1119" t="inlineStr">
        <is>
          <t>S0407</t>
        </is>
      </c>
      <c r="D1119" t="inlineStr">
        <is>
          <t>S0407</t>
        </is>
      </c>
      <c r="E1119" t="inlineStr">
        <is>
          <t>TK</t>
        </is>
      </c>
      <c r="F1119" t="n">
        <v>1</v>
      </c>
      <c r="G1119" t="inlineStr">
        <is>
          <t>IN</t>
        </is>
      </c>
      <c r="H1119">
        <f>IF(G1119="OUT",F1119,-F1119)</f>
        <v>-1</v>
      </c>
      <c r="I1119">
        <f>IF(AND(B1119&gt;=DATE(2025,7,1),B1119&lt;=DATE(2026,6,30)),1,0)</f>
        <v>1</v>
      </c>
      <c r="J1119">
        <f>IF(B1119&lt;=DATE(2026,6,30),1,0)</f>
        <v>1</v>
      </c>
      <c r="K1119" t="inlineStr"/>
      <c r="L1119" t="inlineStr">
        <is>
          <t>Office</t>
        </is>
      </c>
      <c r="M1119">
        <f>COUNTIFS('Asset Log'!$A$5:$A$1379,A1119,'Asset Log'!$E$5:$E$1379,E1119,'Asset Log'!$G$5:$G$1379,G1119)</f>
        <v>1</v>
      </c>
    </row>
    <row r="1120">
      <c r="A1120" t="inlineStr">
        <is>
          <t>D70313</t>
        </is>
      </c>
      <c r="B1120" s="11" t="n">
        <v>46124</v>
      </c>
      <c r="C1120" t="inlineStr">
        <is>
          <t>S0034 Sunshine</t>
        </is>
      </c>
      <c r="D1120" t="inlineStr">
        <is>
          <t>S0034</t>
        </is>
      </c>
      <c r="E1120" t="inlineStr">
        <is>
          <t>FP</t>
        </is>
      </c>
      <c r="F1120" t="n">
        <v>28</v>
      </c>
      <c r="G1120" t="inlineStr">
        <is>
          <t>IN</t>
        </is>
      </c>
      <c r="H1120">
        <f>IF(G1120="OUT",F1120,-F1120)</f>
        <v>-28</v>
      </c>
      <c r="I1120">
        <f>IF(AND(B1120&gt;=DATE(2025,7,1),B1120&lt;=DATE(2026,6,30)),1,0)</f>
        <v>1</v>
      </c>
      <c r="J1120">
        <f>IF(B1120&lt;=DATE(2026,6,30),1,0)</f>
        <v>1</v>
      </c>
      <c r="K1120" t="inlineStr">
        <is>
          <t>Site text normalised</t>
        </is>
      </c>
      <c r="L1120" t="inlineStr">
        <is>
          <t>Office</t>
        </is>
      </c>
      <c r="M1120">
        <f>COUNTIFS('Asset Log'!$A$5:$A$1379,A1120,'Asset Log'!$E$5:$E$1379,E1120,'Asset Log'!$G$5:$G$1379,G1120)</f>
        <v>1</v>
      </c>
    </row>
    <row r="1121">
      <c r="A1121" t="inlineStr">
        <is>
          <t>D70318</t>
        </is>
      </c>
      <c r="B1121" s="11" t="n">
        <v>46124</v>
      </c>
      <c r="C1121" t="inlineStr">
        <is>
          <t>S0034</t>
        </is>
      </c>
      <c r="D1121" t="inlineStr">
        <is>
          <t>S0034</t>
        </is>
      </c>
      <c r="E1121" t="inlineStr">
        <is>
          <t>FB</t>
        </is>
      </c>
      <c r="F1121" t="n">
        <v>30</v>
      </c>
      <c r="G1121" t="inlineStr">
        <is>
          <t>IN</t>
        </is>
      </c>
      <c r="H1121">
        <f>IF(G1121="OUT",F1121,-F1121)</f>
        <v>-30</v>
      </c>
      <c r="I1121">
        <f>IF(AND(B1121&gt;=DATE(2025,7,1),B1121&lt;=DATE(2026,6,30)),1,0)</f>
        <v>1</v>
      </c>
      <c r="J1121">
        <f>IF(B1121&lt;=DATE(2026,6,30),1,0)</f>
        <v>1</v>
      </c>
      <c r="K1121" t="inlineStr"/>
      <c r="L1121" t="inlineStr">
        <is>
          <t>Yard</t>
        </is>
      </c>
      <c r="M1121">
        <f>COUNTIFS('Asset Log'!$A$5:$A$1379,A1121,'Asset Log'!$E$5:$E$1379,E1121,'Asset Log'!$G$5:$G$1379,G1121)</f>
        <v>1</v>
      </c>
    </row>
    <row r="1122">
      <c r="A1122" t="inlineStr">
        <is>
          <t>D70324</t>
        </is>
      </c>
      <c r="B1122" s="11" t="n">
        <v>46124</v>
      </c>
      <c r="C1122" t="inlineStr">
        <is>
          <t>S0034</t>
        </is>
      </c>
      <c r="D1122" t="inlineStr">
        <is>
          <t>S0034</t>
        </is>
      </c>
      <c r="E1122" t="inlineStr">
        <is>
          <t>BR</t>
        </is>
      </c>
      <c r="F1122" t="n">
        <v>16</v>
      </c>
      <c r="G1122" t="inlineStr">
        <is>
          <t>IN</t>
        </is>
      </c>
      <c r="H1122">
        <f>IF(G1122="OUT",F1122,-F1122)</f>
        <v>-16</v>
      </c>
      <c r="I1122">
        <f>IF(AND(B1122&gt;=DATE(2025,7,1),B1122&lt;=DATE(2026,6,30)),1,0)</f>
        <v>1</v>
      </c>
      <c r="J1122">
        <f>IF(B1122&lt;=DATE(2026,6,30),1,0)</f>
        <v>1</v>
      </c>
      <c r="K1122" t="inlineStr"/>
      <c r="L1122" t="inlineStr">
        <is>
          <t>Driver</t>
        </is>
      </c>
      <c r="M1122">
        <f>COUNTIFS('Asset Log'!$A$5:$A$1379,A1122,'Asset Log'!$E$5:$E$1379,E1122,'Asset Log'!$G$5:$G$1379,G1122)</f>
        <v>1</v>
      </c>
    </row>
    <row r="1123">
      <c r="A1123" t="inlineStr">
        <is>
          <t>D71350</t>
        </is>
      </c>
      <c r="B1123" s="11" t="n">
        <v>46124</v>
      </c>
      <c r="C1123" t="inlineStr">
        <is>
          <t>S0143</t>
        </is>
      </c>
      <c r="D1123" t="inlineStr">
        <is>
          <t>S0143</t>
        </is>
      </c>
      <c r="E1123" t="inlineStr">
        <is>
          <t>FP</t>
        </is>
      </c>
      <c r="F1123" t="n">
        <v>70</v>
      </c>
      <c r="G1123" t="inlineStr">
        <is>
          <t>IN</t>
        </is>
      </c>
      <c r="H1123">
        <f>IF(G1123="OUT",F1123,-F1123)</f>
        <v>-70</v>
      </c>
      <c r="I1123">
        <f>IF(AND(B1123&gt;=DATE(2025,7,1),B1123&lt;=DATE(2026,6,30)),1,0)</f>
        <v>1</v>
      </c>
      <c r="J1123">
        <f>IF(B1123&lt;=DATE(2026,6,30),1,0)</f>
        <v>1</v>
      </c>
      <c r="K1123" t="inlineStr"/>
      <c r="L1123" t="inlineStr">
        <is>
          <t>Driver</t>
        </is>
      </c>
      <c r="M1123">
        <f>COUNTIFS('Asset Log'!$A$5:$A$1379,A1123,'Asset Log'!$E$5:$E$1379,E1123,'Asset Log'!$G$5:$G$1379,G1123)</f>
        <v>1</v>
      </c>
    </row>
    <row r="1124">
      <c r="A1124" t="inlineStr">
        <is>
          <t>D71355</t>
        </is>
      </c>
      <c r="B1124" s="11" t="n">
        <v>46124</v>
      </c>
      <c r="C1124" t="inlineStr">
        <is>
          <t>S0143</t>
        </is>
      </c>
      <c r="D1124" t="inlineStr">
        <is>
          <t>S0143</t>
        </is>
      </c>
      <c r="E1124" t="inlineStr">
        <is>
          <t>FB</t>
        </is>
      </c>
      <c r="F1124" t="n">
        <v>70</v>
      </c>
      <c r="G1124" t="inlineStr">
        <is>
          <t>IN</t>
        </is>
      </c>
      <c r="H1124">
        <f>IF(G1124="OUT",F1124,-F1124)</f>
        <v>-70</v>
      </c>
      <c r="I1124">
        <f>IF(AND(B1124&gt;=DATE(2025,7,1),B1124&lt;=DATE(2026,6,30)),1,0)</f>
        <v>1</v>
      </c>
      <c r="J1124">
        <f>IF(B1124&lt;=DATE(2026,6,30),1,0)</f>
        <v>1</v>
      </c>
      <c r="K1124" t="inlineStr"/>
      <c r="L1124" t="inlineStr">
        <is>
          <t>Yard</t>
        </is>
      </c>
      <c r="M1124">
        <f>COUNTIFS('Asset Log'!$A$5:$A$1379,A1124,'Asset Log'!$E$5:$E$1379,E1124,'Asset Log'!$G$5:$G$1379,G1124)</f>
        <v>1</v>
      </c>
    </row>
    <row r="1125">
      <c r="A1125" t="inlineStr">
        <is>
          <t>D70086</t>
        </is>
      </c>
      <c r="B1125" s="11" t="n">
        <v>46125</v>
      </c>
      <c r="C1125" t="inlineStr">
        <is>
          <t>S0010 St Kilda</t>
        </is>
      </c>
      <c r="D1125" t="inlineStr">
        <is>
          <t>S0010</t>
        </is>
      </c>
      <c r="E1125" t="inlineStr">
        <is>
          <t>FP</t>
        </is>
      </c>
      <c r="F1125" t="n">
        <v>16</v>
      </c>
      <c r="G1125" t="inlineStr">
        <is>
          <t>IN</t>
        </is>
      </c>
      <c r="H1125">
        <f>IF(G1125="OUT",F1125,-F1125)</f>
        <v>-16</v>
      </c>
      <c r="I1125">
        <f>IF(AND(B1125&gt;=DATE(2025,7,1),B1125&lt;=DATE(2026,6,30)),1,0)</f>
        <v>1</v>
      </c>
      <c r="J1125">
        <f>IF(B1125&lt;=DATE(2026,6,30),1,0)</f>
        <v>1</v>
      </c>
      <c r="K1125" t="inlineStr">
        <is>
          <t>Site text normalised</t>
        </is>
      </c>
      <c r="L1125" t="inlineStr">
        <is>
          <t>Yard</t>
        </is>
      </c>
      <c r="M1125">
        <f>COUNTIFS('Asset Log'!$A$5:$A$1379,A1125,'Asset Log'!$E$5:$E$1379,E1125,'Asset Log'!$G$5:$G$1379,G1125)</f>
        <v>1</v>
      </c>
    </row>
    <row r="1126">
      <c r="A1126" t="inlineStr">
        <is>
          <t>D70090</t>
        </is>
      </c>
      <c r="B1126" s="11" t="n">
        <v>46125</v>
      </c>
      <c r="C1126" t="inlineStr">
        <is>
          <t>S0010</t>
        </is>
      </c>
      <c r="D1126" t="inlineStr">
        <is>
          <t>S0010</t>
        </is>
      </c>
      <c r="E1126" t="inlineStr">
        <is>
          <t>FB</t>
        </is>
      </c>
      <c r="F1126" t="n">
        <v>17</v>
      </c>
      <c r="G1126" t="inlineStr">
        <is>
          <t>IN</t>
        </is>
      </c>
      <c r="H1126">
        <f>IF(G1126="OUT",F1126,-F1126)</f>
        <v>-17</v>
      </c>
      <c r="I1126">
        <f>IF(AND(B1126&gt;=DATE(2025,7,1),B1126&lt;=DATE(2026,6,30)),1,0)</f>
        <v>1</v>
      </c>
      <c r="J1126">
        <f>IF(B1126&lt;=DATE(2026,6,30),1,0)</f>
        <v>1</v>
      </c>
      <c r="K1126" t="inlineStr"/>
      <c r="L1126" t="inlineStr">
        <is>
          <t>Office</t>
        </is>
      </c>
      <c r="M1126">
        <f>COUNTIFS('Asset Log'!$A$5:$A$1379,A1126,'Asset Log'!$E$5:$E$1379,E1126,'Asset Log'!$G$5:$G$1379,G1126)</f>
        <v>1</v>
      </c>
    </row>
    <row r="1127">
      <c r="A1127" t="inlineStr">
        <is>
          <t>D70096</t>
        </is>
      </c>
      <c r="B1127" s="11" t="n">
        <v>46125</v>
      </c>
      <c r="C1127" t="inlineStr">
        <is>
          <t>10</t>
        </is>
      </c>
      <c r="D1127" t="inlineStr">
        <is>
          <t>S0010</t>
        </is>
      </c>
      <c r="E1127" t="inlineStr">
        <is>
          <t>BR</t>
        </is>
      </c>
      <c r="F1127" t="n">
        <v>9</v>
      </c>
      <c r="G1127" t="inlineStr">
        <is>
          <t>IN</t>
        </is>
      </c>
      <c r="H1127">
        <f>IF(G1127="OUT",F1127,-F1127)</f>
        <v>-9</v>
      </c>
      <c r="I1127">
        <f>IF(AND(B1127&gt;=DATE(2025,7,1),B1127&lt;=DATE(2026,6,30)),1,0)</f>
        <v>1</v>
      </c>
      <c r="J1127">
        <f>IF(B1127&lt;=DATE(2026,6,30),1,0)</f>
        <v>1</v>
      </c>
      <c r="K1127" t="inlineStr">
        <is>
          <t>Site text normalised</t>
        </is>
      </c>
      <c r="L1127" t="inlineStr">
        <is>
          <t>Office</t>
        </is>
      </c>
      <c r="M1127">
        <f>COUNTIFS('Asset Log'!$A$5:$A$1379,A1127,'Asset Log'!$E$5:$E$1379,E1127,'Asset Log'!$G$5:$G$1379,G1127)</f>
        <v>1</v>
      </c>
    </row>
    <row r="1128">
      <c r="A1128" t="inlineStr">
        <is>
          <t>D71513</t>
        </is>
      </c>
      <c r="B1128" s="11" t="n">
        <v>46125</v>
      </c>
      <c r="C1128" t="inlineStr">
        <is>
          <t>S0158</t>
        </is>
      </c>
      <c r="D1128" t="inlineStr">
        <is>
          <t>S0158</t>
        </is>
      </c>
      <c r="E1128" t="inlineStr">
        <is>
          <t>FP</t>
        </is>
      </c>
      <c r="F1128" t="n">
        <v>8</v>
      </c>
      <c r="G1128" t="inlineStr">
        <is>
          <t>OUT</t>
        </is>
      </c>
      <c r="H1128">
        <f>IF(G1128="OUT",F1128,-F1128)</f>
        <v>8</v>
      </c>
      <c r="I1128">
        <f>IF(AND(B1128&gt;=DATE(2025,7,1),B1128&lt;=DATE(2026,6,30)),1,0)</f>
        <v>1</v>
      </c>
      <c r="J1128">
        <f>IF(B1128&lt;=DATE(2026,6,30),1,0)</f>
        <v>1</v>
      </c>
      <c r="K1128" t="inlineStr"/>
      <c r="L1128" t="inlineStr">
        <is>
          <t>Yard</t>
        </is>
      </c>
      <c r="M1128">
        <f>COUNTIFS('Asset Log'!$A$5:$A$1379,A1128,'Asset Log'!$E$5:$E$1379,E1128,'Asset Log'!$G$5:$G$1379,G1128)</f>
        <v>1</v>
      </c>
    </row>
    <row r="1129">
      <c r="A1129" t="inlineStr">
        <is>
          <t>D71517</t>
        </is>
      </c>
      <c r="B1129" s="11" t="n">
        <v>46125</v>
      </c>
      <c r="C1129" t="inlineStr">
        <is>
          <t>S0158</t>
        </is>
      </c>
      <c r="D1129" t="inlineStr">
        <is>
          <t>S0158</t>
        </is>
      </c>
      <c r="E1129" t="inlineStr">
        <is>
          <t>FB</t>
        </is>
      </c>
      <c r="F1129" t="n">
        <v>8</v>
      </c>
      <c r="G1129" t="inlineStr">
        <is>
          <t>OUT</t>
        </is>
      </c>
      <c r="H1129">
        <f>IF(G1129="OUT",F1129,-F1129)</f>
        <v>8</v>
      </c>
      <c r="I1129">
        <f>IF(AND(B1129&gt;=DATE(2025,7,1),B1129&lt;=DATE(2026,6,30)),1,0)</f>
        <v>1</v>
      </c>
      <c r="J1129">
        <f>IF(B1129&lt;=DATE(2026,6,30),1,0)</f>
        <v>1</v>
      </c>
      <c r="K1129" t="inlineStr"/>
      <c r="L1129" t="inlineStr">
        <is>
          <t>Driver</t>
        </is>
      </c>
      <c r="M1129">
        <f>COUNTIFS('Asset Log'!$A$5:$A$1379,A1129,'Asset Log'!$E$5:$E$1379,E1129,'Asset Log'!$G$5:$G$1379,G1129)</f>
        <v>1</v>
      </c>
    </row>
    <row r="1130">
      <c r="A1130" t="inlineStr">
        <is>
          <t>D72335</t>
        </is>
      </c>
      <c r="B1130" s="11" t="n">
        <v>46126</v>
      </c>
      <c r="C1130" t="inlineStr">
        <is>
          <t>S0265</t>
        </is>
      </c>
      <c r="D1130" t="inlineStr">
        <is>
          <t>S0265</t>
        </is>
      </c>
      <c r="E1130" t="inlineStr">
        <is>
          <t>ST</t>
        </is>
      </c>
      <c r="F1130" t="n">
        <v>1</v>
      </c>
      <c r="G1130" t="inlineStr">
        <is>
          <t>IN</t>
        </is>
      </c>
      <c r="H1130">
        <f>IF(G1130="OUT",F1130,-F1130)</f>
        <v>-1</v>
      </c>
      <c r="I1130">
        <f>IF(AND(B1130&gt;=DATE(2025,7,1),B1130&lt;=DATE(2026,6,30)),1,0)</f>
        <v>1</v>
      </c>
      <c r="J1130">
        <f>IF(B1130&lt;=DATE(2026,6,30),1,0)</f>
        <v>1</v>
      </c>
      <c r="K1130" t="inlineStr"/>
      <c r="L1130" t="inlineStr">
        <is>
          <t>Office</t>
        </is>
      </c>
      <c r="M1130">
        <f>COUNTIFS('Asset Log'!$A$5:$A$1379,A1130,'Asset Log'!$E$5:$E$1379,E1130,'Asset Log'!$G$5:$G$1379,G1130)</f>
        <v>1</v>
      </c>
    </row>
    <row r="1131">
      <c r="A1131" t="inlineStr">
        <is>
          <t>D72300</t>
        </is>
      </c>
      <c r="B1131" s="11" t="n">
        <v>46127</v>
      </c>
      <c r="C1131" t="inlineStr">
        <is>
          <t>S0257</t>
        </is>
      </c>
      <c r="D1131" t="inlineStr">
        <is>
          <t>S0257</t>
        </is>
      </c>
      <c r="E1131" t="inlineStr">
        <is>
          <t>ST</t>
        </is>
      </c>
      <c r="F1131" t="n">
        <v>6</v>
      </c>
      <c r="G1131" t="inlineStr">
        <is>
          <t>OUT</t>
        </is>
      </c>
      <c r="H1131">
        <f>IF(G1131="OUT",F1131,-F1131)</f>
        <v>6</v>
      </c>
      <c r="I1131">
        <f>IF(AND(B1131&gt;=DATE(2025,7,1),B1131&lt;=DATE(2026,6,30)),1,0)</f>
        <v>1</v>
      </c>
      <c r="J1131">
        <f>IF(B1131&lt;=DATE(2026,6,30),1,0)</f>
        <v>1</v>
      </c>
      <c r="K1131" t="inlineStr"/>
      <c r="L1131" t="inlineStr">
        <is>
          <t>Office</t>
        </is>
      </c>
      <c r="M1131">
        <f>COUNTIFS('Asset Log'!$A$5:$A$1379,A1131,'Asset Log'!$E$5:$E$1379,E1131,'Asset Log'!$G$5:$G$1379,G1131)</f>
        <v>1</v>
      </c>
    </row>
    <row r="1132">
      <c r="A1132" t="inlineStr">
        <is>
          <t>D72545</t>
        </is>
      </c>
      <c r="B1132" s="11" t="n">
        <v>46128</v>
      </c>
      <c r="C1132" t="inlineStr">
        <is>
          <t>S0355</t>
        </is>
      </c>
      <c r="D1132" t="inlineStr">
        <is>
          <t>S0355</t>
        </is>
      </c>
      <c r="E1132" t="inlineStr">
        <is>
          <t>TK</t>
        </is>
      </c>
      <c r="F1132" t="n">
        <v>1</v>
      </c>
      <c r="G1132" t="inlineStr">
        <is>
          <t>IN</t>
        </is>
      </c>
      <c r="H1132">
        <f>IF(G1132="OUT",F1132,-F1132)</f>
        <v>-1</v>
      </c>
      <c r="I1132">
        <f>IF(AND(B1132&gt;=DATE(2025,7,1),B1132&lt;=DATE(2026,6,30)),1,0)</f>
        <v>1</v>
      </c>
      <c r="J1132">
        <f>IF(B1132&lt;=DATE(2026,6,30),1,0)</f>
        <v>1</v>
      </c>
      <c r="K1132" t="inlineStr"/>
      <c r="L1132" t="inlineStr">
        <is>
          <t>Office</t>
        </is>
      </c>
      <c r="M1132">
        <f>COUNTIFS('Asset Log'!$A$5:$A$1379,A1132,'Asset Log'!$E$5:$E$1379,E1132,'Asset Log'!$G$5:$G$1379,G1132)</f>
        <v>1</v>
      </c>
    </row>
    <row r="1133">
      <c r="A1133" t="inlineStr">
        <is>
          <t>D72465</t>
        </is>
      </c>
      <c r="B1133" s="11" t="n">
        <v>46129</v>
      </c>
      <c r="C1133" t="inlineStr">
        <is>
          <t>S0301</t>
        </is>
      </c>
      <c r="D1133" t="inlineStr">
        <is>
          <t>S0301</t>
        </is>
      </c>
      <c r="E1133" t="inlineStr">
        <is>
          <t>TK</t>
        </is>
      </c>
      <c r="F1133" t="n">
        <v>1</v>
      </c>
      <c r="G1133" t="inlineStr">
        <is>
          <t>OUT</t>
        </is>
      </c>
      <c r="H1133">
        <f>IF(G1133="OUT",F1133,-F1133)</f>
        <v>1</v>
      </c>
      <c r="I1133">
        <f>IF(AND(B1133&gt;=DATE(2025,7,1),B1133&lt;=DATE(2026,6,30)),1,0)</f>
        <v>1</v>
      </c>
      <c r="J1133">
        <f>IF(B1133&lt;=DATE(2026,6,30),1,0)</f>
        <v>1</v>
      </c>
      <c r="K1133" t="inlineStr"/>
      <c r="L1133" t="inlineStr">
        <is>
          <t>Yard</t>
        </is>
      </c>
      <c r="M1133">
        <f>COUNTIFS('Asset Log'!$A$5:$A$1379,A1133,'Asset Log'!$E$5:$E$1379,E1133,'Asset Log'!$G$5:$G$1379,G1133)</f>
        <v>1</v>
      </c>
    </row>
    <row r="1134">
      <c r="A1134" t="inlineStr">
        <is>
          <t>D70253</t>
        </is>
      </c>
      <c r="B1134" s="11" t="n">
        <v>46130</v>
      </c>
      <c r="C1134" t="inlineStr">
        <is>
          <t>S0027</t>
        </is>
      </c>
      <c r="D1134" t="inlineStr">
        <is>
          <t>S0027</t>
        </is>
      </c>
      <c r="E1134" t="inlineStr">
        <is>
          <t>FP</t>
        </is>
      </c>
      <c r="F1134" t="n">
        <v>79</v>
      </c>
      <c r="G1134" t="inlineStr">
        <is>
          <t>OUT</t>
        </is>
      </c>
      <c r="H1134">
        <f>IF(G1134="OUT",F1134,-F1134)</f>
        <v>79</v>
      </c>
      <c r="I1134">
        <f>IF(AND(B1134&gt;=DATE(2025,7,1),B1134&lt;=DATE(2026,6,30)),1,0)</f>
        <v>1</v>
      </c>
      <c r="J1134">
        <f>IF(B1134&lt;=DATE(2026,6,30),1,0)</f>
        <v>1</v>
      </c>
      <c r="K1134" t="inlineStr"/>
      <c r="L1134" t="inlineStr">
        <is>
          <t>Yard</t>
        </is>
      </c>
      <c r="M1134">
        <f>COUNTIFS('Asset Log'!$A$5:$A$1379,A1134,'Asset Log'!$E$5:$E$1379,E1134,'Asset Log'!$G$5:$G$1379,G1134)</f>
        <v>1</v>
      </c>
    </row>
    <row r="1135">
      <c r="A1135" t="inlineStr">
        <is>
          <t>D70259</t>
        </is>
      </c>
      <c r="B1135" s="11" t="n">
        <v>46130</v>
      </c>
      <c r="C1135" t="inlineStr">
        <is>
          <t>S0027</t>
        </is>
      </c>
      <c r="D1135" t="inlineStr">
        <is>
          <t>S0027</t>
        </is>
      </c>
      <c r="E1135" t="inlineStr">
        <is>
          <t>FB</t>
        </is>
      </c>
      <c r="F1135" t="n">
        <v>86</v>
      </c>
      <c r="G1135" t="inlineStr">
        <is>
          <t>OUT</t>
        </is>
      </c>
      <c r="H1135">
        <f>IF(G1135="OUT",F1135,-F1135)</f>
        <v>86</v>
      </c>
      <c r="I1135">
        <f>IF(AND(B1135&gt;=DATE(2025,7,1),B1135&lt;=DATE(2026,6,30)),1,0)</f>
        <v>1</v>
      </c>
      <c r="J1135">
        <f>IF(B1135&lt;=DATE(2026,6,30),1,0)</f>
        <v>1</v>
      </c>
      <c r="K1135" t="inlineStr"/>
      <c r="L1135" t="inlineStr">
        <is>
          <t>Yard</t>
        </is>
      </c>
      <c r="M1135">
        <f>COUNTIFS('Asset Log'!$A$5:$A$1379,A1135,'Asset Log'!$E$5:$E$1379,E1135,'Asset Log'!$G$5:$G$1379,G1135)</f>
        <v>1</v>
      </c>
    </row>
    <row r="1136">
      <c r="A1136" t="inlineStr">
        <is>
          <t>D71378</t>
        </is>
      </c>
      <c r="B1136" s="11" t="n">
        <v>46131</v>
      </c>
      <c r="C1136" t="inlineStr">
        <is>
          <t>S0146</t>
        </is>
      </c>
      <c r="D1136" t="inlineStr">
        <is>
          <t>S0146</t>
        </is>
      </c>
      <c r="E1136" t="inlineStr">
        <is>
          <t>FP</t>
        </is>
      </c>
      <c r="F1136" t="n">
        <v>107</v>
      </c>
      <c r="G1136" t="inlineStr">
        <is>
          <t>OUT</t>
        </is>
      </c>
      <c r="H1136">
        <f>IF(G1136="OUT",F1136,-F1136)</f>
        <v>107</v>
      </c>
      <c r="I1136">
        <f>IF(AND(B1136&gt;=DATE(2025,7,1),B1136&lt;=DATE(2026,6,30)),1,0)</f>
        <v>1</v>
      </c>
      <c r="J1136">
        <f>IF(B1136&lt;=DATE(2026,6,30),1,0)</f>
        <v>1</v>
      </c>
      <c r="K1136" t="inlineStr"/>
      <c r="L1136" t="inlineStr">
        <is>
          <t>Yard</t>
        </is>
      </c>
      <c r="M1136">
        <f>COUNTIFS('Asset Log'!$A$5:$A$1379,A1136,'Asset Log'!$E$5:$E$1379,E1136,'Asset Log'!$G$5:$G$1379,G1136)</f>
        <v>1</v>
      </c>
    </row>
    <row r="1137">
      <c r="A1137" t="inlineStr">
        <is>
          <t>D71383</t>
        </is>
      </c>
      <c r="B1137" s="11" t="n">
        <v>46131</v>
      </c>
      <c r="C1137" t="inlineStr">
        <is>
          <t>S0146 Werribee</t>
        </is>
      </c>
      <c r="D1137" t="inlineStr">
        <is>
          <t>S0146</t>
        </is>
      </c>
      <c r="E1137" t="inlineStr">
        <is>
          <t>FB</t>
        </is>
      </c>
      <c r="F1137" t="n">
        <v>117</v>
      </c>
      <c r="G1137" t="inlineStr">
        <is>
          <t>OUT</t>
        </is>
      </c>
      <c r="H1137">
        <f>IF(G1137="OUT",F1137,-F1137)</f>
        <v>117</v>
      </c>
      <c r="I1137">
        <f>IF(AND(B1137&gt;=DATE(2025,7,1),B1137&lt;=DATE(2026,6,30)),1,0)</f>
        <v>1</v>
      </c>
      <c r="J1137">
        <f>IF(B1137&lt;=DATE(2026,6,30),1,0)</f>
        <v>1</v>
      </c>
      <c r="K1137" t="inlineStr">
        <is>
          <t>Site text normalised</t>
        </is>
      </c>
      <c r="L1137" t="inlineStr">
        <is>
          <t>Office</t>
        </is>
      </c>
      <c r="M1137">
        <f>COUNTIFS('Asset Log'!$A$5:$A$1379,A1137,'Asset Log'!$E$5:$E$1379,E1137,'Asset Log'!$G$5:$G$1379,G1137)</f>
        <v>1</v>
      </c>
    </row>
    <row r="1138">
      <c r="A1138" t="inlineStr">
        <is>
          <t>D72694</t>
        </is>
      </c>
      <c r="B1138" s="11" t="n">
        <v>46131</v>
      </c>
      <c r="C1138" t="inlineStr">
        <is>
          <t>S0442</t>
        </is>
      </c>
      <c r="D1138" t="inlineStr">
        <is>
          <t>S0442</t>
        </is>
      </c>
      <c r="E1138" t="inlineStr">
        <is>
          <t>TK</t>
        </is>
      </c>
      <c r="F1138" t="n">
        <v>3</v>
      </c>
      <c r="G1138" t="inlineStr">
        <is>
          <t>OUT</t>
        </is>
      </c>
      <c r="H1138">
        <f>IF(G1138="OUT",F1138,-F1138)</f>
        <v>3</v>
      </c>
      <c r="I1138">
        <f>IF(AND(B1138&gt;=DATE(2025,7,1),B1138&lt;=DATE(2026,6,30)),1,0)</f>
        <v>1</v>
      </c>
      <c r="J1138">
        <f>IF(B1138&lt;=DATE(2026,6,30),1,0)</f>
        <v>1</v>
      </c>
      <c r="K1138" t="inlineStr"/>
      <c r="L1138" t="inlineStr">
        <is>
          <t>Yard</t>
        </is>
      </c>
      <c r="M1138">
        <f>COUNTIFS('Asset Log'!$A$5:$A$1379,A1138,'Asset Log'!$E$5:$E$1379,E1138,'Asset Log'!$G$5:$G$1379,G1138)</f>
        <v>1</v>
      </c>
    </row>
    <row r="1139">
      <c r="A1139" t="inlineStr">
        <is>
          <t>D71409</t>
        </is>
      </c>
      <c r="B1139" s="11" t="n">
        <v>46132</v>
      </c>
      <c r="C1139" t="inlineStr">
        <is>
          <t>S0148</t>
        </is>
      </c>
      <c r="D1139" t="inlineStr">
        <is>
          <t>S0148</t>
        </is>
      </c>
      <c r="E1139" t="inlineStr">
        <is>
          <t>FP</t>
        </is>
      </c>
      <c r="F1139" t="n">
        <v>16</v>
      </c>
      <c r="G1139" t="inlineStr">
        <is>
          <t>OUT</t>
        </is>
      </c>
      <c r="H1139">
        <f>IF(G1139="OUT",F1139,-F1139)</f>
        <v>16</v>
      </c>
      <c r="I1139">
        <f>IF(AND(B1139&gt;=DATE(2025,7,1),B1139&lt;=DATE(2026,6,30)),1,0)</f>
        <v>1</v>
      </c>
      <c r="J1139">
        <f>IF(B1139&lt;=DATE(2026,6,30),1,0)</f>
        <v>1</v>
      </c>
      <c r="K1139" t="inlineStr"/>
      <c r="L1139" t="inlineStr">
        <is>
          <t>Yard</t>
        </is>
      </c>
      <c r="M1139">
        <f>COUNTIFS('Asset Log'!$A$5:$A$1379,A1139,'Asset Log'!$E$5:$E$1379,E1139,'Asset Log'!$G$5:$G$1379,G1139)</f>
        <v>1</v>
      </c>
    </row>
    <row r="1140">
      <c r="A1140" t="inlineStr">
        <is>
          <t>D71413</t>
        </is>
      </c>
      <c r="B1140" s="11" t="n">
        <v>46132</v>
      </c>
      <c r="C1140" t="inlineStr">
        <is>
          <t>S0148</t>
        </is>
      </c>
      <c r="D1140" t="inlineStr">
        <is>
          <t>S0148</t>
        </is>
      </c>
      <c r="E1140" t="inlineStr">
        <is>
          <t>FB</t>
        </is>
      </c>
      <c r="F1140" t="n">
        <v>16</v>
      </c>
      <c r="G1140" t="inlineStr">
        <is>
          <t>OUT</t>
        </is>
      </c>
      <c r="H1140">
        <f>IF(G1140="OUT",F1140,-F1140)</f>
        <v>16</v>
      </c>
      <c r="I1140">
        <f>IF(AND(B1140&gt;=DATE(2025,7,1),B1140&lt;=DATE(2026,6,30)),1,0)</f>
        <v>1</v>
      </c>
      <c r="J1140">
        <f>IF(B1140&lt;=DATE(2026,6,30),1,0)</f>
        <v>1</v>
      </c>
      <c r="K1140" t="inlineStr"/>
      <c r="L1140" t="inlineStr">
        <is>
          <t>Driver</t>
        </is>
      </c>
      <c r="M1140">
        <f>COUNTIFS('Asset Log'!$A$5:$A$1379,A1140,'Asset Log'!$E$5:$E$1379,E1140,'Asset Log'!$G$5:$G$1379,G1140)</f>
        <v>1</v>
      </c>
    </row>
    <row r="1141">
      <c r="A1141" t="inlineStr">
        <is>
          <t>D72476</t>
        </is>
      </c>
      <c r="B1141" s="11" t="n">
        <v>46133</v>
      </c>
      <c r="C1141" t="inlineStr">
        <is>
          <t>s303</t>
        </is>
      </c>
      <c r="D1141" t="inlineStr">
        <is>
          <t>S0303</t>
        </is>
      </c>
      <c r="E1141" t="inlineStr">
        <is>
          <t>TK</t>
        </is>
      </c>
      <c r="F1141" t="n">
        <v>3</v>
      </c>
      <c r="G1141" t="inlineStr">
        <is>
          <t>IN</t>
        </is>
      </c>
      <c r="H1141">
        <f>IF(G1141="OUT",F1141,-F1141)</f>
        <v>-3</v>
      </c>
      <c r="I1141">
        <f>IF(AND(B1141&gt;=DATE(2025,7,1),B1141&lt;=DATE(2026,6,30)),1,0)</f>
        <v>1</v>
      </c>
      <c r="J1141">
        <f>IF(B1141&lt;=DATE(2026,6,30),1,0)</f>
        <v>1</v>
      </c>
      <c r="K1141" t="inlineStr">
        <is>
          <t>Site text normalised</t>
        </is>
      </c>
      <c r="L1141" t="inlineStr">
        <is>
          <t>Office</t>
        </is>
      </c>
      <c r="M1141">
        <f>COUNTIFS('Asset Log'!$A$5:$A$1379,A1141,'Asset Log'!$E$5:$E$1379,E1141,'Asset Log'!$G$5:$G$1379,G1141)</f>
        <v>1</v>
      </c>
    </row>
    <row r="1142">
      <c r="A1142" t="inlineStr">
        <is>
          <t>D72663</t>
        </is>
      </c>
      <c r="B1142" s="11" t="n">
        <v>46133</v>
      </c>
      <c r="C1142" t="inlineStr">
        <is>
          <t>S0429</t>
        </is>
      </c>
      <c r="D1142" t="inlineStr">
        <is>
          <t>S0429</t>
        </is>
      </c>
      <c r="E1142" t="inlineStr">
        <is>
          <t>TK</t>
        </is>
      </c>
      <c r="F1142" t="n">
        <v>3</v>
      </c>
      <c r="G1142" t="inlineStr">
        <is>
          <t>OUT</t>
        </is>
      </c>
      <c r="H1142">
        <f>IF(G1142="OUT",F1142,-F1142)</f>
        <v>3</v>
      </c>
      <c r="I1142">
        <f>IF(AND(B1142&gt;=DATE(2025,7,1),B1142&lt;=DATE(2026,6,30)),1,0)</f>
        <v>1</v>
      </c>
      <c r="J1142">
        <f>IF(B1142&lt;=DATE(2026,6,30),1,0)</f>
        <v>1</v>
      </c>
      <c r="K1142" t="inlineStr"/>
      <c r="L1142" t="inlineStr">
        <is>
          <t>Office</t>
        </is>
      </c>
      <c r="M1142">
        <f>COUNTIFS('Asset Log'!$A$5:$A$1379,A1142,'Asset Log'!$E$5:$E$1379,E1142,'Asset Log'!$G$5:$G$1379,G1142)</f>
        <v>1</v>
      </c>
    </row>
    <row r="1143">
      <c r="A1143" t="inlineStr">
        <is>
          <t>D71932</t>
        </is>
      </c>
      <c r="B1143" s="11" t="n">
        <v>46134</v>
      </c>
      <c r="C1143" t="inlineStr">
        <is>
          <t>S0204</t>
        </is>
      </c>
      <c r="D1143" t="inlineStr">
        <is>
          <t>S0204</t>
        </is>
      </c>
      <c r="E1143" t="inlineStr">
        <is>
          <t>FP</t>
        </is>
      </c>
      <c r="F1143" t="n">
        <v>148</v>
      </c>
      <c r="G1143" t="inlineStr">
        <is>
          <t>IN</t>
        </is>
      </c>
      <c r="H1143">
        <f>IF(G1143="OUT",F1143,-F1143)</f>
        <v>-148</v>
      </c>
      <c r="I1143">
        <f>IF(AND(B1143&gt;=DATE(2025,7,1),B1143&lt;=DATE(2026,6,30)),1,0)</f>
        <v>1</v>
      </c>
      <c r="J1143">
        <f>IF(B1143&lt;=DATE(2026,6,30),1,0)</f>
        <v>1</v>
      </c>
      <c r="K1143" t="inlineStr"/>
      <c r="L1143" t="inlineStr">
        <is>
          <t>Driver</t>
        </is>
      </c>
      <c r="M1143">
        <f>COUNTIFS('Asset Log'!$A$5:$A$1379,A1143,'Asset Log'!$E$5:$E$1379,E1143,'Asset Log'!$G$5:$G$1379,G1143)</f>
        <v>1</v>
      </c>
    </row>
    <row r="1144">
      <c r="A1144" t="inlineStr">
        <is>
          <t>D71934</t>
        </is>
      </c>
      <c r="B1144" s="11" t="n">
        <v>46134</v>
      </c>
      <c r="C1144" t="inlineStr">
        <is>
          <t>S0204</t>
        </is>
      </c>
      <c r="D1144" t="inlineStr">
        <is>
          <t>S0204</t>
        </is>
      </c>
      <c r="E1144" t="inlineStr">
        <is>
          <t>FB</t>
        </is>
      </c>
      <c r="F1144" t="n">
        <v>162</v>
      </c>
      <c r="G1144" t="inlineStr">
        <is>
          <t>IN</t>
        </is>
      </c>
      <c r="H1144">
        <f>IF(G1144="OUT",F1144,-F1144)</f>
        <v>-162</v>
      </c>
      <c r="I1144">
        <f>IF(AND(B1144&gt;=DATE(2025,7,1),B1144&lt;=DATE(2026,6,30)),1,0)</f>
        <v>1</v>
      </c>
      <c r="J1144">
        <f>IF(B1144&lt;=DATE(2026,6,30),1,0)</f>
        <v>1</v>
      </c>
      <c r="K1144" t="inlineStr"/>
      <c r="L1144" t="inlineStr">
        <is>
          <t>Driver</t>
        </is>
      </c>
      <c r="M1144">
        <f>COUNTIFS('Asset Log'!$A$5:$A$1379,A1144,'Asset Log'!$E$5:$E$1379,E1144,'Asset Log'!$G$5:$G$1379,G1144)</f>
        <v>1</v>
      </c>
    </row>
    <row r="1145">
      <c r="A1145" t="inlineStr">
        <is>
          <t>D72303</t>
        </is>
      </c>
      <c r="B1145" s="11" t="n">
        <v>46134</v>
      </c>
      <c r="C1145" t="inlineStr">
        <is>
          <t>S0257</t>
        </is>
      </c>
      <c r="D1145" t="inlineStr">
        <is>
          <t>S0257</t>
        </is>
      </c>
      <c r="E1145" t="inlineStr">
        <is>
          <t>ST</t>
        </is>
      </c>
      <c r="F1145" t="n">
        <v>6</v>
      </c>
      <c r="G1145" t="inlineStr">
        <is>
          <t>IN</t>
        </is>
      </c>
      <c r="H1145">
        <f>IF(G1145="OUT",F1145,-F1145)</f>
        <v>-6</v>
      </c>
      <c r="I1145">
        <f>IF(AND(B1145&gt;=DATE(2025,7,1),B1145&lt;=DATE(2026,6,30)),1,0)</f>
        <v>1</v>
      </c>
      <c r="J1145">
        <f>IF(B1145&lt;=DATE(2026,6,30),1,0)</f>
        <v>1</v>
      </c>
      <c r="K1145" t="inlineStr"/>
      <c r="L1145" t="inlineStr">
        <is>
          <t>Yard</t>
        </is>
      </c>
      <c r="M1145">
        <f>COUNTIFS('Asset Log'!$A$5:$A$1379,A1145,'Asset Log'!$E$5:$E$1379,E1145,'Asset Log'!$G$5:$G$1379,G1145)</f>
        <v>1</v>
      </c>
    </row>
    <row r="1146">
      <c r="A1146" t="inlineStr">
        <is>
          <t>D71238</t>
        </is>
      </c>
      <c r="B1146" s="11" t="n">
        <v>46135</v>
      </c>
      <c r="C1146" t="inlineStr">
        <is>
          <t>129</t>
        </is>
      </c>
      <c r="D1146" t="inlineStr">
        <is>
          <t>S0129</t>
        </is>
      </c>
      <c r="E1146" t="inlineStr">
        <is>
          <t>FP</t>
        </is>
      </c>
      <c r="F1146" t="n">
        <v>47</v>
      </c>
      <c r="G1146" t="inlineStr">
        <is>
          <t>OUT</t>
        </is>
      </c>
      <c r="H1146">
        <f>IF(G1146="OUT",F1146,-F1146)</f>
        <v>47</v>
      </c>
      <c r="I1146">
        <f>IF(AND(B1146&gt;=DATE(2025,7,1),B1146&lt;=DATE(2026,6,30)),1,0)</f>
        <v>1</v>
      </c>
      <c r="J1146">
        <f>IF(B1146&lt;=DATE(2026,6,30),1,0)</f>
        <v>1</v>
      </c>
      <c r="K1146" t="inlineStr">
        <is>
          <t>Site text normalised</t>
        </is>
      </c>
      <c r="L1146" t="inlineStr">
        <is>
          <t>Driver</t>
        </is>
      </c>
      <c r="M1146">
        <f>COUNTIFS('Asset Log'!$A$5:$A$1379,A1146,'Asset Log'!$E$5:$E$1379,E1146,'Asset Log'!$G$5:$G$1379,G1146)</f>
        <v>1</v>
      </c>
    </row>
    <row r="1147">
      <c r="A1147" t="inlineStr">
        <is>
          <t>D71244</t>
        </is>
      </c>
      <c r="B1147" s="11" t="n">
        <v>46135</v>
      </c>
      <c r="C1147" t="inlineStr">
        <is>
          <t>S0129</t>
        </is>
      </c>
      <c r="D1147" t="inlineStr">
        <is>
          <t>S0129</t>
        </is>
      </c>
      <c r="E1147" t="inlineStr">
        <is>
          <t>FB</t>
        </is>
      </c>
      <c r="F1147" t="n">
        <v>51</v>
      </c>
      <c r="G1147" t="inlineStr">
        <is>
          <t>OUT</t>
        </is>
      </c>
      <c r="H1147">
        <f>IF(G1147="OUT",F1147,-F1147)</f>
        <v>51</v>
      </c>
      <c r="I1147">
        <f>IF(AND(B1147&gt;=DATE(2025,7,1),B1147&lt;=DATE(2026,6,30)),1,0)</f>
        <v>1</v>
      </c>
      <c r="J1147">
        <f>IF(B1147&lt;=DATE(2026,6,30),1,0)</f>
        <v>1</v>
      </c>
      <c r="K1147" t="inlineStr"/>
      <c r="L1147" t="inlineStr">
        <is>
          <t>Yard</t>
        </is>
      </c>
      <c r="M1147">
        <f>COUNTIFS('Asset Log'!$A$5:$A$1379,A1147,'Asset Log'!$E$5:$E$1379,E1147,'Asset Log'!$G$5:$G$1379,G1147)</f>
        <v>1</v>
      </c>
    </row>
    <row r="1148">
      <c r="A1148" t="inlineStr">
        <is>
          <t>D72788</t>
        </is>
      </c>
      <c r="B1148" s="11" t="n">
        <v>46135</v>
      </c>
      <c r="C1148" t="inlineStr">
        <is>
          <t>S0508</t>
        </is>
      </c>
      <c r="D1148" t="inlineStr">
        <is>
          <t>S0508</t>
        </is>
      </c>
      <c r="E1148" t="inlineStr">
        <is>
          <t>TK</t>
        </is>
      </c>
      <c r="F1148" t="n">
        <v>1</v>
      </c>
      <c r="G1148" t="inlineStr">
        <is>
          <t>IN</t>
        </is>
      </c>
      <c r="H1148">
        <f>IF(G1148="OUT",F1148,-F1148)</f>
        <v>-1</v>
      </c>
      <c r="I1148">
        <f>IF(AND(B1148&gt;=DATE(2025,7,1),B1148&lt;=DATE(2026,6,30)),1,0)</f>
        <v>1</v>
      </c>
      <c r="J1148">
        <f>IF(B1148&lt;=DATE(2026,6,30),1,0)</f>
        <v>1</v>
      </c>
      <c r="K1148" t="inlineStr"/>
      <c r="L1148" t="inlineStr">
        <is>
          <t>Driver</t>
        </is>
      </c>
      <c r="M1148">
        <f>COUNTIFS('Asset Log'!$A$5:$A$1379,A1148,'Asset Log'!$E$5:$E$1379,E1148,'Asset Log'!$G$5:$G$1379,G1148)</f>
        <v>1</v>
      </c>
    </row>
    <row r="1149">
      <c r="A1149" t="inlineStr">
        <is>
          <t>D70168</t>
        </is>
      </c>
      <c r="B1149" s="11" t="n">
        <v>46136</v>
      </c>
      <c r="C1149" t="inlineStr">
        <is>
          <t>S0019</t>
        </is>
      </c>
      <c r="D1149" t="inlineStr">
        <is>
          <t>S0019</t>
        </is>
      </c>
      <c r="E1149" t="inlineStr">
        <is>
          <t>FP</t>
        </is>
      </c>
      <c r="F1149" t="n">
        <v>81</v>
      </c>
      <c r="G1149" t="inlineStr">
        <is>
          <t>IN</t>
        </is>
      </c>
      <c r="H1149">
        <f>IF(G1149="OUT",F1149,-F1149)</f>
        <v>-81</v>
      </c>
      <c r="I1149">
        <f>IF(AND(B1149&gt;=DATE(2025,7,1),B1149&lt;=DATE(2026,6,30)),1,0)</f>
        <v>1</v>
      </c>
      <c r="J1149">
        <f>IF(B1149&lt;=DATE(2026,6,30),1,0)</f>
        <v>1</v>
      </c>
      <c r="K1149" t="inlineStr"/>
      <c r="L1149" t="inlineStr">
        <is>
          <t>Yard</t>
        </is>
      </c>
      <c r="M1149">
        <f>COUNTIFS('Asset Log'!$A$5:$A$1379,A1149,'Asset Log'!$E$5:$E$1379,E1149,'Asset Log'!$G$5:$G$1379,G1149)</f>
        <v>1</v>
      </c>
    </row>
    <row r="1150">
      <c r="A1150" t="inlineStr">
        <is>
          <t>D70173</t>
        </is>
      </c>
      <c r="B1150" s="11" t="n">
        <v>46136</v>
      </c>
      <c r="C1150" t="inlineStr">
        <is>
          <t>s019</t>
        </is>
      </c>
      <c r="D1150" t="inlineStr">
        <is>
          <t>S0019</t>
        </is>
      </c>
      <c r="E1150" t="inlineStr">
        <is>
          <t>FB</t>
        </is>
      </c>
      <c r="F1150" t="n">
        <v>96</v>
      </c>
      <c r="G1150" t="inlineStr">
        <is>
          <t>IN</t>
        </is>
      </c>
      <c r="H1150">
        <f>IF(G1150="OUT",F1150,-F1150)</f>
        <v>-96</v>
      </c>
      <c r="I1150">
        <f>IF(AND(B1150&gt;=DATE(2025,7,1),B1150&lt;=DATE(2026,6,30)),1,0)</f>
        <v>1</v>
      </c>
      <c r="J1150">
        <f>IF(B1150&lt;=DATE(2026,6,30),1,0)</f>
        <v>1</v>
      </c>
      <c r="K1150" t="inlineStr">
        <is>
          <t>Site text normalised</t>
        </is>
      </c>
      <c r="L1150" t="inlineStr">
        <is>
          <t>Office</t>
        </is>
      </c>
      <c r="M1150">
        <f>COUNTIFS('Asset Log'!$A$5:$A$1379,A1150,'Asset Log'!$E$5:$E$1379,E1150,'Asset Log'!$G$5:$G$1379,G1150)</f>
        <v>1</v>
      </c>
    </row>
    <row r="1151">
      <c r="A1151" t="inlineStr">
        <is>
          <t>D72645</t>
        </is>
      </c>
      <c r="B1151" s="11" t="n">
        <v>46136</v>
      </c>
      <c r="C1151" t="inlineStr">
        <is>
          <t>S0415</t>
        </is>
      </c>
      <c r="D1151" t="inlineStr">
        <is>
          <t>S0415</t>
        </is>
      </c>
      <c r="E1151" t="inlineStr">
        <is>
          <t>TK</t>
        </is>
      </c>
      <c r="F1151" t="n">
        <v>2</v>
      </c>
      <c r="G1151" t="inlineStr">
        <is>
          <t>IN</t>
        </is>
      </c>
      <c r="H1151">
        <f>IF(G1151="OUT",F1151,-F1151)</f>
        <v>-2</v>
      </c>
      <c r="I1151">
        <f>IF(AND(B1151&gt;=DATE(2025,7,1),B1151&lt;=DATE(2026,6,30)),1,0)</f>
        <v>1</v>
      </c>
      <c r="J1151">
        <f>IF(B1151&lt;=DATE(2026,6,30),1,0)</f>
        <v>1</v>
      </c>
      <c r="K1151" t="inlineStr"/>
      <c r="L1151" t="inlineStr">
        <is>
          <t>Office</t>
        </is>
      </c>
      <c r="M1151">
        <f>COUNTIFS('Asset Log'!$A$5:$A$1379,A1151,'Asset Log'!$E$5:$E$1379,E1151,'Asset Log'!$G$5:$G$1379,G1151)</f>
        <v>1</v>
      </c>
    </row>
    <row r="1152">
      <c r="A1152" t="inlineStr">
        <is>
          <t>D72771</t>
        </is>
      </c>
      <c r="B1152" s="11" t="n">
        <v>46137</v>
      </c>
      <c r="C1152" t="inlineStr">
        <is>
          <t>S0500</t>
        </is>
      </c>
      <c r="D1152" t="inlineStr">
        <is>
          <t>S0500</t>
        </is>
      </c>
      <c r="E1152" t="inlineStr">
        <is>
          <t>TK</t>
        </is>
      </c>
      <c r="F1152" t="n">
        <v>3</v>
      </c>
      <c r="G1152" t="inlineStr">
        <is>
          <t>OUT</t>
        </is>
      </c>
      <c r="H1152">
        <f>IF(G1152="OUT",F1152,-F1152)</f>
        <v>3</v>
      </c>
      <c r="I1152">
        <f>IF(AND(B1152&gt;=DATE(2025,7,1),B1152&lt;=DATE(2026,6,30)),1,0)</f>
        <v>1</v>
      </c>
      <c r="J1152">
        <f>IF(B1152&lt;=DATE(2026,6,30),1,0)</f>
        <v>1</v>
      </c>
      <c r="K1152" t="inlineStr"/>
      <c r="L1152" t="inlineStr">
        <is>
          <t>Office</t>
        </is>
      </c>
      <c r="M1152">
        <f>COUNTIFS('Asset Log'!$A$5:$A$1379,A1152,'Asset Log'!$E$5:$E$1379,E1152,'Asset Log'!$G$5:$G$1379,G1152)</f>
        <v>1</v>
      </c>
    </row>
    <row r="1153">
      <c r="A1153" t="inlineStr">
        <is>
          <t>D72571</t>
        </is>
      </c>
      <c r="B1153" s="11" t="n">
        <v>46138</v>
      </c>
      <c r="C1153" t="inlineStr">
        <is>
          <t>S0377</t>
        </is>
      </c>
      <c r="D1153" t="inlineStr">
        <is>
          <t>S0377</t>
        </is>
      </c>
      <c r="E1153" t="inlineStr">
        <is>
          <t>TK</t>
        </is>
      </c>
      <c r="F1153" t="n">
        <v>2</v>
      </c>
      <c r="G1153" t="inlineStr">
        <is>
          <t>OUT</t>
        </is>
      </c>
      <c r="H1153">
        <f>IF(G1153="OUT",F1153,-F1153)</f>
        <v>2</v>
      </c>
      <c r="I1153">
        <f>IF(AND(B1153&gt;=DATE(2025,7,1),B1153&lt;=DATE(2026,6,30)),1,0)</f>
        <v>1</v>
      </c>
      <c r="J1153">
        <f>IF(B1153&lt;=DATE(2026,6,30),1,0)</f>
        <v>1</v>
      </c>
      <c r="K1153" t="inlineStr"/>
      <c r="L1153" t="inlineStr">
        <is>
          <t>Office</t>
        </is>
      </c>
      <c r="M1153">
        <f>COUNTIFS('Asset Log'!$A$5:$A$1379,A1153,'Asset Log'!$E$5:$E$1379,E1153,'Asset Log'!$G$5:$G$1379,G1153)</f>
        <v>1</v>
      </c>
    </row>
    <row r="1154">
      <c r="A1154" t="inlineStr">
        <is>
          <t>D72338</t>
        </is>
      </c>
      <c r="B1154" s="11" t="n">
        <v>46139</v>
      </c>
      <c r="C1154" t="inlineStr">
        <is>
          <t>S0267</t>
        </is>
      </c>
      <c r="D1154" t="inlineStr">
        <is>
          <t>S0267</t>
        </is>
      </c>
      <c r="E1154" t="inlineStr">
        <is>
          <t>ST</t>
        </is>
      </c>
      <c r="F1154" t="n">
        <v>2</v>
      </c>
      <c r="G1154" t="inlineStr">
        <is>
          <t>OUT</t>
        </is>
      </c>
      <c r="H1154">
        <f>IF(G1154="OUT",F1154,-F1154)</f>
        <v>2</v>
      </c>
      <c r="I1154">
        <f>IF(AND(B1154&gt;=DATE(2025,7,1),B1154&lt;=DATE(2026,6,30)),1,0)</f>
        <v>1</v>
      </c>
      <c r="J1154">
        <f>IF(B1154&lt;=DATE(2026,6,30),1,0)</f>
        <v>1</v>
      </c>
      <c r="K1154" t="inlineStr"/>
      <c r="L1154" t="inlineStr">
        <is>
          <t>Office</t>
        </is>
      </c>
      <c r="M1154">
        <f>COUNTIFS('Asset Log'!$A$5:$A$1379,A1154,'Asset Log'!$E$5:$E$1379,E1154,'Asset Log'!$G$5:$G$1379,G1154)</f>
        <v>1</v>
      </c>
    </row>
    <row r="1155">
      <c r="A1155" t="inlineStr">
        <is>
          <t>D72458</t>
        </is>
      </c>
      <c r="B1155" s="11" t="n">
        <v>46141</v>
      </c>
      <c r="C1155" t="inlineStr">
        <is>
          <t>S0296</t>
        </is>
      </c>
      <c r="D1155" t="inlineStr">
        <is>
          <t>S0296</t>
        </is>
      </c>
      <c r="E1155" t="inlineStr">
        <is>
          <t>ST</t>
        </is>
      </c>
      <c r="F1155" t="n">
        <v>2</v>
      </c>
      <c r="G1155" t="inlineStr">
        <is>
          <t>IN</t>
        </is>
      </c>
      <c r="H1155">
        <f>IF(G1155="OUT",F1155,-F1155)</f>
        <v>-2</v>
      </c>
      <c r="I1155">
        <f>IF(AND(B1155&gt;=DATE(2025,7,1),B1155&lt;=DATE(2026,6,30)),1,0)</f>
        <v>1</v>
      </c>
      <c r="J1155">
        <f>IF(B1155&lt;=DATE(2026,6,30),1,0)</f>
        <v>1</v>
      </c>
      <c r="K1155" t="inlineStr"/>
      <c r="L1155" t="inlineStr">
        <is>
          <t>Yard</t>
        </is>
      </c>
      <c r="M1155">
        <f>COUNTIFS('Asset Log'!$A$5:$A$1379,A1155,'Asset Log'!$E$5:$E$1379,E1155,'Asset Log'!$G$5:$G$1379,G1155)</f>
        <v>1</v>
      </c>
    </row>
    <row r="1156">
      <c r="A1156" t="inlineStr">
        <is>
          <t>D72826</t>
        </is>
      </c>
      <c r="B1156" s="11" t="n">
        <v>46141</v>
      </c>
      <c r="C1156" t="inlineStr">
        <is>
          <t>S0541</t>
        </is>
      </c>
      <c r="D1156" t="inlineStr">
        <is>
          <t>S0541</t>
        </is>
      </c>
      <c r="E1156" t="inlineStr">
        <is>
          <t>TK</t>
        </is>
      </c>
      <c r="F1156" t="n">
        <v>3</v>
      </c>
      <c r="G1156" t="inlineStr">
        <is>
          <t>OUT</t>
        </is>
      </c>
      <c r="H1156">
        <f>IF(G1156="OUT",F1156,-F1156)</f>
        <v>3</v>
      </c>
      <c r="I1156">
        <f>IF(AND(B1156&gt;=DATE(2025,7,1),B1156&lt;=DATE(2026,6,30)),1,0)</f>
        <v>1</v>
      </c>
      <c r="J1156">
        <f>IF(B1156&lt;=DATE(2026,6,30),1,0)</f>
        <v>1</v>
      </c>
      <c r="K1156" t="inlineStr"/>
      <c r="L1156" t="inlineStr">
        <is>
          <t>Driver</t>
        </is>
      </c>
      <c r="M1156">
        <f>COUNTIFS('Asset Log'!$A$5:$A$1379,A1156,'Asset Log'!$E$5:$E$1379,E1156,'Asset Log'!$G$5:$G$1379,G1156)</f>
        <v>1</v>
      </c>
    </row>
    <row r="1157">
      <c r="A1157" t="inlineStr">
        <is>
          <t>D72618</t>
        </is>
      </c>
      <c r="B1157" s="11" t="n">
        <v>46142</v>
      </c>
      <c r="C1157" t="inlineStr">
        <is>
          <t>s403</t>
        </is>
      </c>
      <c r="D1157" t="inlineStr">
        <is>
          <t>S0403</t>
        </is>
      </c>
      <c r="E1157" t="inlineStr">
        <is>
          <t>TK</t>
        </is>
      </c>
      <c r="F1157" t="n">
        <v>2</v>
      </c>
      <c r="G1157" t="inlineStr">
        <is>
          <t>IN</t>
        </is>
      </c>
      <c r="H1157">
        <f>IF(G1157="OUT",F1157,-F1157)</f>
        <v>-2</v>
      </c>
      <c r="I1157">
        <f>IF(AND(B1157&gt;=DATE(2025,7,1),B1157&lt;=DATE(2026,6,30)),1,0)</f>
        <v>1</v>
      </c>
      <c r="J1157">
        <f>IF(B1157&lt;=DATE(2026,6,30),1,0)</f>
        <v>1</v>
      </c>
      <c r="K1157" t="inlineStr">
        <is>
          <t>Site text normalised</t>
        </is>
      </c>
      <c r="L1157" t="inlineStr">
        <is>
          <t>Yard</t>
        </is>
      </c>
      <c r="M1157">
        <f>COUNTIFS('Asset Log'!$A$5:$A$1379,A1157,'Asset Log'!$E$5:$E$1379,E1157,'Asset Log'!$G$5:$G$1379,G1157)</f>
        <v>1</v>
      </c>
    </row>
    <row r="1158">
      <c r="A1158" t="inlineStr">
        <is>
          <t>D70570</t>
        </is>
      </c>
      <c r="B1158" s="11" t="n">
        <v>46143</v>
      </c>
      <c r="C1158" t="inlineStr">
        <is>
          <t>S0026</t>
        </is>
      </c>
      <c r="D1158" t="inlineStr">
        <is>
          <t>S0062</t>
        </is>
      </c>
      <c r="E1158" t="inlineStr">
        <is>
          <t>FP</t>
        </is>
      </c>
      <c r="F1158" t="n">
        <v>61</v>
      </c>
      <c r="G1158" t="inlineStr">
        <is>
          <t>IN</t>
        </is>
      </c>
      <c r="H1158">
        <f>IF(G1158="OUT",F1158,-F1158)</f>
        <v>-61</v>
      </c>
      <c r="I1158">
        <f>IF(AND(B1158&gt;=DATE(2025,7,1),B1158&lt;=DATE(2026,6,30)),1,0)</f>
        <v>1</v>
      </c>
      <c r="J1158">
        <f>IF(B1158&lt;=DATE(2026,6,30),1,0)</f>
        <v>1</v>
      </c>
      <c r="K1158" t="inlineStr">
        <is>
          <t>Site corrected from S0026 (digits swapped)</t>
        </is>
      </c>
      <c r="L1158" t="inlineStr">
        <is>
          <t>Office</t>
        </is>
      </c>
      <c r="M1158">
        <f>COUNTIFS('Asset Log'!$A$5:$A$1379,A1158,'Asset Log'!$E$5:$E$1379,E1158,'Asset Log'!$G$5:$G$1379,G1158)</f>
        <v>1</v>
      </c>
    </row>
    <row r="1159">
      <c r="A1159" t="inlineStr">
        <is>
          <t>D70577</t>
        </is>
      </c>
      <c r="B1159" s="11" t="n">
        <v>46143</v>
      </c>
      <c r="C1159" t="inlineStr">
        <is>
          <t>S0062</t>
        </is>
      </c>
      <c r="D1159" t="inlineStr">
        <is>
          <t>S0062</t>
        </is>
      </c>
      <c r="E1159" t="inlineStr">
        <is>
          <t>FB</t>
        </is>
      </c>
      <c r="F1159" t="n">
        <v>74</v>
      </c>
      <c r="G1159" t="inlineStr">
        <is>
          <t>IN</t>
        </is>
      </c>
      <c r="H1159">
        <f>IF(G1159="OUT",F1159,-F1159)</f>
        <v>-74</v>
      </c>
      <c r="I1159">
        <f>IF(AND(B1159&gt;=DATE(2025,7,1),B1159&lt;=DATE(2026,6,30)),1,0)</f>
        <v>1</v>
      </c>
      <c r="J1159">
        <f>IF(B1159&lt;=DATE(2026,6,30),1,0)</f>
        <v>1</v>
      </c>
      <c r="K1159" t="inlineStr"/>
      <c r="L1159" t="inlineStr">
        <is>
          <t>Yard</t>
        </is>
      </c>
      <c r="M1159">
        <f>COUNTIFS('Asset Log'!$A$5:$A$1379,A1159,'Asset Log'!$E$5:$E$1379,E1159,'Asset Log'!$G$5:$G$1379,G1159)</f>
        <v>1</v>
      </c>
    </row>
    <row r="1160">
      <c r="A1160" t="inlineStr">
        <is>
          <t>D70583</t>
        </is>
      </c>
      <c r="B1160" s="11" t="n">
        <v>46143</v>
      </c>
      <c r="C1160" t="inlineStr">
        <is>
          <t>S0062</t>
        </is>
      </c>
      <c r="D1160" t="inlineStr">
        <is>
          <t>S0062</t>
        </is>
      </c>
      <c r="E1160" t="inlineStr">
        <is>
          <t>BR</t>
        </is>
      </c>
      <c r="F1160" t="n">
        <v>19</v>
      </c>
      <c r="G1160" t="inlineStr">
        <is>
          <t>IN</t>
        </is>
      </c>
      <c r="H1160">
        <f>IF(G1160="OUT",F1160,-F1160)</f>
        <v>-19</v>
      </c>
      <c r="I1160">
        <f>IF(AND(B1160&gt;=DATE(2025,7,1),B1160&lt;=DATE(2026,6,30)),1,0)</f>
        <v>1</v>
      </c>
      <c r="J1160">
        <f>IF(B1160&lt;=DATE(2026,6,30),1,0)</f>
        <v>1</v>
      </c>
      <c r="K1160" t="inlineStr"/>
      <c r="L1160" t="inlineStr">
        <is>
          <t>Office</t>
        </is>
      </c>
      <c r="M1160">
        <f>COUNTIFS('Asset Log'!$A$5:$A$1379,A1160,'Asset Log'!$E$5:$E$1379,E1160,'Asset Log'!$G$5:$G$1379,G1160)</f>
        <v>1</v>
      </c>
    </row>
    <row r="1161">
      <c r="A1161" t="inlineStr">
        <is>
          <t>D70677</t>
        </is>
      </c>
      <c r="B1161" s="11" t="n">
        <v>46143</v>
      </c>
      <c r="C1161" t="inlineStr">
        <is>
          <t>S0073</t>
        </is>
      </c>
      <c r="D1161" t="inlineStr">
        <is>
          <t>S0073</t>
        </is>
      </c>
      <c r="E1161" t="inlineStr">
        <is>
          <t>FP</t>
        </is>
      </c>
      <c r="F1161" t="n">
        <v>70</v>
      </c>
      <c r="G1161" t="inlineStr">
        <is>
          <t>OUT</t>
        </is>
      </c>
      <c r="H1161">
        <f>IF(G1161="OUT",F1161,-F1161)</f>
        <v>70</v>
      </c>
      <c r="I1161">
        <f>IF(AND(B1161&gt;=DATE(2025,7,1),B1161&lt;=DATE(2026,6,30)),1,0)</f>
        <v>1</v>
      </c>
      <c r="J1161">
        <f>IF(B1161&lt;=DATE(2026,6,30),1,0)</f>
        <v>1</v>
      </c>
      <c r="K1161" t="inlineStr"/>
      <c r="L1161" t="inlineStr">
        <is>
          <t>Driver</t>
        </is>
      </c>
      <c r="M1161">
        <f>COUNTIFS('Asset Log'!$A$5:$A$1379,A1161,'Asset Log'!$E$5:$E$1379,E1161,'Asset Log'!$G$5:$G$1379,G1161)</f>
        <v>1</v>
      </c>
    </row>
    <row r="1162">
      <c r="A1162" t="inlineStr">
        <is>
          <t>D70679</t>
        </is>
      </c>
      <c r="B1162" s="11" t="n">
        <v>46143</v>
      </c>
      <c r="C1162" t="inlineStr">
        <is>
          <t>S0073</t>
        </is>
      </c>
      <c r="D1162" t="inlineStr">
        <is>
          <t>S0073</t>
        </is>
      </c>
      <c r="E1162" t="inlineStr">
        <is>
          <t>FB</t>
        </is>
      </c>
      <c r="F1162" t="n">
        <v>77</v>
      </c>
      <c r="G1162" t="inlineStr">
        <is>
          <t>OUT</t>
        </is>
      </c>
      <c r="H1162">
        <f>IF(G1162="OUT",F1162,-F1162)</f>
        <v>77</v>
      </c>
      <c r="I1162">
        <f>IF(AND(B1162&gt;=DATE(2025,7,1),B1162&lt;=DATE(2026,6,30)),1,0)</f>
        <v>1</v>
      </c>
      <c r="J1162">
        <f>IF(B1162&lt;=DATE(2026,6,30),1,0)</f>
        <v>1</v>
      </c>
      <c r="K1162" t="inlineStr"/>
      <c r="L1162" t="inlineStr">
        <is>
          <t>Yard</t>
        </is>
      </c>
      <c r="M1162">
        <f>COUNTIFS('Asset Log'!$A$5:$A$1379,A1162,'Asset Log'!$E$5:$E$1379,E1162,'Asset Log'!$G$5:$G$1379,G1162)</f>
        <v>1</v>
      </c>
    </row>
    <row r="1163">
      <c r="A1163" t="inlineStr">
        <is>
          <t>D70682</t>
        </is>
      </c>
      <c r="B1163" s="11" t="n">
        <v>46143</v>
      </c>
      <c r="C1163" t="inlineStr">
        <is>
          <t>S0073</t>
        </is>
      </c>
      <c r="D1163" t="inlineStr">
        <is>
          <t>S0073</t>
        </is>
      </c>
      <c r="E1163" t="inlineStr">
        <is>
          <t>BR</t>
        </is>
      </c>
      <c r="F1163" t="n">
        <v>23</v>
      </c>
      <c r="G1163" t="inlineStr">
        <is>
          <t>OUT</t>
        </is>
      </c>
      <c r="H1163">
        <f>IF(G1163="OUT",F1163,-F1163)</f>
        <v>23</v>
      </c>
      <c r="I1163">
        <f>IF(AND(B1163&gt;=DATE(2025,7,1),B1163&lt;=DATE(2026,6,30)),1,0)</f>
        <v>1</v>
      </c>
      <c r="J1163">
        <f>IF(B1163&lt;=DATE(2026,6,30),1,0)</f>
        <v>1</v>
      </c>
      <c r="K1163" t="inlineStr"/>
      <c r="L1163" t="inlineStr">
        <is>
          <t>Office</t>
        </is>
      </c>
      <c r="M1163">
        <f>COUNTIFS('Asset Log'!$A$5:$A$1379,A1163,'Asset Log'!$E$5:$E$1379,E1163,'Asset Log'!$G$5:$G$1379,G1163)</f>
        <v>1</v>
      </c>
    </row>
    <row r="1164">
      <c r="A1164" t="inlineStr">
        <is>
          <t>D72269</t>
        </is>
      </c>
      <c r="B1164" s="11" t="n">
        <v>46143</v>
      </c>
      <c r="C1164" t="inlineStr">
        <is>
          <t>S0250 Epping</t>
        </is>
      </c>
      <c r="D1164" t="inlineStr">
        <is>
          <t>S0250</t>
        </is>
      </c>
      <c r="E1164" t="inlineStr">
        <is>
          <t>ST</t>
        </is>
      </c>
      <c r="F1164" t="n">
        <v>1</v>
      </c>
      <c r="G1164" t="inlineStr">
        <is>
          <t>OUT</t>
        </is>
      </c>
      <c r="H1164">
        <f>IF(G1164="OUT",F1164,-F1164)</f>
        <v>1</v>
      </c>
      <c r="I1164">
        <f>IF(AND(B1164&gt;=DATE(2025,7,1),B1164&lt;=DATE(2026,6,30)),1,0)</f>
        <v>1</v>
      </c>
      <c r="J1164">
        <f>IF(B1164&lt;=DATE(2026,6,30),1,0)</f>
        <v>1</v>
      </c>
      <c r="K1164" t="inlineStr">
        <is>
          <t>Site text normalised</t>
        </is>
      </c>
      <c r="L1164" t="inlineStr">
        <is>
          <t>Driver</t>
        </is>
      </c>
      <c r="M1164">
        <f>COUNTIFS('Asset Log'!$A$5:$A$1379,A1164,'Asset Log'!$E$5:$E$1379,E1164,'Asset Log'!$G$5:$G$1379,G1164)</f>
        <v>1</v>
      </c>
    </row>
    <row r="1165">
      <c r="A1165" t="inlineStr">
        <is>
          <t>D72309</t>
        </is>
      </c>
      <c r="B1165" s="11" t="n">
        <v>46143</v>
      </c>
      <c r="C1165" t="inlineStr">
        <is>
          <t>S0258</t>
        </is>
      </c>
      <c r="D1165" t="inlineStr">
        <is>
          <t>S0258</t>
        </is>
      </c>
      <c r="E1165" t="inlineStr">
        <is>
          <t>ST</t>
        </is>
      </c>
      <c r="F1165" t="n">
        <v>2</v>
      </c>
      <c r="G1165" t="inlineStr">
        <is>
          <t>IN</t>
        </is>
      </c>
      <c r="H1165">
        <f>IF(G1165="OUT",F1165,-F1165)</f>
        <v>-2</v>
      </c>
      <c r="I1165">
        <f>IF(AND(B1165&gt;=DATE(2025,7,1),B1165&lt;=DATE(2026,6,30)),1,0)</f>
        <v>1</v>
      </c>
      <c r="J1165">
        <f>IF(B1165&lt;=DATE(2026,6,30),1,0)</f>
        <v>1</v>
      </c>
      <c r="K1165" t="inlineStr"/>
      <c r="L1165" t="inlineStr">
        <is>
          <t>Driver</t>
        </is>
      </c>
      <c r="M1165">
        <f>COUNTIFS('Asset Log'!$A$5:$A$1379,A1165,'Asset Log'!$E$5:$E$1379,E1165,'Asset Log'!$G$5:$G$1379,G1165)</f>
        <v>1</v>
      </c>
    </row>
    <row r="1166">
      <c r="A1166" t="inlineStr">
        <is>
          <t>D70261</t>
        </is>
      </c>
      <c r="B1166" s="11" t="n">
        <v>46144</v>
      </c>
      <c r="C1166" t="inlineStr">
        <is>
          <t>s028</t>
        </is>
      </c>
      <c r="D1166" t="inlineStr">
        <is>
          <t>S0028</t>
        </is>
      </c>
      <c r="E1166" t="inlineStr">
        <is>
          <t>FP</t>
        </is>
      </c>
      <c r="F1166" t="n">
        <v>102</v>
      </c>
      <c r="G1166" t="inlineStr">
        <is>
          <t>OUT</t>
        </is>
      </c>
      <c r="H1166">
        <f>IF(G1166="OUT",F1166,-F1166)</f>
        <v>102</v>
      </c>
      <c r="I1166">
        <f>IF(AND(B1166&gt;=DATE(2025,7,1),B1166&lt;=DATE(2026,6,30)),1,0)</f>
        <v>1</v>
      </c>
      <c r="J1166">
        <f>IF(B1166&lt;=DATE(2026,6,30),1,0)</f>
        <v>1</v>
      </c>
      <c r="K1166" t="inlineStr">
        <is>
          <t>Site text normalised</t>
        </is>
      </c>
      <c r="L1166" t="inlineStr">
        <is>
          <t>Office</t>
        </is>
      </c>
      <c r="M1166">
        <f>COUNTIFS('Asset Log'!$A$5:$A$1379,A1166,'Asset Log'!$E$5:$E$1379,E1166,'Asset Log'!$G$5:$G$1379,G1166)</f>
        <v>1</v>
      </c>
    </row>
    <row r="1167">
      <c r="A1167" t="inlineStr">
        <is>
          <t>D70263</t>
        </is>
      </c>
      <c r="B1167" s="11" t="n">
        <v>46144</v>
      </c>
      <c r="C1167" t="inlineStr">
        <is>
          <t>S0028</t>
        </is>
      </c>
      <c r="D1167" t="inlineStr">
        <is>
          <t>S0028</t>
        </is>
      </c>
      <c r="E1167" t="inlineStr">
        <is>
          <t>FB</t>
        </is>
      </c>
      <c r="F1167" t="n">
        <v>112</v>
      </c>
      <c r="G1167" t="inlineStr">
        <is>
          <t>OUT</t>
        </is>
      </c>
      <c r="H1167">
        <f>IF(G1167="OUT",F1167,-F1167)</f>
        <v>112</v>
      </c>
      <c r="I1167">
        <f>IF(AND(B1167&gt;=DATE(2025,7,1),B1167&lt;=DATE(2026,6,30)),1,0)</f>
        <v>1</v>
      </c>
      <c r="J1167">
        <f>IF(B1167&lt;=DATE(2026,6,30),1,0)</f>
        <v>1</v>
      </c>
      <c r="K1167" t="inlineStr"/>
      <c r="L1167" t="inlineStr">
        <is>
          <t>Office</t>
        </is>
      </c>
      <c r="M1167">
        <f>COUNTIFS('Asset Log'!$A$5:$A$1379,A1167,'Asset Log'!$E$5:$E$1379,E1167,'Asset Log'!$G$5:$G$1379,G1167)</f>
        <v>1</v>
      </c>
    </row>
    <row r="1168">
      <c r="A1168" t="inlineStr">
        <is>
          <t>D70268</t>
        </is>
      </c>
      <c r="B1168" s="11" t="n">
        <v>46144</v>
      </c>
      <c r="C1168" t="inlineStr">
        <is>
          <t>S0028</t>
        </is>
      </c>
      <c r="D1168" t="inlineStr">
        <is>
          <t>S0028</t>
        </is>
      </c>
      <c r="E1168" t="inlineStr">
        <is>
          <t>BR</t>
        </is>
      </c>
      <c r="F1168" t="n">
        <v>12</v>
      </c>
      <c r="G1168" t="inlineStr">
        <is>
          <t>OUT</t>
        </is>
      </c>
      <c r="H1168">
        <f>IF(G1168="OUT",F1168,-F1168)</f>
        <v>12</v>
      </c>
      <c r="I1168">
        <f>IF(AND(B1168&gt;=DATE(2025,7,1),B1168&lt;=DATE(2026,6,30)),1,0)</f>
        <v>1</v>
      </c>
      <c r="J1168">
        <f>IF(B1168&lt;=DATE(2026,6,30),1,0)</f>
        <v>1</v>
      </c>
      <c r="K1168" t="inlineStr"/>
      <c r="L1168" t="inlineStr">
        <is>
          <t>Yard</t>
        </is>
      </c>
      <c r="M1168">
        <f>COUNTIFS('Asset Log'!$A$5:$A$1379,A1168,'Asset Log'!$E$5:$E$1379,E1168,'Asset Log'!$G$5:$G$1379,G1168)</f>
        <v>1</v>
      </c>
    </row>
    <row r="1169">
      <c r="A1169" t="inlineStr">
        <is>
          <t>D71503</t>
        </is>
      </c>
      <c r="B1169" s="11" t="n">
        <v>46144</v>
      </c>
      <c r="C1169" t="inlineStr">
        <is>
          <t>S0175</t>
        </is>
      </c>
      <c r="D1169" t="inlineStr">
        <is>
          <t>S0157</t>
        </is>
      </c>
      <c r="E1169" t="inlineStr">
        <is>
          <t>FP</t>
        </is>
      </c>
      <c r="F1169" t="n">
        <v>145</v>
      </c>
      <c r="G1169" t="inlineStr">
        <is>
          <t>IN</t>
        </is>
      </c>
      <c r="H1169">
        <f>IF(G1169="OUT",F1169,-F1169)</f>
        <v>-145</v>
      </c>
      <c r="I1169">
        <f>IF(AND(B1169&gt;=DATE(2025,7,1),B1169&lt;=DATE(2026,6,30)),1,0)</f>
        <v>1</v>
      </c>
      <c r="J1169">
        <f>IF(B1169&lt;=DATE(2026,6,30),1,0)</f>
        <v>1</v>
      </c>
      <c r="K1169" t="inlineStr">
        <is>
          <t>Site corrected from S0175 (return before the job started)</t>
        </is>
      </c>
      <c r="L1169" t="inlineStr">
        <is>
          <t>Driver</t>
        </is>
      </c>
      <c r="M1169">
        <f>COUNTIFS('Asset Log'!$A$5:$A$1379,A1169,'Asset Log'!$E$5:$E$1379,E1169,'Asset Log'!$G$5:$G$1379,G1169)</f>
        <v>1</v>
      </c>
    </row>
    <row r="1170">
      <c r="A1170" t="inlineStr">
        <is>
          <t>D71508</t>
        </is>
      </c>
      <c r="B1170" s="11" t="n">
        <v>46144</v>
      </c>
      <c r="C1170" t="inlineStr">
        <is>
          <t>S0157</t>
        </is>
      </c>
      <c r="D1170" t="inlineStr">
        <is>
          <t>S0157</t>
        </is>
      </c>
      <c r="E1170" t="inlineStr">
        <is>
          <t>FB</t>
        </is>
      </c>
      <c r="F1170" t="n">
        <v>159</v>
      </c>
      <c r="G1170" t="inlineStr">
        <is>
          <t>IN</t>
        </is>
      </c>
      <c r="H1170">
        <f>IF(G1170="OUT",F1170,-F1170)</f>
        <v>-159</v>
      </c>
      <c r="I1170">
        <f>IF(AND(B1170&gt;=DATE(2025,7,1),B1170&lt;=DATE(2026,6,30)),1,0)</f>
        <v>1</v>
      </c>
      <c r="J1170">
        <f>IF(B1170&lt;=DATE(2026,6,30),1,0)</f>
        <v>1</v>
      </c>
      <c r="K1170" t="inlineStr"/>
      <c r="L1170" t="inlineStr">
        <is>
          <t>Yard</t>
        </is>
      </c>
      <c r="M1170">
        <f>COUNTIFS('Asset Log'!$A$5:$A$1379,A1170,'Asset Log'!$E$5:$E$1379,E1170,'Asset Log'!$G$5:$G$1379,G1170)</f>
        <v>1</v>
      </c>
    </row>
    <row r="1171">
      <c r="A1171" t="inlineStr">
        <is>
          <t>D72091</t>
        </is>
      </c>
      <c r="B1171" s="11" t="n">
        <v>46144</v>
      </c>
      <c r="C1171" t="inlineStr">
        <is>
          <t>S0221</t>
        </is>
      </c>
      <c r="D1171" t="inlineStr">
        <is>
          <t>S0221</t>
        </is>
      </c>
      <c r="E1171" t="inlineStr">
        <is>
          <t>FP</t>
        </is>
      </c>
      <c r="F1171" t="n">
        <v>42</v>
      </c>
      <c r="G1171" t="inlineStr">
        <is>
          <t>OUT</t>
        </is>
      </c>
      <c r="H1171">
        <f>IF(G1171="OUT",F1171,-F1171)</f>
        <v>42</v>
      </c>
      <c r="I1171">
        <f>IF(AND(B1171&gt;=DATE(2025,7,1),B1171&lt;=DATE(2026,6,30)),1,0)</f>
        <v>1</v>
      </c>
      <c r="J1171">
        <f>IF(B1171&lt;=DATE(2026,6,30),1,0)</f>
        <v>1</v>
      </c>
      <c r="K1171" t="inlineStr"/>
      <c r="L1171" t="inlineStr">
        <is>
          <t>Driver</t>
        </is>
      </c>
      <c r="M1171">
        <f>COUNTIFS('Asset Log'!$A$5:$A$1379,A1171,'Asset Log'!$E$5:$E$1379,E1171,'Asset Log'!$G$5:$G$1379,G1171)</f>
        <v>1</v>
      </c>
    </row>
    <row r="1172">
      <c r="A1172" t="inlineStr">
        <is>
          <t>D72094</t>
        </is>
      </c>
      <c r="B1172" s="11" t="n">
        <v>46144</v>
      </c>
      <c r="C1172" t="inlineStr">
        <is>
          <t>S0221</t>
        </is>
      </c>
      <c r="D1172" t="inlineStr">
        <is>
          <t>S0221</t>
        </is>
      </c>
      <c r="E1172" t="inlineStr">
        <is>
          <t>FB</t>
        </is>
      </c>
      <c r="F1172" t="n">
        <v>46</v>
      </c>
      <c r="G1172" t="inlineStr">
        <is>
          <t>OUT</t>
        </is>
      </c>
      <c r="H1172">
        <f>IF(G1172="OUT",F1172,-F1172)</f>
        <v>46</v>
      </c>
      <c r="I1172">
        <f>IF(AND(B1172&gt;=DATE(2025,7,1),B1172&lt;=DATE(2026,6,30)),1,0)</f>
        <v>1</v>
      </c>
      <c r="J1172">
        <f>IF(B1172&lt;=DATE(2026,6,30),1,0)</f>
        <v>1</v>
      </c>
      <c r="K1172" t="inlineStr"/>
      <c r="L1172" t="inlineStr">
        <is>
          <t>Office</t>
        </is>
      </c>
      <c r="M1172">
        <f>COUNTIFS('Asset Log'!$A$5:$A$1379,A1172,'Asset Log'!$E$5:$E$1379,E1172,'Asset Log'!$G$5:$G$1379,G1172)</f>
        <v>1</v>
      </c>
    </row>
    <row r="1173">
      <c r="A1173" t="inlineStr">
        <is>
          <t>D72774</t>
        </is>
      </c>
      <c r="B1173" s="11" t="n">
        <v>46144</v>
      </c>
      <c r="C1173" t="inlineStr">
        <is>
          <t>500</t>
        </is>
      </c>
      <c r="D1173" t="inlineStr">
        <is>
          <t>S0500</t>
        </is>
      </c>
      <c r="E1173" t="inlineStr">
        <is>
          <t>TK</t>
        </is>
      </c>
      <c r="F1173" t="n">
        <v>3</v>
      </c>
      <c r="G1173" t="inlineStr">
        <is>
          <t>IN</t>
        </is>
      </c>
      <c r="H1173">
        <f>IF(G1173="OUT",F1173,-F1173)</f>
        <v>-3</v>
      </c>
      <c r="I1173">
        <f>IF(AND(B1173&gt;=DATE(2025,7,1),B1173&lt;=DATE(2026,6,30)),1,0)</f>
        <v>1</v>
      </c>
      <c r="J1173">
        <f>IF(B1173&lt;=DATE(2026,6,30),1,0)</f>
        <v>1</v>
      </c>
      <c r="K1173" t="inlineStr">
        <is>
          <t>Site text normalised</t>
        </is>
      </c>
      <c r="L1173" t="inlineStr">
        <is>
          <t>Office</t>
        </is>
      </c>
      <c r="M1173">
        <f>COUNTIFS('Asset Log'!$A$5:$A$1379,A1173,'Asset Log'!$E$5:$E$1379,E1173,'Asset Log'!$G$5:$G$1379,G1173)</f>
        <v>1</v>
      </c>
    </row>
    <row r="1174">
      <c r="A1174" t="inlineStr">
        <is>
          <t>D71381</t>
        </is>
      </c>
      <c r="B1174" s="11" t="n">
        <v>46145</v>
      </c>
      <c r="C1174" t="inlineStr">
        <is>
          <t>S0146</t>
        </is>
      </c>
      <c r="D1174" t="inlineStr">
        <is>
          <t>S0146</t>
        </is>
      </c>
      <c r="E1174" t="inlineStr">
        <is>
          <t>FP</t>
        </is>
      </c>
      <c r="F1174" t="n">
        <v>107</v>
      </c>
      <c r="G1174" t="inlineStr">
        <is>
          <t>IN</t>
        </is>
      </c>
      <c r="H1174">
        <f>IF(G1174="OUT",F1174,-F1174)</f>
        <v>-107</v>
      </c>
      <c r="I1174">
        <f>IF(AND(B1174&gt;=DATE(2025,7,1),B1174&lt;=DATE(2026,6,30)),1,0)</f>
        <v>1</v>
      </c>
      <c r="J1174">
        <f>IF(B1174&lt;=DATE(2026,6,30),1,0)</f>
        <v>1</v>
      </c>
      <c r="K1174" t="inlineStr"/>
      <c r="L1174" t="inlineStr">
        <is>
          <t>Driver</t>
        </is>
      </c>
      <c r="M1174">
        <f>COUNTIFS('Asset Log'!$A$5:$A$1379,A1174,'Asset Log'!$E$5:$E$1379,E1174,'Asset Log'!$G$5:$G$1379,G1174)</f>
        <v>1</v>
      </c>
    </row>
    <row r="1175">
      <c r="A1175" t="inlineStr">
        <is>
          <t>D71386</t>
        </is>
      </c>
      <c r="B1175" s="11" t="n">
        <v>46145</v>
      </c>
      <c r="C1175" t="inlineStr">
        <is>
          <t>S0146</t>
        </is>
      </c>
      <c r="D1175" t="inlineStr">
        <is>
          <t>S0146</t>
        </is>
      </c>
      <c r="E1175" t="inlineStr">
        <is>
          <t>FB</t>
        </is>
      </c>
      <c r="F1175" t="n">
        <v>117</v>
      </c>
      <c r="G1175" t="inlineStr">
        <is>
          <t>IN</t>
        </is>
      </c>
      <c r="H1175">
        <f>IF(G1175="OUT",F1175,-F1175)</f>
        <v>-117</v>
      </c>
      <c r="I1175">
        <f>IF(AND(B1175&gt;=DATE(2025,7,1),B1175&lt;=DATE(2026,6,30)),1,0)</f>
        <v>1</v>
      </c>
      <c r="J1175">
        <f>IF(B1175&lt;=DATE(2026,6,30),1,0)</f>
        <v>1</v>
      </c>
      <c r="K1175" t="inlineStr"/>
      <c r="L1175" t="inlineStr">
        <is>
          <t>Yard</t>
        </is>
      </c>
      <c r="M1175">
        <f>COUNTIFS('Asset Log'!$A$5:$A$1379,A1175,'Asset Log'!$E$5:$E$1379,E1175,'Asset Log'!$G$5:$G$1379,G1175)</f>
        <v>1</v>
      </c>
    </row>
    <row r="1176">
      <c r="A1176" t="inlineStr">
        <is>
          <t>D72151</t>
        </is>
      </c>
      <c r="B1176" s="11" t="n">
        <v>46145</v>
      </c>
      <c r="C1176" t="inlineStr">
        <is>
          <t>S0228</t>
        </is>
      </c>
      <c r="D1176" t="inlineStr">
        <is>
          <t>S0228</t>
        </is>
      </c>
      <c r="E1176" t="inlineStr">
        <is>
          <t>FP</t>
        </is>
      </c>
      <c r="F1176" t="n">
        <v>154</v>
      </c>
      <c r="G1176" t="inlineStr">
        <is>
          <t>IN</t>
        </is>
      </c>
      <c r="H1176">
        <f>IF(G1176="OUT",F1176,-F1176)</f>
        <v>-154</v>
      </c>
      <c r="I1176">
        <f>IF(AND(B1176&gt;=DATE(2025,7,1),B1176&lt;=DATE(2026,6,30)),1,0)</f>
        <v>1</v>
      </c>
      <c r="J1176">
        <f>IF(B1176&lt;=DATE(2026,6,30),1,0)</f>
        <v>1</v>
      </c>
      <c r="K1176" t="inlineStr"/>
      <c r="L1176" t="inlineStr">
        <is>
          <t>Driver</t>
        </is>
      </c>
      <c r="M1176">
        <f>COUNTIFS('Asset Log'!$A$5:$A$1379,A1176,'Asset Log'!$E$5:$E$1379,E1176,'Asset Log'!$G$5:$G$1379,G1176)</f>
        <v>1</v>
      </c>
    </row>
    <row r="1177">
      <c r="A1177" t="inlineStr">
        <is>
          <t>D72155</t>
        </is>
      </c>
      <c r="B1177" s="11" t="n">
        <v>46145</v>
      </c>
      <c r="C1177" t="inlineStr">
        <is>
          <t>S0228</t>
        </is>
      </c>
      <c r="D1177" t="inlineStr">
        <is>
          <t>S0228</t>
        </is>
      </c>
      <c r="E1177" t="inlineStr">
        <is>
          <t>FB</t>
        </is>
      </c>
      <c r="F1177" t="n">
        <v>169</v>
      </c>
      <c r="G1177" t="inlineStr">
        <is>
          <t>IN</t>
        </is>
      </c>
      <c r="H1177">
        <f>IF(G1177="OUT",F1177,-F1177)</f>
        <v>-169</v>
      </c>
      <c r="I1177">
        <f>IF(AND(B1177&gt;=DATE(2025,7,1),B1177&lt;=DATE(2026,6,30)),1,0)</f>
        <v>1</v>
      </c>
      <c r="J1177">
        <f>IF(B1177&lt;=DATE(2026,6,30),1,0)</f>
        <v>1</v>
      </c>
      <c r="K1177" t="inlineStr"/>
      <c r="L1177" t="inlineStr">
        <is>
          <t>Office</t>
        </is>
      </c>
      <c r="M1177">
        <f>COUNTIFS('Asset Log'!$A$5:$A$1379,A1177,'Asset Log'!$E$5:$E$1379,E1177,'Asset Log'!$G$5:$G$1379,G1177)</f>
        <v>1</v>
      </c>
    </row>
    <row r="1178">
      <c r="A1178" t="inlineStr">
        <is>
          <t>D72161</t>
        </is>
      </c>
      <c r="B1178" s="11" t="n">
        <v>46145</v>
      </c>
      <c r="C1178" t="inlineStr">
        <is>
          <t>S0228</t>
        </is>
      </c>
      <c r="D1178" t="inlineStr">
        <is>
          <t>S0228</t>
        </is>
      </c>
      <c r="E1178" t="inlineStr">
        <is>
          <t>BR</t>
        </is>
      </c>
      <c r="F1178" t="n">
        <v>12</v>
      </c>
      <c r="G1178" t="inlineStr">
        <is>
          <t>IN</t>
        </is>
      </c>
      <c r="H1178">
        <f>IF(G1178="OUT",F1178,-F1178)</f>
        <v>-12</v>
      </c>
      <c r="I1178">
        <f>IF(AND(B1178&gt;=DATE(2025,7,1),B1178&lt;=DATE(2026,6,30)),1,0)</f>
        <v>1</v>
      </c>
      <c r="J1178">
        <f>IF(B1178&lt;=DATE(2026,6,30),1,0)</f>
        <v>1</v>
      </c>
      <c r="K1178" t="inlineStr"/>
      <c r="L1178" t="inlineStr">
        <is>
          <t>Office</t>
        </is>
      </c>
      <c r="M1178">
        <f>COUNTIFS('Asset Log'!$A$5:$A$1379,A1178,'Asset Log'!$E$5:$E$1379,E1178,'Asset Log'!$G$5:$G$1379,G1178)</f>
        <v>1</v>
      </c>
    </row>
    <row r="1179">
      <c r="A1179" t="inlineStr">
        <is>
          <t>D72601</t>
        </is>
      </c>
      <c r="B1179" s="11" t="n">
        <v>46145</v>
      </c>
      <c r="C1179" t="inlineStr">
        <is>
          <t>S0395</t>
        </is>
      </c>
      <c r="D1179" t="inlineStr">
        <is>
          <t>S0395</t>
        </is>
      </c>
      <c r="E1179" t="inlineStr">
        <is>
          <t>TK</t>
        </is>
      </c>
      <c r="F1179" t="n">
        <v>1</v>
      </c>
      <c r="G1179" t="inlineStr">
        <is>
          <t>OUT</t>
        </is>
      </c>
      <c r="H1179">
        <f>IF(G1179="OUT",F1179,-F1179)</f>
        <v>1</v>
      </c>
      <c r="I1179">
        <f>IF(AND(B1179&gt;=DATE(2025,7,1),B1179&lt;=DATE(2026,6,30)),1,0)</f>
        <v>1</v>
      </c>
      <c r="J1179">
        <f>IF(B1179&lt;=DATE(2026,6,30),1,0)</f>
        <v>1</v>
      </c>
      <c r="K1179" t="inlineStr"/>
      <c r="L1179" t="inlineStr">
        <is>
          <t>Office</t>
        </is>
      </c>
      <c r="M1179">
        <f>COUNTIFS('Asset Log'!$A$5:$A$1379,A1179,'Asset Log'!$E$5:$E$1379,E1179,'Asset Log'!$G$5:$G$1379,G1179)</f>
        <v>1</v>
      </c>
    </row>
    <row r="1180">
      <c r="A1180" t="inlineStr">
        <is>
          <t>D70442</t>
        </is>
      </c>
      <c r="B1180" s="11" t="n">
        <v>46146</v>
      </c>
      <c r="C1180" t="inlineStr">
        <is>
          <t>S0047 Sunshine</t>
        </is>
      </c>
      <c r="D1180" t="inlineStr">
        <is>
          <t>S0047</t>
        </is>
      </c>
      <c r="E1180" t="inlineStr">
        <is>
          <t>FP</t>
        </is>
      </c>
      <c r="F1180" t="n">
        <v>111</v>
      </c>
      <c r="G1180" t="inlineStr">
        <is>
          <t>IN</t>
        </is>
      </c>
      <c r="H1180">
        <f>IF(G1180="OUT",F1180,-F1180)</f>
        <v>-111</v>
      </c>
      <c r="I1180">
        <f>IF(AND(B1180&gt;=DATE(2025,7,1),B1180&lt;=DATE(2026,6,30)),1,0)</f>
        <v>1</v>
      </c>
      <c r="J1180">
        <f>IF(B1180&lt;=DATE(2026,6,30),1,0)</f>
        <v>1</v>
      </c>
      <c r="K1180" t="inlineStr">
        <is>
          <t>Site text normalised</t>
        </is>
      </c>
      <c r="L1180" t="inlineStr">
        <is>
          <t>Office</t>
        </is>
      </c>
      <c r="M1180">
        <f>COUNTIFS('Asset Log'!$A$5:$A$1379,A1180,'Asset Log'!$E$5:$E$1379,E1180,'Asset Log'!$G$5:$G$1379,G1180)</f>
        <v>1</v>
      </c>
    </row>
    <row r="1181">
      <c r="A1181" t="inlineStr">
        <is>
          <t>D70447</t>
        </is>
      </c>
      <c r="B1181" s="11" t="n">
        <v>46146</v>
      </c>
      <c r="C1181" t="inlineStr">
        <is>
          <t>S0047</t>
        </is>
      </c>
      <c r="D1181" t="inlineStr">
        <is>
          <t>S0047</t>
        </is>
      </c>
      <c r="E1181" t="inlineStr">
        <is>
          <t>FB</t>
        </is>
      </c>
      <c r="F1181" t="n">
        <v>122</v>
      </c>
      <c r="G1181" t="inlineStr">
        <is>
          <t>IN</t>
        </is>
      </c>
      <c r="H1181">
        <f>IF(G1181="OUT",F1181,-F1181)</f>
        <v>-122</v>
      </c>
      <c r="I1181">
        <f>IF(AND(B1181&gt;=DATE(2025,7,1),B1181&lt;=DATE(2026,6,30)),1,0)</f>
        <v>1</v>
      </c>
      <c r="J1181">
        <f>IF(B1181&lt;=DATE(2026,6,30),1,0)</f>
        <v>1</v>
      </c>
      <c r="K1181" t="inlineStr"/>
      <c r="L1181" t="inlineStr">
        <is>
          <t>Yard</t>
        </is>
      </c>
      <c r="M1181">
        <f>COUNTIFS('Asset Log'!$A$5:$A$1379,A1181,'Asset Log'!$E$5:$E$1379,E1181,'Asset Log'!$G$5:$G$1379,G1181)</f>
        <v>1</v>
      </c>
    </row>
    <row r="1182">
      <c r="A1182" t="inlineStr">
        <is>
          <t>D71968</t>
        </is>
      </c>
      <c r="B1182" s="11" t="n">
        <v>46147</v>
      </c>
      <c r="C1182" t="inlineStr">
        <is>
          <t>S0209</t>
        </is>
      </c>
      <c r="D1182" t="inlineStr">
        <is>
          <t>S0209</t>
        </is>
      </c>
      <c r="E1182" t="inlineStr">
        <is>
          <t>FP</t>
        </is>
      </c>
      <c r="F1182" t="n">
        <v>100</v>
      </c>
      <c r="G1182" t="inlineStr">
        <is>
          <t>OUT</t>
        </is>
      </c>
      <c r="H1182">
        <f>IF(G1182="OUT",F1182,-F1182)</f>
        <v>100</v>
      </c>
      <c r="I1182">
        <f>IF(AND(B1182&gt;=DATE(2025,7,1),B1182&lt;=DATE(2026,6,30)),1,0)</f>
        <v>1</v>
      </c>
      <c r="J1182">
        <f>IF(B1182&lt;=DATE(2026,6,30),1,0)</f>
        <v>1</v>
      </c>
      <c r="K1182" t="inlineStr"/>
      <c r="L1182" t="inlineStr">
        <is>
          <t>Driver</t>
        </is>
      </c>
      <c r="M1182">
        <f>COUNTIFS('Asset Log'!$A$5:$A$1379,A1182,'Asset Log'!$E$5:$E$1379,E1182,'Asset Log'!$G$5:$G$1379,G1182)</f>
        <v>1</v>
      </c>
    </row>
    <row r="1183">
      <c r="A1183" t="inlineStr">
        <is>
          <t>D71971</t>
        </is>
      </c>
      <c r="B1183" s="11" t="n">
        <v>46147</v>
      </c>
      <c r="C1183" t="inlineStr">
        <is>
          <t>S0209</t>
        </is>
      </c>
      <c r="D1183" t="inlineStr">
        <is>
          <t>S0209</t>
        </is>
      </c>
      <c r="E1183" t="inlineStr">
        <is>
          <t>FB</t>
        </is>
      </c>
      <c r="F1183" t="n">
        <v>110</v>
      </c>
      <c r="G1183" t="inlineStr">
        <is>
          <t>OUT</t>
        </is>
      </c>
      <c r="H1183">
        <f>IF(G1183="OUT",F1183,-F1183)</f>
        <v>110</v>
      </c>
      <c r="I1183">
        <f>IF(AND(B1183&gt;=DATE(2025,7,1),B1183&lt;=DATE(2026,6,30)),1,0)</f>
        <v>1</v>
      </c>
      <c r="J1183">
        <f>IF(B1183&lt;=DATE(2026,6,30),1,0)</f>
        <v>1</v>
      </c>
      <c r="K1183" t="inlineStr"/>
      <c r="L1183" t="inlineStr">
        <is>
          <t>Office</t>
        </is>
      </c>
      <c r="M1183">
        <f>COUNTIFS('Asset Log'!$A$5:$A$1379,A1183,'Asset Log'!$E$5:$E$1379,E1183,'Asset Log'!$G$5:$G$1379,G1183)</f>
        <v>1</v>
      </c>
    </row>
    <row r="1184">
      <c r="A1184" t="inlineStr">
        <is>
          <t>D71974</t>
        </is>
      </c>
      <c r="B1184" s="11" t="n">
        <v>46147</v>
      </c>
      <c r="C1184" t="inlineStr">
        <is>
          <t>S0209</t>
        </is>
      </c>
      <c r="D1184" t="inlineStr">
        <is>
          <t>S0209</t>
        </is>
      </c>
      <c r="E1184" t="inlineStr">
        <is>
          <t>BR</t>
        </is>
      </c>
      <c r="F1184" t="n">
        <v>15</v>
      </c>
      <c r="G1184" t="inlineStr">
        <is>
          <t>OUT</t>
        </is>
      </c>
      <c r="H1184">
        <f>IF(G1184="OUT",F1184,-F1184)</f>
        <v>15</v>
      </c>
      <c r="I1184">
        <f>IF(AND(B1184&gt;=DATE(2025,7,1),B1184&lt;=DATE(2026,6,30)),1,0)</f>
        <v>1</v>
      </c>
      <c r="J1184">
        <f>IF(B1184&lt;=DATE(2026,6,30),1,0)</f>
        <v>1</v>
      </c>
      <c r="K1184" t="inlineStr"/>
      <c r="L1184" t="inlineStr">
        <is>
          <t>Driver</t>
        </is>
      </c>
      <c r="M1184">
        <f>COUNTIFS('Asset Log'!$A$5:$A$1379,A1184,'Asset Log'!$E$5:$E$1379,E1184,'Asset Log'!$G$5:$G$1379,G1184)</f>
        <v>1</v>
      </c>
    </row>
    <row r="1185">
      <c r="A1185" t="inlineStr">
        <is>
          <t>D72183</t>
        </is>
      </c>
      <c r="B1185" s="11" t="n">
        <v>46147</v>
      </c>
      <c r="C1185" t="inlineStr">
        <is>
          <t>S0231</t>
        </is>
      </c>
      <c r="D1185" t="inlineStr">
        <is>
          <t>S0231</t>
        </is>
      </c>
      <c r="E1185" t="inlineStr">
        <is>
          <t>FP</t>
        </is>
      </c>
      <c r="F1185" t="n">
        <v>125</v>
      </c>
      <c r="G1185" t="inlineStr">
        <is>
          <t>IN</t>
        </is>
      </c>
      <c r="H1185">
        <f>IF(G1185="OUT",F1185,-F1185)</f>
        <v>-125</v>
      </c>
      <c r="I1185">
        <f>IF(AND(B1185&gt;=DATE(2025,7,1),B1185&lt;=DATE(2026,6,30)),1,0)</f>
        <v>1</v>
      </c>
      <c r="J1185">
        <f>IF(B1185&lt;=DATE(2026,6,30),1,0)</f>
        <v>1</v>
      </c>
      <c r="K1185" t="inlineStr"/>
      <c r="L1185" t="inlineStr">
        <is>
          <t>Office</t>
        </is>
      </c>
      <c r="M1185">
        <f>COUNTIFS('Asset Log'!$A$5:$A$1379,A1185,'Asset Log'!$E$5:$E$1379,E1185,'Asset Log'!$G$5:$G$1379,G1185)</f>
        <v>1</v>
      </c>
    </row>
    <row r="1186">
      <c r="A1186" t="inlineStr">
        <is>
          <t>D72189</t>
        </is>
      </c>
      <c r="B1186" s="11" t="n">
        <v>46147</v>
      </c>
      <c r="C1186" t="inlineStr">
        <is>
          <t>S0231</t>
        </is>
      </c>
      <c r="D1186" t="inlineStr">
        <is>
          <t>S0231</t>
        </is>
      </c>
      <c r="E1186" t="inlineStr">
        <is>
          <t>FB</t>
        </is>
      </c>
      <c r="F1186" t="n">
        <v>137</v>
      </c>
      <c r="G1186" t="inlineStr">
        <is>
          <t>IN</t>
        </is>
      </c>
      <c r="H1186">
        <f>IF(G1186="OUT",F1186,-F1186)</f>
        <v>-137</v>
      </c>
      <c r="I1186">
        <f>IF(AND(B1186&gt;=DATE(2025,7,1),B1186&lt;=DATE(2026,6,30)),1,0)</f>
        <v>1</v>
      </c>
      <c r="J1186">
        <f>IF(B1186&lt;=DATE(2026,6,30),1,0)</f>
        <v>1</v>
      </c>
      <c r="K1186" t="inlineStr"/>
      <c r="L1186" t="inlineStr">
        <is>
          <t>Yard</t>
        </is>
      </c>
      <c r="M1186">
        <f>COUNTIFS('Asset Log'!$A$5:$A$1379,A1186,'Asset Log'!$E$5:$E$1379,E1186,'Asset Log'!$G$5:$G$1379,G1186)</f>
        <v>1</v>
      </c>
    </row>
    <row r="1187">
      <c r="A1187" t="inlineStr">
        <is>
          <t>D72361</t>
        </is>
      </c>
      <c r="B1187" s="11" t="n">
        <v>46147</v>
      </c>
      <c r="C1187" t="inlineStr">
        <is>
          <t>S0273</t>
        </is>
      </c>
      <c r="D1187" t="inlineStr">
        <is>
          <t>S0273</t>
        </is>
      </c>
      <c r="E1187" t="inlineStr">
        <is>
          <t>ST</t>
        </is>
      </c>
      <c r="F1187" t="n">
        <v>2</v>
      </c>
      <c r="G1187" t="inlineStr">
        <is>
          <t>OUT</t>
        </is>
      </c>
      <c r="H1187">
        <f>IF(G1187="OUT",F1187,-F1187)</f>
        <v>2</v>
      </c>
      <c r="I1187">
        <f>IF(AND(B1187&gt;=DATE(2025,7,1),B1187&lt;=DATE(2026,6,30)),1,0)</f>
        <v>1</v>
      </c>
      <c r="J1187">
        <f>IF(B1187&lt;=DATE(2026,6,30),1,0)</f>
        <v>1</v>
      </c>
      <c r="K1187" t="inlineStr"/>
      <c r="L1187" t="inlineStr">
        <is>
          <t>Yard</t>
        </is>
      </c>
      <c r="M1187">
        <f>COUNTIFS('Asset Log'!$A$5:$A$1379,A1187,'Asset Log'!$E$5:$E$1379,E1187,'Asset Log'!$G$5:$G$1379,G1187)</f>
        <v>1</v>
      </c>
    </row>
    <row r="1188">
      <c r="A1188" t="inlineStr">
        <is>
          <t>D70176</t>
        </is>
      </c>
      <c r="B1188" s="11" t="n">
        <v>46148</v>
      </c>
      <c r="C1188" t="inlineStr">
        <is>
          <t>S0020</t>
        </is>
      </c>
      <c r="D1188" t="inlineStr">
        <is>
          <t>S0020</t>
        </is>
      </c>
      <c r="E1188" t="inlineStr">
        <is>
          <t>FP</t>
        </is>
      </c>
      <c r="F1188" t="n">
        <v>14</v>
      </c>
      <c r="G1188" t="inlineStr">
        <is>
          <t>OUT</t>
        </is>
      </c>
      <c r="H1188">
        <f>IF(G1188="OUT",F1188,-F1188)</f>
        <v>14</v>
      </c>
      <c r="I1188">
        <f>IF(AND(B1188&gt;=DATE(2025,7,1),B1188&lt;=DATE(2026,6,30)),1,0)</f>
        <v>1</v>
      </c>
      <c r="J1188">
        <f>IF(B1188&lt;=DATE(2026,6,30),1,0)</f>
        <v>1</v>
      </c>
      <c r="K1188" t="inlineStr"/>
      <c r="L1188" t="inlineStr">
        <is>
          <t>Office</t>
        </is>
      </c>
      <c r="M1188">
        <f>COUNTIFS('Asset Log'!$A$5:$A$1379,A1188,'Asset Log'!$E$5:$E$1379,E1188,'Asset Log'!$G$5:$G$1379,G1188)</f>
        <v>1</v>
      </c>
    </row>
    <row r="1189">
      <c r="A1189" t="inlineStr">
        <is>
          <t>D70183</t>
        </is>
      </c>
      <c r="B1189" s="11" t="n">
        <v>46148</v>
      </c>
      <c r="C1189" t="inlineStr">
        <is>
          <t>S0020</t>
        </is>
      </c>
      <c r="D1189" t="inlineStr">
        <is>
          <t>S0020</t>
        </is>
      </c>
      <c r="E1189" t="inlineStr">
        <is>
          <t>FB</t>
        </is>
      </c>
      <c r="F1189" t="n">
        <v>15</v>
      </c>
      <c r="G1189" t="inlineStr">
        <is>
          <t>OUT</t>
        </is>
      </c>
      <c r="H1189">
        <f>IF(G1189="OUT",F1189,-F1189)</f>
        <v>15</v>
      </c>
      <c r="I1189">
        <f>IF(AND(B1189&gt;=DATE(2025,7,1),B1189&lt;=DATE(2026,6,30)),1,0)</f>
        <v>1</v>
      </c>
      <c r="J1189">
        <f>IF(B1189&lt;=DATE(2026,6,30),1,0)</f>
        <v>1</v>
      </c>
      <c r="K1189" t="inlineStr"/>
      <c r="L1189" t="inlineStr">
        <is>
          <t>Office</t>
        </is>
      </c>
      <c r="M1189">
        <f>COUNTIFS('Asset Log'!$A$5:$A$1379,A1189,'Asset Log'!$E$5:$E$1379,E1189,'Asset Log'!$G$5:$G$1379,G1189)</f>
        <v>1</v>
      </c>
    </row>
    <row r="1190">
      <c r="A1190" t="inlineStr">
        <is>
          <t>D70189</t>
        </is>
      </c>
      <c r="B1190" s="11" t="n">
        <v>46148</v>
      </c>
      <c r="C1190" t="inlineStr">
        <is>
          <t>S0020</t>
        </is>
      </c>
      <c r="D1190" t="inlineStr">
        <is>
          <t>S0020</t>
        </is>
      </c>
      <c r="E1190" t="inlineStr">
        <is>
          <t>BR</t>
        </is>
      </c>
      <c r="F1190" t="n">
        <v>11</v>
      </c>
      <c r="G1190" t="inlineStr">
        <is>
          <t>OUT</t>
        </is>
      </c>
      <c r="H1190">
        <f>IF(G1190="OUT",F1190,-F1190)</f>
        <v>11</v>
      </c>
      <c r="I1190">
        <f>IF(AND(B1190&gt;=DATE(2025,7,1),B1190&lt;=DATE(2026,6,30)),1,0)</f>
        <v>1</v>
      </c>
      <c r="J1190">
        <f>IF(B1190&lt;=DATE(2026,6,30),1,0)</f>
        <v>1</v>
      </c>
      <c r="K1190" t="inlineStr"/>
      <c r="L1190" t="inlineStr">
        <is>
          <t>Office</t>
        </is>
      </c>
      <c r="M1190">
        <f>COUNTIFS('Asset Log'!$A$5:$A$1379,A1190,'Asset Log'!$E$5:$E$1379,E1190,'Asset Log'!$G$5:$G$1379,G1190)</f>
        <v>1</v>
      </c>
    </row>
    <row r="1191">
      <c r="A1191" t="inlineStr">
        <is>
          <t>D71044</t>
        </is>
      </c>
      <c r="B1191" s="11" t="n">
        <v>46148</v>
      </c>
      <c r="C1191" t="inlineStr">
        <is>
          <t>S0112</t>
        </is>
      </c>
      <c r="D1191" t="inlineStr">
        <is>
          <t>S0112</t>
        </is>
      </c>
      <c r="E1191" t="inlineStr">
        <is>
          <t>FP</t>
        </is>
      </c>
      <c r="F1191" t="n">
        <v>113</v>
      </c>
      <c r="G1191" t="inlineStr">
        <is>
          <t>OUT</t>
        </is>
      </c>
      <c r="H1191">
        <f>IF(G1191="OUT",F1191,-F1191)</f>
        <v>113</v>
      </c>
      <c r="I1191">
        <f>IF(AND(B1191&gt;=DATE(2025,7,1),B1191&lt;=DATE(2026,6,30)),1,0)</f>
        <v>1</v>
      </c>
      <c r="J1191">
        <f>IF(B1191&lt;=DATE(2026,6,30),1,0)</f>
        <v>1</v>
      </c>
      <c r="K1191" t="inlineStr"/>
      <c r="L1191" t="inlineStr">
        <is>
          <t>Office</t>
        </is>
      </c>
      <c r="M1191">
        <f>COUNTIFS('Asset Log'!$A$5:$A$1379,A1191,'Asset Log'!$E$5:$E$1379,E1191,'Asset Log'!$G$5:$G$1379,G1191)</f>
        <v>1</v>
      </c>
    </row>
    <row r="1192">
      <c r="A1192" t="inlineStr">
        <is>
          <t>D71048</t>
        </is>
      </c>
      <c r="B1192" s="11" t="n">
        <v>46148</v>
      </c>
      <c r="C1192" t="inlineStr">
        <is>
          <t>S0112</t>
        </is>
      </c>
      <c r="D1192" t="inlineStr">
        <is>
          <t>S0112</t>
        </is>
      </c>
      <c r="E1192" t="inlineStr">
        <is>
          <t>FB</t>
        </is>
      </c>
      <c r="F1192" t="n">
        <v>124</v>
      </c>
      <c r="G1192" t="inlineStr">
        <is>
          <t>OUT</t>
        </is>
      </c>
      <c r="H1192">
        <f>IF(G1192="OUT",F1192,-F1192)</f>
        <v>124</v>
      </c>
      <c r="I1192">
        <f>IF(AND(B1192&gt;=DATE(2025,7,1),B1192&lt;=DATE(2026,6,30)),1,0)</f>
        <v>1</v>
      </c>
      <c r="J1192">
        <f>IF(B1192&lt;=DATE(2026,6,30),1,0)</f>
        <v>1</v>
      </c>
      <c r="K1192" t="inlineStr"/>
      <c r="L1192" t="inlineStr">
        <is>
          <t>Office</t>
        </is>
      </c>
      <c r="M1192">
        <f>COUNTIFS('Asset Log'!$A$5:$A$1379,A1192,'Asset Log'!$E$5:$E$1379,E1192,'Asset Log'!$G$5:$G$1379,G1192)</f>
        <v>1</v>
      </c>
    </row>
    <row r="1193">
      <c r="A1193" t="inlineStr">
        <is>
          <t>D72397</t>
        </is>
      </c>
      <c r="B1193" s="11" t="n">
        <v>46148</v>
      </c>
      <c r="C1193" t="inlineStr">
        <is>
          <t>S0281</t>
        </is>
      </c>
      <c r="D1193" t="inlineStr">
        <is>
          <t>S0281</t>
        </is>
      </c>
      <c r="E1193" t="inlineStr">
        <is>
          <t>ST</t>
        </is>
      </c>
      <c r="F1193" t="n">
        <v>2</v>
      </c>
      <c r="G1193" t="inlineStr">
        <is>
          <t>OUT</t>
        </is>
      </c>
      <c r="H1193">
        <f>IF(G1193="OUT",F1193,-F1193)</f>
        <v>2</v>
      </c>
      <c r="I1193">
        <f>IF(AND(B1193&gt;=DATE(2025,7,1),B1193&lt;=DATE(2026,6,30)),1,0)</f>
        <v>1</v>
      </c>
      <c r="J1193">
        <f>IF(B1193&lt;=DATE(2026,6,30),1,0)</f>
        <v>1</v>
      </c>
      <c r="K1193" t="inlineStr"/>
      <c r="L1193" t="inlineStr">
        <is>
          <t>Office</t>
        </is>
      </c>
      <c r="M1193">
        <f>COUNTIFS('Asset Log'!$A$5:$A$1379,A1193,'Asset Log'!$E$5:$E$1379,E1193,'Asset Log'!$G$5:$G$1379,G1193)</f>
        <v>1</v>
      </c>
    </row>
    <row r="1194">
      <c r="A1194" t="inlineStr">
        <is>
          <t>D72660</t>
        </is>
      </c>
      <c r="B1194" s="11" t="n">
        <v>46148</v>
      </c>
      <c r="C1194" t="inlineStr">
        <is>
          <t>S0423</t>
        </is>
      </c>
      <c r="D1194" t="inlineStr">
        <is>
          <t>S0423</t>
        </is>
      </c>
      <c r="E1194" t="inlineStr">
        <is>
          <t>TK</t>
        </is>
      </c>
      <c r="F1194" t="n">
        <v>2</v>
      </c>
      <c r="G1194" t="inlineStr">
        <is>
          <t>OUT</t>
        </is>
      </c>
      <c r="H1194">
        <f>IF(G1194="OUT",F1194,-F1194)</f>
        <v>2</v>
      </c>
      <c r="I1194">
        <f>IF(AND(B1194&gt;=DATE(2025,7,1),B1194&lt;=DATE(2026,6,30)),1,0)</f>
        <v>1</v>
      </c>
      <c r="J1194">
        <f>IF(B1194&lt;=DATE(2026,6,30),1,0)</f>
        <v>1</v>
      </c>
      <c r="K1194" t="inlineStr"/>
      <c r="L1194" t="inlineStr">
        <is>
          <t>Office</t>
        </is>
      </c>
      <c r="M1194">
        <f>COUNTIFS('Asset Log'!$A$5:$A$1379,A1194,'Asset Log'!$E$5:$E$1379,E1194,'Asset Log'!$G$5:$G$1379,G1194)</f>
        <v>1</v>
      </c>
    </row>
    <row r="1195">
      <c r="A1195" t="inlineStr">
        <is>
          <t>D72827</t>
        </is>
      </c>
      <c r="B1195" s="11" t="n">
        <v>46148</v>
      </c>
      <c r="C1195" t="inlineStr">
        <is>
          <t>S0541</t>
        </is>
      </c>
      <c r="D1195" t="inlineStr">
        <is>
          <t>S0541</t>
        </is>
      </c>
      <c r="E1195" t="inlineStr">
        <is>
          <t>TK</t>
        </is>
      </c>
      <c r="F1195" t="n">
        <v>3</v>
      </c>
      <c r="G1195" t="inlineStr">
        <is>
          <t>IN</t>
        </is>
      </c>
      <c r="H1195">
        <f>IF(G1195="OUT",F1195,-F1195)</f>
        <v>-3</v>
      </c>
      <c r="I1195">
        <f>IF(AND(B1195&gt;=DATE(2025,7,1),B1195&lt;=DATE(2026,6,30)),1,0)</f>
        <v>1</v>
      </c>
      <c r="J1195">
        <f>IF(B1195&lt;=DATE(2026,6,30),1,0)</f>
        <v>1</v>
      </c>
      <c r="K1195" t="inlineStr"/>
      <c r="L1195" t="inlineStr">
        <is>
          <t>Driver</t>
        </is>
      </c>
      <c r="M1195">
        <f>COUNTIFS('Asset Log'!$A$5:$A$1379,A1195,'Asset Log'!$E$5:$E$1379,E1195,'Asset Log'!$G$5:$G$1379,G1195)</f>
        <v>1</v>
      </c>
    </row>
    <row r="1196">
      <c r="A1196" t="inlineStr">
        <is>
          <t>D70650</t>
        </is>
      </c>
      <c r="B1196" s="11" t="n">
        <v>46149</v>
      </c>
      <c r="C1196" t="inlineStr">
        <is>
          <t>S0070</t>
        </is>
      </c>
      <c r="D1196" t="inlineStr">
        <is>
          <t>S0070</t>
        </is>
      </c>
      <c r="E1196" t="inlineStr">
        <is>
          <t>FP</t>
        </is>
      </c>
      <c r="F1196" t="n">
        <v>29</v>
      </c>
      <c r="G1196" t="inlineStr">
        <is>
          <t>OUT</t>
        </is>
      </c>
      <c r="H1196">
        <f>IF(G1196="OUT",F1196,-F1196)</f>
        <v>29</v>
      </c>
      <c r="I1196">
        <f>IF(AND(B1196&gt;=DATE(2025,7,1),B1196&lt;=DATE(2026,6,30)),1,0)</f>
        <v>1</v>
      </c>
      <c r="J1196">
        <f>IF(B1196&lt;=DATE(2026,6,30),1,0)</f>
        <v>1</v>
      </c>
      <c r="K1196" t="inlineStr"/>
      <c r="L1196" t="inlineStr">
        <is>
          <t>Driver</t>
        </is>
      </c>
      <c r="M1196">
        <f>COUNTIFS('Asset Log'!$A$5:$A$1379,A1196,'Asset Log'!$E$5:$E$1379,E1196,'Asset Log'!$G$5:$G$1379,G1196)</f>
        <v>1</v>
      </c>
    </row>
    <row r="1197">
      <c r="A1197" t="inlineStr">
        <is>
          <t>D70656</t>
        </is>
      </c>
      <c r="B1197" s="11" t="n">
        <v>46149</v>
      </c>
      <c r="C1197" t="inlineStr">
        <is>
          <t>S0070</t>
        </is>
      </c>
      <c r="D1197" t="inlineStr">
        <is>
          <t>S0070</t>
        </is>
      </c>
      <c r="E1197" t="inlineStr">
        <is>
          <t>FB</t>
        </is>
      </c>
      <c r="F1197" t="n">
        <v>31</v>
      </c>
      <c r="G1197" t="inlineStr">
        <is>
          <t>OUT</t>
        </is>
      </c>
      <c r="H1197">
        <f>IF(G1197="OUT",F1197,-F1197)</f>
        <v>31</v>
      </c>
      <c r="I1197">
        <f>IF(AND(B1197&gt;=DATE(2025,7,1),B1197&lt;=DATE(2026,6,30)),1,0)</f>
        <v>1</v>
      </c>
      <c r="J1197">
        <f>IF(B1197&lt;=DATE(2026,6,30),1,0)</f>
        <v>1</v>
      </c>
      <c r="K1197" t="inlineStr"/>
      <c r="L1197" t="inlineStr">
        <is>
          <t>Driver</t>
        </is>
      </c>
      <c r="M1197">
        <f>COUNTIFS('Asset Log'!$A$5:$A$1379,A1197,'Asset Log'!$E$5:$E$1379,E1197,'Asset Log'!$G$5:$G$1379,G1197)</f>
        <v>1</v>
      </c>
    </row>
    <row r="1198">
      <c r="A1198" t="inlineStr">
        <is>
          <t>D71065</t>
        </is>
      </c>
      <c r="B1198" s="11" t="n">
        <v>46150</v>
      </c>
      <c r="C1198" t="inlineStr">
        <is>
          <t>114</t>
        </is>
      </c>
      <c r="D1198" t="inlineStr">
        <is>
          <t>S0114</t>
        </is>
      </c>
      <c r="E1198" t="inlineStr">
        <is>
          <t>FP</t>
        </is>
      </c>
      <c r="F1198" t="n">
        <v>16</v>
      </c>
      <c r="G1198" t="inlineStr">
        <is>
          <t>OUT</t>
        </is>
      </c>
      <c r="H1198">
        <f>IF(G1198="OUT",F1198,-F1198)</f>
        <v>16</v>
      </c>
      <c r="I1198">
        <f>IF(AND(B1198&gt;=DATE(2025,7,1),B1198&lt;=DATE(2026,6,30)),1,0)</f>
        <v>1</v>
      </c>
      <c r="J1198">
        <f>IF(B1198&lt;=DATE(2026,6,30),1,0)</f>
        <v>1</v>
      </c>
      <c r="K1198" t="inlineStr">
        <is>
          <t>Site text normalised</t>
        </is>
      </c>
      <c r="L1198" t="inlineStr">
        <is>
          <t>Office</t>
        </is>
      </c>
      <c r="M1198">
        <f>COUNTIFS('Asset Log'!$A$5:$A$1379,A1198,'Asset Log'!$E$5:$E$1379,E1198,'Asset Log'!$G$5:$G$1379,G1198)</f>
        <v>1</v>
      </c>
    </row>
    <row r="1199">
      <c r="A1199" t="inlineStr">
        <is>
          <t>D71069</t>
        </is>
      </c>
      <c r="B1199" s="11" t="n">
        <v>46150</v>
      </c>
      <c r="C1199" t="inlineStr">
        <is>
          <t>S0114</t>
        </is>
      </c>
      <c r="D1199" t="inlineStr">
        <is>
          <t>S0114</t>
        </is>
      </c>
      <c r="E1199" t="inlineStr">
        <is>
          <t>FB</t>
        </is>
      </c>
      <c r="F1199" t="n">
        <v>17</v>
      </c>
      <c r="G1199" t="inlineStr">
        <is>
          <t>OUT</t>
        </is>
      </c>
      <c r="H1199">
        <f>IF(G1199="OUT",F1199,-F1199)</f>
        <v>17</v>
      </c>
      <c r="I1199">
        <f>IF(AND(B1199&gt;=DATE(2025,7,1),B1199&lt;=DATE(2026,6,30)),1,0)</f>
        <v>1</v>
      </c>
      <c r="J1199">
        <f>IF(B1199&lt;=DATE(2026,6,30),1,0)</f>
        <v>1</v>
      </c>
      <c r="K1199" t="inlineStr"/>
      <c r="L1199" t="inlineStr">
        <is>
          <t>Driver</t>
        </is>
      </c>
      <c r="M1199">
        <f>COUNTIFS('Asset Log'!$A$5:$A$1379,A1199,'Asset Log'!$E$5:$E$1379,E1199,'Asset Log'!$G$5:$G$1379,G1199)</f>
        <v>1</v>
      </c>
    </row>
    <row r="1200">
      <c r="A1200" t="inlineStr">
        <is>
          <t>D71198</t>
        </is>
      </c>
      <c r="B1200" s="11" t="n">
        <v>46150</v>
      </c>
      <c r="C1200" t="inlineStr">
        <is>
          <t>S0125</t>
        </is>
      </c>
      <c r="D1200" t="inlineStr">
        <is>
          <t>S0125</t>
        </is>
      </c>
      <c r="E1200" t="inlineStr">
        <is>
          <t>FP</t>
        </is>
      </c>
      <c r="F1200" t="n">
        <v>31</v>
      </c>
      <c r="G1200" t="inlineStr">
        <is>
          <t>OUT</t>
        </is>
      </c>
      <c r="H1200">
        <f>IF(G1200="OUT",F1200,-F1200)</f>
        <v>31</v>
      </c>
      <c r="I1200">
        <f>IF(AND(B1200&gt;=DATE(2025,7,1),B1200&lt;=DATE(2026,6,30)),1,0)</f>
        <v>1</v>
      </c>
      <c r="J1200">
        <f>IF(B1200&lt;=DATE(2026,6,30),1,0)</f>
        <v>1</v>
      </c>
      <c r="K1200" t="inlineStr"/>
      <c r="L1200" t="inlineStr">
        <is>
          <t>Office</t>
        </is>
      </c>
      <c r="M1200">
        <f>COUNTIFS('Asset Log'!$A$5:$A$1379,A1200,'Asset Log'!$E$5:$E$1379,E1200,'Asset Log'!$G$5:$G$1379,G1200)</f>
        <v>1</v>
      </c>
    </row>
    <row r="1201">
      <c r="A1201" t="inlineStr">
        <is>
          <t>D71202</t>
        </is>
      </c>
      <c r="B1201" s="11" t="n">
        <v>46150</v>
      </c>
      <c r="C1201" t="inlineStr">
        <is>
          <t>S0125</t>
        </is>
      </c>
      <c r="D1201" t="inlineStr">
        <is>
          <t>S0125</t>
        </is>
      </c>
      <c r="E1201" t="inlineStr">
        <is>
          <t>FB</t>
        </is>
      </c>
      <c r="F1201" t="n">
        <v>34</v>
      </c>
      <c r="G1201" t="inlineStr">
        <is>
          <t>OUT</t>
        </is>
      </c>
      <c r="H1201">
        <f>IF(G1201="OUT",F1201,-F1201)</f>
        <v>34</v>
      </c>
      <c r="I1201">
        <f>IF(AND(B1201&gt;=DATE(2025,7,1),B1201&lt;=DATE(2026,6,30)),1,0)</f>
        <v>1</v>
      </c>
      <c r="J1201">
        <f>IF(B1201&lt;=DATE(2026,6,30),1,0)</f>
        <v>1</v>
      </c>
      <c r="K1201" t="inlineStr"/>
      <c r="L1201" t="inlineStr">
        <is>
          <t>Driver</t>
        </is>
      </c>
      <c r="M1201">
        <f>COUNTIFS('Asset Log'!$A$5:$A$1379,A1201,'Asset Log'!$E$5:$E$1379,E1201,'Asset Log'!$G$5:$G$1379,G1201)</f>
        <v>1</v>
      </c>
    </row>
    <row r="1202">
      <c r="A1202" t="inlineStr">
        <is>
          <t>D71665</t>
        </is>
      </c>
      <c r="B1202" s="11" t="n">
        <v>46150</v>
      </c>
      <c r="C1202" t="inlineStr">
        <is>
          <t>S0175</t>
        </is>
      </c>
      <c r="D1202" t="inlineStr">
        <is>
          <t>S0175</t>
        </is>
      </c>
      <c r="E1202" t="inlineStr">
        <is>
          <t>FP</t>
        </is>
      </c>
      <c r="F1202" t="n">
        <v>129</v>
      </c>
      <c r="G1202" t="inlineStr">
        <is>
          <t>OUT</t>
        </is>
      </c>
      <c r="H1202">
        <f>IF(G1202="OUT",F1202,-F1202)</f>
        <v>129</v>
      </c>
      <c r="I1202">
        <f>IF(AND(B1202&gt;=DATE(2025,7,1),B1202&lt;=DATE(2026,6,30)),1,0)</f>
        <v>1</v>
      </c>
      <c r="J1202">
        <f>IF(B1202&lt;=DATE(2026,6,30),1,0)</f>
        <v>1</v>
      </c>
      <c r="K1202" t="inlineStr"/>
      <c r="L1202" t="inlineStr">
        <is>
          <t>Office</t>
        </is>
      </c>
      <c r="M1202">
        <f>COUNTIFS('Asset Log'!$A$5:$A$1379,A1202,'Asset Log'!$E$5:$E$1379,E1202,'Asset Log'!$G$5:$G$1379,G1202)</f>
        <v>1</v>
      </c>
    </row>
    <row r="1203">
      <c r="A1203" t="inlineStr">
        <is>
          <t>D71669</t>
        </is>
      </c>
      <c r="B1203" s="11" t="n">
        <v>46150</v>
      </c>
      <c r="C1203" t="inlineStr">
        <is>
          <t>175</t>
        </is>
      </c>
      <c r="D1203" t="inlineStr">
        <is>
          <t>S0175</t>
        </is>
      </c>
      <c r="E1203" t="inlineStr">
        <is>
          <t>FB</t>
        </is>
      </c>
      <c r="F1203" t="n">
        <v>141</v>
      </c>
      <c r="G1203" t="inlineStr">
        <is>
          <t>OUT</t>
        </is>
      </c>
      <c r="H1203">
        <f>IF(G1203="OUT",F1203,-F1203)</f>
        <v>141</v>
      </c>
      <c r="I1203">
        <f>IF(AND(B1203&gt;=DATE(2025,7,1),B1203&lt;=DATE(2026,6,30)),1,0)</f>
        <v>1</v>
      </c>
      <c r="J1203">
        <f>IF(B1203&lt;=DATE(2026,6,30),1,0)</f>
        <v>1</v>
      </c>
      <c r="K1203" t="inlineStr">
        <is>
          <t>Site text normalised</t>
        </is>
      </c>
      <c r="L1203" t="inlineStr">
        <is>
          <t>Driver</t>
        </is>
      </c>
      <c r="M1203">
        <f>COUNTIFS('Asset Log'!$A$5:$A$1379,A1203,'Asset Log'!$E$5:$E$1379,E1203,'Asset Log'!$G$5:$G$1379,G1203)</f>
        <v>1</v>
      </c>
    </row>
    <row r="1204">
      <c r="A1204" t="inlineStr">
        <is>
          <t>D71919</t>
        </is>
      </c>
      <c r="B1204" s="11" t="n">
        <v>46150</v>
      </c>
      <c r="C1204" t="inlineStr">
        <is>
          <t>S0203</t>
        </is>
      </c>
      <c r="D1204" t="inlineStr">
        <is>
          <t>S0203</t>
        </is>
      </c>
      <c r="E1204" t="inlineStr">
        <is>
          <t>FP</t>
        </is>
      </c>
      <c r="F1204" t="n">
        <v>28</v>
      </c>
      <c r="G1204" t="inlineStr">
        <is>
          <t>IN</t>
        </is>
      </c>
      <c r="H1204">
        <f>IF(G1204="OUT",F1204,-F1204)</f>
        <v>-28</v>
      </c>
      <c r="I1204">
        <f>IF(AND(B1204&gt;=DATE(2025,7,1),B1204&lt;=DATE(2026,6,30)),1,0)</f>
        <v>1</v>
      </c>
      <c r="J1204">
        <f>IF(B1204&lt;=DATE(2026,6,30),1,0)</f>
        <v>1</v>
      </c>
      <c r="K1204" t="inlineStr"/>
      <c r="L1204" t="inlineStr">
        <is>
          <t>Office</t>
        </is>
      </c>
      <c r="M1204">
        <f>COUNTIFS('Asset Log'!$A$5:$A$1379,A1204,'Asset Log'!$E$5:$E$1379,E1204,'Asset Log'!$G$5:$G$1379,G1204)</f>
        <v>1</v>
      </c>
    </row>
    <row r="1205">
      <c r="A1205" t="inlineStr">
        <is>
          <t>D71924</t>
        </is>
      </c>
      <c r="B1205" s="11" t="n">
        <v>46150</v>
      </c>
      <c r="C1205" t="inlineStr">
        <is>
          <t>s203</t>
        </is>
      </c>
      <c r="D1205" t="inlineStr">
        <is>
          <t>S0203</t>
        </is>
      </c>
      <c r="E1205" t="inlineStr">
        <is>
          <t>FB</t>
        </is>
      </c>
      <c r="F1205" t="n">
        <v>30</v>
      </c>
      <c r="G1205" t="inlineStr">
        <is>
          <t>IN</t>
        </is>
      </c>
      <c r="H1205">
        <f>IF(G1205="OUT",F1205,-F1205)</f>
        <v>-30</v>
      </c>
      <c r="I1205">
        <f>IF(AND(B1205&gt;=DATE(2025,7,1),B1205&lt;=DATE(2026,6,30)),1,0)</f>
        <v>1</v>
      </c>
      <c r="J1205">
        <f>IF(B1205&lt;=DATE(2026,6,30),1,0)</f>
        <v>1</v>
      </c>
      <c r="K1205" t="inlineStr">
        <is>
          <t>Site text normalised</t>
        </is>
      </c>
      <c r="L1205" t="inlineStr">
        <is>
          <t>Driver</t>
        </is>
      </c>
      <c r="M1205">
        <f>COUNTIFS('Asset Log'!$A$5:$A$1379,A1205,'Asset Log'!$E$5:$E$1379,E1205,'Asset Log'!$G$5:$G$1379,G1205)</f>
        <v>1</v>
      </c>
    </row>
    <row r="1206">
      <c r="A1206" t="inlineStr">
        <is>
          <t>D71928</t>
        </is>
      </c>
      <c r="B1206" s="11" t="n">
        <v>46150</v>
      </c>
      <c r="C1206" t="inlineStr">
        <is>
          <t>S0203</t>
        </is>
      </c>
      <c r="D1206" t="inlineStr">
        <is>
          <t>S0203</t>
        </is>
      </c>
      <c r="E1206" t="inlineStr">
        <is>
          <t>BR</t>
        </is>
      </c>
      <c r="F1206" t="n">
        <v>6</v>
      </c>
      <c r="G1206" t="inlineStr">
        <is>
          <t>IN</t>
        </is>
      </c>
      <c r="H1206">
        <f>IF(G1206="OUT",F1206,-F1206)</f>
        <v>-6</v>
      </c>
      <c r="I1206">
        <f>IF(AND(B1206&gt;=DATE(2025,7,1),B1206&lt;=DATE(2026,6,30)),1,0)</f>
        <v>1</v>
      </c>
      <c r="J1206">
        <f>IF(B1206&lt;=DATE(2026,6,30),1,0)</f>
        <v>1</v>
      </c>
      <c r="K1206" t="inlineStr"/>
      <c r="L1206" t="inlineStr">
        <is>
          <t>Office</t>
        </is>
      </c>
      <c r="M1206">
        <f>COUNTIFS('Asset Log'!$A$5:$A$1379,A1206,'Asset Log'!$E$5:$E$1379,E1206,'Asset Log'!$G$5:$G$1379,G1206)</f>
        <v>1</v>
      </c>
    </row>
    <row r="1207">
      <c r="A1207" t="inlineStr">
        <is>
          <t>D72468</t>
        </is>
      </c>
      <c r="B1207" s="11" t="n">
        <v>46150</v>
      </c>
      <c r="C1207" t="inlineStr">
        <is>
          <t>S0301</t>
        </is>
      </c>
      <c r="D1207" t="inlineStr">
        <is>
          <t>S0301</t>
        </is>
      </c>
      <c r="E1207" t="inlineStr">
        <is>
          <t>TK</t>
        </is>
      </c>
      <c r="F1207" t="n">
        <v>1</v>
      </c>
      <c r="G1207" t="inlineStr">
        <is>
          <t>IN</t>
        </is>
      </c>
      <c r="H1207">
        <f>IF(G1207="OUT",F1207,-F1207)</f>
        <v>-1</v>
      </c>
      <c r="I1207">
        <f>IF(AND(B1207&gt;=DATE(2025,7,1),B1207&lt;=DATE(2026,6,30)),1,0)</f>
        <v>1</v>
      </c>
      <c r="J1207">
        <f>IF(B1207&lt;=DATE(2026,6,30),1,0)</f>
        <v>1</v>
      </c>
      <c r="K1207" t="inlineStr"/>
      <c r="L1207" t="inlineStr">
        <is>
          <t>Office</t>
        </is>
      </c>
      <c r="M1207">
        <f>COUNTIFS('Asset Log'!$A$5:$A$1379,A1207,'Asset Log'!$E$5:$E$1379,E1207,'Asset Log'!$G$5:$G$1379,G1207)</f>
        <v>1</v>
      </c>
    </row>
    <row r="1208">
      <c r="A1208" t="inlineStr">
        <is>
          <t>D71604</t>
        </is>
      </c>
      <c r="B1208" s="11" t="n">
        <v>46151</v>
      </c>
      <c r="C1208" t="inlineStr">
        <is>
          <t>S0168</t>
        </is>
      </c>
      <c r="D1208" t="inlineStr">
        <is>
          <t>S0168</t>
        </is>
      </c>
      <c r="E1208" t="inlineStr">
        <is>
          <t>FP</t>
        </is>
      </c>
      <c r="F1208" t="n">
        <v>127</v>
      </c>
      <c r="G1208" t="inlineStr">
        <is>
          <t>OUT</t>
        </is>
      </c>
      <c r="H1208">
        <f>IF(G1208="OUT",F1208,-F1208)</f>
        <v>127</v>
      </c>
      <c r="I1208">
        <f>IF(AND(B1208&gt;=DATE(2025,7,1),B1208&lt;=DATE(2026,6,30)),1,0)</f>
        <v>1</v>
      </c>
      <c r="J1208">
        <f>IF(B1208&lt;=DATE(2026,6,30),1,0)</f>
        <v>1</v>
      </c>
      <c r="K1208" t="inlineStr"/>
      <c r="L1208" t="inlineStr">
        <is>
          <t>Driver</t>
        </is>
      </c>
      <c r="M1208">
        <f>COUNTIFS('Asset Log'!$A$5:$A$1379,A1208,'Asset Log'!$E$5:$E$1379,E1208,'Asset Log'!$G$5:$G$1379,G1208)</f>
        <v>1</v>
      </c>
    </row>
    <row r="1209">
      <c r="A1209" t="inlineStr">
        <is>
          <t>D71606</t>
        </is>
      </c>
      <c r="B1209" s="11" t="n">
        <v>46151</v>
      </c>
      <c r="C1209" t="inlineStr">
        <is>
          <t>S0168</t>
        </is>
      </c>
      <c r="D1209" t="inlineStr">
        <is>
          <t>S0168</t>
        </is>
      </c>
      <c r="E1209" t="inlineStr">
        <is>
          <t>FB</t>
        </is>
      </c>
      <c r="F1209" t="n">
        <v>139</v>
      </c>
      <c r="G1209" t="inlineStr">
        <is>
          <t>OUT</t>
        </is>
      </c>
      <c r="H1209">
        <f>IF(G1209="OUT",F1209,-F1209)</f>
        <v>139</v>
      </c>
      <c r="I1209">
        <f>IF(AND(B1209&gt;=DATE(2025,7,1),B1209&lt;=DATE(2026,6,30)),1,0)</f>
        <v>1</v>
      </c>
      <c r="J1209">
        <f>IF(B1209&lt;=DATE(2026,6,30),1,0)</f>
        <v>1</v>
      </c>
      <c r="K1209" t="inlineStr"/>
      <c r="L1209" t="inlineStr">
        <is>
          <t>Office</t>
        </is>
      </c>
      <c r="M1209">
        <f>COUNTIFS('Asset Log'!$A$5:$A$1379,A1209,'Asset Log'!$E$5:$E$1379,E1209,'Asset Log'!$G$5:$G$1379,G1209)</f>
        <v>1</v>
      </c>
    </row>
    <row r="1210">
      <c r="A1210" t="inlineStr">
        <is>
          <t>D70519</t>
        </is>
      </c>
      <c r="B1210" s="11" t="n">
        <v>46152</v>
      </c>
      <c r="C1210" t="inlineStr">
        <is>
          <t>s056</t>
        </is>
      </c>
      <c r="D1210" t="inlineStr">
        <is>
          <t>S0056</t>
        </is>
      </c>
      <c r="E1210" t="inlineStr">
        <is>
          <t>FP</t>
        </is>
      </c>
      <c r="F1210" t="n">
        <v>51</v>
      </c>
      <c r="G1210" t="inlineStr">
        <is>
          <t>OUT</t>
        </is>
      </c>
      <c r="H1210">
        <f>IF(G1210="OUT",F1210,-F1210)</f>
        <v>51</v>
      </c>
      <c r="I1210">
        <f>IF(AND(B1210&gt;=DATE(2025,7,1),B1210&lt;=DATE(2026,6,30)),1,0)</f>
        <v>1</v>
      </c>
      <c r="J1210">
        <f>IF(B1210&lt;=DATE(2026,6,30),1,0)</f>
        <v>1</v>
      </c>
      <c r="K1210" t="inlineStr">
        <is>
          <t>Site text normalised</t>
        </is>
      </c>
      <c r="L1210" t="inlineStr">
        <is>
          <t>Office</t>
        </is>
      </c>
      <c r="M1210">
        <f>COUNTIFS('Asset Log'!$A$5:$A$1379,A1210,'Asset Log'!$E$5:$E$1379,E1210,'Asset Log'!$G$5:$G$1379,G1210)</f>
        <v>1</v>
      </c>
    </row>
    <row r="1211">
      <c r="A1211" t="inlineStr">
        <is>
          <t>D70520</t>
        </is>
      </c>
      <c r="B1211" s="11" t="n">
        <v>46152</v>
      </c>
      <c r="C1211" t="inlineStr">
        <is>
          <t>S0056</t>
        </is>
      </c>
      <c r="D1211" t="inlineStr">
        <is>
          <t>S0056</t>
        </is>
      </c>
      <c r="E1211" t="inlineStr">
        <is>
          <t>FB</t>
        </is>
      </c>
      <c r="F1211" t="n">
        <v>56</v>
      </c>
      <c r="G1211" t="inlineStr">
        <is>
          <t>OUT</t>
        </is>
      </c>
      <c r="H1211">
        <f>IF(G1211="OUT",F1211,-F1211)</f>
        <v>56</v>
      </c>
      <c r="I1211">
        <f>IF(AND(B1211&gt;=DATE(2025,7,1),B1211&lt;=DATE(2026,6,30)),1,0)</f>
        <v>1</v>
      </c>
      <c r="J1211">
        <f>IF(B1211&lt;=DATE(2026,6,30),1,0)</f>
        <v>1</v>
      </c>
      <c r="K1211" t="inlineStr"/>
      <c r="L1211" t="inlineStr">
        <is>
          <t>Yard</t>
        </is>
      </c>
      <c r="M1211">
        <f>COUNTIFS('Asset Log'!$A$5:$A$1379,A1211,'Asset Log'!$E$5:$E$1379,E1211,'Asset Log'!$G$5:$G$1379,G1211)</f>
        <v>1</v>
      </c>
    </row>
    <row r="1212">
      <c r="A1212" t="inlineStr">
        <is>
          <t>D70522</t>
        </is>
      </c>
      <c r="B1212" s="11" t="n">
        <v>46152</v>
      </c>
      <c r="C1212" t="inlineStr">
        <is>
          <t>S0056</t>
        </is>
      </c>
      <c r="D1212" t="inlineStr">
        <is>
          <t>S0056</t>
        </is>
      </c>
      <c r="E1212" t="inlineStr">
        <is>
          <t>BR</t>
        </is>
      </c>
      <c r="F1212" t="n">
        <v>9</v>
      </c>
      <c r="G1212" t="inlineStr">
        <is>
          <t>OUT</t>
        </is>
      </c>
      <c r="H1212">
        <f>IF(G1212="OUT",F1212,-F1212)</f>
        <v>9</v>
      </c>
      <c r="I1212">
        <f>IF(AND(B1212&gt;=DATE(2025,7,1),B1212&lt;=DATE(2026,6,30)),1,0)</f>
        <v>1</v>
      </c>
      <c r="J1212">
        <f>IF(B1212&lt;=DATE(2026,6,30),1,0)</f>
        <v>1</v>
      </c>
      <c r="K1212" t="inlineStr"/>
      <c r="L1212" t="inlineStr">
        <is>
          <t>Office</t>
        </is>
      </c>
      <c r="M1212">
        <f>COUNTIFS('Asset Log'!$A$5:$A$1379,A1212,'Asset Log'!$E$5:$E$1379,E1212,'Asset Log'!$G$5:$G$1379,G1212)</f>
        <v>1</v>
      </c>
    </row>
    <row r="1213">
      <c r="A1213" t="inlineStr">
        <is>
          <t>D70594</t>
        </is>
      </c>
      <c r="B1213" s="11" t="n">
        <v>46152</v>
      </c>
      <c r="C1213" t="inlineStr">
        <is>
          <t>S0064</t>
        </is>
      </c>
      <c r="D1213" t="inlineStr">
        <is>
          <t>S0064</t>
        </is>
      </c>
      <c r="E1213" t="inlineStr">
        <is>
          <t>FP</t>
        </is>
      </c>
      <c r="F1213" t="n">
        <v>42</v>
      </c>
      <c r="G1213" t="inlineStr">
        <is>
          <t>OUT</t>
        </is>
      </c>
      <c r="H1213">
        <f>IF(G1213="OUT",F1213,-F1213)</f>
        <v>42</v>
      </c>
      <c r="I1213">
        <f>IF(AND(B1213&gt;=DATE(2025,7,1),B1213&lt;=DATE(2026,6,30)),1,0)</f>
        <v>1</v>
      </c>
      <c r="J1213">
        <f>IF(B1213&lt;=DATE(2026,6,30),1,0)</f>
        <v>1</v>
      </c>
      <c r="K1213" t="inlineStr"/>
      <c r="L1213" t="inlineStr">
        <is>
          <t>Driver</t>
        </is>
      </c>
      <c r="M1213">
        <f>COUNTIFS('Asset Log'!$A$5:$A$1379,A1213,'Asset Log'!$E$5:$E$1379,E1213,'Asset Log'!$G$5:$G$1379,G1213)</f>
        <v>1</v>
      </c>
    </row>
    <row r="1214">
      <c r="A1214" t="inlineStr">
        <is>
          <t>D70597</t>
        </is>
      </c>
      <c r="B1214" s="11" t="n">
        <v>46152</v>
      </c>
      <c r="C1214" t="inlineStr">
        <is>
          <t>S0064</t>
        </is>
      </c>
      <c r="D1214" t="inlineStr">
        <is>
          <t>S0064</t>
        </is>
      </c>
      <c r="E1214" t="inlineStr">
        <is>
          <t>FB</t>
        </is>
      </c>
      <c r="F1214" t="n">
        <v>46</v>
      </c>
      <c r="G1214" t="inlineStr">
        <is>
          <t>OUT</t>
        </is>
      </c>
      <c r="H1214">
        <f>IF(G1214="OUT",F1214,-F1214)</f>
        <v>46</v>
      </c>
      <c r="I1214">
        <f>IF(AND(B1214&gt;=DATE(2025,7,1),B1214&lt;=DATE(2026,6,30)),1,0)</f>
        <v>1</v>
      </c>
      <c r="J1214">
        <f>IF(B1214&lt;=DATE(2026,6,30),1,0)</f>
        <v>1</v>
      </c>
      <c r="K1214" t="inlineStr"/>
      <c r="L1214" t="inlineStr">
        <is>
          <t>Driver</t>
        </is>
      </c>
      <c r="M1214">
        <f>COUNTIFS('Asset Log'!$A$5:$A$1379,A1214,'Asset Log'!$E$5:$E$1379,E1214,'Asset Log'!$G$5:$G$1379,G1214)</f>
        <v>1</v>
      </c>
    </row>
    <row r="1215">
      <c r="A1215" t="inlineStr">
        <is>
          <t>D70599</t>
        </is>
      </c>
      <c r="B1215" s="11" t="n">
        <v>46152</v>
      </c>
      <c r="C1215" t="inlineStr">
        <is>
          <t>S0064</t>
        </is>
      </c>
      <c r="D1215" t="inlineStr">
        <is>
          <t>S0064</t>
        </is>
      </c>
      <c r="E1215" t="inlineStr">
        <is>
          <t>BR</t>
        </is>
      </c>
      <c r="F1215" t="n">
        <v>20</v>
      </c>
      <c r="G1215" t="inlineStr">
        <is>
          <t>OUT</t>
        </is>
      </c>
      <c r="H1215">
        <f>IF(G1215="OUT",F1215,-F1215)</f>
        <v>20</v>
      </c>
      <c r="I1215">
        <f>IF(AND(B1215&gt;=DATE(2025,7,1),B1215&lt;=DATE(2026,6,30)),1,0)</f>
        <v>1</v>
      </c>
      <c r="J1215">
        <f>IF(B1215&lt;=DATE(2026,6,30),1,0)</f>
        <v>1</v>
      </c>
      <c r="K1215" t="inlineStr"/>
      <c r="L1215" t="inlineStr">
        <is>
          <t>Driver</t>
        </is>
      </c>
      <c r="M1215">
        <f>COUNTIFS('Asset Log'!$A$5:$A$1379,A1215,'Asset Log'!$E$5:$E$1379,E1215,'Asset Log'!$G$5:$G$1379,G1215)</f>
        <v>1</v>
      </c>
    </row>
    <row r="1216">
      <c r="A1216" t="inlineStr">
        <is>
          <t>D71241</t>
        </is>
      </c>
      <c r="B1216" s="11" t="n">
        <v>46153</v>
      </c>
      <c r="C1216" t="inlineStr">
        <is>
          <t>S0129</t>
        </is>
      </c>
      <c r="D1216" t="inlineStr">
        <is>
          <t>S0129</t>
        </is>
      </c>
      <c r="E1216" t="inlineStr">
        <is>
          <t>FP</t>
        </is>
      </c>
      <c r="F1216" t="n">
        <v>47</v>
      </c>
      <c r="G1216" t="inlineStr">
        <is>
          <t>IN</t>
        </is>
      </c>
      <c r="H1216">
        <f>IF(G1216="OUT",F1216,-F1216)</f>
        <v>-47</v>
      </c>
      <c r="I1216">
        <f>IF(AND(B1216&gt;=DATE(2025,7,1),B1216&lt;=DATE(2026,6,30)),1,0)</f>
        <v>1</v>
      </c>
      <c r="J1216">
        <f>IF(B1216&lt;=DATE(2026,6,30),1,0)</f>
        <v>1</v>
      </c>
      <c r="K1216" t="inlineStr"/>
      <c r="L1216" t="inlineStr">
        <is>
          <t>Office</t>
        </is>
      </c>
      <c r="M1216">
        <f>COUNTIFS('Asset Log'!$A$5:$A$1379,A1216,'Asset Log'!$E$5:$E$1379,E1216,'Asset Log'!$G$5:$G$1379,G1216)</f>
        <v>1</v>
      </c>
    </row>
    <row r="1217">
      <c r="A1217" t="inlineStr">
        <is>
          <t>D71246</t>
        </is>
      </c>
      <c r="B1217" s="11" t="n">
        <v>46153</v>
      </c>
      <c r="C1217" t="inlineStr">
        <is>
          <t>S0129</t>
        </is>
      </c>
      <c r="D1217" t="inlineStr">
        <is>
          <t>S0129</t>
        </is>
      </c>
      <c r="E1217" t="inlineStr">
        <is>
          <t>FB</t>
        </is>
      </c>
      <c r="F1217" t="n">
        <v>51</v>
      </c>
      <c r="G1217" t="inlineStr">
        <is>
          <t>IN</t>
        </is>
      </c>
      <c r="H1217">
        <f>IF(G1217="OUT",F1217,-F1217)</f>
        <v>-51</v>
      </c>
      <c r="I1217">
        <f>IF(AND(B1217&gt;=DATE(2025,7,1),B1217&lt;=DATE(2026,6,30)),1,0)</f>
        <v>1</v>
      </c>
      <c r="J1217">
        <f>IF(B1217&lt;=DATE(2026,6,30),1,0)</f>
        <v>1</v>
      </c>
      <c r="K1217" t="inlineStr"/>
      <c r="L1217" t="inlineStr">
        <is>
          <t>Yard</t>
        </is>
      </c>
      <c r="M1217">
        <f>COUNTIFS('Asset Log'!$A$5:$A$1379,A1217,'Asset Log'!$E$5:$E$1379,E1217,'Asset Log'!$G$5:$G$1379,G1217)</f>
        <v>1</v>
      </c>
    </row>
    <row r="1218">
      <c r="A1218" t="inlineStr">
        <is>
          <t>D72562</t>
        </is>
      </c>
      <c r="B1218" s="11" t="n">
        <v>46153</v>
      </c>
      <c r="C1218" t="inlineStr">
        <is>
          <t>S0373</t>
        </is>
      </c>
      <c r="D1218" t="inlineStr">
        <is>
          <t>S0373</t>
        </is>
      </c>
      <c r="E1218" t="inlineStr">
        <is>
          <t>TK</t>
        </is>
      </c>
      <c r="F1218" t="n">
        <v>2</v>
      </c>
      <c r="G1218" t="inlineStr">
        <is>
          <t>IN</t>
        </is>
      </c>
      <c r="H1218">
        <f>IF(G1218="OUT",F1218,-F1218)</f>
        <v>-2</v>
      </c>
      <c r="I1218">
        <f>IF(AND(B1218&gt;=DATE(2025,7,1),B1218&lt;=DATE(2026,6,30)),1,0)</f>
        <v>1</v>
      </c>
      <c r="J1218">
        <f>IF(B1218&lt;=DATE(2026,6,30),1,0)</f>
        <v>1</v>
      </c>
      <c r="K1218" t="inlineStr"/>
      <c r="L1218" t="inlineStr">
        <is>
          <t>Yard</t>
        </is>
      </c>
      <c r="M1218">
        <f>COUNTIFS('Asset Log'!$A$5:$A$1379,A1218,'Asset Log'!$E$5:$E$1379,E1218,'Asset Log'!$G$5:$G$1379,G1218)</f>
        <v>1</v>
      </c>
    </row>
    <row r="1219">
      <c r="A1219" t="inlineStr">
        <is>
          <t>D71040</t>
        </is>
      </c>
      <c r="B1219" s="11" t="n">
        <v>46155</v>
      </c>
      <c r="C1219" t="inlineStr">
        <is>
          <t>s111</t>
        </is>
      </c>
      <c r="D1219" t="inlineStr">
        <is>
          <t>S0111</t>
        </is>
      </c>
      <c r="E1219" t="inlineStr">
        <is>
          <t>FP</t>
        </is>
      </c>
      <c r="F1219" t="n">
        <v>35</v>
      </c>
      <c r="G1219" t="inlineStr">
        <is>
          <t>IN</t>
        </is>
      </c>
      <c r="H1219">
        <f>IF(G1219="OUT",F1219,-F1219)</f>
        <v>-35</v>
      </c>
      <c r="I1219">
        <f>IF(AND(B1219&gt;=DATE(2025,7,1),B1219&lt;=DATE(2026,6,30)),1,0)</f>
        <v>1</v>
      </c>
      <c r="J1219">
        <f>IF(B1219&lt;=DATE(2026,6,30),1,0)</f>
        <v>1</v>
      </c>
      <c r="K1219" t="inlineStr">
        <is>
          <t>Site text normalised</t>
        </is>
      </c>
      <c r="L1219" t="inlineStr">
        <is>
          <t>Office</t>
        </is>
      </c>
      <c r="M1219">
        <f>COUNTIFS('Asset Log'!$A$5:$A$1379,A1219,'Asset Log'!$E$5:$E$1379,E1219,'Asset Log'!$G$5:$G$1379,G1219)</f>
        <v>1</v>
      </c>
    </row>
    <row r="1220">
      <c r="A1220" t="inlineStr">
        <is>
          <t>D71043</t>
        </is>
      </c>
      <c r="B1220" s="11" t="n">
        <v>46155</v>
      </c>
      <c r="C1220" t="inlineStr">
        <is>
          <t>S0111</t>
        </is>
      </c>
      <c r="D1220" t="inlineStr">
        <is>
          <t>S0111</t>
        </is>
      </c>
      <c r="E1220" t="inlineStr">
        <is>
          <t>FB</t>
        </is>
      </c>
      <c r="F1220" t="n">
        <v>38</v>
      </c>
      <c r="G1220" t="inlineStr">
        <is>
          <t>IN</t>
        </is>
      </c>
      <c r="H1220">
        <f>IF(G1220="OUT",F1220,-F1220)</f>
        <v>-38</v>
      </c>
      <c r="I1220">
        <f>IF(AND(B1220&gt;=DATE(2025,7,1),B1220&lt;=DATE(2026,6,30)),1,0)</f>
        <v>1</v>
      </c>
      <c r="J1220">
        <f>IF(B1220&lt;=DATE(2026,6,30),1,0)</f>
        <v>1</v>
      </c>
      <c r="K1220" t="inlineStr"/>
      <c r="L1220" t="inlineStr">
        <is>
          <t>Yard</t>
        </is>
      </c>
      <c r="M1220">
        <f>COUNTIFS('Asset Log'!$A$5:$A$1379,A1220,'Asset Log'!$E$5:$E$1379,E1220,'Asset Log'!$G$5:$G$1379,G1220)</f>
        <v>1</v>
      </c>
    </row>
    <row r="1221">
      <c r="A1221" t="inlineStr">
        <is>
          <t>D71288</t>
        </is>
      </c>
      <c r="B1221" s="11" t="n">
        <v>46155</v>
      </c>
      <c r="C1221" t="inlineStr">
        <is>
          <t>136</t>
        </is>
      </c>
      <c r="D1221" t="inlineStr">
        <is>
          <t>S0136</t>
        </is>
      </c>
      <c r="E1221" t="inlineStr">
        <is>
          <t>FP</t>
        </is>
      </c>
      <c r="F1221" t="n">
        <v>74</v>
      </c>
      <c r="G1221" t="inlineStr">
        <is>
          <t>OUT</t>
        </is>
      </c>
      <c r="H1221">
        <f>IF(G1221="OUT",F1221,-F1221)</f>
        <v>74</v>
      </c>
      <c r="I1221">
        <f>IF(AND(B1221&gt;=DATE(2025,7,1),B1221&lt;=DATE(2026,6,30)),1,0)</f>
        <v>1</v>
      </c>
      <c r="J1221">
        <f>IF(B1221&lt;=DATE(2026,6,30),1,0)</f>
        <v>1</v>
      </c>
      <c r="K1221" t="inlineStr">
        <is>
          <t>Site text normalised</t>
        </is>
      </c>
      <c r="L1221" t="inlineStr">
        <is>
          <t>Driver</t>
        </is>
      </c>
      <c r="M1221">
        <f>COUNTIFS('Asset Log'!$A$5:$A$1379,A1221,'Asset Log'!$E$5:$E$1379,E1221,'Asset Log'!$G$5:$G$1379,G1221)</f>
        <v>1</v>
      </c>
    </row>
    <row r="1222">
      <c r="A1222" t="inlineStr">
        <is>
          <t>D71292</t>
        </is>
      </c>
      <c r="B1222" s="11" t="n">
        <v>46155</v>
      </c>
      <c r="C1222" t="inlineStr">
        <is>
          <t>S0136</t>
        </is>
      </c>
      <c r="D1222" t="inlineStr">
        <is>
          <t>S0136</t>
        </is>
      </c>
      <c r="E1222" t="inlineStr">
        <is>
          <t>FB</t>
        </is>
      </c>
      <c r="F1222" t="n">
        <v>81</v>
      </c>
      <c r="G1222" t="inlineStr">
        <is>
          <t>OUT</t>
        </is>
      </c>
      <c r="H1222">
        <f>IF(G1222="OUT",F1222,-F1222)</f>
        <v>81</v>
      </c>
      <c r="I1222">
        <f>IF(AND(B1222&gt;=DATE(2025,7,1),B1222&lt;=DATE(2026,6,30)),1,0)</f>
        <v>1</v>
      </c>
      <c r="J1222">
        <f>IF(B1222&lt;=DATE(2026,6,30),1,0)</f>
        <v>1</v>
      </c>
      <c r="K1222" t="inlineStr"/>
      <c r="L1222" t="inlineStr">
        <is>
          <t>Driver</t>
        </is>
      </c>
      <c r="M1222">
        <f>COUNTIFS('Asset Log'!$A$5:$A$1379,A1222,'Asset Log'!$E$5:$E$1379,E1222,'Asset Log'!$G$5:$G$1379,G1222)</f>
        <v>1</v>
      </c>
    </row>
    <row r="1223">
      <c r="A1223" t="inlineStr">
        <is>
          <t>D71294</t>
        </is>
      </c>
      <c r="B1223" s="11" t="n">
        <v>46155</v>
      </c>
      <c r="C1223" t="inlineStr">
        <is>
          <t>S0136</t>
        </is>
      </c>
      <c r="D1223" t="inlineStr">
        <is>
          <t>S0136</t>
        </is>
      </c>
      <c r="E1223" t="inlineStr">
        <is>
          <t>BR</t>
        </is>
      </c>
      <c r="F1223" t="n">
        <v>23</v>
      </c>
      <c r="G1223" t="inlineStr">
        <is>
          <t>OUT</t>
        </is>
      </c>
      <c r="H1223">
        <f>IF(G1223="OUT",F1223,-F1223)</f>
        <v>23</v>
      </c>
      <c r="I1223">
        <f>IF(AND(B1223&gt;=DATE(2025,7,1),B1223&lt;=DATE(2026,6,30)),1,0)</f>
        <v>1</v>
      </c>
      <c r="J1223">
        <f>IF(B1223&lt;=DATE(2026,6,30),1,0)</f>
        <v>1</v>
      </c>
      <c r="K1223" t="inlineStr"/>
      <c r="L1223" t="inlineStr">
        <is>
          <t>Driver</t>
        </is>
      </c>
      <c r="M1223">
        <f>COUNTIFS('Asset Log'!$A$5:$A$1379,A1223,'Asset Log'!$E$5:$E$1379,E1223,'Asset Log'!$G$5:$G$1379,G1223)</f>
        <v>1</v>
      </c>
    </row>
    <row r="1224">
      <c r="A1224" t="inlineStr">
        <is>
          <t>D72404</t>
        </is>
      </c>
      <c r="B1224" s="11" t="n">
        <v>46156</v>
      </c>
      <c r="C1224" t="inlineStr">
        <is>
          <t>283</t>
        </is>
      </c>
      <c r="D1224" t="inlineStr">
        <is>
          <t>S0283</t>
        </is>
      </c>
      <c r="E1224" t="inlineStr">
        <is>
          <t>ST</t>
        </is>
      </c>
      <c r="F1224" t="n">
        <v>2</v>
      </c>
      <c r="G1224" t="inlineStr">
        <is>
          <t>OUT</t>
        </is>
      </c>
      <c r="H1224">
        <f>IF(G1224="OUT",F1224,-F1224)</f>
        <v>2</v>
      </c>
      <c r="I1224">
        <f>IF(AND(B1224&gt;=DATE(2025,7,1),B1224&lt;=DATE(2026,6,30)),1,0)</f>
        <v>1</v>
      </c>
      <c r="J1224">
        <f>IF(B1224&lt;=DATE(2026,6,30),1,0)</f>
        <v>1</v>
      </c>
      <c r="K1224" t="inlineStr">
        <is>
          <t>Site text normalised</t>
        </is>
      </c>
      <c r="L1224" t="inlineStr">
        <is>
          <t>Office</t>
        </is>
      </c>
      <c r="M1224">
        <f>COUNTIFS('Asset Log'!$A$5:$A$1379,A1224,'Asset Log'!$E$5:$E$1379,E1224,'Asset Log'!$G$5:$G$1379,G1224)</f>
        <v>1</v>
      </c>
    </row>
    <row r="1225">
      <c r="A1225" t="inlineStr">
        <is>
          <t>D70489</t>
        </is>
      </c>
      <c r="B1225" s="11" t="n">
        <v>46157</v>
      </c>
      <c r="C1225" t="inlineStr">
        <is>
          <t>S0053</t>
        </is>
      </c>
      <c r="D1225" t="inlineStr">
        <is>
          <t>S0053</t>
        </is>
      </c>
      <c r="E1225" t="inlineStr">
        <is>
          <t>FP</t>
        </is>
      </c>
      <c r="F1225" t="n">
        <v>143</v>
      </c>
      <c r="G1225" t="inlineStr">
        <is>
          <t>IN</t>
        </is>
      </c>
      <c r="H1225">
        <f>IF(G1225="OUT",F1225,-F1225)</f>
        <v>-143</v>
      </c>
      <c r="I1225">
        <f>IF(AND(B1225&gt;=DATE(2025,7,1),B1225&lt;=DATE(2026,6,30)),1,0)</f>
        <v>1</v>
      </c>
      <c r="J1225">
        <f>IF(B1225&lt;=DATE(2026,6,30),1,0)</f>
        <v>1</v>
      </c>
      <c r="K1225" t="inlineStr"/>
      <c r="L1225" t="inlineStr">
        <is>
          <t>Driver</t>
        </is>
      </c>
      <c r="M1225">
        <f>COUNTIFS('Asset Log'!$A$5:$A$1379,A1225,'Asset Log'!$E$5:$E$1379,E1225,'Asset Log'!$G$5:$G$1379,G1225)</f>
        <v>1</v>
      </c>
    </row>
    <row r="1226">
      <c r="A1226" t="inlineStr">
        <is>
          <t>D70492</t>
        </is>
      </c>
      <c r="B1226" s="11" t="n">
        <v>46157</v>
      </c>
      <c r="C1226" t="inlineStr">
        <is>
          <t>S0053</t>
        </is>
      </c>
      <c r="D1226" t="inlineStr">
        <is>
          <t>S0053</t>
        </is>
      </c>
      <c r="E1226" t="inlineStr">
        <is>
          <t>FB</t>
        </is>
      </c>
      <c r="F1226" t="n">
        <v>157</v>
      </c>
      <c r="G1226" t="inlineStr">
        <is>
          <t>IN</t>
        </is>
      </c>
      <c r="H1226">
        <f>IF(G1226="OUT",F1226,-F1226)</f>
        <v>-157</v>
      </c>
      <c r="I1226">
        <f>IF(AND(B1226&gt;=DATE(2025,7,1),B1226&lt;=DATE(2026,6,30)),1,0)</f>
        <v>1</v>
      </c>
      <c r="J1226">
        <f>IF(B1226&lt;=DATE(2026,6,30),1,0)</f>
        <v>1</v>
      </c>
      <c r="K1226" t="inlineStr"/>
      <c r="L1226" t="inlineStr">
        <is>
          <t>Yard</t>
        </is>
      </c>
      <c r="M1226">
        <f>COUNTIFS('Asset Log'!$A$5:$A$1379,A1226,'Asset Log'!$E$5:$E$1379,E1226,'Asset Log'!$G$5:$G$1379,G1226)</f>
        <v>1</v>
      </c>
    </row>
    <row r="1227">
      <c r="A1227" t="inlineStr">
        <is>
          <t>D72270</t>
        </is>
      </c>
      <c r="B1227" s="11" t="n">
        <v>46157</v>
      </c>
      <c r="C1227" t="inlineStr">
        <is>
          <t>S0250</t>
        </is>
      </c>
      <c r="D1227" t="inlineStr">
        <is>
          <t>S0250</t>
        </is>
      </c>
      <c r="E1227" t="inlineStr">
        <is>
          <t>ST</t>
        </is>
      </c>
      <c r="F1227" t="n">
        <v>1</v>
      </c>
      <c r="G1227" t="inlineStr">
        <is>
          <t>IN</t>
        </is>
      </c>
      <c r="H1227">
        <f>IF(G1227="OUT",F1227,-F1227)</f>
        <v>-1</v>
      </c>
      <c r="I1227">
        <f>IF(AND(B1227&gt;=DATE(2025,7,1),B1227&lt;=DATE(2026,6,30)),1,0)</f>
        <v>1</v>
      </c>
      <c r="J1227">
        <f>IF(B1227&lt;=DATE(2026,6,30),1,0)</f>
        <v>1</v>
      </c>
      <c r="K1227" t="inlineStr"/>
      <c r="L1227" t="inlineStr">
        <is>
          <t>Yard</t>
        </is>
      </c>
      <c r="M1227">
        <f>COUNTIFS('Asset Log'!$A$5:$A$1379,A1227,'Asset Log'!$E$5:$E$1379,E1227,'Asset Log'!$G$5:$G$1379,G1227)</f>
        <v>1</v>
      </c>
    </row>
    <row r="1228">
      <c r="A1228" t="inlineStr">
        <is>
          <t>D71222</t>
        </is>
      </c>
      <c r="B1228" s="11" t="n">
        <v>46158</v>
      </c>
      <c r="C1228" t="inlineStr">
        <is>
          <t>S0127</t>
        </is>
      </c>
      <c r="D1228" t="inlineStr">
        <is>
          <t>S0127</t>
        </is>
      </c>
      <c r="E1228" t="inlineStr">
        <is>
          <t>FP</t>
        </is>
      </c>
      <c r="F1228" t="n">
        <v>51</v>
      </c>
      <c r="G1228" t="inlineStr">
        <is>
          <t>OUT</t>
        </is>
      </c>
      <c r="H1228">
        <f>IF(G1228="OUT",F1228,-F1228)</f>
        <v>51</v>
      </c>
      <c r="I1228">
        <f>IF(AND(B1228&gt;=DATE(2025,7,1),B1228&lt;=DATE(2026,6,30)),1,0)</f>
        <v>1</v>
      </c>
      <c r="J1228">
        <f>IF(B1228&lt;=DATE(2026,6,30),1,0)</f>
        <v>1</v>
      </c>
      <c r="K1228" t="inlineStr"/>
      <c r="L1228" t="inlineStr">
        <is>
          <t>Yard</t>
        </is>
      </c>
      <c r="M1228">
        <f>COUNTIFS('Asset Log'!$A$5:$A$1379,A1228,'Asset Log'!$E$5:$E$1379,E1228,'Asset Log'!$G$5:$G$1379,G1228)</f>
        <v>1</v>
      </c>
    </row>
    <row r="1229">
      <c r="A1229" t="inlineStr">
        <is>
          <t>D71226</t>
        </is>
      </c>
      <c r="B1229" s="11" t="n">
        <v>46158</v>
      </c>
      <c r="C1229" t="inlineStr">
        <is>
          <t>S0127</t>
        </is>
      </c>
      <c r="D1229" t="inlineStr">
        <is>
          <t>S0127</t>
        </is>
      </c>
      <c r="E1229" t="inlineStr">
        <is>
          <t>FB</t>
        </is>
      </c>
      <c r="F1229" t="n">
        <v>56</v>
      </c>
      <c r="G1229" t="inlineStr">
        <is>
          <t>OUT</t>
        </is>
      </c>
      <c r="H1229">
        <f>IF(G1229="OUT",F1229,-F1229)</f>
        <v>56</v>
      </c>
      <c r="I1229">
        <f>IF(AND(B1229&gt;=DATE(2025,7,1),B1229&lt;=DATE(2026,6,30)),1,0)</f>
        <v>1</v>
      </c>
      <c r="J1229">
        <f>IF(B1229&lt;=DATE(2026,6,30),1,0)</f>
        <v>1</v>
      </c>
      <c r="K1229" t="inlineStr"/>
      <c r="L1229" t="inlineStr">
        <is>
          <t>Driver</t>
        </is>
      </c>
      <c r="M1229">
        <f>COUNTIFS('Asset Log'!$A$5:$A$1379,A1229,'Asset Log'!$E$5:$E$1379,E1229,'Asset Log'!$G$5:$G$1379,G1229)</f>
        <v>1</v>
      </c>
    </row>
    <row r="1230">
      <c r="A1230" t="inlineStr">
        <is>
          <t>D70809</t>
        </is>
      </c>
      <c r="B1230" s="11" t="n">
        <v>46159</v>
      </c>
      <c r="C1230" t="inlineStr">
        <is>
          <t>s086</t>
        </is>
      </c>
      <c r="D1230" t="inlineStr">
        <is>
          <t>S0086</t>
        </is>
      </c>
      <c r="E1230" t="inlineStr">
        <is>
          <t>FP</t>
        </is>
      </c>
      <c r="F1230" t="n">
        <v>29</v>
      </c>
      <c r="G1230" t="inlineStr">
        <is>
          <t>OUT</t>
        </is>
      </c>
      <c r="H1230">
        <f>IF(G1230="OUT",F1230,-F1230)</f>
        <v>29</v>
      </c>
      <c r="I1230">
        <f>IF(AND(B1230&gt;=DATE(2025,7,1),B1230&lt;=DATE(2026,6,30)),1,0)</f>
        <v>1</v>
      </c>
      <c r="J1230">
        <f>IF(B1230&lt;=DATE(2026,6,30),1,0)</f>
        <v>1</v>
      </c>
      <c r="K1230" t="inlineStr">
        <is>
          <t>Site text normalised</t>
        </is>
      </c>
      <c r="L1230" t="inlineStr">
        <is>
          <t>Office</t>
        </is>
      </c>
      <c r="M1230">
        <f>COUNTIFS('Asset Log'!$A$5:$A$1379,A1230,'Asset Log'!$E$5:$E$1379,E1230,'Asset Log'!$G$5:$G$1379,G1230)</f>
        <v>1</v>
      </c>
    </row>
    <row r="1231">
      <c r="A1231" t="inlineStr">
        <is>
          <t>D70813</t>
        </is>
      </c>
      <c r="B1231" s="11" t="n">
        <v>46159</v>
      </c>
      <c r="C1231" t="inlineStr">
        <is>
          <t>S0086</t>
        </is>
      </c>
      <c r="D1231" t="inlineStr">
        <is>
          <t>S0086</t>
        </is>
      </c>
      <c r="E1231" t="inlineStr">
        <is>
          <t>FB</t>
        </is>
      </c>
      <c r="F1231" t="n">
        <v>31</v>
      </c>
      <c r="G1231" t="inlineStr">
        <is>
          <t>OUT</t>
        </is>
      </c>
      <c r="H1231">
        <f>IF(G1231="OUT",F1231,-F1231)</f>
        <v>31</v>
      </c>
      <c r="I1231">
        <f>IF(AND(B1231&gt;=DATE(2025,7,1),B1231&lt;=DATE(2026,6,30)),1,0)</f>
        <v>1</v>
      </c>
      <c r="J1231">
        <f>IF(B1231&lt;=DATE(2026,6,30),1,0)</f>
        <v>1</v>
      </c>
      <c r="K1231" t="inlineStr"/>
      <c r="L1231" t="inlineStr">
        <is>
          <t>Office</t>
        </is>
      </c>
      <c r="M1231">
        <f>COUNTIFS('Asset Log'!$A$5:$A$1379,A1231,'Asset Log'!$E$5:$E$1379,E1231,'Asset Log'!$G$5:$G$1379,G1231)</f>
        <v>1</v>
      </c>
    </row>
    <row r="1232">
      <c r="A1232" t="inlineStr">
        <is>
          <t>D72604</t>
        </is>
      </c>
      <c r="B1232" s="11" t="n">
        <v>46159</v>
      </c>
      <c r="C1232" t="inlineStr">
        <is>
          <t>S0395</t>
        </is>
      </c>
      <c r="D1232" t="inlineStr">
        <is>
          <t>S0395</t>
        </is>
      </c>
      <c r="E1232" t="inlineStr">
        <is>
          <t>TK</t>
        </is>
      </c>
      <c r="F1232" t="n">
        <v>1</v>
      </c>
      <c r="G1232" t="inlineStr">
        <is>
          <t>IN</t>
        </is>
      </c>
      <c r="H1232">
        <f>IF(G1232="OUT",F1232,-F1232)</f>
        <v>-1</v>
      </c>
      <c r="I1232">
        <f>IF(AND(B1232&gt;=DATE(2025,7,1),B1232&lt;=DATE(2026,6,30)),1,0)</f>
        <v>1</v>
      </c>
      <c r="J1232">
        <f>IF(B1232&lt;=DATE(2026,6,30),1,0)</f>
        <v>1</v>
      </c>
      <c r="K1232" t="inlineStr"/>
      <c r="L1232" t="inlineStr">
        <is>
          <t>Office</t>
        </is>
      </c>
      <c r="M1232">
        <f>COUNTIFS('Asset Log'!$A$5:$A$1379,A1232,'Asset Log'!$E$5:$E$1379,E1232,'Asset Log'!$G$5:$G$1379,G1232)</f>
        <v>1</v>
      </c>
    </row>
    <row r="1233">
      <c r="A1233" t="inlineStr">
        <is>
          <t>D71908</t>
        </is>
      </c>
      <c r="B1233" s="11" t="n">
        <v>46160</v>
      </c>
      <c r="C1233" t="inlineStr">
        <is>
          <t>202</t>
        </is>
      </c>
      <c r="D1233" t="inlineStr">
        <is>
          <t>S0202</t>
        </is>
      </c>
      <c r="E1233" t="inlineStr">
        <is>
          <t>FP</t>
        </is>
      </c>
      <c r="F1233" t="n">
        <v>40</v>
      </c>
      <c r="G1233" t="inlineStr">
        <is>
          <t>IN</t>
        </is>
      </c>
      <c r="H1233">
        <f>IF(G1233="OUT",F1233,-F1233)</f>
        <v>-40</v>
      </c>
      <c r="I1233">
        <f>IF(AND(B1233&gt;=DATE(2025,7,1),B1233&lt;=DATE(2026,6,30)),1,0)</f>
        <v>1</v>
      </c>
      <c r="J1233">
        <f>IF(B1233&lt;=DATE(2026,6,30),1,0)</f>
        <v>1</v>
      </c>
      <c r="K1233" t="inlineStr">
        <is>
          <t>Site text normalised</t>
        </is>
      </c>
      <c r="L1233" t="inlineStr">
        <is>
          <t>Office</t>
        </is>
      </c>
      <c r="M1233">
        <f>COUNTIFS('Asset Log'!$A$5:$A$1379,A1233,'Asset Log'!$E$5:$E$1379,E1233,'Asset Log'!$G$5:$G$1379,G1233)</f>
        <v>1</v>
      </c>
    </row>
    <row r="1234">
      <c r="A1234" t="inlineStr">
        <is>
          <t>D71912</t>
        </is>
      </c>
      <c r="B1234" s="11" t="n">
        <v>46160</v>
      </c>
      <c r="C1234" t="inlineStr">
        <is>
          <t>S0202</t>
        </is>
      </c>
      <c r="D1234" t="inlineStr">
        <is>
          <t>S0202</t>
        </is>
      </c>
      <c r="E1234" t="inlineStr">
        <is>
          <t>FB</t>
        </is>
      </c>
      <c r="F1234" t="n">
        <v>46</v>
      </c>
      <c r="G1234" t="inlineStr">
        <is>
          <t>IN</t>
        </is>
      </c>
      <c r="H1234">
        <f>IF(G1234="OUT",F1234,-F1234)</f>
        <v>-46</v>
      </c>
      <c r="I1234">
        <f>IF(AND(B1234&gt;=DATE(2025,7,1),B1234&lt;=DATE(2026,6,30)),1,0)</f>
        <v>1</v>
      </c>
      <c r="J1234">
        <f>IF(B1234&lt;=DATE(2026,6,30),1,0)</f>
        <v>1</v>
      </c>
      <c r="K1234" t="inlineStr"/>
      <c r="L1234" t="inlineStr">
        <is>
          <t>Office</t>
        </is>
      </c>
      <c r="M1234">
        <f>COUNTIFS('Asset Log'!$A$5:$A$1379,A1234,'Asset Log'!$E$5:$E$1379,E1234,'Asset Log'!$G$5:$G$1379,G1234)</f>
        <v>1</v>
      </c>
    </row>
    <row r="1235">
      <c r="A1235" t="inlineStr">
        <is>
          <t>D71916</t>
        </is>
      </c>
      <c r="B1235" s="11" t="n">
        <v>46160</v>
      </c>
      <c r="C1235" t="inlineStr">
        <is>
          <t>S0202</t>
        </is>
      </c>
      <c r="D1235" t="inlineStr">
        <is>
          <t>S0202</t>
        </is>
      </c>
      <c r="E1235" t="inlineStr">
        <is>
          <t>BR</t>
        </is>
      </c>
      <c r="F1235" t="n">
        <v>18</v>
      </c>
      <c r="G1235" t="inlineStr">
        <is>
          <t>IN</t>
        </is>
      </c>
      <c r="H1235">
        <f>IF(G1235="OUT",F1235,-F1235)</f>
        <v>-18</v>
      </c>
      <c r="I1235">
        <f>IF(AND(B1235&gt;=DATE(2025,7,1),B1235&lt;=DATE(2026,6,30)),1,0)</f>
        <v>1</v>
      </c>
      <c r="J1235">
        <f>IF(B1235&lt;=DATE(2026,6,30),1,0)</f>
        <v>1</v>
      </c>
      <c r="K1235" t="inlineStr"/>
      <c r="L1235" t="inlineStr">
        <is>
          <t>Yard</t>
        </is>
      </c>
      <c r="M1235">
        <f>COUNTIFS('Asset Log'!$A$5:$A$1379,A1235,'Asset Log'!$E$5:$E$1379,E1235,'Asset Log'!$G$5:$G$1379,G1235)</f>
        <v>1</v>
      </c>
    </row>
    <row r="1236">
      <c r="A1236" t="inlineStr">
        <is>
          <t>D72312</t>
        </is>
      </c>
      <c r="B1236" s="11" t="n">
        <v>46160</v>
      </c>
      <c r="C1236" t="inlineStr">
        <is>
          <t>S0259</t>
        </is>
      </c>
      <c r="D1236" t="inlineStr">
        <is>
          <t>S0259</t>
        </is>
      </c>
      <c r="E1236" t="inlineStr">
        <is>
          <t>ST</t>
        </is>
      </c>
      <c r="F1236" t="n">
        <v>3</v>
      </c>
      <c r="G1236" t="inlineStr">
        <is>
          <t>OUT</t>
        </is>
      </c>
      <c r="H1236">
        <f>IF(G1236="OUT",F1236,-F1236)</f>
        <v>3</v>
      </c>
      <c r="I1236">
        <f>IF(AND(B1236&gt;=DATE(2025,7,1),B1236&lt;=DATE(2026,6,30)),1,0)</f>
        <v>1</v>
      </c>
      <c r="J1236">
        <f>IF(B1236&lt;=DATE(2026,6,30),1,0)</f>
        <v>1</v>
      </c>
      <c r="K1236" t="inlineStr"/>
      <c r="L1236" t="inlineStr">
        <is>
          <t>Driver</t>
        </is>
      </c>
      <c r="M1236">
        <f>COUNTIFS('Asset Log'!$A$5:$A$1379,A1236,'Asset Log'!$E$5:$E$1379,E1236,'Asset Log'!$G$5:$G$1379,G1236)</f>
        <v>1</v>
      </c>
    </row>
    <row r="1237">
      <c r="A1237" t="inlineStr">
        <is>
          <t>D70733</t>
        </is>
      </c>
      <c r="B1237" s="11" t="n">
        <v>46161</v>
      </c>
      <c r="C1237" t="inlineStr">
        <is>
          <t>S0078</t>
        </is>
      </c>
      <c r="D1237" t="inlineStr">
        <is>
          <t>S0078</t>
        </is>
      </c>
      <c r="E1237" t="inlineStr">
        <is>
          <t>FP</t>
        </is>
      </c>
      <c r="F1237" t="n">
        <v>139</v>
      </c>
      <c r="G1237" t="inlineStr">
        <is>
          <t>IN</t>
        </is>
      </c>
      <c r="H1237">
        <f>IF(G1237="OUT",F1237,-F1237)</f>
        <v>-139</v>
      </c>
      <c r="I1237">
        <f>IF(AND(B1237&gt;=DATE(2025,7,1),B1237&lt;=DATE(2026,6,30)),1,0)</f>
        <v>1</v>
      </c>
      <c r="J1237">
        <f>IF(B1237&lt;=DATE(2026,6,30),1,0)</f>
        <v>1</v>
      </c>
      <c r="K1237" t="inlineStr"/>
      <c r="L1237" t="inlineStr">
        <is>
          <t>Driver</t>
        </is>
      </c>
      <c r="M1237">
        <f>COUNTIFS('Asset Log'!$A$5:$A$1379,A1237,'Asset Log'!$E$5:$E$1379,E1237,'Asset Log'!$G$5:$G$1379,G1237)</f>
        <v>1</v>
      </c>
    </row>
    <row r="1238">
      <c r="A1238" t="inlineStr">
        <is>
          <t>D70737</t>
        </is>
      </c>
      <c r="B1238" s="11" t="n">
        <v>46161</v>
      </c>
      <c r="C1238" t="inlineStr">
        <is>
          <t>S0078</t>
        </is>
      </c>
      <c r="D1238" t="inlineStr">
        <is>
          <t>S0078</t>
        </is>
      </c>
      <c r="E1238" t="inlineStr">
        <is>
          <t>FB</t>
        </is>
      </c>
      <c r="F1238" t="n">
        <v>159</v>
      </c>
      <c r="G1238" t="inlineStr">
        <is>
          <t>IN</t>
        </is>
      </c>
      <c r="H1238">
        <f>IF(G1238="OUT",F1238,-F1238)</f>
        <v>-159</v>
      </c>
      <c r="I1238">
        <f>IF(AND(B1238&gt;=DATE(2025,7,1),B1238&lt;=DATE(2026,6,30)),1,0)</f>
        <v>1</v>
      </c>
      <c r="J1238">
        <f>IF(B1238&lt;=DATE(2026,6,30),1,0)</f>
        <v>1</v>
      </c>
      <c r="K1238" t="inlineStr"/>
      <c r="L1238" t="inlineStr">
        <is>
          <t>Office</t>
        </is>
      </c>
      <c r="M1238">
        <f>COUNTIFS('Asset Log'!$A$5:$A$1379,A1238,'Asset Log'!$E$5:$E$1379,E1238,'Asset Log'!$G$5:$G$1379,G1238)</f>
        <v>1</v>
      </c>
    </row>
    <row r="1239">
      <c r="A1239" t="inlineStr">
        <is>
          <t>D70738</t>
        </is>
      </c>
      <c r="B1239" s="11" t="n">
        <v>46161</v>
      </c>
      <c r="C1239" t="inlineStr">
        <is>
          <t>S0078</t>
        </is>
      </c>
      <c r="D1239" t="inlineStr">
        <is>
          <t>S0078</t>
        </is>
      </c>
      <c r="E1239" t="inlineStr">
        <is>
          <t>FP</t>
        </is>
      </c>
      <c r="F1239" t="n">
        <v>6</v>
      </c>
      <c r="G1239" t="inlineStr">
        <is>
          <t>LOST</t>
        </is>
      </c>
      <c r="H1239">
        <f>IF(G1239="OUT",F1239,-F1239)</f>
        <v>-6</v>
      </c>
      <c r="I1239">
        <f>IF(AND(B1239&gt;=DATE(2025,7,1),B1239&lt;=DATE(2026,6,30)),1,0)</f>
        <v>1</v>
      </c>
      <c r="J1239">
        <f>IF(B1239&lt;=DATE(2026,6,30),1,0)</f>
        <v>1</v>
      </c>
      <c r="K1239" t="inlineStr"/>
      <c r="L1239" t="inlineStr">
        <is>
          <t>Office</t>
        </is>
      </c>
      <c r="M1239">
        <f>COUNTIFS('Asset Log'!$A$5:$A$1379,A1239,'Asset Log'!$E$5:$E$1379,E1239,'Asset Log'!$G$5:$G$1379,G1239)</f>
        <v>1</v>
      </c>
    </row>
    <row r="1240">
      <c r="A1240" t="inlineStr">
        <is>
          <t>D72665</t>
        </is>
      </c>
      <c r="B1240" s="11" t="n">
        <v>46161</v>
      </c>
      <c r="C1240" t="inlineStr">
        <is>
          <t>s429</t>
        </is>
      </c>
      <c r="D1240" t="inlineStr">
        <is>
          <t>S0429</t>
        </is>
      </c>
      <c r="E1240" t="inlineStr">
        <is>
          <t>TK</t>
        </is>
      </c>
      <c r="F1240" t="n">
        <v>3</v>
      </c>
      <c r="G1240" t="inlineStr">
        <is>
          <t>IN</t>
        </is>
      </c>
      <c r="H1240">
        <f>IF(G1240="OUT",F1240,-F1240)</f>
        <v>-3</v>
      </c>
      <c r="I1240">
        <f>IF(AND(B1240&gt;=DATE(2025,7,1),B1240&lt;=DATE(2026,6,30)),1,0)</f>
        <v>1</v>
      </c>
      <c r="J1240">
        <f>IF(B1240&lt;=DATE(2026,6,30),1,0)</f>
        <v>1</v>
      </c>
      <c r="K1240" t="inlineStr">
        <is>
          <t>Site text normalised</t>
        </is>
      </c>
      <c r="L1240" t="inlineStr">
        <is>
          <t>Yard</t>
        </is>
      </c>
      <c r="M1240">
        <f>COUNTIFS('Asset Log'!$A$5:$A$1379,A1240,'Asset Log'!$E$5:$E$1379,E1240,'Asset Log'!$G$5:$G$1379,G1240)</f>
        <v>1</v>
      </c>
    </row>
    <row r="1241">
      <c r="A1241" t="inlineStr">
        <is>
          <t>D71047</t>
        </is>
      </c>
      <c r="B1241" s="11" t="n">
        <v>46162</v>
      </c>
      <c r="C1241" t="inlineStr">
        <is>
          <t>S0112</t>
        </is>
      </c>
      <c r="D1241" t="inlineStr">
        <is>
          <t>S0112</t>
        </is>
      </c>
      <c r="E1241" t="inlineStr">
        <is>
          <t>FP</t>
        </is>
      </c>
      <c r="F1241" t="n">
        <v>113</v>
      </c>
      <c r="G1241" t="inlineStr">
        <is>
          <t>IN</t>
        </is>
      </c>
      <c r="H1241">
        <f>IF(G1241="OUT",F1241,-F1241)</f>
        <v>-113</v>
      </c>
      <c r="I1241">
        <f>IF(AND(B1241&gt;=DATE(2025,7,1),B1241&lt;=DATE(2026,6,30)),1,0)</f>
        <v>1</v>
      </c>
      <c r="J1241">
        <f>IF(B1241&lt;=DATE(2026,6,30),1,0)</f>
        <v>1</v>
      </c>
      <c r="K1241" t="inlineStr"/>
      <c r="L1241" t="inlineStr">
        <is>
          <t>Office</t>
        </is>
      </c>
      <c r="M1241">
        <f>COUNTIFS('Asset Log'!$A$5:$A$1379,A1241,'Asset Log'!$E$5:$E$1379,E1241,'Asset Log'!$G$5:$G$1379,G1241)</f>
        <v>1</v>
      </c>
    </row>
    <row r="1242">
      <c r="A1242" t="inlineStr">
        <is>
          <t>D71050</t>
        </is>
      </c>
      <c r="B1242" s="11" t="n">
        <v>46162</v>
      </c>
      <c r="C1242" t="inlineStr">
        <is>
          <t>S0112</t>
        </is>
      </c>
      <c r="D1242" t="inlineStr">
        <is>
          <t>S0112</t>
        </is>
      </c>
      <c r="E1242" t="inlineStr">
        <is>
          <t>FB</t>
        </is>
      </c>
      <c r="F1242" t="n">
        <v>124</v>
      </c>
      <c r="G1242" t="inlineStr">
        <is>
          <t>IN</t>
        </is>
      </c>
      <c r="H1242">
        <f>IF(G1242="OUT",F1242,-F1242)</f>
        <v>-124</v>
      </c>
      <c r="I1242">
        <f>IF(AND(B1242&gt;=DATE(2025,7,1),B1242&lt;=DATE(2026,6,30)),1,0)</f>
        <v>1</v>
      </c>
      <c r="J1242">
        <f>IF(B1242&lt;=DATE(2026,6,30),1,0)</f>
        <v>1</v>
      </c>
      <c r="K1242" t="inlineStr"/>
      <c r="L1242" t="inlineStr">
        <is>
          <t>Yard</t>
        </is>
      </c>
      <c r="M1242">
        <f>COUNTIFS('Asset Log'!$A$5:$A$1379,A1242,'Asset Log'!$E$5:$E$1379,E1242,'Asset Log'!$G$5:$G$1379,G1242)</f>
        <v>1</v>
      </c>
    </row>
    <row r="1243">
      <c r="A1243" t="inlineStr">
        <is>
          <t>D70081</t>
        </is>
      </c>
      <c r="B1243" s="11" t="n">
        <v>46163</v>
      </c>
      <c r="C1243" t="inlineStr">
        <is>
          <t>S0009</t>
        </is>
      </c>
      <c r="D1243" t="inlineStr">
        <is>
          <t>S0009</t>
        </is>
      </c>
      <c r="E1243" t="inlineStr">
        <is>
          <t>FP</t>
        </is>
      </c>
      <c r="F1243" t="n">
        <v>43</v>
      </c>
      <c r="G1243" t="inlineStr">
        <is>
          <t>OUT</t>
        </is>
      </c>
      <c r="H1243">
        <f>IF(G1243="OUT",F1243,-F1243)</f>
        <v>43</v>
      </c>
      <c r="I1243">
        <f>IF(AND(B1243&gt;=DATE(2025,7,1),B1243&lt;=DATE(2026,6,30)),1,0)</f>
        <v>1</v>
      </c>
      <c r="J1243">
        <f>IF(B1243&lt;=DATE(2026,6,30),1,0)</f>
        <v>1</v>
      </c>
      <c r="K1243" t="inlineStr"/>
      <c r="L1243" t="inlineStr">
        <is>
          <t>Office</t>
        </is>
      </c>
      <c r="M1243">
        <f>COUNTIFS('Asset Log'!$A$5:$A$1379,A1243,'Asset Log'!$E$5:$E$1379,E1243,'Asset Log'!$G$5:$G$1379,G1243)</f>
        <v>1</v>
      </c>
    </row>
    <row r="1244">
      <c r="A1244" t="inlineStr">
        <is>
          <t>D70082</t>
        </is>
      </c>
      <c r="B1244" s="11" t="n">
        <v>46163</v>
      </c>
      <c r="C1244" t="inlineStr">
        <is>
          <t>S0009</t>
        </is>
      </c>
      <c r="D1244" t="inlineStr">
        <is>
          <t>S0009</t>
        </is>
      </c>
      <c r="E1244" t="inlineStr">
        <is>
          <t>FB</t>
        </is>
      </c>
      <c r="F1244" t="n">
        <v>47</v>
      </c>
      <c r="G1244" t="inlineStr">
        <is>
          <t>OUT</t>
        </is>
      </c>
      <c r="H1244">
        <f>IF(G1244="OUT",F1244,-F1244)</f>
        <v>47</v>
      </c>
      <c r="I1244">
        <f>IF(AND(B1244&gt;=DATE(2025,7,1),B1244&lt;=DATE(2026,6,30)),1,0)</f>
        <v>1</v>
      </c>
      <c r="J1244">
        <f>IF(B1244&lt;=DATE(2026,6,30),1,0)</f>
        <v>1</v>
      </c>
      <c r="K1244" t="inlineStr"/>
      <c r="L1244" t="inlineStr">
        <is>
          <t>Yard</t>
        </is>
      </c>
      <c r="M1244">
        <f>COUNTIFS('Asset Log'!$A$5:$A$1379,A1244,'Asset Log'!$E$5:$E$1379,E1244,'Asset Log'!$G$5:$G$1379,G1244)</f>
        <v>1</v>
      </c>
    </row>
    <row r="1245">
      <c r="A1245" t="inlineStr">
        <is>
          <t>D70084</t>
        </is>
      </c>
      <c r="B1245" s="11" t="n">
        <v>46163</v>
      </c>
      <c r="C1245" t="inlineStr">
        <is>
          <t>S0009</t>
        </is>
      </c>
      <c r="D1245" t="inlineStr">
        <is>
          <t>S0009</t>
        </is>
      </c>
      <c r="E1245" t="inlineStr">
        <is>
          <t>BR</t>
        </is>
      </c>
      <c r="F1245" t="n">
        <v>4</v>
      </c>
      <c r="G1245" t="inlineStr">
        <is>
          <t>OUT</t>
        </is>
      </c>
      <c r="H1245">
        <f>IF(G1245="OUT",F1245,-F1245)</f>
        <v>4</v>
      </c>
      <c r="I1245">
        <f>IF(AND(B1245&gt;=DATE(2025,7,1),B1245&lt;=DATE(2026,6,30)),1,0)</f>
        <v>1</v>
      </c>
      <c r="J1245">
        <f>IF(B1245&lt;=DATE(2026,6,30),1,0)</f>
        <v>1</v>
      </c>
      <c r="K1245" t="inlineStr"/>
      <c r="L1245" t="inlineStr">
        <is>
          <t>Office</t>
        </is>
      </c>
      <c r="M1245">
        <f>COUNTIFS('Asset Log'!$A$5:$A$1379,A1245,'Asset Log'!$E$5:$E$1379,E1245,'Asset Log'!$G$5:$G$1379,G1245)</f>
        <v>1</v>
      </c>
    </row>
    <row r="1246">
      <c r="A1246" t="inlineStr">
        <is>
          <t>D71630</t>
        </is>
      </c>
      <c r="B1246" s="11" t="n">
        <v>46163</v>
      </c>
      <c r="C1246" t="inlineStr">
        <is>
          <t>S0171</t>
        </is>
      </c>
      <c r="D1246" t="inlineStr">
        <is>
          <t>S0171</t>
        </is>
      </c>
      <c r="E1246" t="inlineStr">
        <is>
          <t>FP</t>
        </is>
      </c>
      <c r="F1246" t="n">
        <v>82</v>
      </c>
      <c r="G1246" t="inlineStr">
        <is>
          <t>OUT</t>
        </is>
      </c>
      <c r="H1246">
        <f>IF(G1246="OUT",F1246,-F1246)</f>
        <v>82</v>
      </c>
      <c r="I1246">
        <f>IF(AND(B1246&gt;=DATE(2025,7,1),B1246&lt;=DATE(2026,6,30)),1,0)</f>
        <v>1</v>
      </c>
      <c r="J1246">
        <f>IF(B1246&lt;=DATE(2026,6,30),1,0)</f>
        <v>1</v>
      </c>
      <c r="K1246" t="inlineStr"/>
      <c r="L1246" t="inlineStr">
        <is>
          <t>Office</t>
        </is>
      </c>
      <c r="M1246">
        <f>COUNTIFS('Asset Log'!$A$5:$A$1379,A1246,'Asset Log'!$E$5:$E$1379,E1246,'Asset Log'!$G$5:$G$1379,G1246)</f>
        <v>1</v>
      </c>
    </row>
    <row r="1247">
      <c r="A1247" t="inlineStr">
        <is>
          <t>D71636</t>
        </is>
      </c>
      <c r="B1247" s="11" t="n">
        <v>46163</v>
      </c>
      <c r="C1247" t="inlineStr">
        <is>
          <t>S0171</t>
        </is>
      </c>
      <c r="D1247" t="inlineStr">
        <is>
          <t>S0171</t>
        </is>
      </c>
      <c r="E1247" t="inlineStr">
        <is>
          <t>FB</t>
        </is>
      </c>
      <c r="F1247" t="n">
        <v>90</v>
      </c>
      <c r="G1247" t="inlineStr">
        <is>
          <t>OUT</t>
        </is>
      </c>
      <c r="H1247">
        <f>IF(G1247="OUT",F1247,-F1247)</f>
        <v>90</v>
      </c>
      <c r="I1247">
        <f>IF(AND(B1247&gt;=DATE(2025,7,1),B1247&lt;=DATE(2026,6,30)),1,0)</f>
        <v>1</v>
      </c>
      <c r="J1247">
        <f>IF(B1247&lt;=DATE(2026,6,30),1,0)</f>
        <v>1</v>
      </c>
      <c r="K1247" t="inlineStr"/>
      <c r="L1247" t="inlineStr">
        <is>
          <t>Office</t>
        </is>
      </c>
      <c r="M1247">
        <f>COUNTIFS('Asset Log'!$A$5:$A$1379,A1247,'Asset Log'!$E$5:$E$1379,E1247,'Asset Log'!$G$5:$G$1379,G1247)</f>
        <v>1</v>
      </c>
    </row>
    <row r="1248">
      <c r="A1248" t="inlineStr">
        <is>
          <t>D71641</t>
        </is>
      </c>
      <c r="B1248" s="11" t="n">
        <v>46163</v>
      </c>
      <c r="C1248" t="inlineStr">
        <is>
          <t>S0171</t>
        </is>
      </c>
      <c r="D1248" t="inlineStr">
        <is>
          <t>S0171</t>
        </is>
      </c>
      <c r="E1248" t="inlineStr">
        <is>
          <t>BR</t>
        </is>
      </c>
      <c r="F1248" t="n">
        <v>15</v>
      </c>
      <c r="G1248" t="inlineStr">
        <is>
          <t>OUT</t>
        </is>
      </c>
      <c r="H1248">
        <f>IF(G1248="OUT",F1248,-F1248)</f>
        <v>15</v>
      </c>
      <c r="I1248">
        <f>IF(AND(B1248&gt;=DATE(2025,7,1),B1248&lt;=DATE(2026,6,30)),1,0)</f>
        <v>1</v>
      </c>
      <c r="J1248">
        <f>IF(B1248&lt;=DATE(2026,6,30),1,0)</f>
        <v>1</v>
      </c>
      <c r="K1248" t="inlineStr"/>
      <c r="L1248" t="inlineStr">
        <is>
          <t>Yard</t>
        </is>
      </c>
      <c r="M1248">
        <f>COUNTIFS('Asset Log'!$A$5:$A$1379,A1248,'Asset Log'!$E$5:$E$1379,E1248,'Asset Log'!$G$5:$G$1379,G1248)</f>
        <v>1</v>
      </c>
    </row>
    <row r="1249">
      <c r="A1249" t="inlineStr">
        <is>
          <t>D72083</t>
        </is>
      </c>
      <c r="B1249" s="11" t="n">
        <v>46163</v>
      </c>
      <c r="C1249" t="inlineStr">
        <is>
          <t>S0220</t>
        </is>
      </c>
      <c r="D1249" t="inlineStr">
        <is>
          <t>S0220</t>
        </is>
      </c>
      <c r="E1249" t="inlineStr">
        <is>
          <t>FP</t>
        </is>
      </c>
      <c r="F1249" t="n">
        <v>113</v>
      </c>
      <c r="G1249" t="inlineStr">
        <is>
          <t>IN</t>
        </is>
      </c>
      <c r="H1249">
        <f>IF(G1249="OUT",F1249,-F1249)</f>
        <v>-113</v>
      </c>
      <c r="I1249">
        <f>IF(AND(B1249&gt;=DATE(2025,7,1),B1249&lt;=DATE(2026,6,30)),1,0)</f>
        <v>1</v>
      </c>
      <c r="J1249">
        <f>IF(B1249&lt;=DATE(2026,6,30),1,0)</f>
        <v>1</v>
      </c>
      <c r="K1249" t="inlineStr"/>
      <c r="L1249" t="inlineStr">
        <is>
          <t>Office</t>
        </is>
      </c>
      <c r="M1249">
        <f>COUNTIFS('Asset Log'!$A$5:$A$1379,A1249,'Asset Log'!$E$5:$E$1379,E1249,'Asset Log'!$G$5:$G$1379,G1249)</f>
        <v>1</v>
      </c>
    </row>
    <row r="1250">
      <c r="A1250" t="inlineStr">
        <is>
          <t>D72089</t>
        </is>
      </c>
      <c r="B1250" s="11" t="n">
        <v>46163</v>
      </c>
      <c r="C1250" t="inlineStr">
        <is>
          <t>S0220 Craigieburn</t>
        </is>
      </c>
      <c r="D1250" t="inlineStr">
        <is>
          <t>S0220</t>
        </is>
      </c>
      <c r="E1250" t="inlineStr">
        <is>
          <t>FB</t>
        </is>
      </c>
      <c r="F1250" t="n">
        <v>125</v>
      </c>
      <c r="G1250" t="inlineStr">
        <is>
          <t>IN</t>
        </is>
      </c>
      <c r="H1250">
        <f>IF(G1250="OUT",F1250,-F1250)</f>
        <v>-125</v>
      </c>
      <c r="I1250">
        <f>IF(AND(B1250&gt;=DATE(2025,7,1),B1250&lt;=DATE(2026,6,30)),1,0)</f>
        <v>1</v>
      </c>
      <c r="J1250">
        <f>IF(B1250&lt;=DATE(2026,6,30),1,0)</f>
        <v>1</v>
      </c>
      <c r="K1250" t="inlineStr">
        <is>
          <t>Site text normalised</t>
        </is>
      </c>
      <c r="L1250" t="inlineStr">
        <is>
          <t>Office</t>
        </is>
      </c>
      <c r="M1250">
        <f>COUNTIFS('Asset Log'!$A$5:$A$1379,A1250,'Asset Log'!$E$5:$E$1379,E1250,'Asset Log'!$G$5:$G$1379,G1250)</f>
        <v>1</v>
      </c>
    </row>
    <row r="1251">
      <c r="A1251" t="inlineStr">
        <is>
          <t>D72090</t>
        </is>
      </c>
      <c r="B1251" s="11" t="n">
        <v>46163</v>
      </c>
      <c r="C1251" t="inlineStr">
        <is>
          <t>S0220 Craigieburn</t>
        </is>
      </c>
      <c r="D1251" t="inlineStr">
        <is>
          <t>S0220</t>
        </is>
      </c>
      <c r="E1251" t="inlineStr">
        <is>
          <t>FP</t>
        </is>
      </c>
      <c r="F1251" t="n">
        <v>1</v>
      </c>
      <c r="G1251" t="inlineStr">
        <is>
          <t>LOST</t>
        </is>
      </c>
      <c r="H1251">
        <f>IF(G1251="OUT",F1251,-F1251)</f>
        <v>-1</v>
      </c>
      <c r="I1251">
        <f>IF(AND(B1251&gt;=DATE(2025,7,1),B1251&lt;=DATE(2026,6,30)),1,0)</f>
        <v>1</v>
      </c>
      <c r="J1251">
        <f>IF(B1251&lt;=DATE(2026,6,30),1,0)</f>
        <v>1</v>
      </c>
      <c r="K1251" t="inlineStr">
        <is>
          <t>Site text normalised</t>
        </is>
      </c>
      <c r="L1251" t="inlineStr">
        <is>
          <t>Office</t>
        </is>
      </c>
      <c r="M1251">
        <f>COUNTIFS('Asset Log'!$A$5:$A$1379,A1251,'Asset Log'!$E$5:$E$1379,E1251,'Asset Log'!$G$5:$G$1379,G1251)</f>
        <v>1</v>
      </c>
    </row>
    <row r="1252">
      <c r="A1252" t="inlineStr">
        <is>
          <t>D70041</t>
        </is>
      </c>
      <c r="B1252" s="11" t="n">
        <v>46164</v>
      </c>
      <c r="C1252" t="inlineStr">
        <is>
          <t>S0005 St Kilda</t>
        </is>
      </c>
      <c r="D1252" t="inlineStr">
        <is>
          <t>S0005</t>
        </is>
      </c>
      <c r="E1252" t="inlineStr">
        <is>
          <t>FP</t>
        </is>
      </c>
      <c r="F1252" t="n">
        <v>53</v>
      </c>
      <c r="G1252" t="inlineStr">
        <is>
          <t>IN</t>
        </is>
      </c>
      <c r="H1252">
        <f>IF(G1252="OUT",F1252,-F1252)</f>
        <v>-53</v>
      </c>
      <c r="I1252">
        <f>IF(AND(B1252&gt;=DATE(2025,7,1),B1252&lt;=DATE(2026,6,30)),1,0)</f>
        <v>1</v>
      </c>
      <c r="J1252">
        <f>IF(B1252&lt;=DATE(2026,6,30),1,0)</f>
        <v>1</v>
      </c>
      <c r="K1252" t="inlineStr">
        <is>
          <t>Site text normalised</t>
        </is>
      </c>
      <c r="L1252" t="inlineStr">
        <is>
          <t>Driver</t>
        </is>
      </c>
      <c r="M1252">
        <f>COUNTIFS('Asset Log'!$A$5:$A$1379,A1252,'Asset Log'!$E$5:$E$1379,E1252,'Asset Log'!$G$5:$G$1379,G1252)</f>
        <v>1</v>
      </c>
    </row>
    <row r="1253">
      <c r="A1253" t="inlineStr">
        <is>
          <t>D70046</t>
        </is>
      </c>
      <c r="B1253" s="11" t="n">
        <v>46164</v>
      </c>
      <c r="C1253" t="inlineStr">
        <is>
          <t>S0005</t>
        </is>
      </c>
      <c r="D1253" t="inlineStr">
        <is>
          <t>S0005</t>
        </is>
      </c>
      <c r="E1253" t="inlineStr">
        <is>
          <t>FB</t>
        </is>
      </c>
      <c r="F1253" t="n">
        <v>58</v>
      </c>
      <c r="G1253" t="inlineStr">
        <is>
          <t>IN</t>
        </is>
      </c>
      <c r="H1253">
        <f>IF(G1253="OUT",F1253,-F1253)</f>
        <v>-58</v>
      </c>
      <c r="I1253">
        <f>IF(AND(B1253&gt;=DATE(2025,7,1),B1253&lt;=DATE(2026,6,30)),1,0)</f>
        <v>1</v>
      </c>
      <c r="J1253">
        <f>IF(B1253&lt;=DATE(2026,6,30),1,0)</f>
        <v>1</v>
      </c>
      <c r="K1253" t="inlineStr"/>
      <c r="L1253" t="inlineStr">
        <is>
          <t>Driver</t>
        </is>
      </c>
      <c r="M1253">
        <f>COUNTIFS('Asset Log'!$A$5:$A$1379,A1253,'Asset Log'!$E$5:$E$1379,E1253,'Asset Log'!$G$5:$G$1379,G1253)</f>
        <v>1</v>
      </c>
    </row>
    <row r="1254">
      <c r="A1254" t="inlineStr">
        <is>
          <t>D70885</t>
        </is>
      </c>
      <c r="B1254" s="11" t="n">
        <v>46164</v>
      </c>
      <c r="C1254" t="inlineStr">
        <is>
          <t>S0094</t>
        </is>
      </c>
      <c r="D1254" t="inlineStr">
        <is>
          <t>S0094</t>
        </is>
      </c>
      <c r="E1254" t="inlineStr">
        <is>
          <t>FP</t>
        </is>
      </c>
      <c r="F1254" t="n">
        <v>115</v>
      </c>
      <c r="G1254" t="inlineStr">
        <is>
          <t>IN</t>
        </is>
      </c>
      <c r="H1254">
        <f>IF(G1254="OUT",F1254,-F1254)</f>
        <v>-115</v>
      </c>
      <c r="I1254">
        <f>IF(AND(B1254&gt;=DATE(2025,7,1),B1254&lt;=DATE(2026,6,30)),1,0)</f>
        <v>1</v>
      </c>
      <c r="J1254">
        <f>IF(B1254&lt;=DATE(2026,6,30),1,0)</f>
        <v>1</v>
      </c>
      <c r="K1254" t="inlineStr"/>
      <c r="L1254" t="inlineStr">
        <is>
          <t>Yard</t>
        </is>
      </c>
      <c r="M1254">
        <f>COUNTIFS('Asset Log'!$A$5:$A$1379,A1254,'Asset Log'!$E$5:$E$1379,E1254,'Asset Log'!$G$5:$G$1379,G1254)</f>
        <v>1</v>
      </c>
    </row>
    <row r="1255">
      <c r="A1255" t="inlineStr">
        <is>
          <t>D70889</t>
        </is>
      </c>
      <c r="B1255" s="11" t="n">
        <v>46164</v>
      </c>
      <c r="C1255" t="inlineStr">
        <is>
          <t>S0094</t>
        </is>
      </c>
      <c r="D1255" t="inlineStr">
        <is>
          <t>S0094</t>
        </is>
      </c>
      <c r="E1255" t="inlineStr">
        <is>
          <t>FB</t>
        </is>
      </c>
      <c r="F1255" t="n">
        <v>126</v>
      </c>
      <c r="G1255" t="inlineStr">
        <is>
          <t>IN</t>
        </is>
      </c>
      <c r="H1255">
        <f>IF(G1255="OUT",F1255,-F1255)</f>
        <v>-126</v>
      </c>
      <c r="I1255">
        <f>IF(AND(B1255&gt;=DATE(2025,7,1),B1255&lt;=DATE(2026,6,30)),1,0)</f>
        <v>1</v>
      </c>
      <c r="J1255">
        <f>IF(B1255&lt;=DATE(2026,6,30),1,0)</f>
        <v>1</v>
      </c>
      <c r="K1255" t="inlineStr"/>
      <c r="L1255" t="inlineStr">
        <is>
          <t>Driver</t>
        </is>
      </c>
      <c r="M1255">
        <f>COUNTIFS('Asset Log'!$A$5:$A$1379,A1255,'Asset Log'!$E$5:$E$1379,E1255,'Asset Log'!$G$5:$G$1379,G1255)</f>
        <v>1</v>
      </c>
    </row>
    <row r="1256">
      <c r="A1256" t="inlineStr">
        <is>
          <t>D71542</t>
        </is>
      </c>
      <c r="B1256" s="11" t="n">
        <v>46164</v>
      </c>
      <c r="C1256" t="inlineStr">
        <is>
          <t>S0160</t>
        </is>
      </c>
      <c r="D1256" t="inlineStr">
        <is>
          <t>S0160</t>
        </is>
      </c>
      <c r="E1256" t="inlineStr">
        <is>
          <t>FP</t>
        </is>
      </c>
      <c r="F1256" t="n">
        <v>54</v>
      </c>
      <c r="G1256" t="inlineStr">
        <is>
          <t>IN</t>
        </is>
      </c>
      <c r="H1256">
        <f>IF(G1256="OUT",F1256,-F1256)</f>
        <v>-54</v>
      </c>
      <c r="I1256">
        <f>IF(AND(B1256&gt;=DATE(2025,7,1),B1256&lt;=DATE(2026,6,30)),1,0)</f>
        <v>1</v>
      </c>
      <c r="J1256">
        <f>IF(B1256&lt;=DATE(2026,6,30),1,0)</f>
        <v>1</v>
      </c>
      <c r="K1256" t="inlineStr"/>
      <c r="L1256" t="inlineStr">
        <is>
          <t>Yard</t>
        </is>
      </c>
      <c r="M1256">
        <f>COUNTIFS('Asset Log'!$A$5:$A$1379,A1256,'Asset Log'!$E$5:$E$1379,E1256,'Asset Log'!$G$5:$G$1379,G1256)</f>
        <v>1</v>
      </c>
    </row>
    <row r="1257">
      <c r="A1257" t="inlineStr">
        <is>
          <t>D71549</t>
        </is>
      </c>
      <c r="B1257" s="11" t="n">
        <v>46164</v>
      </c>
      <c r="C1257" t="inlineStr">
        <is>
          <t>S0160</t>
        </is>
      </c>
      <c r="D1257" t="inlineStr">
        <is>
          <t>S0160</t>
        </is>
      </c>
      <c r="E1257" t="inlineStr">
        <is>
          <t>FB</t>
        </is>
      </c>
      <c r="F1257" t="n">
        <v>63</v>
      </c>
      <c r="G1257" t="inlineStr">
        <is>
          <t>IN</t>
        </is>
      </c>
      <c r="H1257">
        <f>IF(G1257="OUT",F1257,-F1257)</f>
        <v>-63</v>
      </c>
      <c r="I1257">
        <f>IF(AND(B1257&gt;=DATE(2025,7,1),B1257&lt;=DATE(2026,6,30)),1,0)</f>
        <v>1</v>
      </c>
      <c r="J1257">
        <f>IF(B1257&lt;=DATE(2026,6,30),1,0)</f>
        <v>1</v>
      </c>
      <c r="K1257" t="inlineStr"/>
      <c r="L1257" t="inlineStr">
        <is>
          <t>Driver</t>
        </is>
      </c>
      <c r="M1257">
        <f>COUNTIFS('Asset Log'!$A$5:$A$1379,A1257,'Asset Log'!$E$5:$E$1379,E1257,'Asset Log'!$G$5:$G$1379,G1257)</f>
        <v>1</v>
      </c>
    </row>
    <row r="1258">
      <c r="A1258" t="inlineStr">
        <is>
          <t>D72636</t>
        </is>
      </c>
      <c r="B1258" s="11" t="n">
        <v>46164</v>
      </c>
      <c r="C1258" t="inlineStr">
        <is>
          <t>S0412</t>
        </is>
      </c>
      <c r="D1258" t="inlineStr">
        <is>
          <t>S0412</t>
        </is>
      </c>
      <c r="E1258" t="inlineStr">
        <is>
          <t>TK</t>
        </is>
      </c>
      <c r="F1258" t="n">
        <v>1</v>
      </c>
      <c r="G1258" t="inlineStr">
        <is>
          <t>IN</t>
        </is>
      </c>
      <c r="H1258">
        <f>IF(G1258="OUT",F1258,-F1258)</f>
        <v>-1</v>
      </c>
      <c r="I1258">
        <f>IF(AND(B1258&gt;=DATE(2025,7,1),B1258&lt;=DATE(2026,6,30)),1,0)</f>
        <v>1</v>
      </c>
      <c r="J1258">
        <f>IF(B1258&lt;=DATE(2026,6,30),1,0)</f>
        <v>1</v>
      </c>
      <c r="K1258" t="inlineStr"/>
      <c r="L1258" t="inlineStr">
        <is>
          <t>Driver</t>
        </is>
      </c>
      <c r="M1258">
        <f>COUNTIFS('Asset Log'!$A$5:$A$1379,A1258,'Asset Log'!$E$5:$E$1379,E1258,'Asset Log'!$G$5:$G$1379,G1258)</f>
        <v>1</v>
      </c>
    </row>
    <row r="1259">
      <c r="A1259" t="inlineStr">
        <is>
          <t>D70895</t>
        </is>
      </c>
      <c r="B1259" s="11" t="n">
        <v>46165</v>
      </c>
      <c r="C1259" t="inlineStr">
        <is>
          <t>S0096</t>
        </is>
      </c>
      <c r="D1259" t="inlineStr">
        <is>
          <t>S0096</t>
        </is>
      </c>
      <c r="E1259" t="inlineStr">
        <is>
          <t>FP</t>
        </is>
      </c>
      <c r="F1259" t="n">
        <v>88</v>
      </c>
      <c r="G1259" t="inlineStr">
        <is>
          <t>OUT</t>
        </is>
      </c>
      <c r="H1259">
        <f>IF(G1259="OUT",F1259,-F1259)</f>
        <v>88</v>
      </c>
      <c r="I1259">
        <f>IF(AND(B1259&gt;=DATE(2025,7,1),B1259&lt;=DATE(2026,6,30)),1,0)</f>
        <v>1</v>
      </c>
      <c r="J1259">
        <f>IF(B1259&lt;=DATE(2026,6,30),1,0)</f>
        <v>1</v>
      </c>
      <c r="K1259" t="inlineStr"/>
      <c r="L1259" t="inlineStr">
        <is>
          <t>Yard</t>
        </is>
      </c>
      <c r="M1259">
        <f>COUNTIFS('Asset Log'!$A$5:$A$1379,A1259,'Asset Log'!$E$5:$E$1379,E1259,'Asset Log'!$G$5:$G$1379,G1259)</f>
        <v>1</v>
      </c>
    </row>
    <row r="1260">
      <c r="A1260" t="inlineStr">
        <is>
          <t>D70898</t>
        </is>
      </c>
      <c r="B1260" s="11" t="n">
        <v>46165</v>
      </c>
      <c r="C1260" t="inlineStr">
        <is>
          <t>S0096</t>
        </is>
      </c>
      <c r="D1260" t="inlineStr">
        <is>
          <t>S0096</t>
        </is>
      </c>
      <c r="E1260" t="inlineStr">
        <is>
          <t>FB</t>
        </is>
      </c>
      <c r="F1260" t="n">
        <v>96</v>
      </c>
      <c r="G1260" t="inlineStr">
        <is>
          <t>OUT</t>
        </is>
      </c>
      <c r="H1260">
        <f>IF(G1260="OUT",F1260,-F1260)</f>
        <v>96</v>
      </c>
      <c r="I1260">
        <f>IF(AND(B1260&gt;=DATE(2025,7,1),B1260&lt;=DATE(2026,6,30)),1,0)</f>
        <v>1</v>
      </c>
      <c r="J1260">
        <f>IF(B1260&lt;=DATE(2026,6,30),1,0)</f>
        <v>1</v>
      </c>
      <c r="K1260" t="inlineStr"/>
      <c r="L1260" t="inlineStr">
        <is>
          <t>Office</t>
        </is>
      </c>
      <c r="M1260">
        <f>COUNTIFS('Asset Log'!$A$5:$A$1379,A1260,'Asset Log'!$E$5:$E$1379,E1260,'Asset Log'!$G$5:$G$1379,G1260)</f>
        <v>1</v>
      </c>
    </row>
    <row r="1261">
      <c r="A1261" t="inlineStr">
        <is>
          <t>D72290</t>
        </is>
      </c>
      <c r="B1261" s="11" t="n">
        <v>46165</v>
      </c>
      <c r="C1261" t="inlineStr">
        <is>
          <t>S0254</t>
        </is>
      </c>
      <c r="D1261" t="inlineStr">
        <is>
          <t>S0254</t>
        </is>
      </c>
      <c r="E1261" t="inlineStr">
        <is>
          <t>ST</t>
        </is>
      </c>
      <c r="F1261" t="n">
        <v>2</v>
      </c>
      <c r="G1261" t="inlineStr">
        <is>
          <t>IN</t>
        </is>
      </c>
      <c r="H1261">
        <f>IF(G1261="OUT",F1261,-F1261)</f>
        <v>-2</v>
      </c>
      <c r="I1261">
        <f>IF(AND(B1261&gt;=DATE(2025,7,1),B1261&lt;=DATE(2026,6,30)),1,0)</f>
        <v>1</v>
      </c>
      <c r="J1261">
        <f>IF(B1261&lt;=DATE(2026,6,30),1,0)</f>
        <v>1</v>
      </c>
      <c r="K1261" t="inlineStr"/>
      <c r="L1261" t="inlineStr">
        <is>
          <t>Driver</t>
        </is>
      </c>
      <c r="M1261">
        <f>COUNTIFS('Asset Log'!$A$5:$A$1379,A1261,'Asset Log'!$E$5:$E$1379,E1261,'Asset Log'!$G$5:$G$1379,G1261)</f>
        <v>1</v>
      </c>
    </row>
    <row r="1262">
      <c r="A1262" t="inlineStr">
        <is>
          <t>D72573</t>
        </is>
      </c>
      <c r="B1262" s="11" t="n">
        <v>46166</v>
      </c>
      <c r="C1262" t="inlineStr">
        <is>
          <t>S0377</t>
        </is>
      </c>
      <c r="D1262" t="inlineStr">
        <is>
          <t>S0377</t>
        </is>
      </c>
      <c r="E1262" t="inlineStr">
        <is>
          <t>TK</t>
        </is>
      </c>
      <c r="F1262" t="n">
        <v>2</v>
      </c>
      <c r="G1262" t="inlineStr">
        <is>
          <t>IN</t>
        </is>
      </c>
      <c r="H1262">
        <f>IF(G1262="OUT",F1262,-F1262)</f>
        <v>-2</v>
      </c>
      <c r="I1262">
        <f>IF(AND(B1262&gt;=DATE(2025,7,1),B1262&lt;=DATE(2026,6,30)),1,0)</f>
        <v>1</v>
      </c>
      <c r="J1262">
        <f>IF(B1262&lt;=DATE(2026,6,30),1,0)</f>
        <v>1</v>
      </c>
      <c r="K1262" t="inlineStr"/>
      <c r="L1262" t="inlineStr">
        <is>
          <t>Driver</t>
        </is>
      </c>
      <c r="M1262">
        <f>COUNTIFS('Asset Log'!$A$5:$A$1379,A1262,'Asset Log'!$E$5:$E$1379,E1262,'Asset Log'!$G$5:$G$1379,G1262)</f>
        <v>1</v>
      </c>
    </row>
    <row r="1263">
      <c r="A1263" t="inlineStr">
        <is>
          <t>D72695</t>
        </is>
      </c>
      <c r="B1263" s="11" t="n">
        <v>46166</v>
      </c>
      <c r="C1263" t="inlineStr">
        <is>
          <t>S0442</t>
        </is>
      </c>
      <c r="D1263" t="inlineStr">
        <is>
          <t>S0442</t>
        </is>
      </c>
      <c r="E1263" t="inlineStr">
        <is>
          <t>TK</t>
        </is>
      </c>
      <c r="F1263" t="n">
        <v>3</v>
      </c>
      <c r="G1263" t="inlineStr">
        <is>
          <t>IN</t>
        </is>
      </c>
      <c r="H1263">
        <f>IF(G1263="OUT",F1263,-F1263)</f>
        <v>-3</v>
      </c>
      <c r="I1263">
        <f>IF(AND(B1263&gt;=DATE(2025,7,1),B1263&lt;=DATE(2026,6,30)),1,0)</f>
        <v>1</v>
      </c>
      <c r="J1263">
        <f>IF(B1263&lt;=DATE(2026,6,30),1,0)</f>
        <v>1</v>
      </c>
      <c r="K1263" t="inlineStr"/>
      <c r="L1263" t="inlineStr">
        <is>
          <t>Office</t>
        </is>
      </c>
      <c r="M1263">
        <f>COUNTIFS('Asset Log'!$A$5:$A$1379,A1263,'Asset Log'!$E$5:$E$1379,E1263,'Asset Log'!$G$5:$G$1379,G1263)</f>
        <v>1</v>
      </c>
    </row>
    <row r="1264">
      <c r="A1264" t="inlineStr">
        <is>
          <t>D70467</t>
        </is>
      </c>
      <c r="B1264" s="11" t="n">
        <v>46167</v>
      </c>
      <c r="C1264" t="inlineStr">
        <is>
          <t>S0050 Collingwood</t>
        </is>
      </c>
      <c r="D1264" t="inlineStr">
        <is>
          <t>S0050</t>
        </is>
      </c>
      <c r="E1264" t="inlineStr">
        <is>
          <t>FP</t>
        </is>
      </c>
      <c r="F1264" t="n">
        <v>26</v>
      </c>
      <c r="G1264" t="inlineStr">
        <is>
          <t>IN</t>
        </is>
      </c>
      <c r="H1264">
        <f>IF(G1264="OUT",F1264,-F1264)</f>
        <v>-26</v>
      </c>
      <c r="I1264">
        <f>IF(AND(B1264&gt;=DATE(2025,7,1),B1264&lt;=DATE(2026,6,30)),1,0)</f>
        <v>1</v>
      </c>
      <c r="J1264">
        <f>IF(B1264&lt;=DATE(2026,6,30),1,0)</f>
        <v>1</v>
      </c>
      <c r="K1264" t="inlineStr">
        <is>
          <t>Site text normalised</t>
        </is>
      </c>
      <c r="L1264" t="inlineStr">
        <is>
          <t>Driver</t>
        </is>
      </c>
      <c r="M1264">
        <f>COUNTIFS('Asset Log'!$A$5:$A$1379,A1264,'Asset Log'!$E$5:$E$1379,E1264,'Asset Log'!$G$5:$G$1379,G1264)</f>
        <v>1</v>
      </c>
    </row>
    <row r="1265">
      <c r="A1265" t="inlineStr">
        <is>
          <t>D70472</t>
        </is>
      </c>
      <c r="B1265" s="11" t="n">
        <v>46167</v>
      </c>
      <c r="C1265" t="inlineStr">
        <is>
          <t>S0050</t>
        </is>
      </c>
      <c r="D1265" t="inlineStr">
        <is>
          <t>S0050</t>
        </is>
      </c>
      <c r="E1265" t="inlineStr">
        <is>
          <t>FB</t>
        </is>
      </c>
      <c r="F1265" t="n">
        <v>28</v>
      </c>
      <c r="G1265" t="inlineStr">
        <is>
          <t>IN</t>
        </is>
      </c>
      <c r="H1265">
        <f>IF(G1265="OUT",F1265,-F1265)</f>
        <v>-28</v>
      </c>
      <c r="I1265">
        <f>IF(AND(B1265&gt;=DATE(2025,7,1),B1265&lt;=DATE(2026,6,30)),1,0)</f>
        <v>1</v>
      </c>
      <c r="J1265">
        <f>IF(B1265&lt;=DATE(2026,6,30),1,0)</f>
        <v>1</v>
      </c>
      <c r="K1265" t="inlineStr"/>
      <c r="L1265" t="inlineStr">
        <is>
          <t>Yard</t>
        </is>
      </c>
      <c r="M1265">
        <f>COUNTIFS('Asset Log'!$A$5:$A$1379,A1265,'Asset Log'!$E$5:$E$1379,E1265,'Asset Log'!$G$5:$G$1379,G1265)</f>
        <v>1</v>
      </c>
    </row>
    <row r="1266">
      <c r="A1266" t="inlineStr">
        <is>
          <t>D72314</t>
        </is>
      </c>
      <c r="B1266" s="11" t="n">
        <v>46167</v>
      </c>
      <c r="C1266" t="inlineStr">
        <is>
          <t>s259</t>
        </is>
      </c>
      <c r="D1266" t="inlineStr">
        <is>
          <t>S0259</t>
        </is>
      </c>
      <c r="E1266" t="inlineStr">
        <is>
          <t>ST</t>
        </is>
      </c>
      <c r="F1266" t="n">
        <v>3</v>
      </c>
      <c r="G1266" t="inlineStr">
        <is>
          <t>IN</t>
        </is>
      </c>
      <c r="H1266">
        <f>IF(G1266="OUT",F1266,-F1266)</f>
        <v>-3</v>
      </c>
      <c r="I1266">
        <f>IF(AND(B1266&gt;=DATE(2025,7,1),B1266&lt;=DATE(2026,6,30)),1,0)</f>
        <v>1</v>
      </c>
      <c r="J1266">
        <f>IF(B1266&lt;=DATE(2026,6,30),1,0)</f>
        <v>1</v>
      </c>
      <c r="K1266" t="inlineStr">
        <is>
          <t>Site text normalised</t>
        </is>
      </c>
      <c r="L1266" t="inlineStr">
        <is>
          <t>Yard</t>
        </is>
      </c>
      <c r="M1266">
        <f>COUNTIFS('Asset Log'!$A$5:$A$1379,A1266,'Asset Log'!$E$5:$E$1379,E1266,'Asset Log'!$G$5:$G$1379,G1266)</f>
        <v>1</v>
      </c>
    </row>
    <row r="1267">
      <c r="A1267" t="inlineStr">
        <is>
          <t>D72437</t>
        </is>
      </c>
      <c r="B1267" s="11" t="n">
        <v>46168</v>
      </c>
      <c r="C1267" t="inlineStr">
        <is>
          <t>S0291</t>
        </is>
      </c>
      <c r="D1267" t="inlineStr">
        <is>
          <t>S0291</t>
        </is>
      </c>
      <c r="E1267" t="inlineStr">
        <is>
          <t>ST</t>
        </is>
      </c>
      <c r="F1267" t="n">
        <v>2</v>
      </c>
      <c r="G1267" t="inlineStr">
        <is>
          <t>OUT</t>
        </is>
      </c>
      <c r="H1267">
        <f>IF(G1267="OUT",F1267,-F1267)</f>
        <v>2</v>
      </c>
      <c r="I1267">
        <f>IF(AND(B1267&gt;=DATE(2025,7,1),B1267&lt;=DATE(2026,6,30)),1,0)</f>
        <v>1</v>
      </c>
      <c r="J1267">
        <f>IF(B1267&lt;=DATE(2026,6,30),1,0)</f>
        <v>1</v>
      </c>
      <c r="K1267" t="inlineStr"/>
      <c r="L1267" t="inlineStr">
        <is>
          <t>Driver</t>
        </is>
      </c>
      <c r="M1267">
        <f>COUNTIFS('Asset Log'!$A$5:$A$1379,A1267,'Asset Log'!$E$5:$E$1379,E1267,'Asset Log'!$G$5:$G$1379,G1267)</f>
        <v>1</v>
      </c>
    </row>
    <row r="1268">
      <c r="A1268" t="inlineStr">
        <is>
          <t>D72789</t>
        </is>
      </c>
      <c r="B1268" s="11" t="n">
        <v>46168</v>
      </c>
      <c r="C1268" t="inlineStr">
        <is>
          <t>S0510</t>
        </is>
      </c>
      <c r="D1268" t="inlineStr">
        <is>
          <t>S0510</t>
        </is>
      </c>
      <c r="E1268" t="inlineStr">
        <is>
          <t>TK</t>
        </is>
      </c>
      <c r="F1268" t="n">
        <v>1</v>
      </c>
      <c r="G1268" t="inlineStr">
        <is>
          <t>OUT</t>
        </is>
      </c>
      <c r="H1268">
        <f>IF(G1268="OUT",F1268,-F1268)</f>
        <v>1</v>
      </c>
      <c r="I1268">
        <f>IF(AND(B1268&gt;=DATE(2025,7,1),B1268&lt;=DATE(2026,6,30)),1,0)</f>
        <v>1</v>
      </c>
      <c r="J1268">
        <f>IF(B1268&lt;=DATE(2026,6,30),1,0)</f>
        <v>1</v>
      </c>
      <c r="K1268" t="inlineStr"/>
      <c r="L1268" t="inlineStr">
        <is>
          <t>Driver</t>
        </is>
      </c>
      <c r="M1268">
        <f>COUNTIFS('Asset Log'!$A$5:$A$1379,A1268,'Asset Log'!$E$5:$E$1379,E1268,'Asset Log'!$G$5:$G$1379,G1268)</f>
        <v>1</v>
      </c>
    </row>
    <row r="1269">
      <c r="A1269" t="inlineStr">
        <is>
          <t>D70177</t>
        </is>
      </c>
      <c r="B1269" s="11" t="n">
        <v>46169</v>
      </c>
      <c r="C1269" t="inlineStr">
        <is>
          <t>S0020</t>
        </is>
      </c>
      <c r="D1269" t="inlineStr">
        <is>
          <t>S0020</t>
        </is>
      </c>
      <c r="E1269" t="inlineStr">
        <is>
          <t>FP</t>
        </is>
      </c>
      <c r="F1269" t="n">
        <v>31</v>
      </c>
      <c r="G1269" t="inlineStr">
        <is>
          <t>OUT</t>
        </is>
      </c>
      <c r="H1269">
        <f>IF(G1269="OUT",F1269,-F1269)</f>
        <v>31</v>
      </c>
      <c r="I1269">
        <f>IF(AND(B1269&gt;=DATE(2025,7,1),B1269&lt;=DATE(2026,6,30)),1,0)</f>
        <v>1</v>
      </c>
      <c r="J1269">
        <f>IF(B1269&lt;=DATE(2026,6,30),1,0)</f>
        <v>1</v>
      </c>
      <c r="K1269" t="inlineStr"/>
      <c r="L1269" t="inlineStr">
        <is>
          <t>Yard</t>
        </is>
      </c>
      <c r="M1269">
        <f>COUNTIFS('Asset Log'!$A$5:$A$1379,A1269,'Asset Log'!$E$5:$E$1379,E1269,'Asset Log'!$G$5:$G$1379,G1269)</f>
        <v>1</v>
      </c>
    </row>
    <row r="1270">
      <c r="A1270" t="inlineStr">
        <is>
          <t>D70184</t>
        </is>
      </c>
      <c r="B1270" s="11" t="n">
        <v>46169</v>
      </c>
      <c r="C1270" t="inlineStr">
        <is>
          <t>S0020</t>
        </is>
      </c>
      <c r="D1270" t="inlineStr">
        <is>
          <t>S0020</t>
        </is>
      </c>
      <c r="E1270" t="inlineStr">
        <is>
          <t>FB</t>
        </is>
      </c>
      <c r="F1270" t="n">
        <v>31</v>
      </c>
      <c r="G1270" t="inlineStr">
        <is>
          <t>OUT</t>
        </is>
      </c>
      <c r="H1270">
        <f>IF(G1270="OUT",F1270,-F1270)</f>
        <v>31</v>
      </c>
      <c r="I1270">
        <f>IF(AND(B1270&gt;=DATE(2025,7,1),B1270&lt;=DATE(2026,6,30)),1,0)</f>
        <v>1</v>
      </c>
      <c r="J1270">
        <f>IF(B1270&lt;=DATE(2026,6,30),1,0)</f>
        <v>1</v>
      </c>
      <c r="K1270" t="inlineStr"/>
      <c r="L1270" t="inlineStr">
        <is>
          <t>Office</t>
        </is>
      </c>
      <c r="M1270">
        <f>COUNTIFS('Asset Log'!$A$5:$A$1379,A1270,'Asset Log'!$E$5:$E$1379,E1270,'Asset Log'!$G$5:$G$1379,G1270)</f>
        <v>1</v>
      </c>
    </row>
    <row r="1271">
      <c r="A1271" t="inlineStr">
        <is>
          <t>D71068</t>
        </is>
      </c>
      <c r="B1271" s="11" t="n">
        <v>46169</v>
      </c>
      <c r="C1271" t="inlineStr">
        <is>
          <t>S0114</t>
        </is>
      </c>
      <c r="D1271" t="inlineStr">
        <is>
          <t>S0114</t>
        </is>
      </c>
      <c r="E1271" t="inlineStr">
        <is>
          <t>FP</t>
        </is>
      </c>
      <c r="F1271" t="n">
        <v>16</v>
      </c>
      <c r="G1271" t="inlineStr">
        <is>
          <t>IN</t>
        </is>
      </c>
      <c r="H1271">
        <f>IF(G1271="OUT",F1271,-F1271)</f>
        <v>-16</v>
      </c>
      <c r="I1271">
        <f>IF(AND(B1271&gt;=DATE(2025,7,1),B1271&lt;=DATE(2026,6,30)),1,0)</f>
        <v>1</v>
      </c>
      <c r="J1271">
        <f>IF(B1271&lt;=DATE(2026,6,30),1,0)</f>
        <v>1</v>
      </c>
      <c r="K1271" t="inlineStr"/>
      <c r="L1271" t="inlineStr">
        <is>
          <t>Office</t>
        </is>
      </c>
      <c r="M1271">
        <f>COUNTIFS('Asset Log'!$A$5:$A$1379,A1271,'Asset Log'!$E$5:$E$1379,E1271,'Asset Log'!$G$5:$G$1379,G1271)</f>
        <v>1</v>
      </c>
    </row>
    <row r="1272">
      <c r="A1272" t="inlineStr">
        <is>
          <t>D71072</t>
        </is>
      </c>
      <c r="B1272" s="11" t="n">
        <v>46169</v>
      </c>
      <c r="C1272" t="inlineStr">
        <is>
          <t>S0114</t>
        </is>
      </c>
      <c r="D1272" t="inlineStr">
        <is>
          <t>S0114</t>
        </is>
      </c>
      <c r="E1272" t="inlineStr">
        <is>
          <t>FB</t>
        </is>
      </c>
      <c r="F1272" t="n">
        <v>17</v>
      </c>
      <c r="G1272" t="inlineStr">
        <is>
          <t>IN</t>
        </is>
      </c>
      <c r="H1272">
        <f>IF(G1272="OUT",F1272,-F1272)</f>
        <v>-17</v>
      </c>
      <c r="I1272">
        <f>IF(AND(B1272&gt;=DATE(2025,7,1),B1272&lt;=DATE(2026,6,30)),1,0)</f>
        <v>1</v>
      </c>
      <c r="J1272">
        <f>IF(B1272&lt;=DATE(2026,6,30),1,0)</f>
        <v>1</v>
      </c>
      <c r="K1272" t="inlineStr"/>
      <c r="L1272" t="inlineStr">
        <is>
          <t>Office</t>
        </is>
      </c>
      <c r="M1272">
        <f>COUNTIFS('Asset Log'!$A$5:$A$1379,A1272,'Asset Log'!$E$5:$E$1379,E1272,'Asset Log'!$G$5:$G$1379,G1272)</f>
        <v>1</v>
      </c>
    </row>
    <row r="1273">
      <c r="A1273" t="inlineStr">
        <is>
          <t>D71652</t>
        </is>
      </c>
      <c r="B1273" s="11" t="n">
        <v>46169</v>
      </c>
      <c r="C1273" t="inlineStr">
        <is>
          <t>S0173</t>
        </is>
      </c>
      <c r="D1273" t="inlineStr">
        <is>
          <t>S0173</t>
        </is>
      </c>
      <c r="E1273" t="inlineStr">
        <is>
          <t>FP</t>
        </is>
      </c>
      <c r="F1273" t="n">
        <v>149</v>
      </c>
      <c r="G1273" t="inlineStr">
        <is>
          <t>OUT</t>
        </is>
      </c>
      <c r="H1273">
        <f>IF(G1273="OUT",F1273,-F1273)</f>
        <v>149</v>
      </c>
      <c r="I1273">
        <f>IF(AND(B1273&gt;=DATE(2025,7,1),B1273&lt;=DATE(2026,6,30)),1,0)</f>
        <v>1</v>
      </c>
      <c r="J1273">
        <f>IF(B1273&lt;=DATE(2026,6,30),1,0)</f>
        <v>1</v>
      </c>
      <c r="K1273" t="inlineStr"/>
      <c r="L1273" t="inlineStr">
        <is>
          <t>Driver</t>
        </is>
      </c>
      <c r="M1273">
        <f>COUNTIFS('Asset Log'!$A$5:$A$1379,A1273,'Asset Log'!$E$5:$E$1379,E1273,'Asset Log'!$G$5:$G$1379,G1273)</f>
        <v>1</v>
      </c>
    </row>
    <row r="1274">
      <c r="A1274" t="inlineStr">
        <is>
          <t>D71655</t>
        </is>
      </c>
      <c r="B1274" s="11" t="n">
        <v>46169</v>
      </c>
      <c r="C1274" t="inlineStr">
        <is>
          <t>S0173</t>
        </is>
      </c>
      <c r="D1274" t="inlineStr">
        <is>
          <t>S0173</t>
        </is>
      </c>
      <c r="E1274" t="inlineStr">
        <is>
          <t>FB</t>
        </is>
      </c>
      <c r="F1274" t="n">
        <v>163</v>
      </c>
      <c r="G1274" t="inlineStr">
        <is>
          <t>OUT</t>
        </is>
      </c>
      <c r="H1274">
        <f>IF(G1274="OUT",F1274,-F1274)</f>
        <v>163</v>
      </c>
      <c r="I1274">
        <f>IF(AND(B1274&gt;=DATE(2025,7,1),B1274&lt;=DATE(2026,6,30)),1,0)</f>
        <v>1</v>
      </c>
      <c r="J1274">
        <f>IF(B1274&lt;=DATE(2026,6,30),1,0)</f>
        <v>1</v>
      </c>
      <c r="K1274" t="inlineStr"/>
      <c r="L1274" t="inlineStr">
        <is>
          <t>Driver</t>
        </is>
      </c>
      <c r="M1274">
        <f>COUNTIFS('Asset Log'!$A$5:$A$1379,A1274,'Asset Log'!$E$5:$E$1379,E1274,'Asset Log'!$G$5:$G$1379,G1274)</f>
        <v>1</v>
      </c>
    </row>
    <row r="1275">
      <c r="A1275" t="inlineStr">
        <is>
          <t>D72399</t>
        </is>
      </c>
      <c r="B1275" s="11" t="n">
        <v>46169</v>
      </c>
      <c r="C1275" t="inlineStr">
        <is>
          <t>S0281</t>
        </is>
      </c>
      <c r="D1275" t="inlineStr">
        <is>
          <t>S0281</t>
        </is>
      </c>
      <c r="E1275" t="inlineStr">
        <is>
          <t>ST</t>
        </is>
      </c>
      <c r="F1275" t="n">
        <v>2</v>
      </c>
      <c r="G1275" t="inlineStr">
        <is>
          <t>IN</t>
        </is>
      </c>
      <c r="H1275">
        <f>IF(G1275="OUT",F1275,-F1275)</f>
        <v>-2</v>
      </c>
      <c r="I1275">
        <f>IF(AND(B1275&gt;=DATE(2025,7,1),B1275&lt;=DATE(2026,6,30)),1,0)</f>
        <v>1</v>
      </c>
      <c r="J1275">
        <f>IF(B1275&lt;=DATE(2026,6,30),1,0)</f>
        <v>1</v>
      </c>
      <c r="K1275" t="inlineStr"/>
      <c r="L1275" t="inlineStr">
        <is>
          <t>Office</t>
        </is>
      </c>
      <c r="M1275">
        <f>COUNTIFS('Asset Log'!$A$5:$A$1379,A1275,'Asset Log'!$E$5:$E$1379,E1275,'Asset Log'!$G$5:$G$1379,G1275)</f>
        <v>1</v>
      </c>
    </row>
    <row r="1276">
      <c r="A1276" t="inlineStr">
        <is>
          <t>D72745</t>
        </is>
      </c>
      <c r="B1276" s="11" t="n">
        <v>46169</v>
      </c>
      <c r="C1276" t="inlineStr">
        <is>
          <t>s490</t>
        </is>
      </c>
      <c r="D1276" t="inlineStr">
        <is>
          <t>S0490</t>
        </is>
      </c>
      <c r="E1276" t="inlineStr">
        <is>
          <t>TK</t>
        </is>
      </c>
      <c r="F1276" t="n">
        <v>1</v>
      </c>
      <c r="G1276" t="inlineStr">
        <is>
          <t>OUT</t>
        </is>
      </c>
      <c r="H1276">
        <f>IF(G1276="OUT",F1276,-F1276)</f>
        <v>1</v>
      </c>
      <c r="I1276">
        <f>IF(AND(B1276&gt;=DATE(2025,7,1),B1276&lt;=DATE(2026,6,30)),1,0)</f>
        <v>1</v>
      </c>
      <c r="J1276">
        <f>IF(B1276&lt;=DATE(2026,6,30),1,0)</f>
        <v>1</v>
      </c>
      <c r="K1276" t="inlineStr">
        <is>
          <t>Site text normalised</t>
        </is>
      </c>
      <c r="L1276" t="inlineStr">
        <is>
          <t>Yard</t>
        </is>
      </c>
      <c r="M1276">
        <f>COUNTIFS('Asset Log'!$A$5:$A$1379,A1276,'Asset Log'!$E$5:$E$1379,E1276,'Asset Log'!$G$5:$G$1379,G1276)</f>
        <v>1</v>
      </c>
    </row>
    <row r="1277">
      <c r="A1277" t="inlineStr">
        <is>
          <t>D72434</t>
        </is>
      </c>
      <c r="B1277" s="11" t="n">
        <v>46170</v>
      </c>
      <c r="C1277" t="inlineStr">
        <is>
          <t>S0290</t>
        </is>
      </c>
      <c r="D1277" t="inlineStr">
        <is>
          <t>S0290</t>
        </is>
      </c>
      <c r="E1277" t="inlineStr">
        <is>
          <t>ST</t>
        </is>
      </c>
      <c r="F1277" t="n">
        <v>4</v>
      </c>
      <c r="G1277" t="inlineStr">
        <is>
          <t>IN</t>
        </is>
      </c>
      <c r="H1277">
        <f>IF(G1277="OUT",F1277,-F1277)</f>
        <v>-4</v>
      </c>
      <c r="I1277">
        <f>IF(AND(B1277&gt;=DATE(2025,7,1),B1277&lt;=DATE(2026,6,30)),1,0)</f>
        <v>1</v>
      </c>
      <c r="J1277">
        <f>IF(B1277&lt;=DATE(2026,6,30),1,0)</f>
        <v>1</v>
      </c>
      <c r="K1277" t="inlineStr"/>
      <c r="L1277" t="inlineStr">
        <is>
          <t>Office</t>
        </is>
      </c>
      <c r="M1277">
        <f>COUNTIFS('Asset Log'!$A$5:$A$1379,A1277,'Asset Log'!$E$5:$E$1379,E1277,'Asset Log'!$G$5:$G$1379,G1277)</f>
        <v>1</v>
      </c>
    </row>
    <row r="1278">
      <c r="A1278" t="inlineStr">
        <is>
          <t>D71199</t>
        </is>
      </c>
      <c r="B1278" s="11" t="n">
        <v>46171</v>
      </c>
      <c r="C1278" t="inlineStr">
        <is>
          <t>S0125</t>
        </is>
      </c>
      <c r="D1278" t="inlineStr">
        <is>
          <t>S0125</t>
        </is>
      </c>
      <c r="E1278" t="inlineStr">
        <is>
          <t>FP</t>
        </is>
      </c>
      <c r="F1278" t="n">
        <v>24</v>
      </c>
      <c r="G1278" t="inlineStr">
        <is>
          <t>IN</t>
        </is>
      </c>
      <c r="H1278">
        <f>IF(G1278="OUT",F1278,-F1278)</f>
        <v>-24</v>
      </c>
      <c r="I1278">
        <f>IF(AND(B1278&gt;=DATE(2025,7,1),B1278&lt;=DATE(2026,6,30)),1,0)</f>
        <v>1</v>
      </c>
      <c r="J1278">
        <f>IF(B1278&lt;=DATE(2026,6,30),1,0)</f>
        <v>1</v>
      </c>
      <c r="K1278" t="inlineStr"/>
      <c r="L1278" t="inlineStr">
        <is>
          <t>Driver</t>
        </is>
      </c>
      <c r="M1278">
        <f>COUNTIFS('Asset Log'!$A$5:$A$1379,A1278,'Asset Log'!$E$5:$E$1379,E1278,'Asset Log'!$G$5:$G$1379,G1278)</f>
        <v>1</v>
      </c>
    </row>
    <row r="1279">
      <c r="A1279" t="inlineStr">
        <is>
          <t>D71204</t>
        </is>
      </c>
      <c r="B1279" s="11" t="n">
        <v>46171</v>
      </c>
      <c r="C1279" t="inlineStr">
        <is>
          <t>s125</t>
        </is>
      </c>
      <c r="D1279" t="inlineStr">
        <is>
          <t>S0125</t>
        </is>
      </c>
      <c r="E1279" t="inlineStr">
        <is>
          <t>FB</t>
        </is>
      </c>
      <c r="F1279" t="n">
        <v>34</v>
      </c>
      <c r="G1279" t="inlineStr">
        <is>
          <t>IN</t>
        </is>
      </c>
      <c r="H1279">
        <f>IF(G1279="OUT",F1279,-F1279)</f>
        <v>-34</v>
      </c>
      <c r="I1279">
        <f>IF(AND(B1279&gt;=DATE(2025,7,1),B1279&lt;=DATE(2026,6,30)),1,0)</f>
        <v>1</v>
      </c>
      <c r="J1279">
        <f>IF(B1279&lt;=DATE(2026,6,30),1,0)</f>
        <v>1</v>
      </c>
      <c r="K1279" t="inlineStr">
        <is>
          <t>Site text normalised</t>
        </is>
      </c>
      <c r="L1279" t="inlineStr">
        <is>
          <t>Driver</t>
        </is>
      </c>
      <c r="M1279">
        <f>COUNTIFS('Asset Log'!$A$5:$A$1379,A1279,'Asset Log'!$E$5:$E$1379,E1279,'Asset Log'!$G$5:$G$1379,G1279)</f>
        <v>1</v>
      </c>
    </row>
    <row r="1280">
      <c r="A1280" t="inlineStr">
        <is>
          <t>D71447</t>
        </is>
      </c>
      <c r="B1280" s="11" t="n">
        <v>46171</v>
      </c>
      <c r="C1280" t="inlineStr">
        <is>
          <t>S0152</t>
        </is>
      </c>
      <c r="D1280" t="inlineStr">
        <is>
          <t>S0152</t>
        </is>
      </c>
      <c r="E1280" t="inlineStr">
        <is>
          <t>FP</t>
        </is>
      </c>
      <c r="F1280" t="n">
        <v>127</v>
      </c>
      <c r="G1280" t="inlineStr">
        <is>
          <t>OUT</t>
        </is>
      </c>
      <c r="H1280">
        <f>IF(G1280="OUT",F1280,-F1280)</f>
        <v>127</v>
      </c>
      <c r="I1280">
        <f>IF(AND(B1280&gt;=DATE(2025,7,1),B1280&lt;=DATE(2026,6,30)),1,0)</f>
        <v>1</v>
      </c>
      <c r="J1280">
        <f>IF(B1280&lt;=DATE(2026,6,30),1,0)</f>
        <v>1</v>
      </c>
      <c r="K1280" t="inlineStr"/>
      <c r="L1280" t="inlineStr">
        <is>
          <t>Driver</t>
        </is>
      </c>
      <c r="M1280">
        <f>COUNTIFS('Asset Log'!$A$5:$A$1379,A1280,'Asset Log'!$E$5:$E$1379,E1280,'Asset Log'!$G$5:$G$1379,G1280)</f>
        <v>1</v>
      </c>
    </row>
    <row r="1281">
      <c r="A1281" t="inlineStr">
        <is>
          <t>D71450</t>
        </is>
      </c>
      <c r="B1281" s="11" t="n">
        <v>46171</v>
      </c>
      <c r="C1281" t="inlineStr">
        <is>
          <t>S0152</t>
        </is>
      </c>
      <c r="D1281" t="inlineStr">
        <is>
          <t>S0152</t>
        </is>
      </c>
      <c r="E1281" t="inlineStr">
        <is>
          <t>FB</t>
        </is>
      </c>
      <c r="F1281" t="n">
        <v>139</v>
      </c>
      <c r="G1281" t="inlineStr">
        <is>
          <t>OUT</t>
        </is>
      </c>
      <c r="H1281">
        <f>IF(G1281="OUT",F1281,-F1281)</f>
        <v>139</v>
      </c>
      <c r="I1281">
        <f>IF(AND(B1281&gt;=DATE(2025,7,1),B1281&lt;=DATE(2026,6,30)),1,0)</f>
        <v>1</v>
      </c>
      <c r="J1281">
        <f>IF(B1281&lt;=DATE(2026,6,30),1,0)</f>
        <v>1</v>
      </c>
      <c r="K1281" t="inlineStr"/>
      <c r="L1281" t="inlineStr">
        <is>
          <t>Office</t>
        </is>
      </c>
      <c r="M1281">
        <f>COUNTIFS('Asset Log'!$A$5:$A$1379,A1281,'Asset Log'!$E$5:$E$1379,E1281,'Asset Log'!$G$5:$G$1379,G1281)</f>
        <v>1</v>
      </c>
    </row>
    <row r="1282">
      <c r="A1282" t="inlineStr">
        <is>
          <t>D71455</t>
        </is>
      </c>
      <c r="B1282" s="11" t="n">
        <v>46171</v>
      </c>
      <c r="C1282" t="inlineStr">
        <is>
          <t>S0152</t>
        </is>
      </c>
      <c r="D1282" t="inlineStr">
        <is>
          <t>S0152</t>
        </is>
      </c>
      <c r="E1282" t="inlineStr">
        <is>
          <t>BR</t>
        </is>
      </c>
      <c r="F1282" t="n">
        <v>21</v>
      </c>
      <c r="G1282" t="inlineStr">
        <is>
          <t>OUT</t>
        </is>
      </c>
      <c r="H1282">
        <f>IF(G1282="OUT",F1282,-F1282)</f>
        <v>21</v>
      </c>
      <c r="I1282">
        <f>IF(AND(B1282&gt;=DATE(2025,7,1),B1282&lt;=DATE(2026,6,30)),1,0)</f>
        <v>1</v>
      </c>
      <c r="J1282">
        <f>IF(B1282&lt;=DATE(2026,6,30),1,0)</f>
        <v>1</v>
      </c>
      <c r="K1282" t="inlineStr"/>
      <c r="L1282" t="inlineStr">
        <is>
          <t>Office</t>
        </is>
      </c>
      <c r="M1282">
        <f>COUNTIFS('Asset Log'!$A$5:$A$1379,A1282,'Asset Log'!$E$5:$E$1379,E1282,'Asset Log'!$G$5:$G$1379,G1282)</f>
        <v>1</v>
      </c>
    </row>
    <row r="1283">
      <c r="A1283" t="inlineStr">
        <is>
          <t>D72133</t>
        </is>
      </c>
      <c r="B1283" s="11" t="n">
        <v>46171</v>
      </c>
      <c r="C1283" t="inlineStr">
        <is>
          <t>S0226</t>
        </is>
      </c>
      <c r="D1283" t="inlineStr">
        <is>
          <t>S0226</t>
        </is>
      </c>
      <c r="E1283" t="inlineStr">
        <is>
          <t>FP</t>
        </is>
      </c>
      <c r="F1283" t="n">
        <v>109</v>
      </c>
      <c r="G1283" t="inlineStr">
        <is>
          <t>OUT</t>
        </is>
      </c>
      <c r="H1283">
        <f>IF(G1283="OUT",F1283,-F1283)</f>
        <v>109</v>
      </c>
      <c r="I1283">
        <f>IF(AND(B1283&gt;=DATE(2025,7,1),B1283&lt;=DATE(2026,6,30)),1,0)</f>
        <v>1</v>
      </c>
      <c r="J1283">
        <f>IF(B1283&lt;=DATE(2026,6,30),1,0)</f>
        <v>1</v>
      </c>
      <c r="K1283" t="inlineStr"/>
      <c r="L1283" t="inlineStr">
        <is>
          <t>Driver</t>
        </is>
      </c>
      <c r="M1283">
        <f>COUNTIFS('Asset Log'!$A$5:$A$1379,A1283,'Asset Log'!$E$5:$E$1379,E1283,'Asset Log'!$G$5:$G$1379,G1283)</f>
        <v>1</v>
      </c>
    </row>
    <row r="1284">
      <c r="A1284" t="inlineStr">
        <is>
          <t>D72138</t>
        </is>
      </c>
      <c r="B1284" s="11" t="n">
        <v>46171</v>
      </c>
      <c r="C1284" t="inlineStr">
        <is>
          <t>S0226</t>
        </is>
      </c>
      <c r="D1284" t="inlineStr">
        <is>
          <t>S0226</t>
        </is>
      </c>
      <c r="E1284" t="inlineStr">
        <is>
          <t>FB</t>
        </is>
      </c>
      <c r="F1284" t="n">
        <v>119</v>
      </c>
      <c r="G1284" t="inlineStr">
        <is>
          <t>OUT</t>
        </is>
      </c>
      <c r="H1284">
        <f>IF(G1284="OUT",F1284,-F1284)</f>
        <v>119</v>
      </c>
      <c r="I1284">
        <f>IF(AND(B1284&gt;=DATE(2025,7,1),B1284&lt;=DATE(2026,6,30)),1,0)</f>
        <v>1</v>
      </c>
      <c r="J1284">
        <f>IF(B1284&lt;=DATE(2026,6,30),1,0)</f>
        <v>1</v>
      </c>
      <c r="K1284" t="inlineStr"/>
      <c r="L1284" t="inlineStr">
        <is>
          <t>Office</t>
        </is>
      </c>
      <c r="M1284">
        <f>COUNTIFS('Asset Log'!$A$5:$A$1379,A1284,'Asset Log'!$E$5:$E$1379,E1284,'Asset Log'!$G$5:$G$1379,G1284)</f>
        <v>1</v>
      </c>
    </row>
    <row r="1285">
      <c r="A1285" t="inlineStr">
        <is>
          <t>D72582</t>
        </is>
      </c>
      <c r="B1285" s="11" t="n">
        <v>46172</v>
      </c>
      <c r="C1285" t="inlineStr">
        <is>
          <t>S0384</t>
        </is>
      </c>
      <c r="D1285" t="inlineStr">
        <is>
          <t>S0384</t>
        </is>
      </c>
      <c r="E1285" t="inlineStr">
        <is>
          <t>TK</t>
        </is>
      </c>
      <c r="F1285" t="n">
        <v>3</v>
      </c>
      <c r="G1285" t="inlineStr">
        <is>
          <t>OUT</t>
        </is>
      </c>
      <c r="H1285">
        <f>IF(G1285="OUT",F1285,-F1285)</f>
        <v>3</v>
      </c>
      <c r="I1285">
        <f>IF(AND(B1285&gt;=DATE(2025,7,1),B1285&lt;=DATE(2026,6,30)),1,0)</f>
        <v>1</v>
      </c>
      <c r="J1285">
        <f>IF(B1285&lt;=DATE(2026,6,30),1,0)</f>
        <v>1</v>
      </c>
      <c r="K1285" t="inlineStr"/>
      <c r="L1285" t="inlineStr">
        <is>
          <t>Yard</t>
        </is>
      </c>
      <c r="M1285">
        <f>COUNTIFS('Asset Log'!$A$5:$A$1379,A1285,'Asset Log'!$E$5:$E$1379,E1285,'Asset Log'!$G$5:$G$1379,G1285)</f>
        <v>1</v>
      </c>
    </row>
    <row r="1286">
      <c r="A1286" t="inlineStr">
        <is>
          <t>D70789</t>
        </is>
      </c>
      <c r="B1286" s="11" t="n">
        <v>46173</v>
      </c>
      <c r="C1286" t="inlineStr">
        <is>
          <t>S0084</t>
        </is>
      </c>
      <c r="D1286" t="inlineStr">
        <is>
          <t>S0084</t>
        </is>
      </c>
      <c r="E1286" t="inlineStr">
        <is>
          <t>FP</t>
        </is>
      </c>
      <c r="F1286" t="n">
        <v>18</v>
      </c>
      <c r="G1286" t="inlineStr">
        <is>
          <t>IN</t>
        </is>
      </c>
      <c r="H1286">
        <f>IF(G1286="OUT",F1286,-F1286)</f>
        <v>-18</v>
      </c>
      <c r="I1286">
        <f>IF(AND(B1286&gt;=DATE(2025,7,1),B1286&lt;=DATE(2026,6,30)),1,0)</f>
        <v>1</v>
      </c>
      <c r="J1286">
        <f>IF(B1286&lt;=DATE(2026,6,30),1,0)</f>
        <v>1</v>
      </c>
      <c r="K1286" t="inlineStr"/>
      <c r="L1286" t="inlineStr">
        <is>
          <t>Yard</t>
        </is>
      </c>
      <c r="M1286">
        <f>COUNTIFS('Asset Log'!$A$5:$A$1379,A1286,'Asset Log'!$E$5:$E$1379,E1286,'Asset Log'!$G$5:$G$1379,G1286)</f>
        <v>1</v>
      </c>
    </row>
    <row r="1287">
      <c r="A1287" t="inlineStr">
        <is>
          <t>D70792</t>
        </is>
      </c>
      <c r="B1287" s="11" t="n">
        <v>46173</v>
      </c>
      <c r="C1287" t="inlineStr">
        <is>
          <t>S0084</t>
        </is>
      </c>
      <c r="D1287" t="inlineStr">
        <is>
          <t>S0084</t>
        </is>
      </c>
      <c r="E1287" t="inlineStr">
        <is>
          <t>FB</t>
        </is>
      </c>
      <c r="F1287" t="n">
        <v>19</v>
      </c>
      <c r="G1287" t="inlineStr">
        <is>
          <t>IN</t>
        </is>
      </c>
      <c r="H1287">
        <f>IF(G1287="OUT",F1287,-F1287)</f>
        <v>-19</v>
      </c>
      <c r="I1287">
        <f>IF(AND(B1287&gt;=DATE(2025,7,1),B1287&lt;=DATE(2026,6,30)),1,0)</f>
        <v>1</v>
      </c>
      <c r="J1287">
        <f>IF(B1287&lt;=DATE(2026,6,30),1,0)</f>
        <v>1</v>
      </c>
      <c r="K1287" t="inlineStr"/>
      <c r="L1287" t="inlineStr">
        <is>
          <t>Office</t>
        </is>
      </c>
      <c r="M1287">
        <f>COUNTIFS('Asset Log'!$A$5:$A$1379,A1287,'Asset Log'!$E$5:$E$1379,E1287,'Asset Log'!$G$5:$G$1379,G1287)</f>
        <v>1</v>
      </c>
    </row>
    <row r="1288">
      <c r="A1288" t="inlineStr">
        <is>
          <t>D72536</t>
        </is>
      </c>
      <c r="B1288" s="11" t="n">
        <v>46173</v>
      </c>
      <c r="C1288" t="inlineStr">
        <is>
          <t>S0350 Craigieburn</t>
        </is>
      </c>
      <c r="D1288" t="inlineStr">
        <is>
          <t>S0350</t>
        </is>
      </c>
      <c r="E1288" t="inlineStr">
        <is>
          <t>TK</t>
        </is>
      </c>
      <c r="F1288" t="n">
        <v>3</v>
      </c>
      <c r="G1288" t="inlineStr">
        <is>
          <t>OUT</t>
        </is>
      </c>
      <c r="H1288">
        <f>IF(G1288="OUT",F1288,-F1288)</f>
        <v>3</v>
      </c>
      <c r="I1288">
        <f>IF(AND(B1288&gt;=DATE(2025,7,1),B1288&lt;=DATE(2026,6,30)),1,0)</f>
        <v>1</v>
      </c>
      <c r="J1288">
        <f>IF(B1288&lt;=DATE(2026,6,30),1,0)</f>
        <v>1</v>
      </c>
      <c r="K1288" t="inlineStr">
        <is>
          <t>Site text normalised</t>
        </is>
      </c>
      <c r="L1288" t="inlineStr">
        <is>
          <t>Driver</t>
        </is>
      </c>
      <c r="M1288">
        <f>COUNTIFS('Asset Log'!$A$5:$A$1379,A1288,'Asset Log'!$E$5:$E$1379,E1288,'Asset Log'!$G$5:$G$1379,G1288)</f>
        <v>1</v>
      </c>
    </row>
    <row r="1289">
      <c r="A1289" t="inlineStr">
        <is>
          <t>D70542</t>
        </is>
      </c>
      <c r="B1289" s="11" t="n">
        <v>46175</v>
      </c>
      <c r="C1289" t="inlineStr">
        <is>
          <t>S0060</t>
        </is>
      </c>
      <c r="D1289" t="inlineStr">
        <is>
          <t>S0060</t>
        </is>
      </c>
      <c r="E1289" t="inlineStr">
        <is>
          <t>FP</t>
        </is>
      </c>
      <c r="F1289" t="n">
        <v>36</v>
      </c>
      <c r="G1289" t="inlineStr">
        <is>
          <t>OUT</t>
        </is>
      </c>
      <c r="H1289">
        <f>IF(G1289="OUT",F1289,-F1289)</f>
        <v>36</v>
      </c>
      <c r="I1289">
        <f>IF(AND(B1289&gt;=DATE(2025,7,1),B1289&lt;=DATE(2026,6,30)),1,0)</f>
        <v>1</v>
      </c>
      <c r="J1289">
        <f>IF(B1289&lt;=DATE(2026,6,30),1,0)</f>
        <v>1</v>
      </c>
      <c r="K1289" t="inlineStr"/>
      <c r="L1289" t="inlineStr">
        <is>
          <t>Office</t>
        </is>
      </c>
      <c r="M1289">
        <f>COUNTIFS('Asset Log'!$A$5:$A$1379,A1289,'Asset Log'!$E$5:$E$1379,E1289,'Asset Log'!$G$5:$G$1379,G1289)</f>
        <v>1</v>
      </c>
    </row>
    <row r="1290">
      <c r="A1290" t="inlineStr">
        <is>
          <t>D70547</t>
        </is>
      </c>
      <c r="B1290" s="11" t="n">
        <v>46175</v>
      </c>
      <c r="C1290" t="inlineStr">
        <is>
          <t>S0060 Epping</t>
        </is>
      </c>
      <c r="D1290" t="inlineStr">
        <is>
          <t>S0060</t>
        </is>
      </c>
      <c r="E1290" t="inlineStr">
        <is>
          <t>FB</t>
        </is>
      </c>
      <c r="F1290" t="n">
        <v>39</v>
      </c>
      <c r="G1290" t="inlineStr">
        <is>
          <t>OUT</t>
        </is>
      </c>
      <c r="H1290">
        <f>IF(G1290="OUT",F1290,-F1290)</f>
        <v>39</v>
      </c>
      <c r="I1290">
        <f>IF(AND(B1290&gt;=DATE(2025,7,1),B1290&lt;=DATE(2026,6,30)),1,0)</f>
        <v>1</v>
      </c>
      <c r="J1290">
        <f>IF(B1290&lt;=DATE(2026,6,30),1,0)</f>
        <v>1</v>
      </c>
      <c r="K1290" t="inlineStr">
        <is>
          <t>Site text normalised</t>
        </is>
      </c>
      <c r="L1290" t="inlineStr">
        <is>
          <t>Office</t>
        </is>
      </c>
      <c r="M1290">
        <f>COUNTIFS('Asset Log'!$A$5:$A$1379,A1290,'Asset Log'!$E$5:$E$1379,E1290,'Asset Log'!$G$5:$G$1379,G1290)</f>
        <v>1</v>
      </c>
    </row>
    <row r="1291">
      <c r="A1291" t="inlineStr">
        <is>
          <t>D70550</t>
        </is>
      </c>
      <c r="B1291" s="11" t="n">
        <v>46175</v>
      </c>
      <c r="C1291" t="inlineStr">
        <is>
          <t>60</t>
        </is>
      </c>
      <c r="D1291" t="inlineStr">
        <is>
          <t>S0060</t>
        </is>
      </c>
      <c r="E1291" t="inlineStr">
        <is>
          <t>BR</t>
        </is>
      </c>
      <c r="F1291" t="n">
        <v>19</v>
      </c>
      <c r="G1291" t="inlineStr">
        <is>
          <t>OUT</t>
        </is>
      </c>
      <c r="H1291">
        <f>IF(G1291="OUT",F1291,-F1291)</f>
        <v>19</v>
      </c>
      <c r="I1291">
        <f>IF(AND(B1291&gt;=DATE(2025,7,1),B1291&lt;=DATE(2026,6,30)),1,0)</f>
        <v>1</v>
      </c>
      <c r="J1291">
        <f>IF(B1291&lt;=DATE(2026,6,30),1,0)</f>
        <v>1</v>
      </c>
      <c r="K1291" t="inlineStr">
        <is>
          <t>Site text normalised</t>
        </is>
      </c>
      <c r="L1291" t="inlineStr">
        <is>
          <t>Office</t>
        </is>
      </c>
      <c r="M1291">
        <f>COUNTIFS('Asset Log'!$A$5:$A$1379,A1291,'Asset Log'!$E$5:$E$1379,E1291,'Asset Log'!$G$5:$G$1379,G1291)</f>
        <v>1</v>
      </c>
    </row>
    <row r="1292">
      <c r="A1292" t="inlineStr">
        <is>
          <t>D70779</t>
        </is>
      </c>
      <c r="B1292" s="11" t="n">
        <v>46175</v>
      </c>
      <c r="C1292" t="inlineStr">
        <is>
          <t>S0083</t>
        </is>
      </c>
      <c r="D1292" t="inlineStr">
        <is>
          <t>S0083</t>
        </is>
      </c>
      <c r="E1292" t="inlineStr">
        <is>
          <t>FP</t>
        </is>
      </c>
      <c r="F1292" t="n">
        <v>111</v>
      </c>
      <c r="G1292" t="inlineStr">
        <is>
          <t>OUT</t>
        </is>
      </c>
      <c r="H1292">
        <f>IF(G1292="OUT",F1292,-F1292)</f>
        <v>111</v>
      </c>
      <c r="I1292">
        <f>IF(AND(B1292&gt;=DATE(2025,7,1),B1292&lt;=DATE(2026,6,30)),1,0)</f>
        <v>1</v>
      </c>
      <c r="J1292">
        <f>IF(B1292&lt;=DATE(2026,6,30),1,0)</f>
        <v>1</v>
      </c>
      <c r="K1292" t="inlineStr"/>
      <c r="L1292" t="inlineStr">
        <is>
          <t>Office</t>
        </is>
      </c>
      <c r="M1292">
        <f>COUNTIFS('Asset Log'!$A$5:$A$1379,A1292,'Asset Log'!$E$5:$E$1379,E1292,'Asset Log'!$G$5:$G$1379,G1292)</f>
        <v>1</v>
      </c>
    </row>
    <row r="1293">
      <c r="A1293" t="inlineStr">
        <is>
          <t>D70784</t>
        </is>
      </c>
      <c r="B1293" s="11" t="n">
        <v>46175</v>
      </c>
      <c r="C1293" t="inlineStr">
        <is>
          <t>S0083</t>
        </is>
      </c>
      <c r="D1293" t="inlineStr">
        <is>
          <t>S0083</t>
        </is>
      </c>
      <c r="E1293" t="inlineStr">
        <is>
          <t>FB</t>
        </is>
      </c>
      <c r="F1293" t="n">
        <v>122</v>
      </c>
      <c r="G1293" t="inlineStr">
        <is>
          <t>OUT</t>
        </is>
      </c>
      <c r="H1293">
        <f>IF(G1293="OUT",F1293,-F1293)</f>
        <v>122</v>
      </c>
      <c r="I1293">
        <f>IF(AND(B1293&gt;=DATE(2025,7,1),B1293&lt;=DATE(2026,6,30)),1,0)</f>
        <v>1</v>
      </c>
      <c r="J1293">
        <f>IF(B1293&lt;=DATE(2026,6,30),1,0)</f>
        <v>1</v>
      </c>
      <c r="K1293" t="inlineStr"/>
      <c r="L1293" t="inlineStr">
        <is>
          <t>Driver</t>
        </is>
      </c>
      <c r="M1293">
        <f>COUNTIFS('Asset Log'!$A$5:$A$1379,A1293,'Asset Log'!$E$5:$E$1379,E1293,'Asset Log'!$G$5:$G$1379,G1293)</f>
        <v>1</v>
      </c>
    </row>
    <row r="1294">
      <c r="A1294" t="inlineStr">
        <is>
          <t>D71673</t>
        </is>
      </c>
      <c r="B1294" s="11" t="n">
        <v>46175</v>
      </c>
      <c r="C1294" t="inlineStr">
        <is>
          <t>s176</t>
        </is>
      </c>
      <c r="D1294" t="inlineStr">
        <is>
          <t>S0176</t>
        </is>
      </c>
      <c r="E1294" t="inlineStr">
        <is>
          <t>FP</t>
        </is>
      </c>
      <c r="F1294" t="n">
        <v>79</v>
      </c>
      <c r="G1294" t="inlineStr">
        <is>
          <t>OUT</t>
        </is>
      </c>
      <c r="H1294">
        <f>IF(G1294="OUT",F1294,-F1294)</f>
        <v>79</v>
      </c>
      <c r="I1294">
        <f>IF(AND(B1294&gt;=DATE(2025,7,1),B1294&lt;=DATE(2026,6,30)),1,0)</f>
        <v>1</v>
      </c>
      <c r="J1294">
        <f>IF(B1294&lt;=DATE(2026,6,30),1,0)</f>
        <v>1</v>
      </c>
      <c r="K1294" t="inlineStr">
        <is>
          <t>Site text normalised</t>
        </is>
      </c>
      <c r="L1294" t="inlineStr">
        <is>
          <t>Driver</t>
        </is>
      </c>
      <c r="M1294">
        <f>COUNTIFS('Asset Log'!$A$5:$A$1379,A1294,'Asset Log'!$E$5:$E$1379,E1294,'Asset Log'!$G$5:$G$1379,G1294)</f>
        <v>1</v>
      </c>
    </row>
    <row r="1295">
      <c r="A1295" t="inlineStr">
        <is>
          <t>D71675</t>
        </is>
      </c>
      <c r="B1295" s="11" t="n">
        <v>46175</v>
      </c>
      <c r="C1295" t="inlineStr">
        <is>
          <t>s176</t>
        </is>
      </c>
      <c r="D1295" t="inlineStr">
        <is>
          <t>S0176</t>
        </is>
      </c>
      <c r="E1295" t="inlineStr">
        <is>
          <t>FB</t>
        </is>
      </c>
      <c r="F1295" t="n">
        <v>86</v>
      </c>
      <c r="G1295" t="inlineStr">
        <is>
          <t>OUT</t>
        </is>
      </c>
      <c r="H1295">
        <f>IF(G1295="OUT",F1295,-F1295)</f>
        <v>86</v>
      </c>
      <c r="I1295">
        <f>IF(AND(B1295&gt;=DATE(2025,7,1),B1295&lt;=DATE(2026,6,30)),1,0)</f>
        <v>1</v>
      </c>
      <c r="J1295">
        <f>IF(B1295&lt;=DATE(2026,6,30),1,0)</f>
        <v>1</v>
      </c>
      <c r="K1295" t="inlineStr">
        <is>
          <t>Site text normalised</t>
        </is>
      </c>
      <c r="L1295" t="inlineStr">
        <is>
          <t>Office</t>
        </is>
      </c>
      <c r="M1295">
        <f>COUNTIFS('Asset Log'!$A$5:$A$1379,A1295,'Asset Log'!$E$5:$E$1379,E1295,'Asset Log'!$G$5:$G$1379,G1295)</f>
        <v>1</v>
      </c>
    </row>
    <row r="1296">
      <c r="A1296" t="inlineStr">
        <is>
          <t>D72440</t>
        </is>
      </c>
      <c r="B1296" s="11" t="n">
        <v>46175</v>
      </c>
      <c r="C1296" t="inlineStr">
        <is>
          <t>S0291</t>
        </is>
      </c>
      <c r="D1296" t="inlineStr">
        <is>
          <t>S0291</t>
        </is>
      </c>
      <c r="E1296" t="inlineStr">
        <is>
          <t>ST</t>
        </is>
      </c>
      <c r="F1296" t="n">
        <v>2</v>
      </c>
      <c r="G1296" t="inlineStr">
        <is>
          <t>IN</t>
        </is>
      </c>
      <c r="H1296">
        <f>IF(G1296="OUT",F1296,-F1296)</f>
        <v>-2</v>
      </c>
      <c r="I1296">
        <f>IF(AND(B1296&gt;=DATE(2025,7,1),B1296&lt;=DATE(2026,6,30)),1,0)</f>
        <v>1</v>
      </c>
      <c r="J1296">
        <f>IF(B1296&lt;=DATE(2026,6,30),1,0)</f>
        <v>1</v>
      </c>
      <c r="K1296" t="inlineStr"/>
      <c r="L1296" t="inlineStr">
        <is>
          <t>Office</t>
        </is>
      </c>
      <c r="M1296">
        <f>COUNTIFS('Asset Log'!$A$5:$A$1379,A1296,'Asset Log'!$E$5:$E$1379,E1296,'Asset Log'!$G$5:$G$1379,G1296)</f>
        <v>1</v>
      </c>
    </row>
    <row r="1297">
      <c r="A1297" t="inlineStr">
        <is>
          <t>D72483</t>
        </is>
      </c>
      <c r="B1297" s="11" t="n">
        <v>46175</v>
      </c>
      <c r="C1297" t="inlineStr">
        <is>
          <t>S0320</t>
        </is>
      </c>
      <c r="D1297" t="inlineStr">
        <is>
          <t>S0320</t>
        </is>
      </c>
      <c r="E1297" t="inlineStr">
        <is>
          <t>TK</t>
        </is>
      </c>
      <c r="F1297" t="n">
        <v>1</v>
      </c>
      <c r="G1297" t="inlineStr">
        <is>
          <t>OUT</t>
        </is>
      </c>
      <c r="H1297">
        <f>IF(G1297="OUT",F1297,-F1297)</f>
        <v>1</v>
      </c>
      <c r="I1297">
        <f>IF(AND(B1297&gt;=DATE(2025,7,1),B1297&lt;=DATE(2026,6,30)),1,0)</f>
        <v>1</v>
      </c>
      <c r="J1297">
        <f>IF(B1297&lt;=DATE(2026,6,30),1,0)</f>
        <v>1</v>
      </c>
      <c r="K1297" t="inlineStr"/>
      <c r="L1297" t="inlineStr">
        <is>
          <t>Driver</t>
        </is>
      </c>
      <c r="M1297">
        <f>COUNTIFS('Asset Log'!$A$5:$A$1379,A1297,'Asset Log'!$E$5:$E$1379,E1297,'Asset Log'!$G$5:$G$1379,G1297)</f>
        <v>1</v>
      </c>
    </row>
    <row r="1298">
      <c r="A1298" t="inlineStr">
        <is>
          <t>D71290</t>
        </is>
      </c>
      <c r="B1298" s="11" t="n">
        <v>46176</v>
      </c>
      <c r="C1298" t="inlineStr">
        <is>
          <t>S0136</t>
        </is>
      </c>
      <c r="D1298" t="inlineStr">
        <is>
          <t>S0136</t>
        </is>
      </c>
      <c r="E1298" t="inlineStr">
        <is>
          <t>FP</t>
        </is>
      </c>
      <c r="F1298" t="n">
        <v>66</v>
      </c>
      <c r="G1298" t="inlineStr">
        <is>
          <t>IN</t>
        </is>
      </c>
      <c r="H1298">
        <f>IF(G1298="OUT",F1298,-F1298)</f>
        <v>-66</v>
      </c>
      <c r="I1298">
        <f>IF(AND(B1298&gt;=DATE(2025,7,1),B1298&lt;=DATE(2026,6,30)),1,0)</f>
        <v>1</v>
      </c>
      <c r="J1298">
        <f>IF(B1298&lt;=DATE(2026,6,30),1,0)</f>
        <v>1</v>
      </c>
      <c r="K1298" t="inlineStr"/>
      <c r="L1298" t="inlineStr">
        <is>
          <t>Office</t>
        </is>
      </c>
      <c r="M1298">
        <f>COUNTIFS('Asset Log'!$A$5:$A$1379,A1298,'Asset Log'!$E$5:$E$1379,E1298,'Asset Log'!$G$5:$G$1379,G1298)</f>
        <v>1</v>
      </c>
    </row>
    <row r="1299">
      <c r="A1299" t="inlineStr">
        <is>
          <t>D71293</t>
        </is>
      </c>
      <c r="B1299" s="11" t="n">
        <v>46176</v>
      </c>
      <c r="C1299" t="inlineStr">
        <is>
          <t>S0136 Frankston</t>
        </is>
      </c>
      <c r="D1299" t="inlineStr">
        <is>
          <t>S0136</t>
        </is>
      </c>
      <c r="E1299" t="inlineStr">
        <is>
          <t>FB</t>
        </is>
      </c>
      <c r="F1299" t="n">
        <v>81</v>
      </c>
      <c r="G1299" t="inlineStr">
        <is>
          <t>IN</t>
        </is>
      </c>
      <c r="H1299">
        <f>IF(G1299="OUT",F1299,-F1299)</f>
        <v>-81</v>
      </c>
      <c r="I1299">
        <f>IF(AND(B1299&gt;=DATE(2025,7,1),B1299&lt;=DATE(2026,6,30)),1,0)</f>
        <v>1</v>
      </c>
      <c r="J1299">
        <f>IF(B1299&lt;=DATE(2026,6,30),1,0)</f>
        <v>1</v>
      </c>
      <c r="K1299" t="inlineStr">
        <is>
          <t>Site text normalised</t>
        </is>
      </c>
      <c r="L1299" t="inlineStr">
        <is>
          <t>Office</t>
        </is>
      </c>
      <c r="M1299">
        <f>COUNTIFS('Asset Log'!$A$5:$A$1379,A1299,'Asset Log'!$E$5:$E$1379,E1299,'Asset Log'!$G$5:$G$1379,G1299)</f>
        <v>1</v>
      </c>
    </row>
    <row r="1300">
      <c r="A1300" t="inlineStr">
        <is>
          <t>D71295</t>
        </is>
      </c>
      <c r="B1300" s="11" t="n">
        <v>46176</v>
      </c>
      <c r="C1300" t="inlineStr">
        <is>
          <t>S0136</t>
        </is>
      </c>
      <c r="D1300" t="inlineStr">
        <is>
          <t>S0136</t>
        </is>
      </c>
      <c r="E1300" t="inlineStr">
        <is>
          <t>BR</t>
        </is>
      </c>
      <c r="F1300" t="n">
        <v>23</v>
      </c>
      <c r="G1300" t="inlineStr">
        <is>
          <t>IN</t>
        </is>
      </c>
      <c r="H1300">
        <f>IF(G1300="OUT",F1300,-F1300)</f>
        <v>-23</v>
      </c>
      <c r="I1300">
        <f>IF(AND(B1300&gt;=DATE(2025,7,1),B1300&lt;=DATE(2026,6,30)),1,0)</f>
        <v>1</v>
      </c>
      <c r="J1300">
        <f>IF(B1300&lt;=DATE(2026,6,30),1,0)</f>
        <v>1</v>
      </c>
      <c r="K1300" t="inlineStr"/>
      <c r="L1300" t="inlineStr">
        <is>
          <t>Yard</t>
        </is>
      </c>
      <c r="M1300">
        <f>COUNTIFS('Asset Log'!$A$5:$A$1379,A1300,'Asset Log'!$E$5:$E$1379,E1300,'Asset Log'!$G$5:$G$1379,G1300)</f>
        <v>1</v>
      </c>
    </row>
    <row r="1301">
      <c r="A1301" t="inlineStr">
        <is>
          <t>D71297</t>
        </is>
      </c>
      <c r="B1301" s="11" t="n">
        <v>46176</v>
      </c>
      <c r="C1301" t="inlineStr">
        <is>
          <t>S0136</t>
        </is>
      </c>
      <c r="D1301" t="inlineStr">
        <is>
          <t>S0136</t>
        </is>
      </c>
      <c r="E1301" t="inlineStr">
        <is>
          <t>FP</t>
        </is>
      </c>
      <c r="F1301" t="n">
        <v>3</v>
      </c>
      <c r="G1301" t="inlineStr">
        <is>
          <t>LOST</t>
        </is>
      </c>
      <c r="H1301">
        <f>IF(G1301="OUT",F1301,-F1301)</f>
        <v>-3</v>
      </c>
      <c r="I1301">
        <f>IF(AND(B1301&gt;=DATE(2025,7,1),B1301&lt;=DATE(2026,6,30)),1,0)</f>
        <v>1</v>
      </c>
      <c r="J1301">
        <f>IF(B1301&lt;=DATE(2026,6,30),1,0)</f>
        <v>1</v>
      </c>
      <c r="K1301" t="inlineStr"/>
      <c r="L1301" t="inlineStr">
        <is>
          <t>Driver</t>
        </is>
      </c>
      <c r="M1301">
        <f>COUNTIFS('Asset Log'!$A$5:$A$1379,A1301,'Asset Log'!$E$5:$E$1379,E1301,'Asset Log'!$G$5:$G$1379,G1301)</f>
        <v>1</v>
      </c>
    </row>
    <row r="1302">
      <c r="A1302" t="inlineStr">
        <is>
          <t>D70375</t>
        </is>
      </c>
      <c r="B1302" s="11" t="n">
        <v>46177</v>
      </c>
      <c r="C1302" t="inlineStr">
        <is>
          <t>S0040</t>
        </is>
      </c>
      <c r="D1302" t="inlineStr">
        <is>
          <t>S0040</t>
        </is>
      </c>
      <c r="E1302" t="inlineStr">
        <is>
          <t>FP</t>
        </is>
      </c>
      <c r="F1302" t="n">
        <v>149</v>
      </c>
      <c r="G1302" t="inlineStr">
        <is>
          <t>OUT</t>
        </is>
      </c>
      <c r="H1302">
        <f>IF(G1302="OUT",F1302,-F1302)</f>
        <v>149</v>
      </c>
      <c r="I1302">
        <f>IF(AND(B1302&gt;=DATE(2025,7,1),B1302&lt;=DATE(2026,6,30)),1,0)</f>
        <v>1</v>
      </c>
      <c r="J1302">
        <f>IF(B1302&lt;=DATE(2026,6,30),1,0)</f>
        <v>1</v>
      </c>
      <c r="K1302" t="inlineStr"/>
      <c r="L1302" t="inlineStr">
        <is>
          <t>Office</t>
        </is>
      </c>
      <c r="M1302">
        <f>COUNTIFS('Asset Log'!$A$5:$A$1379,A1302,'Asset Log'!$E$5:$E$1379,E1302,'Asset Log'!$G$5:$G$1379,G1302)</f>
        <v>1</v>
      </c>
    </row>
    <row r="1303">
      <c r="A1303" t="inlineStr">
        <is>
          <t>D70378</t>
        </is>
      </c>
      <c r="B1303" s="11" t="n">
        <v>46177</v>
      </c>
      <c r="C1303" t="inlineStr">
        <is>
          <t>S0040</t>
        </is>
      </c>
      <c r="D1303" t="inlineStr">
        <is>
          <t>S0040</t>
        </is>
      </c>
      <c r="E1303" t="inlineStr">
        <is>
          <t>FB</t>
        </is>
      </c>
      <c r="F1303" t="n">
        <v>163</v>
      </c>
      <c r="G1303" t="inlineStr">
        <is>
          <t>OUT</t>
        </is>
      </c>
      <c r="H1303">
        <f>IF(G1303="OUT",F1303,-F1303)</f>
        <v>163</v>
      </c>
      <c r="I1303">
        <f>IF(AND(B1303&gt;=DATE(2025,7,1),B1303&lt;=DATE(2026,6,30)),1,0)</f>
        <v>1</v>
      </c>
      <c r="J1303">
        <f>IF(B1303&lt;=DATE(2026,6,30),1,0)</f>
        <v>1</v>
      </c>
      <c r="K1303" t="inlineStr"/>
      <c r="L1303" t="inlineStr">
        <is>
          <t>Office</t>
        </is>
      </c>
      <c r="M1303">
        <f>COUNTIFS('Asset Log'!$A$5:$A$1379,A1303,'Asset Log'!$E$5:$E$1379,E1303,'Asset Log'!$G$5:$G$1379,G1303)</f>
        <v>1</v>
      </c>
    </row>
    <row r="1304">
      <c r="A1304" t="inlineStr">
        <is>
          <t>D70382</t>
        </is>
      </c>
      <c r="B1304" s="11" t="n">
        <v>46177</v>
      </c>
      <c r="C1304" t="inlineStr">
        <is>
          <t>S0040</t>
        </is>
      </c>
      <c r="D1304" t="inlineStr">
        <is>
          <t>S0040</t>
        </is>
      </c>
      <c r="E1304" t="inlineStr">
        <is>
          <t>BR</t>
        </is>
      </c>
      <c r="F1304" t="n">
        <v>4</v>
      </c>
      <c r="G1304" t="inlineStr">
        <is>
          <t>OUT</t>
        </is>
      </c>
      <c r="H1304">
        <f>IF(G1304="OUT",F1304,-F1304)</f>
        <v>4</v>
      </c>
      <c r="I1304">
        <f>IF(AND(B1304&gt;=DATE(2025,7,1),B1304&lt;=DATE(2026,6,30)),1,0)</f>
        <v>1</v>
      </c>
      <c r="J1304">
        <f>IF(B1304&lt;=DATE(2026,6,30),1,0)</f>
        <v>1</v>
      </c>
      <c r="K1304" t="inlineStr"/>
      <c r="L1304" t="inlineStr">
        <is>
          <t>Office</t>
        </is>
      </c>
      <c r="M1304">
        <f>COUNTIFS('Asset Log'!$A$5:$A$1379,A1304,'Asset Log'!$E$5:$E$1379,E1304,'Asset Log'!$G$5:$G$1379,G1304)</f>
        <v>1</v>
      </c>
    </row>
    <row r="1305">
      <c r="A1305" t="inlineStr">
        <is>
          <t>D71969</t>
        </is>
      </c>
      <c r="B1305" s="11" t="n">
        <v>46177</v>
      </c>
      <c r="C1305" t="inlineStr">
        <is>
          <t>S0209 Collingwood</t>
        </is>
      </c>
      <c r="D1305" t="inlineStr">
        <is>
          <t>S0209</t>
        </is>
      </c>
      <c r="E1305" t="inlineStr">
        <is>
          <t>FP</t>
        </is>
      </c>
      <c r="F1305" t="n">
        <v>100</v>
      </c>
      <c r="G1305" t="inlineStr">
        <is>
          <t>IN</t>
        </is>
      </c>
      <c r="H1305">
        <f>IF(G1305="OUT",F1305,-F1305)</f>
        <v>-100</v>
      </c>
      <c r="I1305">
        <f>IF(AND(B1305&gt;=DATE(2025,7,1),B1305&lt;=DATE(2026,6,30)),1,0)</f>
        <v>1</v>
      </c>
      <c r="J1305">
        <f>IF(B1305&lt;=DATE(2026,6,30),1,0)</f>
        <v>1</v>
      </c>
      <c r="K1305" t="inlineStr">
        <is>
          <t>Site text normalised</t>
        </is>
      </c>
      <c r="L1305" t="inlineStr">
        <is>
          <t>Office</t>
        </is>
      </c>
      <c r="M1305">
        <f>COUNTIFS('Asset Log'!$A$5:$A$1379,A1305,'Asset Log'!$E$5:$E$1379,E1305,'Asset Log'!$G$5:$G$1379,G1305)</f>
        <v>1</v>
      </c>
    </row>
    <row r="1306">
      <c r="A1306" t="inlineStr">
        <is>
          <t>D71972</t>
        </is>
      </c>
      <c r="B1306" s="11" t="n">
        <v>46177</v>
      </c>
      <c r="C1306" t="inlineStr">
        <is>
          <t>S0209</t>
        </is>
      </c>
      <c r="D1306" t="inlineStr">
        <is>
          <t>S0209</t>
        </is>
      </c>
      <c r="E1306" t="inlineStr">
        <is>
          <t>FB</t>
        </is>
      </c>
      <c r="F1306" t="n">
        <v>110</v>
      </c>
      <c r="G1306" t="inlineStr">
        <is>
          <t>IN</t>
        </is>
      </c>
      <c r="H1306">
        <f>IF(G1306="OUT",F1306,-F1306)</f>
        <v>-110</v>
      </c>
      <c r="I1306">
        <f>IF(AND(B1306&gt;=DATE(2025,7,1),B1306&lt;=DATE(2026,6,30)),1,0)</f>
        <v>1</v>
      </c>
      <c r="J1306">
        <f>IF(B1306&lt;=DATE(2026,6,30),1,0)</f>
        <v>1</v>
      </c>
      <c r="K1306" t="inlineStr"/>
      <c r="L1306" t="inlineStr">
        <is>
          <t>Office</t>
        </is>
      </c>
      <c r="M1306">
        <f>COUNTIFS('Asset Log'!$A$5:$A$1379,A1306,'Asset Log'!$E$5:$E$1379,E1306,'Asset Log'!$G$5:$G$1379,G1306)</f>
        <v>1</v>
      </c>
    </row>
    <row r="1307">
      <c r="A1307" t="inlineStr">
        <is>
          <t>D71977</t>
        </is>
      </c>
      <c r="B1307" s="11" t="n">
        <v>46177</v>
      </c>
      <c r="C1307" t="inlineStr">
        <is>
          <t>S0209</t>
        </is>
      </c>
      <c r="D1307" t="inlineStr">
        <is>
          <t>S0209</t>
        </is>
      </c>
      <c r="E1307" t="inlineStr">
        <is>
          <t>BR</t>
        </is>
      </c>
      <c r="F1307" t="n">
        <v>15</v>
      </c>
      <c r="G1307" t="inlineStr">
        <is>
          <t>IN</t>
        </is>
      </c>
      <c r="H1307">
        <f>IF(G1307="OUT",F1307,-F1307)</f>
        <v>-15</v>
      </c>
      <c r="I1307">
        <f>IF(AND(B1307&gt;=DATE(2025,7,1),B1307&lt;=DATE(2026,6,30)),1,0)</f>
        <v>1</v>
      </c>
      <c r="J1307">
        <f>IF(B1307&lt;=DATE(2026,6,30),1,0)</f>
        <v>1</v>
      </c>
      <c r="K1307" t="inlineStr"/>
      <c r="L1307" t="inlineStr">
        <is>
          <t>Yard</t>
        </is>
      </c>
      <c r="M1307">
        <f>COUNTIFS('Asset Log'!$A$5:$A$1379,A1307,'Asset Log'!$E$5:$E$1379,E1307,'Asset Log'!$G$5:$G$1379,G1307)</f>
        <v>1</v>
      </c>
    </row>
    <row r="1308">
      <c r="A1308" t="inlineStr">
        <is>
          <t>D72135</t>
        </is>
      </c>
      <c r="B1308" s="11" t="n">
        <v>46177</v>
      </c>
      <c r="C1308" t="inlineStr">
        <is>
          <t>s226</t>
        </is>
      </c>
      <c r="D1308" t="inlineStr">
        <is>
          <t>S0226</t>
        </is>
      </c>
      <c r="E1308" t="inlineStr">
        <is>
          <t>FP</t>
        </is>
      </c>
      <c r="F1308" t="n">
        <v>109</v>
      </c>
      <c r="G1308" t="inlineStr">
        <is>
          <t>IN</t>
        </is>
      </c>
      <c r="H1308">
        <f>IF(G1308="OUT",F1308,-F1308)</f>
        <v>-109</v>
      </c>
      <c r="I1308">
        <f>IF(AND(B1308&gt;=DATE(2025,7,1),B1308&lt;=DATE(2026,6,30)),1,0)</f>
        <v>1</v>
      </c>
      <c r="J1308">
        <f>IF(B1308&lt;=DATE(2026,6,30),1,0)</f>
        <v>1</v>
      </c>
      <c r="K1308" t="inlineStr">
        <is>
          <t>Site text normalised</t>
        </is>
      </c>
      <c r="L1308" t="inlineStr">
        <is>
          <t>Driver</t>
        </is>
      </c>
      <c r="M1308">
        <f>COUNTIFS('Asset Log'!$A$5:$A$1379,A1308,'Asset Log'!$E$5:$E$1379,E1308,'Asset Log'!$G$5:$G$1379,G1308)</f>
        <v>1</v>
      </c>
    </row>
    <row r="1309">
      <c r="A1309" t="inlineStr">
        <is>
          <t>D72139</t>
        </is>
      </c>
      <c r="B1309" s="11" t="n">
        <v>46177</v>
      </c>
      <c r="C1309" t="inlineStr">
        <is>
          <t>S0226</t>
        </is>
      </c>
      <c r="D1309" t="inlineStr">
        <is>
          <t>S0226</t>
        </is>
      </c>
      <c r="E1309" t="inlineStr">
        <is>
          <t>FB</t>
        </is>
      </c>
      <c r="F1309" t="n">
        <v>119</v>
      </c>
      <c r="G1309" t="inlineStr">
        <is>
          <t>IN</t>
        </is>
      </c>
      <c r="H1309">
        <f>IF(G1309="OUT",F1309,-F1309)</f>
        <v>-119</v>
      </c>
      <c r="I1309">
        <f>IF(AND(B1309&gt;=DATE(2025,7,1),B1309&lt;=DATE(2026,6,30)),1,0)</f>
        <v>1</v>
      </c>
      <c r="J1309">
        <f>IF(B1309&lt;=DATE(2026,6,30),1,0)</f>
        <v>1</v>
      </c>
      <c r="K1309" t="inlineStr"/>
      <c r="L1309" t="inlineStr">
        <is>
          <t>Driver</t>
        </is>
      </c>
      <c r="M1309">
        <f>COUNTIFS('Asset Log'!$A$5:$A$1379,A1309,'Asset Log'!$E$5:$E$1379,E1309,'Asset Log'!$G$5:$G$1379,G1309)</f>
        <v>1</v>
      </c>
    </row>
    <row r="1310">
      <c r="A1310" t="inlineStr">
        <is>
          <t>D71666</t>
        </is>
      </c>
      <c r="B1310" s="11" t="n">
        <v>46178</v>
      </c>
      <c r="C1310" t="inlineStr">
        <is>
          <t>S0175</t>
        </is>
      </c>
      <c r="D1310" t="inlineStr">
        <is>
          <t>S0175</t>
        </is>
      </c>
      <c r="E1310" t="inlineStr">
        <is>
          <t>FP</t>
        </is>
      </c>
      <c r="F1310" t="n">
        <v>129</v>
      </c>
      <c r="G1310" t="inlineStr">
        <is>
          <t>IN</t>
        </is>
      </c>
      <c r="H1310">
        <f>IF(G1310="OUT",F1310,-F1310)</f>
        <v>-129</v>
      </c>
      <c r="I1310">
        <f>IF(AND(B1310&gt;=DATE(2025,7,1),B1310&lt;=DATE(2026,6,30)),1,0)</f>
        <v>1</v>
      </c>
      <c r="J1310">
        <f>IF(B1310&lt;=DATE(2026,6,30),1,0)</f>
        <v>1</v>
      </c>
      <c r="K1310" t="inlineStr"/>
      <c r="L1310" t="inlineStr">
        <is>
          <t>Office</t>
        </is>
      </c>
      <c r="M1310">
        <f>COUNTIFS('Asset Log'!$A$5:$A$1379,A1310,'Asset Log'!$E$5:$E$1379,E1310,'Asset Log'!$G$5:$G$1379,G1310)</f>
        <v>1</v>
      </c>
    </row>
    <row r="1311">
      <c r="A1311" t="inlineStr">
        <is>
          <t>D71672</t>
        </is>
      </c>
      <c r="B1311" s="11" t="n">
        <v>46178</v>
      </c>
      <c r="C1311" t="inlineStr">
        <is>
          <t>S0175</t>
        </is>
      </c>
      <c r="D1311" t="inlineStr">
        <is>
          <t>S0175</t>
        </is>
      </c>
      <c r="E1311" t="inlineStr">
        <is>
          <t>FB</t>
        </is>
      </c>
      <c r="F1311" t="n">
        <v>141</v>
      </c>
      <c r="G1311" t="inlineStr">
        <is>
          <t>IN</t>
        </is>
      </c>
      <c r="H1311">
        <f>IF(G1311="OUT",F1311,-F1311)</f>
        <v>-141</v>
      </c>
      <c r="I1311">
        <f>IF(AND(B1311&gt;=DATE(2025,7,1),B1311&lt;=DATE(2026,6,30)),1,0)</f>
        <v>1</v>
      </c>
      <c r="J1311">
        <f>IF(B1311&lt;=DATE(2026,6,30),1,0)</f>
        <v>1</v>
      </c>
      <c r="K1311" t="inlineStr"/>
      <c r="L1311" t="inlineStr">
        <is>
          <t>Driver</t>
        </is>
      </c>
      <c r="M1311">
        <f>COUNTIFS('Asset Log'!$A$5:$A$1379,A1311,'Asset Log'!$E$5:$E$1379,E1311,'Asset Log'!$G$5:$G$1379,G1311)</f>
        <v>1</v>
      </c>
    </row>
    <row r="1312">
      <c r="A1312" t="inlineStr">
        <is>
          <t>D72450</t>
        </is>
      </c>
      <c r="B1312" s="11" t="n">
        <v>46178</v>
      </c>
      <c r="C1312" t="inlineStr">
        <is>
          <t>S0295</t>
        </is>
      </c>
      <c r="D1312" t="inlineStr">
        <is>
          <t>S0295</t>
        </is>
      </c>
      <c r="E1312" t="inlineStr">
        <is>
          <t>ST</t>
        </is>
      </c>
      <c r="F1312" t="n">
        <v>2</v>
      </c>
      <c r="G1312" t="inlineStr">
        <is>
          <t>OUT</t>
        </is>
      </c>
      <c r="H1312">
        <f>IF(G1312="OUT",F1312,-F1312)</f>
        <v>2</v>
      </c>
      <c r="I1312">
        <f>IF(AND(B1312&gt;=DATE(2025,7,1),B1312&lt;=DATE(2026,6,30)),1,0)</f>
        <v>1</v>
      </c>
      <c r="J1312">
        <f>IF(B1312&lt;=DATE(2026,6,30),1,0)</f>
        <v>1</v>
      </c>
      <c r="K1312" t="inlineStr"/>
      <c r="L1312" t="inlineStr">
        <is>
          <t>Yard</t>
        </is>
      </c>
      <c r="M1312">
        <f>COUNTIFS('Asset Log'!$A$5:$A$1379,A1312,'Asset Log'!$E$5:$E$1379,E1312,'Asset Log'!$G$5:$G$1379,G1312)</f>
        <v>1</v>
      </c>
    </row>
    <row r="1313">
      <c r="A1313" t="inlineStr">
        <is>
          <t>D72550</t>
        </is>
      </c>
      <c r="B1313" s="11" t="n">
        <v>46178</v>
      </c>
      <c r="C1313" t="inlineStr">
        <is>
          <t>S0359</t>
        </is>
      </c>
      <c r="D1313" t="inlineStr">
        <is>
          <t>S0359</t>
        </is>
      </c>
      <c r="E1313" t="inlineStr">
        <is>
          <t>TK</t>
        </is>
      </c>
      <c r="F1313" t="n">
        <v>2</v>
      </c>
      <c r="G1313" t="inlineStr">
        <is>
          <t>OUT</t>
        </is>
      </c>
      <c r="H1313">
        <f>IF(G1313="OUT",F1313,-F1313)</f>
        <v>2</v>
      </c>
      <c r="I1313">
        <f>IF(AND(B1313&gt;=DATE(2025,7,1),B1313&lt;=DATE(2026,6,30)),1,0)</f>
        <v>1</v>
      </c>
      <c r="J1313">
        <f>IF(B1313&lt;=DATE(2026,6,30),1,0)</f>
        <v>1</v>
      </c>
      <c r="K1313" t="inlineStr"/>
      <c r="L1313" t="inlineStr">
        <is>
          <t>Driver</t>
        </is>
      </c>
      <c r="M1313">
        <f>COUNTIFS('Asset Log'!$A$5:$A$1379,A1313,'Asset Log'!$E$5:$E$1379,E1313,'Asset Log'!$G$5:$G$1379,G1313)</f>
        <v>1</v>
      </c>
    </row>
    <row r="1314">
      <c r="A1314" t="inlineStr">
        <is>
          <t>D70220</t>
        </is>
      </c>
      <c r="B1314" s="11" t="n">
        <v>46180</v>
      </c>
      <c r="C1314" t="inlineStr">
        <is>
          <t>S0023</t>
        </is>
      </c>
      <c r="D1314" t="inlineStr">
        <is>
          <t>S0023</t>
        </is>
      </c>
      <c r="E1314" t="inlineStr">
        <is>
          <t>FP</t>
        </is>
      </c>
      <c r="F1314" t="n">
        <v>117</v>
      </c>
      <c r="G1314" t="inlineStr">
        <is>
          <t>OUT</t>
        </is>
      </c>
      <c r="H1314">
        <f>IF(G1314="OUT",F1314,-F1314)</f>
        <v>117</v>
      </c>
      <c r="I1314">
        <f>IF(AND(B1314&gt;=DATE(2025,7,1),B1314&lt;=DATE(2026,6,30)),1,0)</f>
        <v>1</v>
      </c>
      <c r="J1314">
        <f>IF(B1314&lt;=DATE(2026,6,30),1,0)</f>
        <v>1</v>
      </c>
      <c r="K1314" t="inlineStr"/>
      <c r="L1314" t="inlineStr">
        <is>
          <t>Yard</t>
        </is>
      </c>
      <c r="M1314">
        <f>COUNTIFS('Asset Log'!$A$5:$A$1379,A1314,'Asset Log'!$E$5:$E$1379,E1314,'Asset Log'!$G$5:$G$1379,G1314)</f>
        <v>1</v>
      </c>
    </row>
    <row r="1315">
      <c r="A1315" t="inlineStr">
        <is>
          <t>D70221</t>
        </is>
      </c>
      <c r="B1315" s="11" t="n">
        <v>46180</v>
      </c>
      <c r="C1315" t="inlineStr">
        <is>
          <t>S0023</t>
        </is>
      </c>
      <c r="D1315" t="inlineStr">
        <is>
          <t>S0023</t>
        </is>
      </c>
      <c r="E1315" t="inlineStr">
        <is>
          <t>FB</t>
        </is>
      </c>
      <c r="F1315" t="n">
        <v>128</v>
      </c>
      <c r="G1315" t="inlineStr">
        <is>
          <t>OUT</t>
        </is>
      </c>
      <c r="H1315">
        <f>IF(G1315="OUT",F1315,-F1315)</f>
        <v>128</v>
      </c>
      <c r="I1315">
        <f>IF(AND(B1315&gt;=DATE(2025,7,1),B1315&lt;=DATE(2026,6,30)),1,0)</f>
        <v>1</v>
      </c>
      <c r="J1315">
        <f>IF(B1315&lt;=DATE(2026,6,30),1,0)</f>
        <v>1</v>
      </c>
      <c r="K1315" t="inlineStr"/>
      <c r="L1315" t="inlineStr">
        <is>
          <t>Office</t>
        </is>
      </c>
      <c r="M1315">
        <f>COUNTIFS('Asset Log'!$A$5:$A$1379,A1315,'Asset Log'!$E$5:$E$1379,E1315,'Asset Log'!$G$5:$G$1379,G1315)</f>
        <v>1</v>
      </c>
    </row>
    <row r="1316">
      <c r="A1316" t="inlineStr">
        <is>
          <t>D70276</t>
        </is>
      </c>
      <c r="B1316" s="11" t="n">
        <v>46180</v>
      </c>
      <c r="C1316" t="inlineStr">
        <is>
          <t>S0030</t>
        </is>
      </c>
      <c r="D1316" t="inlineStr">
        <is>
          <t>S0030</t>
        </is>
      </c>
      <c r="E1316" t="inlineStr">
        <is>
          <t>FP</t>
        </is>
      </c>
      <c r="F1316" t="n">
        <v>136</v>
      </c>
      <c r="G1316" t="inlineStr">
        <is>
          <t>OUT</t>
        </is>
      </c>
      <c r="H1316">
        <f>IF(G1316="OUT",F1316,-F1316)</f>
        <v>136</v>
      </c>
      <c r="I1316">
        <f>IF(AND(B1316&gt;=DATE(2025,7,1),B1316&lt;=DATE(2026,6,30)),1,0)</f>
        <v>1</v>
      </c>
      <c r="J1316">
        <f>IF(B1316&lt;=DATE(2026,6,30),1,0)</f>
        <v>1</v>
      </c>
      <c r="K1316" t="inlineStr"/>
      <c r="L1316" t="inlineStr">
        <is>
          <t>Driver</t>
        </is>
      </c>
      <c r="M1316">
        <f>COUNTIFS('Asset Log'!$A$5:$A$1379,A1316,'Asset Log'!$E$5:$E$1379,E1316,'Asset Log'!$G$5:$G$1379,G1316)</f>
        <v>1</v>
      </c>
    </row>
    <row r="1317">
      <c r="A1317" t="inlineStr">
        <is>
          <t>D70279</t>
        </is>
      </c>
      <c r="B1317" s="11" t="n">
        <v>46180</v>
      </c>
      <c r="C1317" t="inlineStr">
        <is>
          <t>S0030 Essendon</t>
        </is>
      </c>
      <c r="D1317" t="inlineStr">
        <is>
          <t>S0030</t>
        </is>
      </c>
      <c r="E1317" t="inlineStr">
        <is>
          <t>FB</t>
        </is>
      </c>
      <c r="F1317" t="n">
        <v>149</v>
      </c>
      <c r="G1317" t="inlineStr">
        <is>
          <t>OUT</t>
        </is>
      </c>
      <c r="H1317">
        <f>IF(G1317="OUT",F1317,-F1317)</f>
        <v>149</v>
      </c>
      <c r="I1317">
        <f>IF(AND(B1317&gt;=DATE(2025,7,1),B1317&lt;=DATE(2026,6,30)),1,0)</f>
        <v>1</v>
      </c>
      <c r="J1317">
        <f>IF(B1317&lt;=DATE(2026,6,30),1,0)</f>
        <v>1</v>
      </c>
      <c r="K1317" t="inlineStr">
        <is>
          <t>Site text normalised</t>
        </is>
      </c>
      <c r="L1317" t="inlineStr">
        <is>
          <t>Yard</t>
        </is>
      </c>
      <c r="M1317">
        <f>COUNTIFS('Asset Log'!$A$5:$A$1379,A1317,'Asset Log'!$E$5:$E$1379,E1317,'Asset Log'!$G$5:$G$1379,G1317)</f>
        <v>1</v>
      </c>
    </row>
    <row r="1318">
      <c r="A1318" t="inlineStr">
        <is>
          <t>D72539</t>
        </is>
      </c>
      <c r="B1318" s="11" t="n">
        <v>46180</v>
      </c>
      <c r="C1318" t="inlineStr">
        <is>
          <t>S0350</t>
        </is>
      </c>
      <c r="D1318" t="inlineStr">
        <is>
          <t>S0350</t>
        </is>
      </c>
      <c r="E1318" t="inlineStr">
        <is>
          <t>TK</t>
        </is>
      </c>
      <c r="F1318" t="n">
        <v>3</v>
      </c>
      <c r="G1318" t="inlineStr">
        <is>
          <t>IN</t>
        </is>
      </c>
      <c r="H1318">
        <f>IF(G1318="OUT",F1318,-F1318)</f>
        <v>-3</v>
      </c>
      <c r="I1318">
        <f>IF(AND(B1318&gt;=DATE(2025,7,1),B1318&lt;=DATE(2026,6,30)),1,0)</f>
        <v>1</v>
      </c>
      <c r="J1318">
        <f>IF(B1318&lt;=DATE(2026,6,30),1,0)</f>
        <v>1</v>
      </c>
      <c r="K1318" t="inlineStr"/>
      <c r="L1318" t="inlineStr">
        <is>
          <t>Office</t>
        </is>
      </c>
      <c r="M1318">
        <f>COUNTIFS('Asset Log'!$A$5:$A$1379,A1318,'Asset Log'!$E$5:$E$1379,E1318,'Asset Log'!$G$5:$G$1379,G1318)</f>
        <v>1</v>
      </c>
    </row>
    <row r="1319">
      <c r="A1319" t="inlineStr">
        <is>
          <t>D72812</t>
        </is>
      </c>
      <c r="B1319" s="11" t="n">
        <v>46180</v>
      </c>
      <c r="C1319" t="inlineStr">
        <is>
          <t>S0526</t>
        </is>
      </c>
      <c r="D1319" t="inlineStr">
        <is>
          <t>S0526</t>
        </is>
      </c>
      <c r="E1319" t="inlineStr">
        <is>
          <t>TK</t>
        </is>
      </c>
      <c r="F1319" t="n">
        <v>3</v>
      </c>
      <c r="G1319" t="inlineStr">
        <is>
          <t>OUT</t>
        </is>
      </c>
      <c r="H1319">
        <f>IF(G1319="OUT",F1319,-F1319)</f>
        <v>3</v>
      </c>
      <c r="I1319">
        <f>IF(AND(B1319&gt;=DATE(2025,7,1),B1319&lt;=DATE(2026,6,30)),1,0)</f>
        <v>1</v>
      </c>
      <c r="J1319">
        <f>IF(B1319&lt;=DATE(2026,6,30),1,0)</f>
        <v>1</v>
      </c>
      <c r="K1319" t="inlineStr"/>
      <c r="L1319" t="inlineStr">
        <is>
          <t>Driver</t>
        </is>
      </c>
      <c r="M1319">
        <f>COUNTIFS('Asset Log'!$A$5:$A$1379,A1319,'Asset Log'!$E$5:$E$1379,E1319,'Asset Log'!$G$5:$G$1379,G1319)</f>
        <v>1</v>
      </c>
    </row>
    <row r="1320">
      <c r="A1320" t="inlineStr">
        <is>
          <t>D70845</t>
        </is>
      </c>
      <c r="B1320" s="11" t="n">
        <v>46181</v>
      </c>
      <c r="C1320" t="inlineStr">
        <is>
          <t>S0089</t>
        </is>
      </c>
      <c r="D1320" t="inlineStr">
        <is>
          <t>S0089</t>
        </is>
      </c>
      <c r="E1320" t="inlineStr">
        <is>
          <t>FP</t>
        </is>
      </c>
      <c r="F1320" t="n">
        <v>19</v>
      </c>
      <c r="G1320" t="inlineStr">
        <is>
          <t>IN</t>
        </is>
      </c>
      <c r="H1320">
        <f>IF(G1320="OUT",F1320,-F1320)</f>
        <v>-19</v>
      </c>
      <c r="I1320">
        <f>IF(AND(B1320&gt;=DATE(2025,7,1),B1320&lt;=DATE(2026,6,30)),1,0)</f>
        <v>1</v>
      </c>
      <c r="J1320">
        <f>IF(B1320&lt;=DATE(2026,6,30),1,0)</f>
        <v>1</v>
      </c>
      <c r="K1320" t="inlineStr"/>
      <c r="L1320" t="inlineStr">
        <is>
          <t>Office</t>
        </is>
      </c>
      <c r="M1320">
        <f>COUNTIFS('Asset Log'!$A$5:$A$1379,A1320,'Asset Log'!$E$5:$E$1379,E1320,'Asset Log'!$G$5:$G$1379,G1320)</f>
        <v>1</v>
      </c>
    </row>
    <row r="1321">
      <c r="A1321" t="inlineStr">
        <is>
          <t>D70849</t>
        </is>
      </c>
      <c r="B1321" s="11" t="n">
        <v>46181</v>
      </c>
      <c r="C1321" t="inlineStr">
        <is>
          <t>S0089</t>
        </is>
      </c>
      <c r="D1321" t="inlineStr">
        <is>
          <t>S0089</t>
        </is>
      </c>
      <c r="E1321" t="inlineStr">
        <is>
          <t>FB</t>
        </is>
      </c>
      <c r="F1321" t="n">
        <v>20</v>
      </c>
      <c r="G1321" t="inlineStr">
        <is>
          <t>IN</t>
        </is>
      </c>
      <c r="H1321">
        <f>IF(G1321="OUT",F1321,-F1321)</f>
        <v>-20</v>
      </c>
      <c r="I1321">
        <f>IF(AND(B1321&gt;=DATE(2025,7,1),B1321&lt;=DATE(2026,6,30)),1,0)</f>
        <v>1</v>
      </c>
      <c r="J1321">
        <f>IF(B1321&lt;=DATE(2026,6,30),1,0)</f>
        <v>1</v>
      </c>
      <c r="K1321" t="inlineStr"/>
      <c r="L1321" t="inlineStr">
        <is>
          <t>Office</t>
        </is>
      </c>
      <c r="M1321">
        <f>COUNTIFS('Asset Log'!$A$5:$A$1379,A1321,'Asset Log'!$E$5:$E$1379,E1321,'Asset Log'!$G$5:$G$1379,G1321)</f>
        <v>1</v>
      </c>
    </row>
    <row r="1322">
      <c r="A1322" t="inlineStr">
        <is>
          <t>D72576</t>
        </is>
      </c>
      <c r="B1322" s="11" t="n">
        <v>46181</v>
      </c>
      <c r="C1322" t="inlineStr">
        <is>
          <t>s380</t>
        </is>
      </c>
      <c r="D1322" t="inlineStr">
        <is>
          <t>S0380</t>
        </is>
      </c>
      <c r="E1322" t="inlineStr">
        <is>
          <t>TK</t>
        </is>
      </c>
      <c r="F1322" t="n">
        <v>3</v>
      </c>
      <c r="G1322" t="inlineStr">
        <is>
          <t>OUT</t>
        </is>
      </c>
      <c r="H1322">
        <f>IF(G1322="OUT",F1322,-F1322)</f>
        <v>3</v>
      </c>
      <c r="I1322">
        <f>IF(AND(B1322&gt;=DATE(2025,7,1),B1322&lt;=DATE(2026,6,30)),1,0)</f>
        <v>1</v>
      </c>
      <c r="J1322">
        <f>IF(B1322&lt;=DATE(2026,6,30),1,0)</f>
        <v>1</v>
      </c>
      <c r="K1322" t="inlineStr">
        <is>
          <t>Site text normalised</t>
        </is>
      </c>
      <c r="L1322" t="inlineStr">
        <is>
          <t>Office</t>
        </is>
      </c>
      <c r="M1322">
        <f>COUNTIFS('Asset Log'!$A$5:$A$1379,A1322,'Asset Log'!$E$5:$E$1379,E1322,'Asset Log'!$G$5:$G$1379,G1322)</f>
        <v>1</v>
      </c>
    </row>
    <row r="1323">
      <c r="A1323" t="inlineStr">
        <is>
          <t>D72072</t>
        </is>
      </c>
      <c r="B1323" s="11" t="n">
        <v>46182</v>
      </c>
      <c r="C1323" t="inlineStr">
        <is>
          <t>s219</t>
        </is>
      </c>
      <c r="D1323" t="inlineStr">
        <is>
          <t>S0219</t>
        </is>
      </c>
      <c r="E1323" t="inlineStr">
        <is>
          <t>FP</t>
        </is>
      </c>
      <c r="F1323" t="n">
        <v>110</v>
      </c>
      <c r="G1323" t="inlineStr">
        <is>
          <t>OUT</t>
        </is>
      </c>
      <c r="H1323">
        <f>IF(G1323="OUT",F1323,-F1323)</f>
        <v>110</v>
      </c>
      <c r="I1323">
        <f>IF(AND(B1323&gt;=DATE(2025,7,1),B1323&lt;=DATE(2026,6,30)),1,0)</f>
        <v>1</v>
      </c>
      <c r="J1323">
        <f>IF(B1323&lt;=DATE(2026,6,30),1,0)</f>
        <v>1</v>
      </c>
      <c r="K1323" t="inlineStr">
        <is>
          <t>Site text normalised</t>
        </is>
      </c>
      <c r="L1323" t="inlineStr">
        <is>
          <t>Yard</t>
        </is>
      </c>
      <c r="M1323">
        <f>COUNTIFS('Asset Log'!$A$5:$A$1379,A1323,'Asset Log'!$E$5:$E$1379,E1323,'Asset Log'!$G$5:$G$1379,G1323)</f>
        <v>1</v>
      </c>
    </row>
    <row r="1324">
      <c r="A1324" t="inlineStr">
        <is>
          <t>D72078</t>
        </is>
      </c>
      <c r="B1324" s="11" t="n">
        <v>46182</v>
      </c>
      <c r="C1324" t="inlineStr">
        <is>
          <t>219</t>
        </is>
      </c>
      <c r="D1324" t="inlineStr">
        <is>
          <t>S0219</t>
        </is>
      </c>
      <c r="E1324" t="inlineStr">
        <is>
          <t>FB</t>
        </is>
      </c>
      <c r="F1324" t="n">
        <v>121</v>
      </c>
      <c r="G1324" t="inlineStr">
        <is>
          <t>OUT</t>
        </is>
      </c>
      <c r="H1324">
        <f>IF(G1324="OUT",F1324,-F1324)</f>
        <v>121</v>
      </c>
      <c r="I1324">
        <f>IF(AND(B1324&gt;=DATE(2025,7,1),B1324&lt;=DATE(2026,6,30)),1,0)</f>
        <v>1</v>
      </c>
      <c r="J1324">
        <f>IF(B1324&lt;=DATE(2026,6,30),1,0)</f>
        <v>1</v>
      </c>
      <c r="K1324" t="inlineStr">
        <is>
          <t>Site text normalised</t>
        </is>
      </c>
      <c r="L1324" t="inlineStr">
        <is>
          <t>Yard</t>
        </is>
      </c>
      <c r="M1324">
        <f>COUNTIFS('Asset Log'!$A$5:$A$1379,A1324,'Asset Log'!$E$5:$E$1379,E1324,'Asset Log'!$G$5:$G$1379,G1324)</f>
        <v>1</v>
      </c>
    </row>
    <row r="1325">
      <c r="A1325" t="inlineStr">
        <is>
          <t>D72648</t>
        </is>
      </c>
      <c r="B1325" s="11" t="n">
        <v>46183</v>
      </c>
      <c r="C1325" t="inlineStr">
        <is>
          <t>S0420</t>
        </is>
      </c>
      <c r="D1325" t="inlineStr">
        <is>
          <t>S0420</t>
        </is>
      </c>
      <c r="E1325" t="inlineStr">
        <is>
          <t>TK</t>
        </is>
      </c>
      <c r="F1325" t="n">
        <v>2</v>
      </c>
      <c r="G1325" t="inlineStr">
        <is>
          <t>OUT</t>
        </is>
      </c>
      <c r="H1325">
        <f>IF(G1325="OUT",F1325,-F1325)</f>
        <v>2</v>
      </c>
      <c r="I1325">
        <f>IF(AND(B1325&gt;=DATE(2025,7,1),B1325&lt;=DATE(2026,6,30)),1,0)</f>
        <v>1</v>
      </c>
      <c r="J1325">
        <f>IF(B1325&lt;=DATE(2026,6,30),1,0)</f>
        <v>1</v>
      </c>
      <c r="K1325" t="inlineStr"/>
      <c r="L1325" t="inlineStr">
        <is>
          <t>Office</t>
        </is>
      </c>
      <c r="M1325">
        <f>COUNTIFS('Asset Log'!$A$5:$A$1379,A1325,'Asset Log'!$E$5:$E$1379,E1325,'Asset Log'!$G$5:$G$1379,G1325)</f>
        <v>1</v>
      </c>
    </row>
    <row r="1326">
      <c r="A1326" t="inlineStr">
        <is>
          <t>D72662</t>
        </is>
      </c>
      <c r="B1326" s="11" t="n">
        <v>46183</v>
      </c>
      <c r="C1326" t="inlineStr">
        <is>
          <t>S0423</t>
        </is>
      </c>
      <c r="D1326" t="inlineStr">
        <is>
          <t>S0423</t>
        </is>
      </c>
      <c r="E1326" t="inlineStr">
        <is>
          <t>TK</t>
        </is>
      </c>
      <c r="F1326" t="n">
        <v>2</v>
      </c>
      <c r="G1326" t="inlineStr">
        <is>
          <t>IN</t>
        </is>
      </c>
      <c r="H1326">
        <f>IF(G1326="OUT",F1326,-F1326)</f>
        <v>-2</v>
      </c>
      <c r="I1326">
        <f>IF(AND(B1326&gt;=DATE(2025,7,1),B1326&lt;=DATE(2026,6,30)),1,0)</f>
        <v>1</v>
      </c>
      <c r="J1326">
        <f>IF(B1326&lt;=DATE(2026,6,30),1,0)</f>
        <v>1</v>
      </c>
      <c r="K1326" t="inlineStr"/>
      <c r="L1326" t="inlineStr">
        <is>
          <t>Driver</t>
        </is>
      </c>
      <c r="M1326">
        <f>COUNTIFS('Asset Log'!$A$5:$A$1379,A1326,'Asset Log'!$E$5:$E$1379,E1326,'Asset Log'!$G$5:$G$1379,G1326)</f>
        <v>1</v>
      </c>
    </row>
    <row r="1327">
      <c r="A1327" t="inlineStr">
        <is>
          <t>D70271</t>
        </is>
      </c>
      <c r="B1327" s="11" t="n">
        <v>46184</v>
      </c>
      <c r="C1327" t="inlineStr">
        <is>
          <t>S0029</t>
        </is>
      </c>
      <c r="D1327" t="inlineStr">
        <is>
          <t>S0029</t>
        </is>
      </c>
      <c r="E1327" t="inlineStr">
        <is>
          <t>FP</t>
        </is>
      </c>
      <c r="F1327" t="n">
        <v>126</v>
      </c>
      <c r="G1327" t="inlineStr">
        <is>
          <t>OUT</t>
        </is>
      </c>
      <c r="H1327">
        <f>IF(G1327="OUT",F1327,-F1327)</f>
        <v>126</v>
      </c>
      <c r="I1327">
        <f>IF(AND(B1327&gt;=DATE(2025,7,1),B1327&lt;=DATE(2026,6,30)),1,0)</f>
        <v>1</v>
      </c>
      <c r="J1327">
        <f>IF(B1327&lt;=DATE(2026,6,30),1,0)</f>
        <v>1</v>
      </c>
      <c r="K1327" t="inlineStr"/>
      <c r="L1327" t="inlineStr">
        <is>
          <t>Driver</t>
        </is>
      </c>
      <c r="M1327">
        <f>COUNTIFS('Asset Log'!$A$5:$A$1379,A1327,'Asset Log'!$E$5:$E$1379,E1327,'Asset Log'!$G$5:$G$1379,G1327)</f>
        <v>1</v>
      </c>
    </row>
    <row r="1328">
      <c r="A1328" t="inlineStr">
        <is>
          <t>D70274</t>
        </is>
      </c>
      <c r="B1328" s="11" t="n">
        <v>46184</v>
      </c>
      <c r="C1328" t="inlineStr">
        <is>
          <t>S0029</t>
        </is>
      </c>
      <c r="D1328" t="inlineStr">
        <is>
          <t>S0029</t>
        </is>
      </c>
      <c r="E1328" t="inlineStr">
        <is>
          <t>FB</t>
        </is>
      </c>
      <c r="F1328" t="n">
        <v>138</v>
      </c>
      <c r="G1328" t="inlineStr">
        <is>
          <t>OUT</t>
        </is>
      </c>
      <c r="H1328">
        <f>IF(G1328="OUT",F1328,-F1328)</f>
        <v>138</v>
      </c>
      <c r="I1328">
        <f>IF(AND(B1328&gt;=DATE(2025,7,1),B1328&lt;=DATE(2026,6,30)),1,0)</f>
        <v>1</v>
      </c>
      <c r="J1328">
        <f>IF(B1328&lt;=DATE(2026,6,30),1,0)</f>
        <v>1</v>
      </c>
      <c r="K1328" t="inlineStr"/>
      <c r="L1328" t="inlineStr">
        <is>
          <t>Office</t>
        </is>
      </c>
      <c r="M1328">
        <f>COUNTIFS('Asset Log'!$A$5:$A$1379,A1328,'Asset Log'!$E$5:$E$1379,E1328,'Asset Log'!$G$5:$G$1379,G1328)</f>
        <v>1</v>
      </c>
    </row>
    <row r="1329">
      <c r="A1329" t="inlineStr">
        <is>
          <t>D70531</t>
        </is>
      </c>
      <c r="B1329" s="11" t="n">
        <v>46184</v>
      </c>
      <c r="C1329" t="inlineStr">
        <is>
          <t>S0058 Carlton</t>
        </is>
      </c>
      <c r="D1329" t="inlineStr">
        <is>
          <t>S0058</t>
        </is>
      </c>
      <c r="E1329" t="inlineStr">
        <is>
          <t>FP</t>
        </is>
      </c>
      <c r="F1329" t="n">
        <v>42</v>
      </c>
      <c r="G1329" t="inlineStr">
        <is>
          <t>OUT</t>
        </is>
      </c>
      <c r="H1329">
        <f>IF(G1329="OUT",F1329,-F1329)</f>
        <v>42</v>
      </c>
      <c r="I1329">
        <f>IF(AND(B1329&gt;=DATE(2025,7,1),B1329&lt;=DATE(2026,6,30)),1,0)</f>
        <v>1</v>
      </c>
      <c r="J1329">
        <f>IF(B1329&lt;=DATE(2026,6,30),1,0)</f>
        <v>1</v>
      </c>
      <c r="K1329" t="inlineStr">
        <is>
          <t>Site text normalised</t>
        </is>
      </c>
      <c r="L1329" t="inlineStr">
        <is>
          <t>Office</t>
        </is>
      </c>
      <c r="M1329">
        <f>COUNTIFS('Asset Log'!$A$5:$A$1379,A1329,'Asset Log'!$E$5:$E$1379,E1329,'Asset Log'!$G$5:$G$1379,G1329)</f>
        <v>1</v>
      </c>
    </row>
    <row r="1330">
      <c r="A1330" t="inlineStr">
        <is>
          <t>D70532</t>
        </is>
      </c>
      <c r="B1330" s="11" t="n">
        <v>46184</v>
      </c>
      <c r="C1330" t="inlineStr">
        <is>
          <t>S0058</t>
        </is>
      </c>
      <c r="D1330" t="inlineStr">
        <is>
          <t>S0058</t>
        </is>
      </c>
      <c r="E1330" t="inlineStr">
        <is>
          <t>FB</t>
        </is>
      </c>
      <c r="F1330" t="n">
        <v>46</v>
      </c>
      <c r="G1330" t="inlineStr">
        <is>
          <t>OUT</t>
        </is>
      </c>
      <c r="H1330">
        <f>IF(G1330="OUT",F1330,-F1330)</f>
        <v>46</v>
      </c>
      <c r="I1330">
        <f>IF(AND(B1330&gt;=DATE(2025,7,1),B1330&lt;=DATE(2026,6,30)),1,0)</f>
        <v>1</v>
      </c>
      <c r="J1330">
        <f>IF(B1330&lt;=DATE(2026,6,30),1,0)</f>
        <v>1</v>
      </c>
      <c r="K1330" t="inlineStr"/>
      <c r="L1330" t="inlineStr">
        <is>
          <t>Driver</t>
        </is>
      </c>
      <c r="M1330">
        <f>COUNTIFS('Asset Log'!$A$5:$A$1379,A1330,'Asset Log'!$E$5:$E$1379,E1330,'Asset Log'!$G$5:$G$1379,G1330)</f>
        <v>1</v>
      </c>
    </row>
    <row r="1331">
      <c r="A1331" t="inlineStr">
        <is>
          <t>D70534</t>
        </is>
      </c>
      <c r="B1331" s="11" t="n">
        <v>46184</v>
      </c>
      <c r="C1331" t="inlineStr">
        <is>
          <t>s058</t>
        </is>
      </c>
      <c r="D1331" t="inlineStr">
        <is>
          <t>S0058</t>
        </is>
      </c>
      <c r="E1331" t="inlineStr">
        <is>
          <t>BR</t>
        </is>
      </c>
      <c r="F1331" t="n">
        <v>13</v>
      </c>
      <c r="G1331" t="inlineStr">
        <is>
          <t>OUT</t>
        </is>
      </c>
      <c r="H1331">
        <f>IF(G1331="OUT",F1331,-F1331)</f>
        <v>13</v>
      </c>
      <c r="I1331">
        <f>IF(AND(B1331&gt;=DATE(2025,7,1),B1331&lt;=DATE(2026,6,30)),1,0)</f>
        <v>1</v>
      </c>
      <c r="J1331">
        <f>IF(B1331&lt;=DATE(2026,6,30),1,0)</f>
        <v>1</v>
      </c>
      <c r="K1331" t="inlineStr">
        <is>
          <t>Site text normalised</t>
        </is>
      </c>
      <c r="L1331" t="inlineStr">
        <is>
          <t>Driver</t>
        </is>
      </c>
      <c r="M1331">
        <f>COUNTIFS('Asset Log'!$A$5:$A$1379,A1331,'Asset Log'!$E$5:$E$1379,E1331,'Asset Log'!$G$5:$G$1379,G1331)</f>
        <v>1</v>
      </c>
    </row>
    <row r="1332">
      <c r="A1332" t="inlineStr">
        <is>
          <t>D72614</t>
        </is>
      </c>
      <c r="B1332" s="11" t="n">
        <v>46184</v>
      </c>
      <c r="C1332" t="inlineStr">
        <is>
          <t>s400</t>
        </is>
      </c>
      <c r="D1332" t="inlineStr">
        <is>
          <t>S0400</t>
        </is>
      </c>
      <c r="E1332" t="inlineStr">
        <is>
          <t>TK</t>
        </is>
      </c>
      <c r="F1332" t="n">
        <v>2</v>
      </c>
      <c r="G1332" t="inlineStr">
        <is>
          <t>OUT</t>
        </is>
      </c>
      <c r="H1332">
        <f>IF(G1332="OUT",F1332,-F1332)</f>
        <v>2</v>
      </c>
      <c r="I1332">
        <f>IF(AND(B1332&gt;=DATE(2025,7,1),B1332&lt;=DATE(2026,6,30)),1,0)</f>
        <v>1</v>
      </c>
      <c r="J1332">
        <f>IF(B1332&lt;=DATE(2026,6,30),1,0)</f>
        <v>1</v>
      </c>
      <c r="K1332" t="inlineStr">
        <is>
          <t>Site text normalised</t>
        </is>
      </c>
      <c r="L1332" t="inlineStr">
        <is>
          <t>Driver</t>
        </is>
      </c>
      <c r="M1332">
        <f>COUNTIFS('Asset Log'!$A$5:$A$1379,A1332,'Asset Log'!$E$5:$E$1379,E1332,'Asset Log'!$G$5:$G$1379,G1332)</f>
        <v>1</v>
      </c>
    </row>
    <row r="1333">
      <c r="A1333" t="inlineStr">
        <is>
          <t>D71890</t>
        </is>
      </c>
      <c r="B1333" s="11" t="n">
        <v>46185</v>
      </c>
      <c r="C1333" t="inlineStr">
        <is>
          <t>s200</t>
        </is>
      </c>
      <c r="D1333" t="inlineStr">
        <is>
          <t>S0200</t>
        </is>
      </c>
      <c r="E1333" t="inlineStr">
        <is>
          <t>FP</t>
        </is>
      </c>
      <c r="F1333" t="n">
        <v>112</v>
      </c>
      <c r="G1333" t="inlineStr">
        <is>
          <t>IN</t>
        </is>
      </c>
      <c r="H1333">
        <f>IF(G1333="OUT",F1333,-F1333)</f>
        <v>-112</v>
      </c>
      <c r="I1333">
        <f>IF(AND(B1333&gt;=DATE(2025,7,1),B1333&lt;=DATE(2026,6,30)),1,0)</f>
        <v>1</v>
      </c>
      <c r="J1333">
        <f>IF(B1333&lt;=DATE(2026,6,30),1,0)</f>
        <v>1</v>
      </c>
      <c r="K1333" t="inlineStr">
        <is>
          <t>Site text normalised</t>
        </is>
      </c>
      <c r="L1333" t="inlineStr">
        <is>
          <t>Office</t>
        </is>
      </c>
      <c r="M1333">
        <f>COUNTIFS('Asset Log'!$A$5:$A$1379,A1333,'Asset Log'!$E$5:$E$1379,E1333,'Asset Log'!$G$5:$G$1379,G1333)</f>
        <v>1</v>
      </c>
    </row>
    <row r="1334">
      <c r="A1334" t="inlineStr">
        <is>
          <t>D71894</t>
        </is>
      </c>
      <c r="B1334" s="11" t="n">
        <v>46185</v>
      </c>
      <c r="C1334" t="inlineStr">
        <is>
          <t>s200</t>
        </is>
      </c>
      <c r="D1334" t="inlineStr">
        <is>
          <t>S0200</t>
        </is>
      </c>
      <c r="E1334" t="inlineStr">
        <is>
          <t>FB</t>
        </is>
      </c>
      <c r="F1334" t="n">
        <v>127</v>
      </c>
      <c r="G1334" t="inlineStr">
        <is>
          <t>IN</t>
        </is>
      </c>
      <c r="H1334">
        <f>IF(G1334="OUT",F1334,-F1334)</f>
        <v>-127</v>
      </c>
      <c r="I1334">
        <f>IF(AND(B1334&gt;=DATE(2025,7,1),B1334&lt;=DATE(2026,6,30)),1,0)</f>
        <v>1</v>
      </c>
      <c r="J1334">
        <f>IF(B1334&lt;=DATE(2026,6,30),1,0)</f>
        <v>1</v>
      </c>
      <c r="K1334" t="inlineStr">
        <is>
          <t>Site text normalised</t>
        </is>
      </c>
      <c r="L1334" t="inlineStr">
        <is>
          <t>Office</t>
        </is>
      </c>
      <c r="M1334">
        <f>COUNTIFS('Asset Log'!$A$5:$A$1379,A1334,'Asset Log'!$E$5:$E$1379,E1334,'Asset Log'!$G$5:$G$1379,G1334)</f>
        <v>1</v>
      </c>
    </row>
    <row r="1335">
      <c r="A1335" t="inlineStr">
        <is>
          <t>D71897</t>
        </is>
      </c>
      <c r="B1335" s="11" t="n">
        <v>46185</v>
      </c>
      <c r="C1335" t="inlineStr">
        <is>
          <t>S0200</t>
        </is>
      </c>
      <c r="D1335" t="inlineStr">
        <is>
          <t>S0200</t>
        </is>
      </c>
      <c r="E1335" t="inlineStr">
        <is>
          <t>FP</t>
        </is>
      </c>
      <c r="F1335" t="n">
        <v>4</v>
      </c>
      <c r="G1335" t="inlineStr">
        <is>
          <t>LOST</t>
        </is>
      </c>
      <c r="H1335">
        <f>IF(G1335="OUT",F1335,-F1335)</f>
        <v>-4</v>
      </c>
      <c r="I1335">
        <f>IF(AND(B1335&gt;=DATE(2025,7,1),B1335&lt;=DATE(2026,6,30)),1,0)</f>
        <v>1</v>
      </c>
      <c r="J1335">
        <f>IF(B1335&lt;=DATE(2026,6,30),1,0)</f>
        <v>1</v>
      </c>
      <c r="K1335" t="inlineStr"/>
      <c r="L1335" t="inlineStr">
        <is>
          <t>Office</t>
        </is>
      </c>
      <c r="M1335">
        <f>COUNTIFS('Asset Log'!$A$5:$A$1379,A1335,'Asset Log'!$E$5:$E$1379,E1335,'Asset Log'!$G$5:$G$1379,G1335)</f>
        <v>1</v>
      </c>
    </row>
    <row r="1336">
      <c r="A1336" t="inlineStr">
        <is>
          <t>D72453</t>
        </is>
      </c>
      <c r="B1336" s="11" t="n">
        <v>46185</v>
      </c>
      <c r="C1336" t="inlineStr">
        <is>
          <t>S0295</t>
        </is>
      </c>
      <c r="D1336" t="inlineStr">
        <is>
          <t>S0295</t>
        </is>
      </c>
      <c r="E1336" t="inlineStr">
        <is>
          <t>ST</t>
        </is>
      </c>
      <c r="F1336" t="n">
        <v>2</v>
      </c>
      <c r="G1336" t="inlineStr">
        <is>
          <t>IN</t>
        </is>
      </c>
      <c r="H1336">
        <f>IF(G1336="OUT",F1336,-F1336)</f>
        <v>-2</v>
      </c>
      <c r="I1336">
        <f>IF(AND(B1336&gt;=DATE(2025,7,1),B1336&lt;=DATE(2026,6,30)),1,0)</f>
        <v>1</v>
      </c>
      <c r="J1336">
        <f>IF(B1336&lt;=DATE(2026,6,30),1,0)</f>
        <v>1</v>
      </c>
      <c r="K1336" t="inlineStr"/>
      <c r="L1336" t="inlineStr">
        <is>
          <t>Office</t>
        </is>
      </c>
      <c r="M1336">
        <f>COUNTIFS('Asset Log'!$A$5:$A$1379,A1336,'Asset Log'!$E$5:$E$1379,E1336,'Asset Log'!$G$5:$G$1379,G1336)</f>
        <v>1</v>
      </c>
    </row>
    <row r="1337">
      <c r="A1337" t="inlineStr">
        <is>
          <t>D70072</t>
        </is>
      </c>
      <c r="B1337" s="11" t="n">
        <v>46186</v>
      </c>
      <c r="C1337" t="inlineStr">
        <is>
          <t>S0008</t>
        </is>
      </c>
      <c r="D1337" t="inlineStr">
        <is>
          <t>S0008</t>
        </is>
      </c>
      <c r="E1337" t="inlineStr">
        <is>
          <t>FP</t>
        </is>
      </c>
      <c r="F1337" t="n">
        <v>62</v>
      </c>
      <c r="G1337" t="inlineStr">
        <is>
          <t>IN</t>
        </is>
      </c>
      <c r="H1337">
        <f>IF(G1337="OUT",F1337,-F1337)</f>
        <v>-62</v>
      </c>
      <c r="I1337">
        <f>IF(AND(B1337&gt;=DATE(2025,7,1),B1337&lt;=DATE(2026,6,30)),1,0)</f>
        <v>1</v>
      </c>
      <c r="J1337">
        <f>IF(B1337&lt;=DATE(2026,6,30),1,0)</f>
        <v>1</v>
      </c>
      <c r="K1337" t="inlineStr"/>
      <c r="L1337" t="inlineStr">
        <is>
          <t>Office</t>
        </is>
      </c>
      <c r="M1337">
        <f>COUNTIFS('Asset Log'!$A$5:$A$1379,A1337,'Asset Log'!$E$5:$E$1379,E1337,'Asset Log'!$G$5:$G$1379,G1337)</f>
        <v>1</v>
      </c>
    </row>
    <row r="1338">
      <c r="A1338" t="inlineStr">
        <is>
          <t>D70075</t>
        </is>
      </c>
      <c r="B1338" s="11" t="n">
        <v>46186</v>
      </c>
      <c r="C1338" t="inlineStr">
        <is>
          <t>S0008</t>
        </is>
      </c>
      <c r="D1338" t="inlineStr">
        <is>
          <t>S0008</t>
        </is>
      </c>
      <c r="E1338" t="inlineStr">
        <is>
          <t>FB</t>
        </is>
      </c>
      <c r="F1338" t="n">
        <v>68</v>
      </c>
      <c r="G1338" t="inlineStr">
        <is>
          <t>IN</t>
        </is>
      </c>
      <c r="H1338">
        <f>IF(G1338="OUT",F1338,-F1338)</f>
        <v>-68</v>
      </c>
      <c r="I1338">
        <f>IF(AND(B1338&gt;=DATE(2025,7,1),B1338&lt;=DATE(2026,6,30)),1,0)</f>
        <v>1</v>
      </c>
      <c r="J1338">
        <f>IF(B1338&lt;=DATE(2026,6,30),1,0)</f>
        <v>1</v>
      </c>
      <c r="K1338" t="inlineStr"/>
      <c r="L1338" t="inlineStr">
        <is>
          <t>Office</t>
        </is>
      </c>
      <c r="M1338">
        <f>COUNTIFS('Asset Log'!$A$5:$A$1379,A1338,'Asset Log'!$E$5:$E$1379,E1338,'Asset Log'!$G$5:$G$1379,G1338)</f>
        <v>1</v>
      </c>
    </row>
    <row r="1339">
      <c r="A1339" t="inlineStr">
        <is>
          <t>D70079</t>
        </is>
      </c>
      <c r="B1339" s="11" t="n">
        <v>46186</v>
      </c>
      <c r="C1339" t="inlineStr">
        <is>
          <t>S0008</t>
        </is>
      </c>
      <c r="D1339" t="inlineStr">
        <is>
          <t>S0008</t>
        </is>
      </c>
      <c r="E1339" t="inlineStr">
        <is>
          <t>BR</t>
        </is>
      </c>
      <c r="F1339" t="n">
        <v>21</v>
      </c>
      <c r="G1339" t="inlineStr">
        <is>
          <t>IN</t>
        </is>
      </c>
      <c r="H1339">
        <f>IF(G1339="OUT",F1339,-F1339)</f>
        <v>-21</v>
      </c>
      <c r="I1339">
        <f>IF(AND(B1339&gt;=DATE(2025,7,1),B1339&lt;=DATE(2026,6,30)),1,0)</f>
        <v>1</v>
      </c>
      <c r="J1339">
        <f>IF(B1339&lt;=DATE(2026,6,30),1,0)</f>
        <v>1</v>
      </c>
      <c r="K1339" t="inlineStr"/>
      <c r="L1339" t="inlineStr">
        <is>
          <t>Driver</t>
        </is>
      </c>
      <c r="M1339">
        <f>COUNTIFS('Asset Log'!$A$5:$A$1379,A1339,'Asset Log'!$E$5:$E$1379,E1339,'Asset Log'!$G$5:$G$1379,G1339)</f>
        <v>1</v>
      </c>
    </row>
    <row r="1340">
      <c r="A1340" t="inlineStr">
        <is>
          <t>D70782</t>
        </is>
      </c>
      <c r="B1340" s="11" t="n">
        <v>46186</v>
      </c>
      <c r="C1340" t="inlineStr">
        <is>
          <t>S0083</t>
        </is>
      </c>
      <c r="D1340" t="inlineStr">
        <is>
          <t>S0083</t>
        </is>
      </c>
      <c r="E1340" t="inlineStr">
        <is>
          <t>FP</t>
        </is>
      </c>
      <c r="F1340" t="n">
        <v>111</v>
      </c>
      <c r="G1340" t="inlineStr">
        <is>
          <t>IN</t>
        </is>
      </c>
      <c r="H1340">
        <f>IF(G1340="OUT",F1340,-F1340)</f>
        <v>-111</v>
      </c>
      <c r="I1340">
        <f>IF(AND(B1340&gt;=DATE(2025,7,1),B1340&lt;=DATE(2026,6,30)),1,0)</f>
        <v>1</v>
      </c>
      <c r="J1340">
        <f>IF(B1340&lt;=DATE(2026,6,30),1,0)</f>
        <v>1</v>
      </c>
      <c r="K1340" t="inlineStr"/>
      <c r="L1340" t="inlineStr">
        <is>
          <t>Driver</t>
        </is>
      </c>
      <c r="M1340">
        <f>COUNTIFS('Asset Log'!$A$5:$A$1379,A1340,'Asset Log'!$E$5:$E$1379,E1340,'Asset Log'!$G$5:$G$1379,G1340)</f>
        <v>1</v>
      </c>
    </row>
    <row r="1341">
      <c r="A1341" t="inlineStr">
        <is>
          <t>D70786</t>
        </is>
      </c>
      <c r="B1341" s="11" t="n">
        <v>46186</v>
      </c>
      <c r="C1341" t="inlineStr">
        <is>
          <t>S0083</t>
        </is>
      </c>
      <c r="D1341" t="inlineStr">
        <is>
          <t>S0083</t>
        </is>
      </c>
      <c r="E1341" t="inlineStr">
        <is>
          <t>FB</t>
        </is>
      </c>
      <c r="F1341" t="n">
        <v>122</v>
      </c>
      <c r="G1341" t="inlineStr">
        <is>
          <t>IN</t>
        </is>
      </c>
      <c r="H1341">
        <f>IF(G1341="OUT",F1341,-F1341)</f>
        <v>-122</v>
      </c>
      <c r="I1341">
        <f>IF(AND(B1341&gt;=DATE(2025,7,1),B1341&lt;=DATE(2026,6,30)),1,0)</f>
        <v>1</v>
      </c>
      <c r="J1341">
        <f>IF(B1341&lt;=DATE(2026,6,30),1,0)</f>
        <v>1</v>
      </c>
      <c r="K1341" t="inlineStr"/>
      <c r="L1341" t="inlineStr">
        <is>
          <t>Driver</t>
        </is>
      </c>
      <c r="M1341">
        <f>COUNTIFS('Asset Log'!$A$5:$A$1379,A1341,'Asset Log'!$E$5:$E$1379,E1341,'Asset Log'!$G$5:$G$1379,G1341)</f>
        <v>1</v>
      </c>
    </row>
    <row r="1342">
      <c r="A1342" t="inlineStr">
        <is>
          <t>D70014</t>
        </is>
      </c>
      <c r="B1342" s="11" t="n">
        <v>46187</v>
      </c>
      <c r="C1342" t="inlineStr">
        <is>
          <t>S0002</t>
        </is>
      </c>
      <c r="D1342" t="inlineStr">
        <is>
          <t>S0002</t>
        </is>
      </c>
      <c r="E1342" t="inlineStr">
        <is>
          <t>FP</t>
        </is>
      </c>
      <c r="F1342" t="n">
        <v>13</v>
      </c>
      <c r="G1342" t="inlineStr">
        <is>
          <t>OUT</t>
        </is>
      </c>
      <c r="H1342">
        <f>IF(G1342="OUT",F1342,-F1342)</f>
        <v>13</v>
      </c>
      <c r="I1342">
        <f>IF(AND(B1342&gt;=DATE(2025,7,1),B1342&lt;=DATE(2026,6,30)),1,0)</f>
        <v>1</v>
      </c>
      <c r="J1342">
        <f>IF(B1342&lt;=DATE(2026,6,30),1,0)</f>
        <v>1</v>
      </c>
      <c r="K1342" t="inlineStr"/>
      <c r="L1342" t="inlineStr">
        <is>
          <t>Yard</t>
        </is>
      </c>
      <c r="M1342">
        <f>COUNTIFS('Asset Log'!$A$5:$A$1379,A1342,'Asset Log'!$E$5:$E$1379,E1342,'Asset Log'!$G$5:$G$1379,G1342)</f>
        <v>1</v>
      </c>
    </row>
    <row r="1343">
      <c r="A1343" t="inlineStr">
        <is>
          <t>D70019</t>
        </is>
      </c>
      <c r="B1343" s="11" t="n">
        <v>46187</v>
      </c>
      <c r="C1343" t="inlineStr">
        <is>
          <t>S0002</t>
        </is>
      </c>
      <c r="D1343" t="inlineStr">
        <is>
          <t>S0002</t>
        </is>
      </c>
      <c r="E1343" t="inlineStr">
        <is>
          <t>FB</t>
        </is>
      </c>
      <c r="F1343" t="n">
        <v>14</v>
      </c>
      <c r="G1343" t="inlineStr">
        <is>
          <t>OUT</t>
        </is>
      </c>
      <c r="H1343">
        <f>IF(G1343="OUT",F1343,-F1343)</f>
        <v>14</v>
      </c>
      <c r="I1343">
        <f>IF(AND(B1343&gt;=DATE(2025,7,1),B1343&lt;=DATE(2026,6,30)),1,0)</f>
        <v>1</v>
      </c>
      <c r="J1343">
        <f>IF(B1343&lt;=DATE(2026,6,30),1,0)</f>
        <v>1</v>
      </c>
      <c r="K1343" t="inlineStr"/>
      <c r="L1343" t="inlineStr">
        <is>
          <t>Yard</t>
        </is>
      </c>
      <c r="M1343">
        <f>COUNTIFS('Asset Log'!$A$5:$A$1379,A1343,'Asset Log'!$E$5:$E$1379,E1343,'Asset Log'!$G$5:$G$1379,G1343)</f>
        <v>1</v>
      </c>
    </row>
    <row r="1344">
      <c r="A1344" t="inlineStr">
        <is>
          <t>D70021</t>
        </is>
      </c>
      <c r="B1344" s="11" t="n">
        <v>46187</v>
      </c>
      <c r="C1344" t="inlineStr">
        <is>
          <t>S0002</t>
        </is>
      </c>
      <c r="D1344" t="inlineStr">
        <is>
          <t>S0002</t>
        </is>
      </c>
      <c r="E1344" t="inlineStr">
        <is>
          <t>BR</t>
        </is>
      </c>
      <c r="F1344" t="n">
        <v>13</v>
      </c>
      <c r="G1344" t="inlineStr">
        <is>
          <t>OUT</t>
        </is>
      </c>
      <c r="H1344">
        <f>IF(G1344="OUT",F1344,-F1344)</f>
        <v>13</v>
      </c>
      <c r="I1344">
        <f>IF(AND(B1344&gt;=DATE(2025,7,1),B1344&lt;=DATE(2026,6,30)),1,0)</f>
        <v>1</v>
      </c>
      <c r="J1344">
        <f>IF(B1344&lt;=DATE(2026,6,30),1,0)</f>
        <v>1</v>
      </c>
      <c r="K1344" t="inlineStr"/>
      <c r="L1344" t="inlineStr">
        <is>
          <t>Office</t>
        </is>
      </c>
      <c r="M1344">
        <f>COUNTIFS('Asset Log'!$A$5:$A$1379,A1344,'Asset Log'!$E$5:$E$1379,E1344,'Asset Log'!$G$5:$G$1379,G1344)</f>
        <v>1</v>
      </c>
    </row>
    <row r="1345">
      <c r="A1345" t="inlineStr">
        <is>
          <t>D70278</t>
        </is>
      </c>
      <c r="B1345" s="11" t="n">
        <v>46187</v>
      </c>
      <c r="C1345" t="inlineStr">
        <is>
          <t>S0030</t>
        </is>
      </c>
      <c r="D1345" t="inlineStr">
        <is>
          <t>S0030</t>
        </is>
      </c>
      <c r="E1345" t="inlineStr">
        <is>
          <t>FP</t>
        </is>
      </c>
      <c r="F1345" t="n">
        <v>136</v>
      </c>
      <c r="G1345" t="inlineStr">
        <is>
          <t>IN</t>
        </is>
      </c>
      <c r="H1345">
        <f>IF(G1345="OUT",F1345,-F1345)</f>
        <v>-136</v>
      </c>
      <c r="I1345">
        <f>IF(AND(B1345&gt;=DATE(2025,7,1),B1345&lt;=DATE(2026,6,30)),1,0)</f>
        <v>1</v>
      </c>
      <c r="J1345">
        <f>IF(B1345&lt;=DATE(2026,6,30),1,0)</f>
        <v>1</v>
      </c>
      <c r="K1345" t="inlineStr"/>
      <c r="L1345" t="inlineStr">
        <is>
          <t>Yard</t>
        </is>
      </c>
      <c r="M1345">
        <f>COUNTIFS('Asset Log'!$A$5:$A$1379,A1345,'Asset Log'!$E$5:$E$1379,E1345,'Asset Log'!$G$5:$G$1379,G1345)</f>
        <v>1</v>
      </c>
    </row>
    <row r="1346">
      <c r="A1346" t="inlineStr">
        <is>
          <t>D70280</t>
        </is>
      </c>
      <c r="B1346" s="11" t="n">
        <v>46187</v>
      </c>
      <c r="C1346" t="inlineStr">
        <is>
          <t>S0030</t>
        </is>
      </c>
      <c r="D1346" t="inlineStr">
        <is>
          <t>S0030</t>
        </is>
      </c>
      <c r="E1346" t="inlineStr">
        <is>
          <t>FB</t>
        </is>
      </c>
      <c r="F1346" t="n">
        <v>149</v>
      </c>
      <c r="G1346" t="inlineStr">
        <is>
          <t>IN</t>
        </is>
      </c>
      <c r="H1346">
        <f>IF(G1346="OUT",F1346,-F1346)</f>
        <v>-149</v>
      </c>
      <c r="I1346">
        <f>IF(AND(B1346&gt;=DATE(2025,7,1),B1346&lt;=DATE(2026,6,30)),1,0)</f>
        <v>1</v>
      </c>
      <c r="J1346">
        <f>IF(B1346&lt;=DATE(2026,6,30),1,0)</f>
        <v>1</v>
      </c>
      <c r="K1346" t="inlineStr"/>
      <c r="L1346" t="inlineStr">
        <is>
          <t>Yard</t>
        </is>
      </c>
      <c r="M1346">
        <f>COUNTIFS('Asset Log'!$A$5:$A$1379,A1346,'Asset Log'!$E$5:$E$1379,E1346,'Asset Log'!$G$5:$G$1379,G1346)</f>
        <v>1</v>
      </c>
    </row>
    <row r="1347">
      <c r="A1347" t="inlineStr">
        <is>
          <t>D70262</t>
        </is>
      </c>
      <c r="B1347" s="11" t="n">
        <v>46188</v>
      </c>
      <c r="C1347" t="inlineStr">
        <is>
          <t>S0028</t>
        </is>
      </c>
      <c r="D1347" t="inlineStr">
        <is>
          <t>S0028</t>
        </is>
      </c>
      <c r="E1347" t="inlineStr">
        <is>
          <t>FP</t>
        </is>
      </c>
      <c r="F1347" t="n">
        <v>102</v>
      </c>
      <c r="G1347" t="inlineStr">
        <is>
          <t>IN</t>
        </is>
      </c>
      <c r="H1347">
        <f>IF(G1347="OUT",F1347,-F1347)</f>
        <v>-102</v>
      </c>
      <c r="I1347">
        <f>IF(AND(B1347&gt;=DATE(2025,7,1),B1347&lt;=DATE(2026,6,30)),1,0)</f>
        <v>1</v>
      </c>
      <c r="J1347">
        <f>IF(B1347&lt;=DATE(2026,6,30),1,0)</f>
        <v>1</v>
      </c>
      <c r="K1347" t="inlineStr"/>
      <c r="L1347" t="inlineStr">
        <is>
          <t>Driver</t>
        </is>
      </c>
      <c r="M1347">
        <f>COUNTIFS('Asset Log'!$A$5:$A$1379,A1347,'Asset Log'!$E$5:$E$1379,E1347,'Asset Log'!$G$5:$G$1379,G1347)</f>
        <v>1</v>
      </c>
    </row>
    <row r="1348">
      <c r="A1348" t="inlineStr">
        <is>
          <t>D70266</t>
        </is>
      </c>
      <c r="B1348" s="11" t="n">
        <v>46188</v>
      </c>
      <c r="C1348" t="inlineStr">
        <is>
          <t>S0028</t>
        </is>
      </c>
      <c r="D1348" t="inlineStr">
        <is>
          <t>S0028</t>
        </is>
      </c>
      <c r="E1348" t="inlineStr">
        <is>
          <t>FB</t>
        </is>
      </c>
      <c r="F1348" t="n">
        <v>112</v>
      </c>
      <c r="G1348" t="inlineStr">
        <is>
          <t>IN</t>
        </is>
      </c>
      <c r="H1348">
        <f>IF(G1348="OUT",F1348,-F1348)</f>
        <v>-112</v>
      </c>
      <c r="I1348">
        <f>IF(AND(B1348&gt;=DATE(2025,7,1),B1348&lt;=DATE(2026,6,30)),1,0)</f>
        <v>1</v>
      </c>
      <c r="J1348">
        <f>IF(B1348&lt;=DATE(2026,6,30),1,0)</f>
        <v>1</v>
      </c>
      <c r="K1348" t="inlineStr"/>
      <c r="L1348" t="inlineStr">
        <is>
          <t>Office</t>
        </is>
      </c>
      <c r="M1348">
        <f>COUNTIFS('Asset Log'!$A$5:$A$1379,A1348,'Asset Log'!$E$5:$E$1379,E1348,'Asset Log'!$G$5:$G$1379,G1348)</f>
        <v>1</v>
      </c>
    </row>
    <row r="1349">
      <c r="A1349" t="inlineStr">
        <is>
          <t>D70269</t>
        </is>
      </c>
      <c r="B1349" s="11" t="n">
        <v>46188</v>
      </c>
      <c r="C1349" t="inlineStr">
        <is>
          <t>S0028</t>
        </is>
      </c>
      <c r="D1349" t="inlineStr">
        <is>
          <t>S0028</t>
        </is>
      </c>
      <c r="E1349" t="inlineStr">
        <is>
          <t>BR</t>
        </is>
      </c>
      <c r="F1349" t="n">
        <v>12</v>
      </c>
      <c r="G1349" t="inlineStr">
        <is>
          <t>IN</t>
        </is>
      </c>
      <c r="H1349">
        <f>IF(G1349="OUT",F1349,-F1349)</f>
        <v>-12</v>
      </c>
      <c r="I1349">
        <f>IF(AND(B1349&gt;=DATE(2025,7,1),B1349&lt;=DATE(2026,6,30)),1,0)</f>
        <v>1</v>
      </c>
      <c r="J1349">
        <f>IF(B1349&lt;=DATE(2026,6,30),1,0)</f>
        <v>1</v>
      </c>
      <c r="K1349" t="inlineStr"/>
      <c r="L1349" t="inlineStr">
        <is>
          <t>Driver</t>
        </is>
      </c>
      <c r="M1349">
        <f>COUNTIFS('Asset Log'!$A$5:$A$1379,A1349,'Asset Log'!$E$5:$E$1379,E1349,'Asset Log'!$G$5:$G$1379,G1349)</f>
        <v>1</v>
      </c>
    </row>
    <row r="1350">
      <c r="A1350" t="inlineStr">
        <is>
          <t>D70326</t>
        </is>
      </c>
      <c r="B1350" s="11" t="n">
        <v>46188</v>
      </c>
      <c r="C1350" t="inlineStr">
        <is>
          <t>S0035</t>
        </is>
      </c>
      <c r="D1350" t="inlineStr">
        <is>
          <t>S0035</t>
        </is>
      </c>
      <c r="E1350" t="inlineStr">
        <is>
          <t>FP</t>
        </is>
      </c>
      <c r="F1350" t="n">
        <v>98</v>
      </c>
      <c r="G1350" t="inlineStr">
        <is>
          <t>OUT</t>
        </is>
      </c>
      <c r="H1350">
        <f>IF(G1350="OUT",F1350,-F1350)</f>
        <v>98</v>
      </c>
      <c r="I1350">
        <f>IF(AND(B1350&gt;=DATE(2025,7,1),B1350&lt;=DATE(2026,6,30)),1,0)</f>
        <v>1</v>
      </c>
      <c r="J1350">
        <f>IF(B1350&lt;=DATE(2026,6,30),1,0)</f>
        <v>1</v>
      </c>
      <c r="K1350" t="inlineStr"/>
      <c r="L1350" t="inlineStr">
        <is>
          <t>Office</t>
        </is>
      </c>
      <c r="M1350">
        <f>COUNTIFS('Asset Log'!$A$5:$A$1379,A1350,'Asset Log'!$E$5:$E$1379,E1350,'Asset Log'!$G$5:$G$1379,G1350)</f>
        <v>1</v>
      </c>
    </row>
    <row r="1351">
      <c r="A1351" t="inlineStr">
        <is>
          <t>D70330</t>
        </is>
      </c>
      <c r="B1351" s="11" t="n">
        <v>46188</v>
      </c>
      <c r="C1351" t="inlineStr">
        <is>
          <t>S0035</t>
        </is>
      </c>
      <c r="D1351" t="inlineStr">
        <is>
          <t>S0035</t>
        </is>
      </c>
      <c r="E1351" t="inlineStr">
        <is>
          <t>FB</t>
        </is>
      </c>
      <c r="F1351" t="n">
        <v>107</v>
      </c>
      <c r="G1351" t="inlineStr">
        <is>
          <t>OUT</t>
        </is>
      </c>
      <c r="H1351">
        <f>IF(G1351="OUT",F1351,-F1351)</f>
        <v>107</v>
      </c>
      <c r="I1351">
        <f>IF(AND(B1351&gt;=DATE(2025,7,1),B1351&lt;=DATE(2026,6,30)),1,0)</f>
        <v>1</v>
      </c>
      <c r="J1351">
        <f>IF(B1351&lt;=DATE(2026,6,30),1,0)</f>
        <v>1</v>
      </c>
      <c r="K1351" t="inlineStr"/>
      <c r="L1351" t="inlineStr">
        <is>
          <t>Office</t>
        </is>
      </c>
      <c r="M1351">
        <f>COUNTIFS('Asset Log'!$A$5:$A$1379,A1351,'Asset Log'!$E$5:$E$1379,E1351,'Asset Log'!$G$5:$G$1379,G1351)</f>
        <v>1</v>
      </c>
    </row>
    <row r="1352">
      <c r="A1352" t="inlineStr">
        <is>
          <t>D72577</t>
        </is>
      </c>
      <c r="B1352" s="11" t="n">
        <v>46188</v>
      </c>
      <c r="C1352" t="inlineStr">
        <is>
          <t>S0380</t>
        </is>
      </c>
      <c r="D1352" t="inlineStr">
        <is>
          <t>S0380</t>
        </is>
      </c>
      <c r="E1352" t="inlineStr">
        <is>
          <t>TK</t>
        </is>
      </c>
      <c r="F1352" t="n">
        <v>3</v>
      </c>
      <c r="G1352" t="inlineStr">
        <is>
          <t>IN</t>
        </is>
      </c>
      <c r="H1352">
        <f>IF(G1352="OUT",F1352,-F1352)</f>
        <v>-3</v>
      </c>
      <c r="I1352">
        <f>IF(AND(B1352&gt;=DATE(2025,7,1),B1352&lt;=DATE(2026,6,30)),1,0)</f>
        <v>1</v>
      </c>
      <c r="J1352">
        <f>IF(B1352&lt;=DATE(2026,6,30),1,0)</f>
        <v>1</v>
      </c>
      <c r="K1352" t="inlineStr"/>
      <c r="L1352" t="inlineStr">
        <is>
          <t>Driver</t>
        </is>
      </c>
      <c r="M1352">
        <f>COUNTIFS('Asset Log'!$A$5:$A$1379,A1352,'Asset Log'!$E$5:$E$1379,E1352,'Asset Log'!$G$5:$G$1379,G1352)</f>
        <v>1</v>
      </c>
    </row>
    <row r="1353">
      <c r="A1353" t="inlineStr">
        <is>
          <t>D72364</t>
        </is>
      </c>
      <c r="B1353" s="11" t="n">
        <v>46189</v>
      </c>
      <c r="C1353" t="inlineStr">
        <is>
          <t>S0273</t>
        </is>
      </c>
      <c r="D1353" t="inlineStr">
        <is>
          <t>S0273</t>
        </is>
      </c>
      <c r="E1353" t="inlineStr">
        <is>
          <t>ST</t>
        </is>
      </c>
      <c r="F1353" t="n">
        <v>2</v>
      </c>
      <c r="G1353" t="inlineStr">
        <is>
          <t>IN</t>
        </is>
      </c>
      <c r="H1353">
        <f>IF(G1353="OUT",F1353,-F1353)</f>
        <v>-2</v>
      </c>
      <c r="I1353">
        <f>IF(AND(B1353&gt;=DATE(2025,7,1),B1353&lt;=DATE(2026,6,30)),1,0)</f>
        <v>1</v>
      </c>
      <c r="J1353">
        <f>IF(B1353&lt;=DATE(2026,6,30),1,0)</f>
        <v>1</v>
      </c>
      <c r="K1353" t="inlineStr"/>
      <c r="L1353" t="inlineStr">
        <is>
          <t>Office</t>
        </is>
      </c>
      <c r="M1353">
        <f>COUNTIFS('Asset Log'!$A$5:$A$1379,A1353,'Asset Log'!$E$5:$E$1379,E1353,'Asset Log'!$G$5:$G$1379,G1353)</f>
        <v>1</v>
      </c>
    </row>
    <row r="1354">
      <c r="A1354" t="inlineStr">
        <is>
          <t>D70811</t>
        </is>
      </c>
      <c r="B1354" s="11" t="n">
        <v>46190</v>
      </c>
      <c r="C1354" t="inlineStr">
        <is>
          <t>S0086</t>
        </is>
      </c>
      <c r="D1354" t="inlineStr">
        <is>
          <t>S0086</t>
        </is>
      </c>
      <c r="E1354" t="inlineStr">
        <is>
          <t>FP</t>
        </is>
      </c>
      <c r="F1354" t="n">
        <v>23</v>
      </c>
      <c r="G1354" t="inlineStr">
        <is>
          <t>IN</t>
        </is>
      </c>
      <c r="H1354">
        <f>IF(G1354="OUT",F1354,-F1354)</f>
        <v>-23</v>
      </c>
      <c r="I1354">
        <f>IF(AND(B1354&gt;=DATE(2025,7,1),B1354&lt;=DATE(2026,6,30)),1,0)</f>
        <v>1</v>
      </c>
      <c r="J1354">
        <f>IF(B1354&lt;=DATE(2026,6,30),1,0)</f>
        <v>1</v>
      </c>
      <c r="K1354" t="inlineStr"/>
      <c r="L1354" t="inlineStr">
        <is>
          <t>Office</t>
        </is>
      </c>
      <c r="M1354">
        <f>COUNTIFS('Asset Log'!$A$5:$A$1379,A1354,'Asset Log'!$E$5:$E$1379,E1354,'Asset Log'!$G$5:$G$1379,G1354)</f>
        <v>1</v>
      </c>
    </row>
    <row r="1355">
      <c r="A1355" t="inlineStr">
        <is>
          <t>D70814</t>
        </is>
      </c>
      <c r="B1355" s="11" t="n">
        <v>46190</v>
      </c>
      <c r="C1355" t="inlineStr">
        <is>
          <t>S0086</t>
        </is>
      </c>
      <c r="D1355" t="inlineStr">
        <is>
          <t>S0086</t>
        </is>
      </c>
      <c r="E1355" t="inlineStr">
        <is>
          <t>FB</t>
        </is>
      </c>
      <c r="F1355" t="n">
        <v>31</v>
      </c>
      <c r="G1355" t="inlineStr">
        <is>
          <t>IN</t>
        </is>
      </c>
      <c r="H1355">
        <f>IF(G1355="OUT",F1355,-F1355)</f>
        <v>-31</v>
      </c>
      <c r="I1355">
        <f>IF(AND(B1355&gt;=DATE(2025,7,1),B1355&lt;=DATE(2026,6,30)),1,0)</f>
        <v>1</v>
      </c>
      <c r="J1355">
        <f>IF(B1355&lt;=DATE(2026,6,30),1,0)</f>
        <v>1</v>
      </c>
      <c r="K1355" t="inlineStr"/>
      <c r="L1355" t="inlineStr">
        <is>
          <t>Driver</t>
        </is>
      </c>
      <c r="M1355">
        <f>COUNTIFS('Asset Log'!$A$5:$A$1379,A1355,'Asset Log'!$E$5:$E$1379,E1355,'Asset Log'!$G$5:$G$1379,G1355)</f>
        <v>1</v>
      </c>
    </row>
    <row r="1356">
      <c r="A1356" t="inlineStr">
        <is>
          <t>D72556</t>
        </is>
      </c>
      <c r="B1356" s="11" t="n">
        <v>46190</v>
      </c>
      <c r="C1356" t="inlineStr">
        <is>
          <t>S0369</t>
        </is>
      </c>
      <c r="D1356" t="inlineStr">
        <is>
          <t>S0369</t>
        </is>
      </c>
      <c r="E1356" t="inlineStr">
        <is>
          <t>TK</t>
        </is>
      </c>
      <c r="F1356" t="n">
        <v>2</v>
      </c>
      <c r="G1356" t="inlineStr">
        <is>
          <t>OUT</t>
        </is>
      </c>
      <c r="H1356">
        <f>IF(G1356="OUT",F1356,-F1356)</f>
        <v>2</v>
      </c>
      <c r="I1356">
        <f>IF(AND(B1356&gt;=DATE(2025,7,1),B1356&lt;=DATE(2026,6,30)),1,0)</f>
        <v>1</v>
      </c>
      <c r="J1356">
        <f>IF(B1356&lt;=DATE(2026,6,30),1,0)</f>
        <v>1</v>
      </c>
      <c r="K1356" t="inlineStr"/>
      <c r="L1356" t="inlineStr">
        <is>
          <t>Driver</t>
        </is>
      </c>
      <c r="M1356">
        <f>COUNTIFS('Asset Log'!$A$5:$A$1379,A1356,'Asset Log'!$E$5:$E$1379,E1356,'Asset Log'!$G$5:$G$1379,G1356)</f>
        <v>1</v>
      </c>
    </row>
    <row r="1357">
      <c r="A1357" t="inlineStr">
        <is>
          <t>D71448</t>
        </is>
      </c>
      <c r="B1357" s="11" t="n">
        <v>46192</v>
      </c>
      <c r="C1357" t="inlineStr">
        <is>
          <t>S0152</t>
        </is>
      </c>
      <c r="D1357" t="inlineStr">
        <is>
          <t>S0152</t>
        </is>
      </c>
      <c r="E1357" t="inlineStr">
        <is>
          <t>FP</t>
        </is>
      </c>
      <c r="F1357" t="n">
        <v>127</v>
      </c>
      <c r="G1357" t="inlineStr">
        <is>
          <t>IN</t>
        </is>
      </c>
      <c r="H1357">
        <f>IF(G1357="OUT",F1357,-F1357)</f>
        <v>-127</v>
      </c>
      <c r="I1357">
        <f>IF(AND(B1357&gt;=DATE(2025,7,1),B1357&lt;=DATE(2026,6,30)),1,0)</f>
        <v>1</v>
      </c>
      <c r="J1357">
        <f>IF(B1357&lt;=DATE(2026,6,30),1,0)</f>
        <v>1</v>
      </c>
      <c r="K1357" t="inlineStr"/>
      <c r="L1357" t="inlineStr">
        <is>
          <t>Office</t>
        </is>
      </c>
      <c r="M1357">
        <f>COUNTIFS('Asset Log'!$A$5:$A$1379,A1357,'Asset Log'!$E$5:$E$1379,E1357,'Asset Log'!$G$5:$G$1379,G1357)</f>
        <v>1</v>
      </c>
    </row>
    <row r="1358">
      <c r="A1358" t="inlineStr">
        <is>
          <t>D71452</t>
        </is>
      </c>
      <c r="B1358" s="11" t="n">
        <v>46192</v>
      </c>
      <c r="C1358" t="inlineStr">
        <is>
          <t>S0152</t>
        </is>
      </c>
      <c r="D1358" t="inlineStr">
        <is>
          <t>S0152</t>
        </is>
      </c>
      <c r="E1358" t="inlineStr">
        <is>
          <t>FB</t>
        </is>
      </c>
      <c r="F1358" t="n">
        <v>139</v>
      </c>
      <c r="G1358" t="inlineStr">
        <is>
          <t>IN</t>
        </is>
      </c>
      <c r="H1358">
        <f>IF(G1358="OUT",F1358,-F1358)</f>
        <v>-139</v>
      </c>
      <c r="I1358">
        <f>IF(AND(B1358&gt;=DATE(2025,7,1),B1358&lt;=DATE(2026,6,30)),1,0)</f>
        <v>1</v>
      </c>
      <c r="J1358">
        <f>IF(B1358&lt;=DATE(2026,6,30),1,0)</f>
        <v>1</v>
      </c>
      <c r="K1358" t="inlineStr"/>
      <c r="L1358" t="inlineStr">
        <is>
          <t>Driver</t>
        </is>
      </c>
      <c r="M1358">
        <f>COUNTIFS('Asset Log'!$A$5:$A$1379,A1358,'Asset Log'!$E$5:$E$1379,E1358,'Asset Log'!$G$5:$G$1379,G1358)</f>
        <v>1</v>
      </c>
    </row>
    <row r="1359">
      <c r="A1359" t="inlineStr">
        <is>
          <t>D71456</t>
        </is>
      </c>
      <c r="B1359" s="11" t="n">
        <v>46192</v>
      </c>
      <c r="C1359" t="inlineStr">
        <is>
          <t>S0152</t>
        </is>
      </c>
      <c r="D1359" t="inlineStr">
        <is>
          <t>S0152</t>
        </is>
      </c>
      <c r="E1359" t="inlineStr">
        <is>
          <t>BR</t>
        </is>
      </c>
      <c r="F1359" t="n">
        <v>21</v>
      </c>
      <c r="G1359" t="inlineStr">
        <is>
          <t>IN</t>
        </is>
      </c>
      <c r="H1359">
        <f>IF(G1359="OUT",F1359,-F1359)</f>
        <v>-21</v>
      </c>
      <c r="I1359">
        <f>IF(AND(B1359&gt;=DATE(2025,7,1),B1359&lt;=DATE(2026,6,30)),1,0)</f>
        <v>1</v>
      </c>
      <c r="J1359">
        <f>IF(B1359&lt;=DATE(2026,6,30),1,0)</f>
        <v>1</v>
      </c>
      <c r="K1359" t="inlineStr"/>
      <c r="L1359" t="inlineStr">
        <is>
          <t>Office</t>
        </is>
      </c>
      <c r="M1359">
        <f>COUNTIFS('Asset Log'!$A$5:$A$1379,A1359,'Asset Log'!$E$5:$E$1379,E1359,'Asset Log'!$G$5:$G$1379,G1359)</f>
        <v>1</v>
      </c>
    </row>
    <row r="1360">
      <c r="A1360" t="inlineStr">
        <is>
          <t>D71877</t>
        </is>
      </c>
      <c r="B1360" s="11" t="n">
        <v>46192</v>
      </c>
      <c r="C1360" t="inlineStr">
        <is>
          <t>S0198</t>
        </is>
      </c>
      <c r="D1360" t="inlineStr">
        <is>
          <t>S0198</t>
        </is>
      </c>
      <c r="E1360" t="inlineStr">
        <is>
          <t>FP</t>
        </is>
      </c>
      <c r="F1360" t="n">
        <v>84</v>
      </c>
      <c r="G1360" t="inlineStr">
        <is>
          <t>OUT</t>
        </is>
      </c>
      <c r="H1360">
        <f>IF(G1360="OUT",F1360,-F1360)</f>
        <v>84</v>
      </c>
      <c r="I1360">
        <f>IF(AND(B1360&gt;=DATE(2025,7,1),B1360&lt;=DATE(2026,6,30)),1,0)</f>
        <v>1</v>
      </c>
      <c r="J1360">
        <f>IF(B1360&lt;=DATE(2026,6,30),1,0)</f>
        <v>1</v>
      </c>
      <c r="K1360" t="inlineStr"/>
      <c r="L1360" t="inlineStr">
        <is>
          <t>Office</t>
        </is>
      </c>
      <c r="M1360">
        <f>COUNTIFS('Asset Log'!$A$5:$A$1379,A1360,'Asset Log'!$E$5:$E$1379,E1360,'Asset Log'!$G$5:$G$1379,G1360)</f>
        <v>1</v>
      </c>
    </row>
    <row r="1361">
      <c r="A1361" t="inlineStr">
        <is>
          <t>D71879</t>
        </is>
      </c>
      <c r="B1361" s="11" t="n">
        <v>46192</v>
      </c>
      <c r="C1361" t="inlineStr">
        <is>
          <t>S0198</t>
        </is>
      </c>
      <c r="D1361" t="inlineStr">
        <is>
          <t>S0198</t>
        </is>
      </c>
      <c r="E1361" t="inlineStr">
        <is>
          <t>FB</t>
        </is>
      </c>
      <c r="F1361" t="n">
        <v>92</v>
      </c>
      <c r="G1361" t="inlineStr">
        <is>
          <t>OUT</t>
        </is>
      </c>
      <c r="H1361">
        <f>IF(G1361="OUT",F1361,-F1361)</f>
        <v>92</v>
      </c>
      <c r="I1361">
        <f>IF(AND(B1361&gt;=DATE(2025,7,1),B1361&lt;=DATE(2026,6,30)),1,0)</f>
        <v>1</v>
      </c>
      <c r="J1361">
        <f>IF(B1361&lt;=DATE(2026,6,30),1,0)</f>
        <v>1</v>
      </c>
      <c r="K1361" t="inlineStr"/>
      <c r="L1361" t="inlineStr">
        <is>
          <t>Driver</t>
        </is>
      </c>
      <c r="M1361">
        <f>COUNTIFS('Asset Log'!$A$5:$A$1379,A1361,'Asset Log'!$E$5:$E$1379,E1361,'Asset Log'!$G$5:$G$1379,G1361)</f>
        <v>1</v>
      </c>
    </row>
    <row r="1362">
      <c r="A1362" t="inlineStr">
        <is>
          <t>D72590</t>
        </is>
      </c>
      <c r="B1362" s="11" t="n">
        <v>46192</v>
      </c>
      <c r="C1362" t="inlineStr">
        <is>
          <t>S0387</t>
        </is>
      </c>
      <c r="D1362" t="inlineStr">
        <is>
          <t>S0387</t>
        </is>
      </c>
      <c r="E1362" t="inlineStr">
        <is>
          <t>TK</t>
        </is>
      </c>
      <c r="F1362" t="n">
        <v>2</v>
      </c>
      <c r="G1362" t="inlineStr">
        <is>
          <t>OUT</t>
        </is>
      </c>
      <c r="H1362">
        <f>IF(G1362="OUT",F1362,-F1362)</f>
        <v>2</v>
      </c>
      <c r="I1362">
        <f>IF(AND(B1362&gt;=DATE(2025,7,1),B1362&lt;=DATE(2026,6,30)),1,0)</f>
        <v>1</v>
      </c>
      <c r="J1362">
        <f>IF(B1362&lt;=DATE(2026,6,30),1,0)</f>
        <v>1</v>
      </c>
      <c r="K1362" t="inlineStr"/>
      <c r="L1362" t="inlineStr">
        <is>
          <t>Driver</t>
        </is>
      </c>
      <c r="M1362">
        <f>COUNTIFS('Asset Log'!$A$5:$A$1379,A1362,'Asset Log'!$E$5:$E$1379,E1362,'Asset Log'!$G$5:$G$1379,G1362)</f>
        <v>1</v>
      </c>
    </row>
    <row r="1363">
      <c r="A1363" t="inlineStr">
        <is>
          <t>D71108</t>
        </is>
      </c>
      <c r="B1363" s="11" t="n">
        <v>46194</v>
      </c>
      <c r="C1363" t="inlineStr">
        <is>
          <t>S0118</t>
        </is>
      </c>
      <c r="D1363" t="inlineStr">
        <is>
          <t>S0118</t>
        </is>
      </c>
      <c r="E1363" t="inlineStr">
        <is>
          <t>FP</t>
        </is>
      </c>
      <c r="F1363" t="n">
        <v>136</v>
      </c>
      <c r="G1363" t="inlineStr">
        <is>
          <t>OUT</t>
        </is>
      </c>
      <c r="H1363">
        <f>IF(G1363="OUT",F1363,-F1363)</f>
        <v>136</v>
      </c>
      <c r="I1363">
        <f>IF(AND(B1363&gt;=DATE(2025,7,1),B1363&lt;=DATE(2026,6,30)),1,0)</f>
        <v>1</v>
      </c>
      <c r="J1363">
        <f>IF(B1363&lt;=DATE(2026,6,30),1,0)</f>
        <v>1</v>
      </c>
      <c r="K1363" t="inlineStr"/>
      <c r="L1363" t="inlineStr">
        <is>
          <t>Office</t>
        </is>
      </c>
      <c r="M1363">
        <f>COUNTIFS('Asset Log'!$A$5:$A$1379,A1363,'Asset Log'!$E$5:$E$1379,E1363,'Asset Log'!$G$5:$G$1379,G1363)</f>
        <v>1</v>
      </c>
    </row>
    <row r="1364">
      <c r="A1364" t="inlineStr">
        <is>
          <t>D71112</t>
        </is>
      </c>
      <c r="B1364" s="11" t="n">
        <v>46194</v>
      </c>
      <c r="C1364" t="inlineStr">
        <is>
          <t>S0118</t>
        </is>
      </c>
      <c r="D1364" t="inlineStr">
        <is>
          <t>S0118</t>
        </is>
      </c>
      <c r="E1364" t="inlineStr">
        <is>
          <t>FB</t>
        </is>
      </c>
      <c r="F1364" t="n">
        <v>149</v>
      </c>
      <c r="G1364" t="inlineStr">
        <is>
          <t>OUT</t>
        </is>
      </c>
      <c r="H1364">
        <f>IF(G1364="OUT",F1364,-F1364)</f>
        <v>149</v>
      </c>
      <c r="I1364">
        <f>IF(AND(B1364&gt;=DATE(2025,7,1),B1364&lt;=DATE(2026,6,30)),1,0)</f>
        <v>1</v>
      </c>
      <c r="J1364">
        <f>IF(B1364&lt;=DATE(2026,6,30),1,0)</f>
        <v>1</v>
      </c>
      <c r="K1364" t="inlineStr"/>
      <c r="L1364" t="inlineStr">
        <is>
          <t>Yard</t>
        </is>
      </c>
      <c r="M1364">
        <f>COUNTIFS('Asset Log'!$A$5:$A$1379,A1364,'Asset Log'!$E$5:$E$1379,E1364,'Asset Log'!$G$5:$G$1379,G1364)</f>
        <v>1</v>
      </c>
    </row>
    <row r="1365">
      <c r="A1365" t="inlineStr">
        <is>
          <t>D72548</t>
        </is>
      </c>
      <c r="B1365" s="11" t="n">
        <v>46194</v>
      </c>
      <c r="C1365" t="inlineStr">
        <is>
          <t>s356</t>
        </is>
      </c>
      <c r="D1365" t="inlineStr">
        <is>
          <t>S0356</t>
        </is>
      </c>
      <c r="E1365" t="inlineStr">
        <is>
          <t>TK</t>
        </is>
      </c>
      <c r="F1365" t="n">
        <v>3</v>
      </c>
      <c r="G1365" t="inlineStr">
        <is>
          <t>OUT</t>
        </is>
      </c>
      <c r="H1365">
        <f>IF(G1365="OUT",F1365,-F1365)</f>
        <v>3</v>
      </c>
      <c r="I1365">
        <f>IF(AND(B1365&gt;=DATE(2025,7,1),B1365&lt;=DATE(2026,6,30)),1,0)</f>
        <v>1</v>
      </c>
      <c r="J1365">
        <f>IF(B1365&lt;=DATE(2026,6,30),1,0)</f>
        <v>1</v>
      </c>
      <c r="K1365" t="inlineStr">
        <is>
          <t>Site text normalised</t>
        </is>
      </c>
      <c r="L1365" t="inlineStr">
        <is>
          <t>Office</t>
        </is>
      </c>
      <c r="M1365">
        <f>COUNTIFS('Asset Log'!$A$5:$A$1379,A1365,'Asset Log'!$E$5:$E$1379,E1365,'Asset Log'!$G$5:$G$1379,G1365)</f>
        <v>1</v>
      </c>
    </row>
    <row r="1366">
      <c r="A1366" t="inlineStr">
        <is>
          <t>D72558</t>
        </is>
      </c>
      <c r="B1366" s="11" t="n">
        <v>46197</v>
      </c>
      <c r="C1366" t="inlineStr">
        <is>
          <t>S0369</t>
        </is>
      </c>
      <c r="D1366" t="inlineStr">
        <is>
          <t>S0369</t>
        </is>
      </c>
      <c r="E1366" t="inlineStr">
        <is>
          <t>TK</t>
        </is>
      </c>
      <c r="F1366" t="n">
        <v>2</v>
      </c>
      <c r="G1366" t="inlineStr">
        <is>
          <t>IN</t>
        </is>
      </c>
      <c r="H1366">
        <f>IF(G1366="OUT",F1366,-F1366)</f>
        <v>-2</v>
      </c>
      <c r="I1366">
        <f>IF(AND(B1366&gt;=DATE(2025,7,1),B1366&lt;=DATE(2026,6,30)),1,0)</f>
        <v>1</v>
      </c>
      <c r="J1366">
        <f>IF(B1366&lt;=DATE(2026,6,30),1,0)</f>
        <v>1</v>
      </c>
      <c r="K1366" t="inlineStr"/>
      <c r="L1366" t="inlineStr">
        <is>
          <t>Driver</t>
        </is>
      </c>
      <c r="M1366">
        <f>COUNTIFS('Asset Log'!$A$5:$A$1379,A1366,'Asset Log'!$E$5:$E$1379,E1366,'Asset Log'!$G$5:$G$1379,G1366)</f>
        <v>1</v>
      </c>
    </row>
    <row r="1367">
      <c r="A1367" t="inlineStr">
        <is>
          <t>D72649</t>
        </is>
      </c>
      <c r="B1367" s="11" t="n">
        <v>46197</v>
      </c>
      <c r="C1367" t="inlineStr">
        <is>
          <t>S0420</t>
        </is>
      </c>
      <c r="D1367" t="inlineStr">
        <is>
          <t>S0420</t>
        </is>
      </c>
      <c r="E1367" t="inlineStr">
        <is>
          <t>TK</t>
        </is>
      </c>
      <c r="F1367" t="n">
        <v>2</v>
      </c>
      <c r="G1367" t="inlineStr">
        <is>
          <t>IN</t>
        </is>
      </c>
      <c r="H1367">
        <f>IF(G1367="OUT",F1367,-F1367)</f>
        <v>-2</v>
      </c>
      <c r="I1367">
        <f>IF(AND(B1367&gt;=DATE(2025,7,1),B1367&lt;=DATE(2026,6,30)),1,0)</f>
        <v>1</v>
      </c>
      <c r="J1367">
        <f>IF(B1367&lt;=DATE(2026,6,30),1,0)</f>
        <v>1</v>
      </c>
      <c r="K1367" t="inlineStr"/>
      <c r="L1367" t="inlineStr">
        <is>
          <t>Yard</t>
        </is>
      </c>
      <c r="M1367">
        <f>COUNTIFS('Asset Log'!$A$5:$A$1379,A1367,'Asset Log'!$E$5:$E$1379,E1367,'Asset Log'!$G$5:$G$1379,G1367)</f>
        <v>1</v>
      </c>
    </row>
    <row r="1368">
      <c r="A1368" t="inlineStr">
        <is>
          <t>D72748</t>
        </is>
      </c>
      <c r="B1368" s="11" t="n">
        <v>46197</v>
      </c>
      <c r="C1368" t="inlineStr">
        <is>
          <t>s490</t>
        </is>
      </c>
      <c r="D1368" t="inlineStr">
        <is>
          <t>S0490</t>
        </is>
      </c>
      <c r="E1368" t="inlineStr">
        <is>
          <t>TK</t>
        </is>
      </c>
      <c r="F1368" t="n">
        <v>1</v>
      </c>
      <c r="G1368" t="inlineStr">
        <is>
          <t>IN</t>
        </is>
      </c>
      <c r="H1368">
        <f>IF(G1368="OUT",F1368,-F1368)</f>
        <v>-1</v>
      </c>
      <c r="I1368">
        <f>IF(AND(B1368&gt;=DATE(2025,7,1),B1368&lt;=DATE(2026,6,30)),1,0)</f>
        <v>1</v>
      </c>
      <c r="J1368">
        <f>IF(B1368&lt;=DATE(2026,6,30),1,0)</f>
        <v>1</v>
      </c>
      <c r="K1368" t="inlineStr">
        <is>
          <t>Site text normalised</t>
        </is>
      </c>
      <c r="L1368" t="inlineStr">
        <is>
          <t>Driver</t>
        </is>
      </c>
      <c r="M1368">
        <f>COUNTIFS('Asset Log'!$A$5:$A$1379,A1368,'Asset Log'!$E$5:$E$1379,E1368,'Asset Log'!$G$5:$G$1379,G1368)</f>
        <v>1</v>
      </c>
    </row>
    <row r="1369">
      <c r="A1369" t="inlineStr">
        <is>
          <t>D72405</t>
        </is>
      </c>
      <c r="B1369" s="11" t="n">
        <v>46198</v>
      </c>
      <c r="C1369" t="inlineStr">
        <is>
          <t>283</t>
        </is>
      </c>
      <c r="D1369" t="inlineStr">
        <is>
          <t>S0283</t>
        </is>
      </c>
      <c r="E1369" t="inlineStr">
        <is>
          <t>ST</t>
        </is>
      </c>
      <c r="F1369" t="n">
        <v>2</v>
      </c>
      <c r="G1369" t="inlineStr">
        <is>
          <t>IN</t>
        </is>
      </c>
      <c r="H1369">
        <f>IF(G1369="OUT",F1369,-F1369)</f>
        <v>-2</v>
      </c>
      <c r="I1369">
        <f>IF(AND(B1369&gt;=DATE(2025,7,1),B1369&lt;=DATE(2026,6,30)),1,0)</f>
        <v>1</v>
      </c>
      <c r="J1369">
        <f>IF(B1369&lt;=DATE(2026,6,30),1,0)</f>
        <v>1</v>
      </c>
      <c r="K1369" t="inlineStr">
        <is>
          <t>Site text normalised</t>
        </is>
      </c>
      <c r="L1369" t="inlineStr">
        <is>
          <t>Driver</t>
        </is>
      </c>
      <c r="M1369">
        <f>COUNTIFS('Asset Log'!$A$5:$A$1379,A1369,'Asset Log'!$E$5:$E$1379,E1369,'Asset Log'!$G$5:$G$1379,G1369)</f>
        <v>1</v>
      </c>
    </row>
    <row r="1370">
      <c r="A1370" t="inlineStr">
        <is>
          <t>D70180</t>
        </is>
      </c>
      <c r="B1370" s="11" t="n">
        <v>46199</v>
      </c>
      <c r="C1370" t="inlineStr">
        <is>
          <t>S0020</t>
        </is>
      </c>
      <c r="D1370" t="inlineStr">
        <is>
          <t>S0020</t>
        </is>
      </c>
      <c r="E1370" t="inlineStr">
        <is>
          <t>FP</t>
        </is>
      </c>
      <c r="F1370" t="n">
        <v>19</v>
      </c>
      <c r="G1370" t="inlineStr">
        <is>
          <t>IN</t>
        </is>
      </c>
      <c r="H1370">
        <f>IF(G1370="OUT",F1370,-F1370)</f>
        <v>-19</v>
      </c>
      <c r="I1370">
        <f>IF(AND(B1370&gt;=DATE(2025,7,1),B1370&lt;=DATE(2026,6,30)),1,0)</f>
        <v>1</v>
      </c>
      <c r="J1370">
        <f>IF(B1370&lt;=DATE(2026,6,30),1,0)</f>
        <v>1</v>
      </c>
      <c r="K1370" t="inlineStr"/>
      <c r="L1370" t="inlineStr">
        <is>
          <t>Office</t>
        </is>
      </c>
      <c r="M1370">
        <f>COUNTIFS('Asset Log'!$A$5:$A$1379,A1370,'Asset Log'!$E$5:$E$1379,E1370,'Asset Log'!$G$5:$G$1379,G1370)</f>
        <v>1</v>
      </c>
    </row>
    <row r="1371">
      <c r="A1371" t="inlineStr">
        <is>
          <t>D70187</t>
        </is>
      </c>
      <c r="B1371" s="11" t="n">
        <v>46199</v>
      </c>
      <c r="C1371" t="inlineStr">
        <is>
          <t>S0020</t>
        </is>
      </c>
      <c r="D1371" t="inlineStr">
        <is>
          <t>S0020</t>
        </is>
      </c>
      <c r="E1371" t="inlineStr">
        <is>
          <t>FB</t>
        </is>
      </c>
      <c r="F1371" t="n">
        <v>19</v>
      </c>
      <c r="G1371" t="inlineStr">
        <is>
          <t>IN</t>
        </is>
      </c>
      <c r="H1371">
        <f>IF(G1371="OUT",F1371,-F1371)</f>
        <v>-19</v>
      </c>
      <c r="I1371">
        <f>IF(AND(B1371&gt;=DATE(2025,7,1),B1371&lt;=DATE(2026,6,30)),1,0)</f>
        <v>1</v>
      </c>
      <c r="J1371">
        <f>IF(B1371&lt;=DATE(2026,6,30),1,0)</f>
        <v>1</v>
      </c>
      <c r="K1371" t="inlineStr"/>
      <c r="L1371" t="inlineStr">
        <is>
          <t>Office</t>
        </is>
      </c>
      <c r="M1371">
        <f>COUNTIFS('Asset Log'!$A$5:$A$1379,A1371,'Asset Log'!$E$5:$E$1379,E1371,'Asset Log'!$G$5:$G$1379,G1371)</f>
        <v>1</v>
      </c>
    </row>
    <row r="1372">
      <c r="A1372" t="inlineStr">
        <is>
          <t>D72726</t>
        </is>
      </c>
      <c r="B1372" s="11" t="n">
        <v>46199</v>
      </c>
      <c r="C1372" t="inlineStr">
        <is>
          <t>S0475</t>
        </is>
      </c>
      <c r="D1372" t="inlineStr">
        <is>
          <t>S0475</t>
        </is>
      </c>
      <c r="E1372" t="inlineStr">
        <is>
          <t>TK</t>
        </is>
      </c>
      <c r="F1372" t="n">
        <v>1</v>
      </c>
      <c r="G1372" t="inlineStr">
        <is>
          <t>OUT</t>
        </is>
      </c>
      <c r="H1372">
        <f>IF(G1372="OUT",F1372,-F1372)</f>
        <v>1</v>
      </c>
      <c r="I1372">
        <f>IF(AND(B1372&gt;=DATE(2025,7,1),B1372&lt;=DATE(2026,6,30)),1,0)</f>
        <v>1</v>
      </c>
      <c r="J1372">
        <f>IF(B1372&lt;=DATE(2026,6,30),1,0)</f>
        <v>1</v>
      </c>
      <c r="K1372" t="inlineStr"/>
      <c r="L1372" t="inlineStr">
        <is>
          <t>Office</t>
        </is>
      </c>
      <c r="M1372">
        <f>COUNTIFS('Asset Log'!$A$5:$A$1379,A1372,'Asset Log'!$E$5:$E$1379,E1372,'Asset Log'!$G$5:$G$1379,G1372)</f>
        <v>1</v>
      </c>
    </row>
    <row r="1373">
      <c r="A1373" t="inlineStr">
        <is>
          <t>D72584</t>
        </is>
      </c>
      <c r="B1373" s="11" t="n">
        <v>46200</v>
      </c>
      <c r="C1373" t="inlineStr">
        <is>
          <t>S0384</t>
        </is>
      </c>
      <c r="D1373" t="inlineStr">
        <is>
          <t>S0384</t>
        </is>
      </c>
      <c r="E1373" t="inlineStr">
        <is>
          <t>TK</t>
        </is>
      </c>
      <c r="F1373" t="n">
        <v>3</v>
      </c>
      <c r="G1373" t="inlineStr">
        <is>
          <t>IN</t>
        </is>
      </c>
      <c r="H1373">
        <f>IF(G1373="OUT",F1373,-F1373)</f>
        <v>-3</v>
      </c>
      <c r="I1373">
        <f>IF(AND(B1373&gt;=DATE(2025,7,1),B1373&lt;=DATE(2026,6,30)),1,0)</f>
        <v>1</v>
      </c>
      <c r="J1373">
        <f>IF(B1373&lt;=DATE(2026,6,30),1,0)</f>
        <v>1</v>
      </c>
      <c r="K1373" t="inlineStr"/>
      <c r="L1373" t="inlineStr">
        <is>
          <t>Office</t>
        </is>
      </c>
      <c r="M1373">
        <f>COUNTIFS('Asset Log'!$A$5:$A$1379,A1373,'Asset Log'!$E$5:$E$1379,E1373,'Asset Log'!$G$5:$G$1379,G1373)</f>
        <v>1</v>
      </c>
    </row>
    <row r="1374">
      <c r="A1374" t="inlineStr">
        <is>
          <t>D72533</t>
        </is>
      </c>
      <c r="B1374" s="11" t="n">
        <v>46201</v>
      </c>
      <c r="C1374" t="inlineStr">
        <is>
          <t>S0349</t>
        </is>
      </c>
      <c r="D1374" t="inlineStr">
        <is>
          <t>S0349</t>
        </is>
      </c>
      <c r="E1374" t="inlineStr">
        <is>
          <t>TK</t>
        </is>
      </c>
      <c r="F1374" t="n">
        <v>1</v>
      </c>
      <c r="G1374" t="inlineStr">
        <is>
          <t>OUT</t>
        </is>
      </c>
      <c r="H1374">
        <f>IF(G1374="OUT",F1374,-F1374)</f>
        <v>1</v>
      </c>
      <c r="I1374">
        <f>IF(AND(B1374&gt;=DATE(2025,7,1),B1374&lt;=DATE(2026,6,30)),1,0)</f>
        <v>1</v>
      </c>
      <c r="J1374">
        <f>IF(B1374&lt;=DATE(2026,6,30),1,0)</f>
        <v>1</v>
      </c>
      <c r="K1374" t="inlineStr"/>
      <c r="L1374" t="inlineStr">
        <is>
          <t>Office</t>
        </is>
      </c>
      <c r="M1374">
        <f>COUNTIFS('Asset Log'!$A$5:$A$1379,A1374,'Asset Log'!$E$5:$E$1379,E1374,'Asset Log'!$G$5:$G$1379,G1374)</f>
        <v>1</v>
      </c>
    </row>
    <row r="1375">
      <c r="A1375" t="inlineStr">
        <is>
          <t>D72755</t>
        </is>
      </c>
      <c r="B1375" s="11" t="n">
        <v>46201</v>
      </c>
      <c r="C1375" t="inlineStr">
        <is>
          <t>S0492</t>
        </is>
      </c>
      <c r="D1375" t="inlineStr">
        <is>
          <t>S0492</t>
        </is>
      </c>
      <c r="E1375" t="inlineStr">
        <is>
          <t>TK</t>
        </is>
      </c>
      <c r="F1375" t="n">
        <v>2</v>
      </c>
      <c r="G1375" t="inlineStr">
        <is>
          <t>OUT</t>
        </is>
      </c>
      <c r="H1375">
        <f>IF(G1375="OUT",F1375,-F1375)</f>
        <v>2</v>
      </c>
      <c r="I1375">
        <f>IF(AND(B1375&gt;=DATE(2025,7,1),B1375&lt;=DATE(2026,6,30)),1,0)</f>
        <v>1</v>
      </c>
      <c r="J1375">
        <f>IF(B1375&lt;=DATE(2026,6,30),1,0)</f>
        <v>1</v>
      </c>
      <c r="K1375" t="inlineStr"/>
      <c r="L1375" t="inlineStr">
        <is>
          <t>Yard</t>
        </is>
      </c>
      <c r="M1375">
        <f>COUNTIFS('Asset Log'!$A$5:$A$1379,A1375,'Asset Log'!$E$5:$E$1379,E1375,'Asset Log'!$G$5:$G$1379,G1375)</f>
        <v>1</v>
      </c>
    </row>
    <row r="1376">
      <c r="A1376" t="inlineStr">
        <is>
          <t>D72809</t>
        </is>
      </c>
      <c r="B1376" s="11" t="n">
        <v>46201</v>
      </c>
      <c r="C1376" t="inlineStr">
        <is>
          <t>s525</t>
        </is>
      </c>
      <c r="D1376" t="inlineStr">
        <is>
          <t>S0525</t>
        </is>
      </c>
      <c r="E1376" t="inlineStr">
        <is>
          <t>TK</t>
        </is>
      </c>
      <c r="F1376" t="n">
        <v>2</v>
      </c>
      <c r="G1376" t="inlineStr">
        <is>
          <t>OUT</t>
        </is>
      </c>
      <c r="H1376">
        <f>IF(G1376="OUT",F1376,-F1376)</f>
        <v>2</v>
      </c>
      <c r="I1376">
        <f>IF(AND(B1376&gt;=DATE(2025,7,1),B1376&lt;=DATE(2026,6,30)),1,0)</f>
        <v>1</v>
      </c>
      <c r="J1376">
        <f>IF(B1376&lt;=DATE(2026,6,30),1,0)</f>
        <v>1</v>
      </c>
      <c r="K1376" t="inlineStr">
        <is>
          <t>Site text normalised</t>
        </is>
      </c>
      <c r="L1376" t="inlineStr">
        <is>
          <t>Yard</t>
        </is>
      </c>
      <c r="M1376">
        <f>COUNTIFS('Asset Log'!$A$5:$A$1379,A1376,'Asset Log'!$E$5:$E$1379,E1376,'Asset Log'!$G$5:$G$1379,G1376)</f>
        <v>1</v>
      </c>
    </row>
    <row r="1377">
      <c r="A1377" t="inlineStr">
        <is>
          <t>D70329</t>
        </is>
      </c>
      <c r="B1377" s="11" t="n">
        <v>46202</v>
      </c>
      <c r="C1377" t="inlineStr">
        <is>
          <t>S0035</t>
        </is>
      </c>
      <c r="D1377" t="inlineStr">
        <is>
          <t>S0035</t>
        </is>
      </c>
      <c r="E1377" t="inlineStr">
        <is>
          <t>FP</t>
        </is>
      </c>
      <c r="F1377" t="n">
        <v>98</v>
      </c>
      <c r="G1377" t="inlineStr">
        <is>
          <t>IN</t>
        </is>
      </c>
      <c r="H1377">
        <f>IF(G1377="OUT",F1377,-F1377)</f>
        <v>-98</v>
      </c>
      <c r="I1377">
        <f>IF(AND(B1377&gt;=DATE(2025,7,1),B1377&lt;=DATE(2026,6,30)),1,0)</f>
        <v>1</v>
      </c>
      <c r="J1377">
        <f>IF(B1377&lt;=DATE(2026,6,30),1,0)</f>
        <v>1</v>
      </c>
      <c r="K1377" t="inlineStr"/>
      <c r="L1377" t="inlineStr">
        <is>
          <t>Office</t>
        </is>
      </c>
      <c r="M1377">
        <f>COUNTIFS('Asset Log'!$A$5:$A$1379,A1377,'Asset Log'!$E$5:$E$1379,E1377,'Asset Log'!$G$5:$G$1379,G1377)</f>
        <v>1</v>
      </c>
    </row>
    <row r="1378">
      <c r="A1378" t="inlineStr">
        <is>
          <t>D70331</t>
        </is>
      </c>
      <c r="B1378" s="11" t="n">
        <v>46202</v>
      </c>
      <c r="C1378" t="inlineStr">
        <is>
          <t>35</t>
        </is>
      </c>
      <c r="D1378" t="inlineStr">
        <is>
          <t>S0035</t>
        </is>
      </c>
      <c r="E1378" t="inlineStr">
        <is>
          <t>FB</t>
        </is>
      </c>
      <c r="F1378" t="n">
        <v>107</v>
      </c>
      <c r="G1378" t="inlineStr">
        <is>
          <t>IN</t>
        </is>
      </c>
      <c r="H1378">
        <f>IF(G1378="OUT",F1378,-F1378)</f>
        <v>-107</v>
      </c>
      <c r="I1378">
        <f>IF(AND(B1378&gt;=DATE(2025,7,1),B1378&lt;=DATE(2026,6,30)),1,0)</f>
        <v>1</v>
      </c>
      <c r="J1378">
        <f>IF(B1378&lt;=DATE(2026,6,30),1,0)</f>
        <v>1</v>
      </c>
      <c r="K1378" t="inlineStr">
        <is>
          <t>Site text normalised</t>
        </is>
      </c>
      <c r="L1378" t="inlineStr">
        <is>
          <t>Yard</t>
        </is>
      </c>
      <c r="M1378">
        <f>COUNTIFS('Asset Log'!$A$5:$A$1379,A1378,'Asset Log'!$E$5:$E$1379,E1378,'Asset Log'!$G$5:$G$1379,G1378)</f>
        <v>1</v>
      </c>
    </row>
    <row r="1379">
      <c r="A1379" t="inlineStr">
        <is>
          <t>D72668</t>
        </is>
      </c>
      <c r="B1379" s="11" t="n">
        <v>46202</v>
      </c>
      <c r="C1379" t="inlineStr">
        <is>
          <t>S0432</t>
        </is>
      </c>
      <c r="D1379" t="inlineStr">
        <is>
          <t>S0432</t>
        </is>
      </c>
      <c r="E1379" t="inlineStr">
        <is>
          <t>TK</t>
        </is>
      </c>
      <c r="F1379" t="n">
        <v>1</v>
      </c>
      <c r="G1379" t="inlineStr">
        <is>
          <t>OUT</t>
        </is>
      </c>
      <c r="H1379">
        <f>IF(G1379="OUT",F1379,-F1379)</f>
        <v>1</v>
      </c>
      <c r="I1379">
        <f>IF(AND(B1379&gt;=DATE(2025,7,1),B1379&lt;=DATE(2026,6,30)),1,0)</f>
        <v>1</v>
      </c>
      <c r="J1379">
        <f>IF(B1379&lt;=DATE(2026,6,30),1,0)</f>
        <v>1</v>
      </c>
      <c r="K1379" t="inlineStr"/>
      <c r="L1379" t="inlineStr">
        <is>
          <t>Office</t>
        </is>
      </c>
      <c r="M1379">
        <f>COUNTIFS('Asset Log'!$A$5:$A$1379,A1379,'Asset Log'!$E$5:$E$1379,E1379,'Asset Log'!$G$5:$G$1379,G1379)</f>
        <v>1</v>
      </c>
    </row>
  </sheetData>
  <autoFilter ref="A4:M1379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0" customWidth="1" min="3" max="3"/>
    <col width="6" customWidth="1" min="4" max="4"/>
    <col width="6" customWidth="1" min="5" max="5"/>
    <col width="9" customWidth="1" min="6" max="6"/>
    <col width="20" customWidth="1" min="7" max="7"/>
    <col width="90" customWidth="1" min="8" max="8"/>
    <col width="8" customWidth="1" min="9" max="9"/>
  </cols>
  <sheetData>
    <row r="1">
      <c r="A1" s="6" t="inlineStr">
        <is>
          <t>Asset log issues found and what was done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Docket</t>
        </is>
      </c>
      <c r="B4" s="7" t="inlineStr">
        <is>
          <t>Date</t>
        </is>
      </c>
      <c r="C4" s="7" t="inlineStr">
        <is>
          <t>Site</t>
        </is>
      </c>
      <c r="D4" s="7" t="inlineStr">
        <is>
          <t>Asset</t>
        </is>
      </c>
      <c r="E4" s="7" t="inlineStr">
        <is>
          <t>Qty</t>
        </is>
      </c>
      <c r="F4" s="7" t="inlineStr">
        <is>
          <t>Direction</t>
        </is>
      </c>
      <c r="G4" s="7" t="inlineStr">
        <is>
          <t>Issue</t>
        </is>
      </c>
      <c r="H4" s="7" t="inlineStr">
        <is>
          <t>Action</t>
        </is>
      </c>
      <c r="I4" s="7" t="inlineStr">
        <is>
          <t>Status</t>
        </is>
      </c>
    </row>
    <row r="5">
      <c r="A5" t="inlineStr">
        <is>
          <t>D70859</t>
        </is>
      </c>
      <c r="B5" s="11" t="n">
        <v>45853</v>
      </c>
      <c r="C5" t="inlineStr">
        <is>
          <t>S0090</t>
        </is>
      </c>
      <c r="D5" t="inlineStr">
        <is>
          <t>BR</t>
        </is>
      </c>
      <c r="E5" t="n">
        <v>19</v>
      </c>
      <c r="F5" t="inlineStr">
        <is>
          <t>OUT</t>
        </is>
      </c>
      <c r="G5" t="inlineStr">
        <is>
          <t>DUPLICATE</t>
        </is>
      </c>
      <c r="H5" t="inlineStr">
        <is>
          <t>Removed: same docket entered twice</t>
        </is>
      </c>
      <c r="I5" t="inlineStr">
        <is>
          <t>Fixed</t>
        </is>
      </c>
    </row>
    <row r="6">
      <c r="A6" t="inlineStr">
        <is>
          <t>D70462</t>
        </is>
      </c>
      <c r="B6" s="11" t="n">
        <v>45863</v>
      </c>
      <c r="C6" t="inlineStr">
        <is>
          <t>S0049</t>
        </is>
      </c>
      <c r="D6" t="inlineStr">
        <is>
          <t>FB</t>
        </is>
      </c>
      <c r="E6" t="n">
        <v>29</v>
      </c>
      <c r="F6" t="inlineStr">
        <is>
          <t>OUT</t>
        </is>
      </c>
      <c r="G6" t="inlineStr">
        <is>
          <t>DUPLICATE</t>
        </is>
      </c>
      <c r="H6" t="inlineStr">
        <is>
          <t>Removed: same docket entered twice</t>
        </is>
      </c>
      <c r="I6" t="inlineStr">
        <is>
          <t>Fixed</t>
        </is>
      </c>
    </row>
    <row r="7">
      <c r="A7" t="inlineStr">
        <is>
          <t>D71750</t>
        </is>
      </c>
      <c r="B7" s="11" t="n">
        <v>45886</v>
      </c>
      <c r="C7" t="inlineStr">
        <is>
          <t>S0184</t>
        </is>
      </c>
      <c r="D7" t="inlineStr">
        <is>
          <t>FB</t>
        </is>
      </c>
      <c r="E7" t="n">
        <v>48</v>
      </c>
      <c r="F7" t="inlineStr">
        <is>
          <t>IN</t>
        </is>
      </c>
      <c r="G7" t="inlineStr">
        <is>
          <t>DUPLICATE</t>
        </is>
      </c>
      <c r="H7" t="inlineStr">
        <is>
          <t>Removed: same docket entered twice</t>
        </is>
      </c>
      <c r="I7" t="inlineStr">
        <is>
          <t>Fixed</t>
        </is>
      </c>
    </row>
    <row r="8">
      <c r="A8" t="inlineStr">
        <is>
          <t>D72784</t>
        </is>
      </c>
      <c r="B8" s="11" t="n">
        <v>45904</v>
      </c>
      <c r="C8" t="inlineStr">
        <is>
          <t>S0505</t>
        </is>
      </c>
      <c r="D8" t="inlineStr">
        <is>
          <t>TK</t>
        </is>
      </c>
      <c r="E8" t="n">
        <v>3</v>
      </c>
      <c r="F8" t="inlineStr">
        <is>
          <t>OUT</t>
        </is>
      </c>
      <c r="G8" t="inlineStr">
        <is>
          <t>DUPLICATE</t>
        </is>
      </c>
      <c r="H8" t="inlineStr">
        <is>
          <t>Removed: same docket entered twice</t>
        </is>
      </c>
      <c r="I8" t="inlineStr">
        <is>
          <t>Fixed</t>
        </is>
      </c>
    </row>
    <row r="9">
      <c r="A9" t="inlineStr">
        <is>
          <t>D70770</t>
        </is>
      </c>
      <c r="B9" s="11" t="n">
        <v>45923</v>
      </c>
      <c r="C9" t="inlineStr">
        <is>
          <t>S0082</t>
        </is>
      </c>
      <c r="D9" t="inlineStr">
        <is>
          <t>FP</t>
        </is>
      </c>
      <c r="E9" t="n">
        <v>158</v>
      </c>
      <c r="F9" t="inlineStr">
        <is>
          <t>OUT</t>
        </is>
      </c>
      <c r="G9" t="inlineStr">
        <is>
          <t>DUPLICATE</t>
        </is>
      </c>
      <c r="H9" t="inlineStr">
        <is>
          <t>Removed: same docket entered twice</t>
        </is>
      </c>
      <c r="I9" t="inlineStr">
        <is>
          <t>Fixed</t>
        </is>
      </c>
    </row>
    <row r="10">
      <c r="A10" t="inlineStr">
        <is>
          <t>D72766</t>
        </is>
      </c>
      <c r="B10" s="11" t="n">
        <v>45947</v>
      </c>
      <c r="C10" t="inlineStr">
        <is>
          <t>S0499</t>
        </is>
      </c>
      <c r="D10" t="inlineStr">
        <is>
          <t>TK</t>
        </is>
      </c>
      <c r="E10" t="n">
        <v>1</v>
      </c>
      <c r="F10" t="inlineStr">
        <is>
          <t>OUT</t>
        </is>
      </c>
      <c r="G10" t="inlineStr">
        <is>
          <t>DUPLICATE</t>
        </is>
      </c>
      <c r="H10" t="inlineStr">
        <is>
          <t>Removed: same docket entered twice</t>
        </is>
      </c>
      <c r="I10" t="inlineStr">
        <is>
          <t>Fixed</t>
        </is>
      </c>
    </row>
    <row r="11">
      <c r="A11" t="inlineStr">
        <is>
          <t>D71403</t>
        </is>
      </c>
      <c r="B11" s="11" t="n">
        <v>45961</v>
      </c>
      <c r="C11" t="inlineStr">
        <is>
          <t>S0147</t>
        </is>
      </c>
      <c r="D11" t="inlineStr">
        <is>
          <t>FB</t>
        </is>
      </c>
      <c r="E11" t="n">
        <v>27</v>
      </c>
      <c r="F11" t="inlineStr">
        <is>
          <t>IN</t>
        </is>
      </c>
      <c r="G11" t="inlineStr">
        <is>
          <t>DUPLICATE</t>
        </is>
      </c>
      <c r="H11" t="inlineStr">
        <is>
          <t>Removed: same docket entered twice</t>
        </is>
      </c>
      <c r="I11" t="inlineStr">
        <is>
          <t>Fixed</t>
        </is>
      </c>
    </row>
    <row r="12">
      <c r="A12" t="inlineStr">
        <is>
          <t>D72259</t>
        </is>
      </c>
      <c r="B12" s="11" t="n">
        <v>45974</v>
      </c>
      <c r="C12" t="inlineStr">
        <is>
          <t>S0247</t>
        </is>
      </c>
      <c r="D12" t="inlineStr">
        <is>
          <t>ST</t>
        </is>
      </c>
      <c r="E12" t="n">
        <v>2</v>
      </c>
      <c r="F12" t="inlineStr">
        <is>
          <t>IN</t>
        </is>
      </c>
      <c r="G12" t="inlineStr">
        <is>
          <t>DUPLICATE</t>
        </is>
      </c>
      <c r="H12" t="inlineStr">
        <is>
          <t>Removed: same docket entered twice</t>
        </is>
      </c>
      <c r="I12" t="inlineStr">
        <is>
          <t>Fixed</t>
        </is>
      </c>
    </row>
    <row r="13">
      <c r="A13" t="inlineStr">
        <is>
          <t>D70246</t>
        </is>
      </c>
      <c r="B13" s="11" t="n">
        <v>46008</v>
      </c>
      <c r="C13" t="inlineStr">
        <is>
          <t>S0026</t>
        </is>
      </c>
      <c r="D13" t="inlineStr">
        <is>
          <t>FP</t>
        </is>
      </c>
      <c r="E13" t="n">
        <v>82</v>
      </c>
      <c r="F13" t="inlineStr">
        <is>
          <t>IN</t>
        </is>
      </c>
      <c r="G13" t="inlineStr">
        <is>
          <t>DUPLICATE</t>
        </is>
      </c>
      <c r="H13" t="inlineStr">
        <is>
          <t>Removed: same docket entered twice</t>
        </is>
      </c>
      <c r="I13" t="inlineStr">
        <is>
          <t>Fixed</t>
        </is>
      </c>
    </row>
    <row r="14">
      <c r="A14" t="inlineStr">
        <is>
          <t>D71717</t>
        </is>
      </c>
      <c r="B14" s="11" t="n">
        <v>46023</v>
      </c>
      <c r="C14" t="inlineStr">
        <is>
          <t>S0180</t>
        </is>
      </c>
      <c r="D14" t="inlineStr">
        <is>
          <t>FB</t>
        </is>
      </c>
      <c r="E14" t="n">
        <v>37</v>
      </c>
      <c r="F14" t="inlineStr">
        <is>
          <t>IN</t>
        </is>
      </c>
      <c r="G14" t="inlineStr">
        <is>
          <t>DUPLICATE</t>
        </is>
      </c>
      <c r="H14" t="inlineStr">
        <is>
          <t>Removed: same docket entered twice</t>
        </is>
      </c>
      <c r="I14" t="inlineStr">
        <is>
          <t>Fixed</t>
        </is>
      </c>
    </row>
    <row r="15">
      <c r="A15" t="inlineStr">
        <is>
          <t>D70386</t>
        </is>
      </c>
      <c r="B15" s="11" t="n">
        <v>46031</v>
      </c>
      <c r="C15" t="inlineStr">
        <is>
          <t>S0041</t>
        </is>
      </c>
      <c r="D15" t="inlineStr">
        <is>
          <t>FP</t>
        </is>
      </c>
      <c r="E15" t="n">
        <v>39</v>
      </c>
      <c r="F15" t="inlineStr">
        <is>
          <t>OUT</t>
        </is>
      </c>
      <c r="G15" t="inlineStr">
        <is>
          <t>DUPLICATE</t>
        </is>
      </c>
      <c r="H15" t="inlineStr">
        <is>
          <t>Removed: same docket entered twice</t>
        </is>
      </c>
      <c r="I15" t="inlineStr">
        <is>
          <t>Fixed</t>
        </is>
      </c>
    </row>
    <row r="16">
      <c r="A16" t="inlineStr">
        <is>
          <t>D70981</t>
        </is>
      </c>
      <c r="B16" s="11" t="n">
        <v>46056</v>
      </c>
      <c r="C16" t="inlineStr">
        <is>
          <t>S0106</t>
        </is>
      </c>
      <c r="D16" t="inlineStr">
        <is>
          <t>FP</t>
        </is>
      </c>
      <c r="E16" t="n">
        <v>19</v>
      </c>
      <c r="F16" t="inlineStr">
        <is>
          <t>OUT</t>
        </is>
      </c>
      <c r="G16" t="inlineStr">
        <is>
          <t>DUPLICATE</t>
        </is>
      </c>
      <c r="H16" t="inlineStr">
        <is>
          <t>Removed: same docket entered twice</t>
        </is>
      </c>
      <c r="I16" t="inlineStr">
        <is>
          <t>Fixed</t>
        </is>
      </c>
    </row>
    <row r="17">
      <c r="A17" t="inlineStr">
        <is>
          <t>D71865</t>
        </is>
      </c>
      <c r="B17" s="11" t="n">
        <v>46079</v>
      </c>
      <c r="C17" t="inlineStr">
        <is>
          <t>S0197</t>
        </is>
      </c>
      <c r="D17" t="inlineStr">
        <is>
          <t>FP</t>
        </is>
      </c>
      <c r="E17" t="n">
        <v>112</v>
      </c>
      <c r="F17" t="inlineStr">
        <is>
          <t>IN</t>
        </is>
      </c>
      <c r="G17" t="inlineStr">
        <is>
          <t>DUPLICATE</t>
        </is>
      </c>
      <c r="H17" t="inlineStr">
        <is>
          <t>Removed: same docket entered twice</t>
        </is>
      </c>
      <c r="I17" t="inlineStr">
        <is>
          <t>Fixed</t>
        </is>
      </c>
    </row>
    <row r="18">
      <c r="A18" t="inlineStr">
        <is>
          <t>D70194</t>
        </is>
      </c>
      <c r="B18" s="11" t="n">
        <v>46096</v>
      </c>
      <c r="C18" t="inlineStr">
        <is>
          <t>S0021</t>
        </is>
      </c>
      <c r="D18" t="inlineStr">
        <is>
          <t>FP</t>
        </is>
      </c>
      <c r="E18" t="n">
        <v>101</v>
      </c>
      <c r="F18" t="inlineStr">
        <is>
          <t>IN</t>
        </is>
      </c>
      <c r="G18" t="inlineStr">
        <is>
          <t>DUPLICATE</t>
        </is>
      </c>
      <c r="H18" t="inlineStr">
        <is>
          <t>Removed: same docket entered twice</t>
        </is>
      </c>
      <c r="I18" t="inlineStr">
        <is>
          <t>Fixed</t>
        </is>
      </c>
    </row>
    <row r="19">
      <c r="A19" t="inlineStr">
        <is>
          <t>D72183</t>
        </is>
      </c>
      <c r="B19" s="11" t="n">
        <v>46147</v>
      </c>
      <c r="C19" t="inlineStr">
        <is>
          <t>S0231</t>
        </is>
      </c>
      <c r="D19" t="inlineStr">
        <is>
          <t>FP</t>
        </is>
      </c>
      <c r="E19" t="n">
        <v>125</v>
      </c>
      <c r="F19" t="inlineStr">
        <is>
          <t>IN</t>
        </is>
      </c>
      <c r="G19" t="inlineStr">
        <is>
          <t>DUPLICATE</t>
        </is>
      </c>
      <c r="H19" t="inlineStr">
        <is>
          <t>Removed: same docket entered twice</t>
        </is>
      </c>
      <c r="I19" t="inlineStr">
        <is>
          <t>Fixed</t>
        </is>
      </c>
    </row>
    <row r="20">
      <c r="A20" t="inlineStr">
        <is>
          <t>D71047</t>
        </is>
      </c>
      <c r="B20" s="11" t="n">
        <v>46162</v>
      </c>
      <c r="C20" t="inlineStr">
        <is>
          <t>S0112</t>
        </is>
      </c>
      <c r="D20" t="inlineStr">
        <is>
          <t>FP</t>
        </is>
      </c>
      <c r="E20" t="n">
        <v>113</v>
      </c>
      <c r="F20" t="inlineStr">
        <is>
          <t>IN</t>
        </is>
      </c>
      <c r="G20" t="inlineStr">
        <is>
          <t>DUPLICATE</t>
        </is>
      </c>
      <c r="H20" t="inlineStr">
        <is>
          <t>Removed: same docket entered twice</t>
        </is>
      </c>
      <c r="I20" t="inlineStr">
        <is>
          <t>Fixed</t>
        </is>
      </c>
    </row>
    <row r="21">
      <c r="A21" t="inlineStr">
        <is>
          <t>D70184</t>
        </is>
      </c>
      <c r="B21" s="11" t="n">
        <v>46169</v>
      </c>
      <c r="C21" t="inlineStr">
        <is>
          <t>S0020</t>
        </is>
      </c>
      <c r="D21" t="inlineStr">
        <is>
          <t>FB</t>
        </is>
      </c>
      <c r="E21" t="n">
        <v>31</v>
      </c>
      <c r="F21" t="inlineStr">
        <is>
          <t>OUT</t>
        </is>
      </c>
      <c r="G21" t="inlineStr">
        <is>
          <t>DUPLICATE</t>
        </is>
      </c>
      <c r="H21" t="inlineStr">
        <is>
          <t>Removed: same docket entered twice</t>
        </is>
      </c>
      <c r="I21" t="inlineStr">
        <is>
          <t>Fixed</t>
        </is>
      </c>
    </row>
    <row r="22">
      <c r="A22" t="inlineStr">
        <is>
          <t>D70014</t>
        </is>
      </c>
      <c r="B22" s="11" t="n">
        <v>46187</v>
      </c>
      <c r="C22" t="inlineStr">
        <is>
          <t>S0002</t>
        </is>
      </c>
      <c r="D22" t="inlineStr">
        <is>
          <t>FP</t>
        </is>
      </c>
      <c r="E22" t="n">
        <v>13</v>
      </c>
      <c r="F22" t="inlineStr">
        <is>
          <t>OUT</t>
        </is>
      </c>
      <c r="G22" t="inlineStr">
        <is>
          <t>DUPLICATE</t>
        </is>
      </c>
      <c r="H22" t="inlineStr">
        <is>
          <t>Removed: same docket entered twice</t>
        </is>
      </c>
      <c r="I22" t="inlineStr">
        <is>
          <t>Fixed</t>
        </is>
      </c>
    </row>
    <row r="23">
      <c r="A23" t="inlineStr">
        <is>
          <t>D70811</t>
        </is>
      </c>
      <c r="B23" s="11" t="n">
        <v>46190</v>
      </c>
      <c r="C23" t="inlineStr">
        <is>
          <t>S0086</t>
        </is>
      </c>
      <c r="D23" t="inlineStr">
        <is>
          <t>FP</t>
        </is>
      </c>
      <c r="E23" t="n">
        <v>23</v>
      </c>
      <c r="F23" t="inlineStr">
        <is>
          <t>IN</t>
        </is>
      </c>
      <c r="G23" t="inlineStr">
        <is>
          <t>DUPLICATE</t>
        </is>
      </c>
      <c r="H23" t="inlineStr">
        <is>
          <t>Removed: same docket entered twice</t>
        </is>
      </c>
      <c r="I23" t="inlineStr">
        <is>
          <t>Fixed</t>
        </is>
      </c>
    </row>
    <row r="24">
      <c r="A24" t="inlineStr">
        <is>
          <t>D71448</t>
        </is>
      </c>
      <c r="B24" s="11" t="n">
        <v>46192</v>
      </c>
      <c r="C24" t="inlineStr">
        <is>
          <t>S0152</t>
        </is>
      </c>
      <c r="D24" t="inlineStr">
        <is>
          <t>FP</t>
        </is>
      </c>
      <c r="E24" t="n">
        <v>127</v>
      </c>
      <c r="F24" t="inlineStr">
        <is>
          <t>IN</t>
        </is>
      </c>
      <c r="G24" t="inlineStr">
        <is>
          <t>DUPLICATE</t>
        </is>
      </c>
      <c r="H24" t="inlineStr">
        <is>
          <t>Removed: same docket entered twice</t>
        </is>
      </c>
      <c r="I24" t="inlineStr">
        <is>
          <t>Fixed</t>
        </is>
      </c>
    </row>
    <row r="25">
      <c r="A25" t="inlineStr">
        <is>
          <t>D71879</t>
        </is>
      </c>
      <c r="B25" s="11" t="n">
        <v>46192</v>
      </c>
      <c r="C25" t="inlineStr">
        <is>
          <t>S0198</t>
        </is>
      </c>
      <c r="D25" t="inlineStr">
        <is>
          <t>FB</t>
        </is>
      </c>
      <c r="E25" t="n">
        <v>92</v>
      </c>
      <c r="F25" t="inlineStr">
        <is>
          <t>OUT</t>
        </is>
      </c>
      <c r="G25" t="inlineStr">
        <is>
          <t>DUPLICATE</t>
        </is>
      </c>
      <c r="H25" t="inlineStr">
        <is>
          <t>Removed: same docket entered twice</t>
        </is>
      </c>
      <c r="I25" t="inlineStr">
        <is>
          <t>Fixed</t>
        </is>
      </c>
    </row>
    <row r="26">
      <c r="A26" t="inlineStr">
        <is>
          <t>D70919</t>
        </is>
      </c>
      <c r="B26" s="11" t="n">
        <v>45831</v>
      </c>
      <c r="C26" t="inlineStr">
        <is>
          <t>S0089</t>
        </is>
      </c>
      <c r="D26" t="inlineStr">
        <is>
          <t>FP</t>
        </is>
      </c>
      <c r="E26" t="n">
        <v>101</v>
      </c>
      <c r="F26" t="inlineStr">
        <is>
          <t>IN</t>
        </is>
      </c>
      <c r="G26" t="inlineStr">
        <is>
          <t>WRONG SITE</t>
        </is>
      </c>
      <c r="H26" t="inlineStr">
        <is>
          <t>Moved to S0098: return dated before S0089 started; S0098 (digits swapped) had units on hire</t>
        </is>
      </c>
      <c r="I26" t="inlineStr">
        <is>
          <t>Fixed</t>
        </is>
      </c>
    </row>
    <row r="27">
      <c r="A27" t="inlineStr">
        <is>
          <t>D70756</t>
        </is>
      </c>
      <c r="B27" s="11" t="n">
        <v>45851</v>
      </c>
      <c r="C27" t="inlineStr">
        <is>
          <t>S0008</t>
        </is>
      </c>
      <c r="D27" t="inlineStr">
        <is>
          <t>FP</t>
        </is>
      </c>
      <c r="E27" t="n">
        <v>72</v>
      </c>
      <c r="F27" t="inlineStr">
        <is>
          <t>IN</t>
        </is>
      </c>
      <c r="G27" t="inlineStr">
        <is>
          <t>WRONG SITE</t>
        </is>
      </c>
      <c r="H27" t="inlineStr">
        <is>
          <t>Moved to S0080: return dated before S0008 started; S0080 (digits swapped) had units on hire</t>
        </is>
      </c>
      <c r="I27" t="inlineStr">
        <is>
          <t>Fixed</t>
        </is>
      </c>
    </row>
    <row r="28">
      <c r="A28" t="inlineStr">
        <is>
          <t>D71954</t>
        </is>
      </c>
      <c r="B28" s="11" t="n">
        <v>45864</v>
      </c>
      <c r="C28" t="inlineStr">
        <is>
          <t>S0270</t>
        </is>
      </c>
      <c r="D28" t="inlineStr">
        <is>
          <t>FP</t>
        </is>
      </c>
      <c r="E28" t="n">
        <v>98</v>
      </c>
      <c r="F28" t="inlineStr">
        <is>
          <t>IN</t>
        </is>
      </c>
      <c r="G28" t="inlineStr">
        <is>
          <t>WRONG SITE</t>
        </is>
      </c>
      <c r="H28" t="inlineStr">
        <is>
          <t>Moved to S0207: return dated before S0270 started; S0207 (digits swapped) had units on hire</t>
        </is>
      </c>
      <c r="I28" t="inlineStr">
        <is>
          <t>Fixed</t>
        </is>
      </c>
    </row>
    <row r="29">
      <c r="A29" t="inlineStr">
        <is>
          <t>D70225</t>
        </is>
      </c>
      <c r="B29" s="11" t="n">
        <v>45927</v>
      </c>
      <c r="C29" t="inlineStr">
        <is>
          <t>S0042</t>
        </is>
      </c>
      <c r="D29" t="inlineStr">
        <is>
          <t>FP</t>
        </is>
      </c>
      <c r="E29" t="n">
        <v>19</v>
      </c>
      <c r="F29" t="inlineStr">
        <is>
          <t>IN</t>
        </is>
      </c>
      <c r="G29" t="inlineStr">
        <is>
          <t>WRONG SITE</t>
        </is>
      </c>
      <c r="H29" t="inlineStr">
        <is>
          <t>Moved to S0024: return dated before S0042 started; S0024 (digits swapped) had units on hire</t>
        </is>
      </c>
      <c r="I29" t="inlineStr">
        <is>
          <t>Fixed</t>
        </is>
      </c>
    </row>
    <row r="30">
      <c r="A30" t="inlineStr">
        <is>
          <t>D70672</t>
        </is>
      </c>
      <c r="B30" s="11" t="n">
        <v>45954</v>
      </c>
      <c r="C30" t="inlineStr">
        <is>
          <t>S0027</t>
        </is>
      </c>
      <c r="D30" t="inlineStr">
        <is>
          <t>FP</t>
        </is>
      </c>
      <c r="E30" t="n">
        <v>63</v>
      </c>
      <c r="F30" t="inlineStr">
        <is>
          <t>IN</t>
        </is>
      </c>
      <c r="G30" t="inlineStr">
        <is>
          <t>WRONG SITE</t>
        </is>
      </c>
      <c r="H30" t="inlineStr">
        <is>
          <t>Moved to S0072: return dated before S0027 started; S0072 (digits swapped) had units on hire</t>
        </is>
      </c>
      <c r="I30" t="inlineStr">
        <is>
          <t>Fixed</t>
        </is>
      </c>
    </row>
    <row r="31">
      <c r="A31" t="inlineStr">
        <is>
          <t>D72003</t>
        </is>
      </c>
      <c r="B31" s="11" t="n">
        <v>45991</v>
      </c>
      <c r="C31" t="inlineStr">
        <is>
          <t>S0221</t>
        </is>
      </c>
      <c r="D31" t="inlineStr">
        <is>
          <t>FP</t>
        </is>
      </c>
      <c r="E31" t="n">
        <v>88</v>
      </c>
      <c r="F31" t="inlineStr">
        <is>
          <t>IN</t>
        </is>
      </c>
      <c r="G31" t="inlineStr">
        <is>
          <t>WRONG SITE</t>
        </is>
      </c>
      <c r="H31" t="inlineStr">
        <is>
          <t>Moved to S0212: return dated before S0221 started; S0212 (digits swapped) had units on hire</t>
        </is>
      </c>
      <c r="I31" t="inlineStr">
        <is>
          <t>Fixed</t>
        </is>
      </c>
    </row>
    <row r="32">
      <c r="A32" t="inlineStr">
        <is>
          <t>D70602</t>
        </is>
      </c>
      <c r="B32" s="11" t="n">
        <v>46043</v>
      </c>
      <c r="C32" t="inlineStr">
        <is>
          <t>S0056</t>
        </is>
      </c>
      <c r="D32" t="inlineStr">
        <is>
          <t>FP</t>
        </is>
      </c>
      <c r="E32" t="n">
        <v>86</v>
      </c>
      <c r="F32" t="inlineStr">
        <is>
          <t>IN</t>
        </is>
      </c>
      <c r="G32" t="inlineStr">
        <is>
          <t>WRONG SITE</t>
        </is>
      </c>
      <c r="H32" t="inlineStr">
        <is>
          <t>Moved to S0065: return dated before S0056 started; S0065 (digits swapped) had units on hire</t>
        </is>
      </c>
      <c r="I32" t="inlineStr">
        <is>
          <t>Fixed</t>
        </is>
      </c>
    </row>
    <row r="33">
      <c r="A33" t="inlineStr">
        <is>
          <t>D71503</t>
        </is>
      </c>
      <c r="B33" s="11" t="n">
        <v>46144</v>
      </c>
      <c r="C33" t="inlineStr">
        <is>
          <t>S0175</t>
        </is>
      </c>
      <c r="D33" t="inlineStr">
        <is>
          <t>FP</t>
        </is>
      </c>
      <c r="E33" t="n">
        <v>145</v>
      </c>
      <c r="F33" t="inlineStr">
        <is>
          <t>IN</t>
        </is>
      </c>
      <c r="G33" t="inlineStr">
        <is>
          <t>WRONG SITE</t>
        </is>
      </c>
      <c r="H33" t="inlineStr">
        <is>
          <t>Moved to S0157: return dated before S0175 started; S0157 (digits swapped) had units on hire</t>
        </is>
      </c>
      <c r="I33" t="inlineStr">
        <is>
          <t>Fixed</t>
        </is>
      </c>
    </row>
    <row r="34">
      <c r="A34" t="inlineStr">
        <is>
          <t>D70764</t>
        </is>
      </c>
      <c r="B34" s="11" t="n">
        <v>45871</v>
      </c>
      <c r="C34" t="inlineStr">
        <is>
          <t>S0018</t>
        </is>
      </c>
      <c r="D34" t="inlineStr">
        <is>
          <t>FP</t>
        </is>
      </c>
      <c r="E34" t="n">
        <v>115</v>
      </c>
      <c r="F34" t="inlineStr">
        <is>
          <t>IN</t>
        </is>
      </c>
      <c r="G34" t="inlineStr">
        <is>
          <t>WRONG SITE</t>
        </is>
      </c>
      <c r="H34" t="inlineStr">
        <is>
          <t>Moved to S0081: S0081 was collected that day with exactly 115 units still on the ledger</t>
        </is>
      </c>
      <c r="I34" t="inlineStr">
        <is>
          <t>Fixed</t>
        </is>
      </c>
    </row>
    <row r="35">
      <c r="A35" t="inlineStr">
        <is>
          <t>D71712</t>
        </is>
      </c>
      <c r="B35" s="11" t="n">
        <v>46023</v>
      </c>
      <c r="C35" t="inlineStr">
        <is>
          <t>S0108</t>
        </is>
      </c>
      <c r="D35" t="inlineStr">
        <is>
          <t>FP</t>
        </is>
      </c>
      <c r="E35" t="n">
        <v>34</v>
      </c>
      <c r="F35" t="inlineStr">
        <is>
          <t>IN</t>
        </is>
      </c>
      <c r="G35" t="inlineStr">
        <is>
          <t>WRONG SITE</t>
        </is>
      </c>
      <c r="H35" t="inlineStr">
        <is>
          <t>Moved to S0180: S0180 was collected that day with exactly 34 units still on the ledger</t>
        </is>
      </c>
      <c r="I35" t="inlineStr">
        <is>
          <t>Fixed</t>
        </is>
      </c>
    </row>
    <row r="36">
      <c r="A36" t="inlineStr">
        <is>
          <t>D70570</t>
        </is>
      </c>
      <c r="B36" s="11" t="n">
        <v>46143</v>
      </c>
      <c r="C36" t="inlineStr">
        <is>
          <t>S0026</t>
        </is>
      </c>
      <c r="D36" t="inlineStr">
        <is>
          <t>FP</t>
        </is>
      </c>
      <c r="E36" t="n">
        <v>61</v>
      </c>
      <c r="F36" t="inlineStr">
        <is>
          <t>IN</t>
        </is>
      </c>
      <c r="G36" t="inlineStr">
        <is>
          <t>WRONG SITE</t>
        </is>
      </c>
      <c r="H36" t="inlineStr">
        <is>
          <t>Moved to S0062: S0026 fell below zero by 144 and S0062 (digits swapped) had exactly 144 left over; confirm with the yard</t>
        </is>
      </c>
      <c r="I36" t="inlineStr">
        <is>
          <t>Fixed</t>
        </is>
      </c>
    </row>
    <row r="37">
      <c r="A37" t="inlineStr">
        <is>
          <t>D70568</t>
        </is>
      </c>
      <c r="B37" s="11" t="n">
        <v>46097</v>
      </c>
      <c r="C37" t="inlineStr">
        <is>
          <t>S0026</t>
        </is>
      </c>
      <c r="D37" t="inlineStr">
        <is>
          <t>FP</t>
        </is>
      </c>
      <c r="E37" t="n">
        <v>83</v>
      </c>
      <c r="F37" t="inlineStr">
        <is>
          <t>IN</t>
        </is>
      </c>
      <c r="G37" t="inlineStr">
        <is>
          <t>WRONG SITE</t>
        </is>
      </c>
      <c r="H37" t="inlineStr">
        <is>
          <t>Moved to S0062: S0026 fell below zero by 144 and S0062 (digits swapped) had exactly 144 left over; confirm with the yard</t>
        </is>
      </c>
      <c r="I37" t="inlineStr">
        <is>
          <t>Fixed</t>
        </is>
      </c>
    </row>
    <row r="38">
      <c r="A38" t="inlineStr"/>
      <c r="B38" s="11" t="inlineStr"/>
      <c r="C38" t="inlineStr">
        <is>
          <t>S0018</t>
        </is>
      </c>
      <c r="D38" t="inlineStr">
        <is>
          <t>FP</t>
        </is>
      </c>
      <c r="E38" t="n">
        <v>7</v>
      </c>
      <c r="F38" t="inlineStr"/>
      <c r="G38" t="inlineStr">
        <is>
          <t>NOT RETURNED</t>
        </is>
      </c>
      <c r="H38" t="inlineStr">
        <is>
          <t>Site collected but 7 FP still on the ledger: confirm with the customer, then charge as lost (145.00 each) or write off</t>
        </is>
      </c>
      <c r="I38" t="inlineStr">
        <is>
          <t>Open</t>
        </is>
      </c>
    </row>
    <row r="39">
      <c r="A39" t="inlineStr"/>
      <c r="B39" s="11" t="inlineStr"/>
      <c r="C39" t="inlineStr">
        <is>
          <t>S0024</t>
        </is>
      </c>
      <c r="D39" t="inlineStr">
        <is>
          <t>FP</t>
        </is>
      </c>
      <c r="E39" t="n">
        <v>6</v>
      </c>
      <c r="F39" t="inlineStr"/>
      <c r="G39" t="inlineStr">
        <is>
          <t>NOT RETURNED</t>
        </is>
      </c>
      <c r="H39" t="inlineStr">
        <is>
          <t>Site collected but 6 FP still on the ledger: confirm with the customer, then charge as lost (145.00 each) or write off</t>
        </is>
      </c>
      <c r="I39" t="inlineStr">
        <is>
          <t>Open</t>
        </is>
      </c>
    </row>
    <row r="40">
      <c r="A40" t="inlineStr"/>
      <c r="B40" s="11" t="inlineStr"/>
      <c r="C40" t="inlineStr">
        <is>
          <t>S0039</t>
        </is>
      </c>
      <c r="D40" t="inlineStr">
        <is>
          <t>FP</t>
        </is>
      </c>
      <c r="E40" t="n">
        <v>9</v>
      </c>
      <c r="F40" t="inlineStr"/>
      <c r="G40" t="inlineStr">
        <is>
          <t>NOT RETURNED</t>
        </is>
      </c>
      <c r="H40" t="inlineStr">
        <is>
          <t>Site collected but 9 FP still on the ledger: confirm with the customer, then charge as lost (145.00 each) or write off</t>
        </is>
      </c>
      <c r="I40" t="inlineStr">
        <is>
          <t>Open</t>
        </is>
      </c>
    </row>
    <row r="41">
      <c r="A41" t="inlineStr"/>
      <c r="B41" s="11" t="inlineStr"/>
      <c r="C41" t="inlineStr">
        <is>
          <t>S0063</t>
        </is>
      </c>
      <c r="D41" t="inlineStr">
        <is>
          <t>FP</t>
        </is>
      </c>
      <c r="E41" t="n">
        <v>3</v>
      </c>
      <c r="F41" t="inlineStr"/>
      <c r="G41" t="inlineStr">
        <is>
          <t>NOT RETURNED</t>
        </is>
      </c>
      <c r="H41" t="inlineStr">
        <is>
          <t>Site collected but 3 FP still on the ledger: confirm with the customer, then charge as lost (145.00 each) or write off</t>
        </is>
      </c>
      <c r="I41" t="inlineStr">
        <is>
          <t>Open</t>
        </is>
      </c>
    </row>
    <row r="42">
      <c r="A42" t="inlineStr"/>
      <c r="B42" s="11" t="inlineStr"/>
      <c r="C42" t="inlineStr">
        <is>
          <t>S0066</t>
        </is>
      </c>
      <c r="D42" t="inlineStr">
        <is>
          <t>FP</t>
        </is>
      </c>
      <c r="E42" t="n">
        <v>9</v>
      </c>
      <c r="F42" t="inlineStr"/>
      <c r="G42" t="inlineStr">
        <is>
          <t>NOT RETURNED</t>
        </is>
      </c>
      <c r="H42" t="inlineStr">
        <is>
          <t>Site collected but 9 FP still on the ledger: confirm with the customer, then charge as lost (145.00 each) or write off</t>
        </is>
      </c>
      <c r="I42" t="inlineStr">
        <is>
          <t>Open</t>
        </is>
      </c>
    </row>
    <row r="43">
      <c r="A43" t="inlineStr"/>
      <c r="B43" s="11" t="inlineStr"/>
      <c r="C43" t="inlineStr">
        <is>
          <t>S0086</t>
        </is>
      </c>
      <c r="D43" t="inlineStr">
        <is>
          <t>FP</t>
        </is>
      </c>
      <c r="E43" t="n">
        <v>6</v>
      </c>
      <c r="F43" t="inlineStr"/>
      <c r="G43" t="inlineStr">
        <is>
          <t>NOT RETURNED</t>
        </is>
      </c>
      <c r="H43" t="inlineStr">
        <is>
          <t>Site collected but 6 FP still on the ledger: confirm with the customer, then charge as lost (145.00 each) or write off</t>
        </is>
      </c>
      <c r="I43" t="inlineStr">
        <is>
          <t>Open</t>
        </is>
      </c>
    </row>
    <row r="44">
      <c r="A44" t="inlineStr"/>
      <c r="B44" s="11" t="inlineStr"/>
      <c r="C44" t="inlineStr">
        <is>
          <t>S0097</t>
        </is>
      </c>
      <c r="D44" t="inlineStr">
        <is>
          <t>FP</t>
        </is>
      </c>
      <c r="E44" t="n">
        <v>4</v>
      </c>
      <c r="F44" t="inlineStr"/>
      <c r="G44" t="inlineStr">
        <is>
          <t>NOT RETURNED</t>
        </is>
      </c>
      <c r="H44" t="inlineStr">
        <is>
          <t>Site collected but 4 FP still on the ledger: confirm with the customer, then charge as lost (145.00 each) or write off</t>
        </is>
      </c>
      <c r="I44" t="inlineStr">
        <is>
          <t>Open</t>
        </is>
      </c>
    </row>
    <row r="45">
      <c r="A45" t="inlineStr"/>
      <c r="B45" s="11" t="inlineStr"/>
      <c r="C45" t="inlineStr">
        <is>
          <t>S0109</t>
        </is>
      </c>
      <c r="D45" t="inlineStr">
        <is>
          <t>FP</t>
        </is>
      </c>
      <c r="E45" t="n">
        <v>4</v>
      </c>
      <c r="F45" t="inlineStr"/>
      <c r="G45" t="inlineStr">
        <is>
          <t>NOT RETURNED</t>
        </is>
      </c>
      <c r="H45" t="inlineStr">
        <is>
          <t>Site collected but 4 FP still on the ledger: confirm with the customer, then charge as lost (145.00 each) or write off</t>
        </is>
      </c>
      <c r="I45" t="inlineStr">
        <is>
          <t>Open</t>
        </is>
      </c>
    </row>
    <row r="46">
      <c r="A46" t="inlineStr"/>
      <c r="B46" s="11" t="inlineStr"/>
      <c r="C46" t="inlineStr">
        <is>
          <t>S0125</t>
        </is>
      </c>
      <c r="D46" t="inlineStr">
        <is>
          <t>FP</t>
        </is>
      </c>
      <c r="E46" t="n">
        <v>7</v>
      </c>
      <c r="F46" t="inlineStr"/>
      <c r="G46" t="inlineStr">
        <is>
          <t>NOT RETURNED</t>
        </is>
      </c>
      <c r="H46" t="inlineStr">
        <is>
          <t>Site collected but 7 FP still on the ledger: confirm with the customer, then charge as lost (145.00 each) or write off</t>
        </is>
      </c>
      <c r="I46" t="inlineStr">
        <is>
          <t>Open</t>
        </is>
      </c>
    </row>
    <row r="47">
      <c r="A47" t="inlineStr"/>
      <c r="B47" s="11" t="inlineStr"/>
      <c r="C47" t="inlineStr">
        <is>
          <t>S0136</t>
        </is>
      </c>
      <c r="D47" t="inlineStr">
        <is>
          <t>FP</t>
        </is>
      </c>
      <c r="E47" t="n">
        <v>5</v>
      </c>
      <c r="F47" t="inlineStr"/>
      <c r="G47" t="inlineStr">
        <is>
          <t>NOT RETURNED</t>
        </is>
      </c>
      <c r="H47" t="inlineStr">
        <is>
          <t>Site collected but 5 FP still on the ledger: confirm with the customer, then charge as lost (145.00 each) or write off</t>
        </is>
      </c>
      <c r="I47" t="inlineStr">
        <is>
          <t>Open</t>
        </is>
      </c>
    </row>
    <row r="48">
      <c r="A48" t="inlineStr"/>
      <c r="B48" s="11" t="inlineStr"/>
      <c r="C48" t="inlineStr">
        <is>
          <t>S0195</t>
        </is>
      </c>
      <c r="D48" t="inlineStr">
        <is>
          <t>FP</t>
        </is>
      </c>
      <c r="E48" t="n">
        <v>6</v>
      </c>
      <c r="F48" t="inlineStr"/>
      <c r="G48" t="inlineStr">
        <is>
          <t>NOT RETURNED</t>
        </is>
      </c>
      <c r="H48" t="inlineStr">
        <is>
          <t>Site collected but 6 FP still on the ledger: confirm with the customer, then charge as lost (145.00 each) or write off</t>
        </is>
      </c>
      <c r="I48" t="inlineStr">
        <is>
          <t>Open</t>
        </is>
      </c>
    </row>
    <row r="49">
      <c r="A49" t="inlineStr"/>
      <c r="B49" s="11" t="inlineStr"/>
      <c r="C49" t="inlineStr">
        <is>
          <t>S0196</t>
        </is>
      </c>
      <c r="D49" t="inlineStr">
        <is>
          <t>FP</t>
        </is>
      </c>
      <c r="E49" t="n">
        <v>2</v>
      </c>
      <c r="F49" t="inlineStr"/>
      <c r="G49" t="inlineStr">
        <is>
          <t>NOT RETURNED</t>
        </is>
      </c>
      <c r="H49" t="inlineStr">
        <is>
          <t>Site collected but 2 FP still on the ledger: confirm with the customer, then charge as lost (145.00 each) or write off</t>
        </is>
      </c>
      <c r="I49" t="inlineStr">
        <is>
          <t>Open</t>
        </is>
      </c>
    </row>
    <row r="50">
      <c r="A50" t="inlineStr"/>
      <c r="B50" s="11" t="inlineStr"/>
      <c r="C50" t="inlineStr">
        <is>
          <t>S0202</t>
        </is>
      </c>
      <c r="D50" t="inlineStr">
        <is>
          <t>FP</t>
        </is>
      </c>
      <c r="E50" t="n">
        <v>2</v>
      </c>
      <c r="F50" t="inlineStr"/>
      <c r="G50" t="inlineStr">
        <is>
          <t>NOT RETURNED</t>
        </is>
      </c>
      <c r="H50" t="inlineStr">
        <is>
          <t>Site collected but 2 FP still on the ledger: confirm with the customer, then charge as lost (145.00 each) or write off</t>
        </is>
      </c>
      <c r="I50" t="inlineStr">
        <is>
          <t>Open</t>
        </is>
      </c>
    </row>
    <row r="51">
      <c r="A51" t="inlineStr"/>
      <c r="B51" s="11" t="inlineStr"/>
      <c r="C51" t="inlineStr">
        <is>
          <t>S0232</t>
        </is>
      </c>
      <c r="D51" t="inlineStr">
        <is>
          <t>FP</t>
        </is>
      </c>
      <c r="E51" t="n">
        <v>9</v>
      </c>
      <c r="F51" t="inlineStr"/>
      <c r="G51" t="inlineStr">
        <is>
          <t>NOT RETURNED</t>
        </is>
      </c>
      <c r="H51" t="inlineStr">
        <is>
          <t>Site collected but 9 FP still on the ledger: confirm with the customer, then charge as lost (145.00 each) or write off</t>
        </is>
      </c>
      <c r="I51" t="inlineStr">
        <is>
          <t>Open</t>
        </is>
      </c>
    </row>
    <row r="52">
      <c r="A52" t="inlineStr"/>
      <c r="B52" s="11" t="n">
        <v>45838</v>
      </c>
      <c r="C52" t="inlineStr">
        <is>
          <t>REGISTER</t>
        </is>
      </c>
      <c r="D52" t="inlineStr">
        <is>
          <t>FP</t>
        </is>
      </c>
      <c r="E52" t="n">
        <v>12</v>
      </c>
      <c r="F52" t="inlineStr"/>
      <c r="G52" t="inlineStr">
        <is>
          <t>REGISTER NOT UPDATED</t>
        </is>
      </c>
      <c r="H52" t="inlineStr">
        <is>
          <t>12 FP billed as lost before 1 Jul 2025 are still on the fleet register: write them off the register</t>
        </is>
      </c>
      <c r="I52" t="inlineStr">
        <is>
          <t>Fixed</t>
        </is>
      </c>
    </row>
    <row r="53">
      <c r="A53" t="inlineStr"/>
      <c r="B53" s="11" t="n">
        <v>46203</v>
      </c>
      <c r="C53" t="inlineStr">
        <is>
          <t>YARD</t>
        </is>
      </c>
      <c r="D53" t="inlineStr">
        <is>
          <t>FP</t>
        </is>
      </c>
      <c r="E53" t="n">
        <v>4</v>
      </c>
      <c r="F53" t="inlineStr"/>
      <c r="G53" t="inlineStr">
        <is>
          <t>STOCKTAKE VARIANCE</t>
        </is>
      </c>
      <c r="H53" t="inlineStr">
        <is>
          <t>Recount the yard; if confirmed, write off</t>
        </is>
      </c>
      <c r="I53" t="inlineStr">
        <is>
          <t>Open</t>
        </is>
      </c>
    </row>
    <row r="54">
      <c r="A54" t="inlineStr"/>
      <c r="B54" s="11" t="n">
        <v>46203</v>
      </c>
      <c r="C54" t="inlineStr">
        <is>
          <t>YARD</t>
        </is>
      </c>
      <c r="D54" t="inlineStr">
        <is>
          <t>FB</t>
        </is>
      </c>
      <c r="E54" t="n">
        <v>-3</v>
      </c>
      <c r="F54" t="inlineStr"/>
      <c r="G54" t="inlineStr">
        <is>
          <t>STOCKTAKE VARIANCE</t>
        </is>
      </c>
      <c r="H54" t="inlineStr">
        <is>
          <t>Recount the yard; if confirmed, write off</t>
        </is>
      </c>
      <c r="I54" t="inlineStr">
        <is>
          <t>Open</t>
        </is>
      </c>
    </row>
  </sheetData>
  <autoFilter ref="A4:I54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1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2" customWidth="1" min="3" max="3"/>
    <col width="6" customWidth="1" min="4" max="4"/>
    <col width="8" customWidth="1" min="5" max="5"/>
    <col width="30" customWidth="1" min="6" max="6"/>
  </cols>
  <sheetData>
    <row r="1">
      <c r="A1" s="6" t="inlineStr">
        <is>
          <t>Units on site at 30 June 2026 (SUMIFS over the clean log)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Site</t>
        </is>
      </c>
      <c r="B4" s="7" t="inlineStr">
        <is>
          <t>Customer</t>
        </is>
      </c>
      <c r="C4" s="7" t="inlineStr">
        <is>
          <t>Job type</t>
        </is>
      </c>
      <c r="D4" s="7" t="inlineStr">
        <is>
          <t>Asset</t>
        </is>
      </c>
      <c r="E4" s="7" t="inlineStr">
        <is>
          <t>Units</t>
        </is>
      </c>
      <c r="F4" s="7" t="inlineStr">
        <is>
          <t>Status</t>
        </is>
      </c>
    </row>
    <row r="5">
      <c r="A5" t="inlineStr">
        <is>
          <t>S0002</t>
        </is>
      </c>
      <c r="B5" t="inlineStr">
        <is>
          <t>Parkview Homes Pty Ltd</t>
        </is>
      </c>
      <c r="C5" t="inlineStr">
        <is>
          <t>Fencing</t>
        </is>
      </c>
      <c r="D5" t="inlineStr">
        <is>
          <t>BR</t>
        </is>
      </c>
      <c r="E5">
        <f>SUMIFS('Asset Log'!$H$5:$H$1379,'Asset Log'!$D$5:$D$1379,A5,'Asset Log'!$E$5:$E$1379,D5,'Asset Log'!$J$5:$J$1379,1)</f>
        <v>13</v>
      </c>
      <c r="F5" t="inlineStr">
        <is>
          <t>On hire</t>
        </is>
      </c>
    </row>
    <row r="6">
      <c r="A6" t="inlineStr">
        <is>
          <t>S0002</t>
        </is>
      </c>
      <c r="B6" t="inlineStr">
        <is>
          <t>Parkview Homes Pty Ltd</t>
        </is>
      </c>
      <c r="C6" t="inlineStr">
        <is>
          <t>Fencing</t>
        </is>
      </c>
      <c r="D6" t="inlineStr">
        <is>
          <t>FB</t>
        </is>
      </c>
      <c r="E6">
        <f>SUMIFS('Asset Log'!$H$5:$H$1379,'Asset Log'!$D$5:$D$1379,A6,'Asset Log'!$E$5:$E$1379,D6,'Asset Log'!$J$5:$J$1379,1)</f>
        <v>14</v>
      </c>
      <c r="F6" t="inlineStr">
        <is>
          <t>On hire</t>
        </is>
      </c>
    </row>
    <row r="7">
      <c r="A7" t="inlineStr">
        <is>
          <t>S0002</t>
        </is>
      </c>
      <c r="B7" t="inlineStr">
        <is>
          <t>Parkview Homes Pty Ltd</t>
        </is>
      </c>
      <c r="C7" t="inlineStr">
        <is>
          <t>Fencing</t>
        </is>
      </c>
      <c r="D7" t="inlineStr">
        <is>
          <t>FP</t>
        </is>
      </c>
      <c r="E7">
        <f>SUMIFS('Asset Log'!$H$5:$H$1379,'Asset Log'!$D$5:$D$1379,A7,'Asset Log'!$E$5:$E$1379,D7,'Asset Log'!$J$5:$J$1379,1)</f>
        <v>13</v>
      </c>
      <c r="F7" t="inlineStr">
        <is>
          <t>On hire</t>
        </is>
      </c>
    </row>
    <row r="8">
      <c r="A8" t="inlineStr">
        <is>
          <t>S0009</t>
        </is>
      </c>
      <c r="B8" t="inlineStr">
        <is>
          <t>Riverbend Homes Pty Ltd</t>
        </is>
      </c>
      <c r="C8" t="inlineStr">
        <is>
          <t>Fencing</t>
        </is>
      </c>
      <c r="D8" t="inlineStr">
        <is>
          <t>BR</t>
        </is>
      </c>
      <c r="E8">
        <f>SUMIFS('Asset Log'!$H$5:$H$1379,'Asset Log'!$D$5:$D$1379,A8,'Asset Log'!$E$5:$E$1379,D8,'Asset Log'!$J$5:$J$1379,1)</f>
        <v>4</v>
      </c>
      <c r="F8" t="inlineStr">
        <is>
          <t>On hire</t>
        </is>
      </c>
    </row>
    <row r="9">
      <c r="A9" t="inlineStr">
        <is>
          <t>S0009</t>
        </is>
      </c>
      <c r="B9" t="inlineStr">
        <is>
          <t>Riverbend Homes Pty Ltd</t>
        </is>
      </c>
      <c r="C9" t="inlineStr">
        <is>
          <t>Fencing</t>
        </is>
      </c>
      <c r="D9" t="inlineStr">
        <is>
          <t>FB</t>
        </is>
      </c>
      <c r="E9">
        <f>SUMIFS('Asset Log'!$H$5:$H$1379,'Asset Log'!$D$5:$D$1379,A9,'Asset Log'!$E$5:$E$1379,D9,'Asset Log'!$J$5:$J$1379,1)</f>
        <v>47</v>
      </c>
      <c r="F9" t="inlineStr">
        <is>
          <t>On hire</t>
        </is>
      </c>
    </row>
    <row r="10">
      <c r="A10" t="inlineStr">
        <is>
          <t>S0009</t>
        </is>
      </c>
      <c r="B10" t="inlineStr">
        <is>
          <t>Riverbend Homes Pty Ltd</t>
        </is>
      </c>
      <c r="C10" t="inlineStr">
        <is>
          <t>Fencing</t>
        </is>
      </c>
      <c r="D10" t="inlineStr">
        <is>
          <t>FP</t>
        </is>
      </c>
      <c r="E10">
        <f>SUMIFS('Asset Log'!$H$5:$H$1379,'Asset Log'!$D$5:$D$1379,A10,'Asset Log'!$E$5:$E$1379,D10,'Asset Log'!$J$5:$J$1379,1)</f>
        <v>43</v>
      </c>
      <c r="F10" t="inlineStr">
        <is>
          <t>On hire</t>
        </is>
      </c>
    </row>
    <row r="11">
      <c r="A11" t="inlineStr">
        <is>
          <t>S0012</t>
        </is>
      </c>
      <c r="B11" t="inlineStr">
        <is>
          <t>Bluegum Developments</t>
        </is>
      </c>
      <c r="C11" t="inlineStr">
        <is>
          <t>Fencing</t>
        </is>
      </c>
      <c r="D11" t="inlineStr">
        <is>
          <t>BR</t>
        </is>
      </c>
      <c r="E11">
        <f>SUMIFS('Asset Log'!$H$5:$H$1379,'Asset Log'!$D$5:$D$1379,A11,'Asset Log'!$E$5:$E$1379,D11,'Asset Log'!$J$5:$J$1379,1)</f>
        <v>4</v>
      </c>
      <c r="F11" t="inlineStr">
        <is>
          <t>On hire</t>
        </is>
      </c>
    </row>
    <row r="12">
      <c r="A12" t="inlineStr">
        <is>
          <t>S0012</t>
        </is>
      </c>
      <c r="B12" t="inlineStr">
        <is>
          <t>Bluegum Developments</t>
        </is>
      </c>
      <c r="C12" t="inlineStr">
        <is>
          <t>Fencing</t>
        </is>
      </c>
      <c r="D12" t="inlineStr">
        <is>
          <t>FB</t>
        </is>
      </c>
      <c r="E12">
        <f>SUMIFS('Asset Log'!$H$5:$H$1379,'Asset Log'!$D$5:$D$1379,A12,'Asset Log'!$E$5:$E$1379,D12,'Asset Log'!$J$5:$J$1379,1)</f>
        <v>94</v>
      </c>
      <c r="F12" t="inlineStr">
        <is>
          <t>On hire</t>
        </is>
      </c>
    </row>
    <row r="13">
      <c r="A13" t="inlineStr">
        <is>
          <t>S0012</t>
        </is>
      </c>
      <c r="B13" t="inlineStr">
        <is>
          <t>Bluegum Developments</t>
        </is>
      </c>
      <c r="C13" t="inlineStr">
        <is>
          <t>Fencing</t>
        </is>
      </c>
      <c r="D13" t="inlineStr">
        <is>
          <t>FP</t>
        </is>
      </c>
      <c r="E13">
        <f>SUMIFS('Asset Log'!$H$5:$H$1379,'Asset Log'!$D$5:$D$1379,A13,'Asset Log'!$E$5:$E$1379,D13,'Asset Log'!$J$5:$J$1379,1)</f>
        <v>86</v>
      </c>
      <c r="F13" t="inlineStr">
        <is>
          <t>On hire</t>
        </is>
      </c>
    </row>
    <row r="14">
      <c r="A14" t="inlineStr">
        <is>
          <t>S0014</t>
        </is>
      </c>
      <c r="B14" t="inlineStr">
        <is>
          <t>Banksia Homes</t>
        </is>
      </c>
      <c r="C14" t="inlineStr">
        <is>
          <t>Fencing</t>
        </is>
      </c>
      <c r="D14" t="inlineStr">
        <is>
          <t>BR</t>
        </is>
      </c>
      <c r="E14">
        <f>SUMIFS('Asset Log'!$H$5:$H$1379,'Asset Log'!$D$5:$D$1379,A14,'Asset Log'!$E$5:$E$1379,D14,'Asset Log'!$J$5:$J$1379,1)</f>
        <v>14</v>
      </c>
      <c r="F14" t="inlineStr">
        <is>
          <t>On hire</t>
        </is>
      </c>
    </row>
    <row r="15">
      <c r="A15" t="inlineStr">
        <is>
          <t>S0014</t>
        </is>
      </c>
      <c r="B15" t="inlineStr">
        <is>
          <t>Banksia Homes</t>
        </is>
      </c>
      <c r="C15" t="inlineStr">
        <is>
          <t>Fencing</t>
        </is>
      </c>
      <c r="D15" t="inlineStr">
        <is>
          <t>FB</t>
        </is>
      </c>
      <c r="E15">
        <f>SUMIFS('Asset Log'!$H$5:$H$1379,'Asset Log'!$D$5:$D$1379,A15,'Asset Log'!$E$5:$E$1379,D15,'Asset Log'!$J$5:$J$1379,1)</f>
        <v>33</v>
      </c>
      <c r="F15" t="inlineStr">
        <is>
          <t>On hire</t>
        </is>
      </c>
    </row>
    <row r="16">
      <c r="A16" t="inlineStr">
        <is>
          <t>S0014</t>
        </is>
      </c>
      <c r="B16" t="inlineStr">
        <is>
          <t>Banksia Homes</t>
        </is>
      </c>
      <c r="C16" t="inlineStr">
        <is>
          <t>Fencing</t>
        </is>
      </c>
      <c r="D16" t="inlineStr">
        <is>
          <t>FP</t>
        </is>
      </c>
      <c r="E16">
        <f>SUMIFS('Asset Log'!$H$5:$H$1379,'Asset Log'!$D$5:$D$1379,A16,'Asset Log'!$E$5:$E$1379,D16,'Asset Log'!$J$5:$J$1379,1)</f>
        <v>30</v>
      </c>
      <c r="F16" t="inlineStr">
        <is>
          <t>On hire</t>
        </is>
      </c>
    </row>
    <row r="17">
      <c r="A17" t="inlineStr">
        <is>
          <t>S0016</t>
        </is>
      </c>
      <c r="B17" t="inlineStr">
        <is>
          <t>Cobalt Developments Pty Ltd</t>
        </is>
      </c>
      <c r="C17" t="inlineStr">
        <is>
          <t>Fencing</t>
        </is>
      </c>
      <c r="D17" t="inlineStr">
        <is>
          <t>BR</t>
        </is>
      </c>
      <c r="E17">
        <f>SUMIFS('Asset Log'!$H$5:$H$1379,'Asset Log'!$D$5:$D$1379,A17,'Asset Log'!$E$5:$E$1379,D17,'Asset Log'!$J$5:$J$1379,1)</f>
        <v>13</v>
      </c>
      <c r="F17" t="inlineStr">
        <is>
          <t>On hire</t>
        </is>
      </c>
    </row>
    <row r="18">
      <c r="A18" t="inlineStr">
        <is>
          <t>S0016</t>
        </is>
      </c>
      <c r="B18" t="inlineStr">
        <is>
          <t>Cobalt Developments Pty Ltd</t>
        </is>
      </c>
      <c r="C18" t="inlineStr">
        <is>
          <t>Fencing</t>
        </is>
      </c>
      <c r="D18" t="inlineStr">
        <is>
          <t>FB</t>
        </is>
      </c>
      <c r="E18">
        <f>SUMIFS('Asset Log'!$H$5:$H$1379,'Asset Log'!$D$5:$D$1379,A18,'Asset Log'!$E$5:$E$1379,D18,'Asset Log'!$J$5:$J$1379,1)</f>
        <v>53</v>
      </c>
      <c r="F18" t="inlineStr">
        <is>
          <t>On hire</t>
        </is>
      </c>
    </row>
    <row r="19">
      <c r="A19" t="inlineStr">
        <is>
          <t>S0016</t>
        </is>
      </c>
      <c r="B19" t="inlineStr">
        <is>
          <t>Cobalt Developments Pty Ltd</t>
        </is>
      </c>
      <c r="C19" t="inlineStr">
        <is>
          <t>Fencing</t>
        </is>
      </c>
      <c r="D19" t="inlineStr">
        <is>
          <t>FP</t>
        </is>
      </c>
      <c r="E19">
        <f>SUMIFS('Asset Log'!$H$5:$H$1379,'Asset Log'!$D$5:$D$1379,A19,'Asset Log'!$E$5:$E$1379,D19,'Asset Log'!$J$5:$J$1379,1)</f>
        <v>49</v>
      </c>
      <c r="F19" t="inlineStr">
        <is>
          <t>On hire</t>
        </is>
      </c>
    </row>
    <row r="20">
      <c r="A20" t="inlineStr">
        <is>
          <t>S0018</t>
        </is>
      </c>
      <c r="B20" t="inlineStr">
        <is>
          <t>Norfolk Constructions Pty Ltd</t>
        </is>
      </c>
      <c r="C20" t="inlineStr">
        <is>
          <t>Fencing</t>
        </is>
      </c>
      <c r="D20" t="inlineStr">
        <is>
          <t>FP</t>
        </is>
      </c>
      <c r="E20">
        <f>SUMIFS('Asset Log'!$H$5:$H$1379,'Asset Log'!$D$5:$D$1379,A20,'Asset Log'!$E$5:$E$1379,D20,'Asset Log'!$J$5:$J$1379,1)</f>
        <v>7</v>
      </c>
      <c r="F20" t="inlineStr">
        <is>
          <t>Closed site: units not returned</t>
        </is>
      </c>
    </row>
    <row r="21">
      <c r="A21" t="inlineStr">
        <is>
          <t>S0020</t>
        </is>
      </c>
      <c r="B21" t="inlineStr">
        <is>
          <t>Granite Projects Pty Ltd</t>
        </is>
      </c>
      <c r="C21" t="inlineStr">
        <is>
          <t>Fencing</t>
        </is>
      </c>
      <c r="D21" t="inlineStr">
        <is>
          <t>BR</t>
        </is>
      </c>
      <c r="E21">
        <f>SUMIFS('Asset Log'!$H$5:$H$1379,'Asset Log'!$D$5:$D$1379,A21,'Asset Log'!$E$5:$E$1379,D21,'Asset Log'!$J$5:$J$1379,1)</f>
        <v>11</v>
      </c>
      <c r="F21" t="inlineStr">
        <is>
          <t>On hire</t>
        </is>
      </c>
    </row>
    <row r="22">
      <c r="A22" t="inlineStr">
        <is>
          <t>S0020</t>
        </is>
      </c>
      <c r="B22" t="inlineStr">
        <is>
          <t>Granite Projects Pty Ltd</t>
        </is>
      </c>
      <c r="C22" t="inlineStr">
        <is>
          <t>Fencing</t>
        </is>
      </c>
      <c r="D22" t="inlineStr">
        <is>
          <t>FB</t>
        </is>
      </c>
      <c r="E22">
        <f>SUMIFS('Asset Log'!$H$5:$H$1379,'Asset Log'!$D$5:$D$1379,A22,'Asset Log'!$E$5:$E$1379,D22,'Asset Log'!$J$5:$J$1379,1)</f>
        <v>27</v>
      </c>
      <c r="F22" t="inlineStr">
        <is>
          <t>On hire</t>
        </is>
      </c>
    </row>
    <row r="23">
      <c r="A23" t="inlineStr">
        <is>
          <t>S0020</t>
        </is>
      </c>
      <c r="B23" t="inlineStr">
        <is>
          <t>Granite Projects Pty Ltd</t>
        </is>
      </c>
      <c r="C23" t="inlineStr">
        <is>
          <t>Fencing</t>
        </is>
      </c>
      <c r="D23" t="inlineStr">
        <is>
          <t>FP</t>
        </is>
      </c>
      <c r="E23">
        <f>SUMIFS('Asset Log'!$H$5:$H$1379,'Asset Log'!$D$5:$D$1379,A23,'Asset Log'!$E$5:$E$1379,D23,'Asset Log'!$J$5:$J$1379,1)</f>
        <v>26</v>
      </c>
      <c r="F23" t="inlineStr">
        <is>
          <t>On hire</t>
        </is>
      </c>
    </row>
    <row r="24">
      <c r="A24" t="inlineStr">
        <is>
          <t>S0023</t>
        </is>
      </c>
      <c r="B24" t="inlineStr">
        <is>
          <t>Bluegum Body Corporate Pty Ltd</t>
        </is>
      </c>
      <c r="C24" t="inlineStr">
        <is>
          <t>Fencing</t>
        </is>
      </c>
      <c r="D24" t="inlineStr">
        <is>
          <t>FB</t>
        </is>
      </c>
      <c r="E24">
        <f>SUMIFS('Asset Log'!$H$5:$H$1379,'Asset Log'!$D$5:$D$1379,A24,'Asset Log'!$E$5:$E$1379,D24,'Asset Log'!$J$5:$J$1379,1)</f>
        <v>128</v>
      </c>
      <c r="F24" t="inlineStr">
        <is>
          <t>On hire</t>
        </is>
      </c>
    </row>
    <row r="25">
      <c r="A25" t="inlineStr">
        <is>
          <t>S0023</t>
        </is>
      </c>
      <c r="B25" t="inlineStr">
        <is>
          <t>Bluegum Body Corporate Pty Ltd</t>
        </is>
      </c>
      <c r="C25" t="inlineStr">
        <is>
          <t>Fencing</t>
        </is>
      </c>
      <c r="D25" t="inlineStr">
        <is>
          <t>FP</t>
        </is>
      </c>
      <c r="E25">
        <f>SUMIFS('Asset Log'!$H$5:$H$1379,'Asset Log'!$D$5:$D$1379,A25,'Asset Log'!$E$5:$E$1379,D25,'Asset Log'!$J$5:$J$1379,1)</f>
        <v>117</v>
      </c>
      <c r="F25" t="inlineStr">
        <is>
          <t>On hire</t>
        </is>
      </c>
    </row>
    <row r="26">
      <c r="A26" t="inlineStr">
        <is>
          <t>S0024</t>
        </is>
      </c>
      <c r="B26" t="inlineStr">
        <is>
          <t>Wattle Constructions Pty Ltd</t>
        </is>
      </c>
      <c r="C26" t="inlineStr">
        <is>
          <t>Fencing</t>
        </is>
      </c>
      <c r="D26" t="inlineStr">
        <is>
          <t>FP</t>
        </is>
      </c>
      <c r="E26">
        <f>SUMIFS('Asset Log'!$H$5:$H$1379,'Asset Log'!$D$5:$D$1379,A26,'Asset Log'!$E$5:$E$1379,D26,'Asset Log'!$J$5:$J$1379,1)</f>
        <v>6</v>
      </c>
      <c r="F26" t="inlineStr">
        <is>
          <t>Closed site: units not returned</t>
        </is>
      </c>
    </row>
    <row r="27">
      <c r="A27" t="inlineStr">
        <is>
          <t>S0027</t>
        </is>
      </c>
      <c r="B27" t="inlineStr">
        <is>
          <t>Bluegum Construction Pty Ltd</t>
        </is>
      </c>
      <c r="C27" t="inlineStr">
        <is>
          <t>Fencing</t>
        </is>
      </c>
      <c r="D27" t="inlineStr">
        <is>
          <t>FB</t>
        </is>
      </c>
      <c r="E27">
        <f>SUMIFS('Asset Log'!$H$5:$H$1379,'Asset Log'!$D$5:$D$1379,A27,'Asset Log'!$E$5:$E$1379,D27,'Asset Log'!$J$5:$J$1379,1)</f>
        <v>86</v>
      </c>
      <c r="F27" t="inlineStr">
        <is>
          <t>On hire</t>
        </is>
      </c>
    </row>
    <row r="28">
      <c r="A28" t="inlineStr">
        <is>
          <t>S0027</t>
        </is>
      </c>
      <c r="B28" t="inlineStr">
        <is>
          <t>Bluegum Construction Pty Ltd</t>
        </is>
      </c>
      <c r="C28" t="inlineStr">
        <is>
          <t>Fencing</t>
        </is>
      </c>
      <c r="D28" t="inlineStr">
        <is>
          <t>FP</t>
        </is>
      </c>
      <c r="E28">
        <f>SUMIFS('Asset Log'!$H$5:$H$1379,'Asset Log'!$D$5:$D$1379,A28,'Asset Log'!$E$5:$E$1379,D28,'Asset Log'!$J$5:$J$1379,1)</f>
        <v>79</v>
      </c>
      <c r="F28" t="inlineStr">
        <is>
          <t>On hire</t>
        </is>
      </c>
    </row>
    <row r="29">
      <c r="A29" t="inlineStr">
        <is>
          <t>S0029</t>
        </is>
      </c>
      <c r="B29" t="inlineStr">
        <is>
          <t>Lakeside Constructions Pty Ltd</t>
        </is>
      </c>
      <c r="C29" t="inlineStr">
        <is>
          <t>Fencing</t>
        </is>
      </c>
      <c r="D29" t="inlineStr">
        <is>
          <t>FB</t>
        </is>
      </c>
      <c r="E29">
        <f>SUMIFS('Asset Log'!$H$5:$H$1379,'Asset Log'!$D$5:$D$1379,A29,'Asset Log'!$E$5:$E$1379,D29,'Asset Log'!$J$5:$J$1379,1)</f>
        <v>138</v>
      </c>
      <c r="F29" t="inlineStr">
        <is>
          <t>On hire</t>
        </is>
      </c>
    </row>
    <row r="30">
      <c r="A30" t="inlineStr">
        <is>
          <t>S0029</t>
        </is>
      </c>
      <c r="B30" t="inlineStr">
        <is>
          <t>Lakeside Constructions Pty Ltd</t>
        </is>
      </c>
      <c r="C30" t="inlineStr">
        <is>
          <t>Fencing</t>
        </is>
      </c>
      <c r="D30" t="inlineStr">
        <is>
          <t>FP</t>
        </is>
      </c>
      <c r="E30">
        <f>SUMIFS('Asset Log'!$H$5:$H$1379,'Asset Log'!$D$5:$D$1379,A30,'Asset Log'!$E$5:$E$1379,D30,'Asset Log'!$J$5:$J$1379,1)</f>
        <v>126</v>
      </c>
      <c r="F30" t="inlineStr">
        <is>
          <t>On hire</t>
        </is>
      </c>
    </row>
    <row r="31">
      <c r="A31" t="inlineStr">
        <is>
          <t>S0039</t>
        </is>
      </c>
      <c r="B31" t="inlineStr">
        <is>
          <t>Summit Homes Pty Ltd</t>
        </is>
      </c>
      <c r="C31" t="inlineStr">
        <is>
          <t>Fencing</t>
        </is>
      </c>
      <c r="D31" t="inlineStr">
        <is>
          <t>FP</t>
        </is>
      </c>
      <c r="E31">
        <f>SUMIFS('Asset Log'!$H$5:$H$1379,'Asset Log'!$D$5:$D$1379,A31,'Asset Log'!$E$5:$E$1379,D31,'Asset Log'!$J$5:$J$1379,1)</f>
        <v>9</v>
      </c>
      <c r="F31" t="inlineStr">
        <is>
          <t>Closed site: units not returned</t>
        </is>
      </c>
    </row>
    <row r="32">
      <c r="A32" t="inlineStr">
        <is>
          <t>S0040</t>
        </is>
      </c>
      <c r="B32" t="inlineStr">
        <is>
          <t>Riverbend Homes Pty Ltd</t>
        </is>
      </c>
      <c r="C32" t="inlineStr">
        <is>
          <t>Fencing</t>
        </is>
      </c>
      <c r="D32" t="inlineStr">
        <is>
          <t>BR</t>
        </is>
      </c>
      <c r="E32">
        <f>SUMIFS('Asset Log'!$H$5:$H$1379,'Asset Log'!$D$5:$D$1379,A32,'Asset Log'!$E$5:$E$1379,D32,'Asset Log'!$J$5:$J$1379,1)</f>
        <v>4</v>
      </c>
      <c r="F32" t="inlineStr">
        <is>
          <t>On hire</t>
        </is>
      </c>
    </row>
    <row r="33">
      <c r="A33" t="inlineStr">
        <is>
          <t>S0040</t>
        </is>
      </c>
      <c r="B33" t="inlineStr">
        <is>
          <t>Riverbend Homes Pty Ltd</t>
        </is>
      </c>
      <c r="C33" t="inlineStr">
        <is>
          <t>Fencing</t>
        </is>
      </c>
      <c r="D33" t="inlineStr">
        <is>
          <t>FB</t>
        </is>
      </c>
      <c r="E33">
        <f>SUMIFS('Asset Log'!$H$5:$H$1379,'Asset Log'!$D$5:$D$1379,A33,'Asset Log'!$E$5:$E$1379,D33,'Asset Log'!$J$5:$J$1379,1)</f>
        <v>163</v>
      </c>
      <c r="F33" t="inlineStr">
        <is>
          <t>On hire</t>
        </is>
      </c>
    </row>
    <row r="34">
      <c r="A34" t="inlineStr">
        <is>
          <t>S0040</t>
        </is>
      </c>
      <c r="B34" t="inlineStr">
        <is>
          <t>Riverbend Homes Pty Ltd</t>
        </is>
      </c>
      <c r="C34" t="inlineStr">
        <is>
          <t>Fencing</t>
        </is>
      </c>
      <c r="D34" t="inlineStr">
        <is>
          <t>FP</t>
        </is>
      </c>
      <c r="E34">
        <f>SUMIFS('Asset Log'!$H$5:$H$1379,'Asset Log'!$D$5:$D$1379,A34,'Asset Log'!$E$5:$E$1379,D34,'Asset Log'!$J$5:$J$1379,1)</f>
        <v>149</v>
      </c>
      <c r="F34" t="inlineStr">
        <is>
          <t>On hire</t>
        </is>
      </c>
    </row>
    <row r="35">
      <c r="A35" t="inlineStr">
        <is>
          <t>S0042</t>
        </is>
      </c>
      <c r="B35" t="inlineStr">
        <is>
          <t>Noah Williams</t>
        </is>
      </c>
      <c r="C35" t="inlineStr">
        <is>
          <t>Fencing</t>
        </is>
      </c>
      <c r="D35" t="inlineStr">
        <is>
          <t>FB</t>
        </is>
      </c>
      <c r="E35">
        <f>SUMIFS('Asset Log'!$H$5:$H$1379,'Asset Log'!$D$5:$D$1379,A35,'Asset Log'!$E$5:$E$1379,D35,'Asset Log'!$J$5:$J$1379,1)</f>
        <v>89</v>
      </c>
      <c r="F35" t="inlineStr">
        <is>
          <t>On hire</t>
        </is>
      </c>
    </row>
    <row r="36">
      <c r="A36" t="inlineStr">
        <is>
          <t>S0042</t>
        </is>
      </c>
      <c r="B36" t="inlineStr">
        <is>
          <t>Noah Williams</t>
        </is>
      </c>
      <c r="C36" t="inlineStr">
        <is>
          <t>Fencing</t>
        </is>
      </c>
      <c r="D36" t="inlineStr">
        <is>
          <t>FP</t>
        </is>
      </c>
      <c r="E36">
        <f>SUMIFS('Asset Log'!$H$5:$H$1379,'Asset Log'!$D$5:$D$1379,A36,'Asset Log'!$E$5:$E$1379,D36,'Asset Log'!$J$5:$J$1379,1)</f>
        <v>81</v>
      </c>
      <c r="F36" t="inlineStr">
        <is>
          <t>On hire</t>
        </is>
      </c>
    </row>
    <row r="37">
      <c r="A37" t="inlineStr">
        <is>
          <t>S0052</t>
        </is>
      </c>
      <c r="B37" t="inlineStr">
        <is>
          <t>Banksia Projects Pty Ltd</t>
        </is>
      </c>
      <c r="C37" t="inlineStr">
        <is>
          <t>Fencing</t>
        </is>
      </c>
      <c r="D37" t="inlineStr">
        <is>
          <t>FB</t>
        </is>
      </c>
      <c r="E37">
        <f>SUMIFS('Asset Log'!$H$5:$H$1379,'Asset Log'!$D$5:$D$1379,A37,'Asset Log'!$E$5:$E$1379,D37,'Asset Log'!$J$5:$J$1379,1)</f>
        <v>117</v>
      </c>
      <c r="F37" t="inlineStr">
        <is>
          <t>On hire</t>
        </is>
      </c>
    </row>
    <row r="38">
      <c r="A38" t="inlineStr">
        <is>
          <t>S0052</t>
        </is>
      </c>
      <c r="B38" t="inlineStr">
        <is>
          <t>Banksia Projects Pty Ltd</t>
        </is>
      </c>
      <c r="C38" t="inlineStr">
        <is>
          <t>Fencing</t>
        </is>
      </c>
      <c r="D38" t="inlineStr">
        <is>
          <t>FP</t>
        </is>
      </c>
      <c r="E38">
        <f>SUMIFS('Asset Log'!$H$5:$H$1379,'Asset Log'!$D$5:$D$1379,A38,'Asset Log'!$E$5:$E$1379,D38,'Asset Log'!$J$5:$J$1379,1)</f>
        <v>107</v>
      </c>
      <c r="F38" t="inlineStr">
        <is>
          <t>On hire</t>
        </is>
      </c>
    </row>
    <row r="39">
      <c r="A39" t="inlineStr">
        <is>
          <t>S0056</t>
        </is>
      </c>
      <c r="B39" t="inlineStr">
        <is>
          <t>Bluegum Developments</t>
        </is>
      </c>
      <c r="C39" t="inlineStr">
        <is>
          <t>Fencing</t>
        </is>
      </c>
      <c r="D39" t="inlineStr">
        <is>
          <t>BR</t>
        </is>
      </c>
      <c r="E39">
        <f>SUMIFS('Asset Log'!$H$5:$H$1379,'Asset Log'!$D$5:$D$1379,A39,'Asset Log'!$E$5:$E$1379,D39,'Asset Log'!$J$5:$J$1379,1)</f>
        <v>9</v>
      </c>
      <c r="F39" t="inlineStr">
        <is>
          <t>On hire</t>
        </is>
      </c>
    </row>
    <row r="40">
      <c r="A40" t="inlineStr">
        <is>
          <t>S0056</t>
        </is>
      </c>
      <c r="B40" t="inlineStr">
        <is>
          <t>Bluegum Developments</t>
        </is>
      </c>
      <c r="C40" t="inlineStr">
        <is>
          <t>Fencing</t>
        </is>
      </c>
      <c r="D40" t="inlineStr">
        <is>
          <t>FB</t>
        </is>
      </c>
      <c r="E40">
        <f>SUMIFS('Asset Log'!$H$5:$H$1379,'Asset Log'!$D$5:$D$1379,A40,'Asset Log'!$E$5:$E$1379,D40,'Asset Log'!$J$5:$J$1379,1)</f>
        <v>56</v>
      </c>
      <c r="F40" t="inlineStr">
        <is>
          <t>On hire</t>
        </is>
      </c>
    </row>
    <row r="41">
      <c r="A41" t="inlineStr">
        <is>
          <t>S0056</t>
        </is>
      </c>
      <c r="B41" t="inlineStr">
        <is>
          <t>Bluegum Developments</t>
        </is>
      </c>
      <c r="C41" t="inlineStr">
        <is>
          <t>Fencing</t>
        </is>
      </c>
      <c r="D41" t="inlineStr">
        <is>
          <t>FP</t>
        </is>
      </c>
      <c r="E41">
        <f>SUMIFS('Asset Log'!$H$5:$H$1379,'Asset Log'!$D$5:$D$1379,A41,'Asset Log'!$E$5:$E$1379,D41,'Asset Log'!$J$5:$J$1379,1)</f>
        <v>51</v>
      </c>
      <c r="F41" t="inlineStr">
        <is>
          <t>On hire</t>
        </is>
      </c>
    </row>
    <row r="42">
      <c r="A42" t="inlineStr">
        <is>
          <t>S0057</t>
        </is>
      </c>
      <c r="B42" t="inlineStr">
        <is>
          <t>Highpoint Projects</t>
        </is>
      </c>
      <c r="C42" t="inlineStr">
        <is>
          <t>Fencing</t>
        </is>
      </c>
      <c r="D42" t="inlineStr">
        <is>
          <t>FB</t>
        </is>
      </c>
      <c r="E42">
        <f>SUMIFS('Asset Log'!$H$5:$H$1379,'Asset Log'!$D$5:$D$1379,A42,'Asset Log'!$E$5:$E$1379,D42,'Asset Log'!$J$5:$J$1379,1)</f>
        <v>146</v>
      </c>
      <c r="F42" t="inlineStr">
        <is>
          <t>On hire</t>
        </is>
      </c>
    </row>
    <row r="43">
      <c r="A43" t="inlineStr">
        <is>
          <t>S0057</t>
        </is>
      </c>
      <c r="B43" t="inlineStr">
        <is>
          <t>Highpoint Projects</t>
        </is>
      </c>
      <c r="C43" t="inlineStr">
        <is>
          <t>Fencing</t>
        </is>
      </c>
      <c r="D43" t="inlineStr">
        <is>
          <t>FP</t>
        </is>
      </c>
      <c r="E43">
        <f>SUMIFS('Asset Log'!$H$5:$H$1379,'Asset Log'!$D$5:$D$1379,A43,'Asset Log'!$E$5:$E$1379,D43,'Asset Log'!$J$5:$J$1379,1)</f>
        <v>133</v>
      </c>
      <c r="F43" t="inlineStr">
        <is>
          <t>On hire</t>
        </is>
      </c>
    </row>
    <row r="44">
      <c r="A44" t="inlineStr">
        <is>
          <t>S0058</t>
        </is>
      </c>
      <c r="B44" t="inlineStr">
        <is>
          <t>Riverbend Homes Pty Ltd</t>
        </is>
      </c>
      <c r="C44" t="inlineStr">
        <is>
          <t>Fencing</t>
        </is>
      </c>
      <c r="D44" t="inlineStr">
        <is>
          <t>BR</t>
        </is>
      </c>
      <c r="E44">
        <f>SUMIFS('Asset Log'!$H$5:$H$1379,'Asset Log'!$D$5:$D$1379,A44,'Asset Log'!$E$5:$E$1379,D44,'Asset Log'!$J$5:$J$1379,1)</f>
        <v>13</v>
      </c>
      <c r="F44" t="inlineStr">
        <is>
          <t>On hire</t>
        </is>
      </c>
    </row>
    <row r="45">
      <c r="A45" t="inlineStr">
        <is>
          <t>S0058</t>
        </is>
      </c>
      <c r="B45" t="inlineStr">
        <is>
          <t>Riverbend Homes Pty Ltd</t>
        </is>
      </c>
      <c r="C45" t="inlineStr">
        <is>
          <t>Fencing</t>
        </is>
      </c>
      <c r="D45" t="inlineStr">
        <is>
          <t>FB</t>
        </is>
      </c>
      <c r="E45">
        <f>SUMIFS('Asset Log'!$H$5:$H$1379,'Asset Log'!$D$5:$D$1379,A45,'Asset Log'!$E$5:$E$1379,D45,'Asset Log'!$J$5:$J$1379,1)</f>
        <v>46</v>
      </c>
      <c r="F45" t="inlineStr">
        <is>
          <t>On hire</t>
        </is>
      </c>
    </row>
    <row r="46">
      <c r="A46" t="inlineStr">
        <is>
          <t>S0058</t>
        </is>
      </c>
      <c r="B46" t="inlineStr">
        <is>
          <t>Riverbend Homes Pty Ltd</t>
        </is>
      </c>
      <c r="C46" t="inlineStr">
        <is>
          <t>Fencing</t>
        </is>
      </c>
      <c r="D46" t="inlineStr">
        <is>
          <t>FP</t>
        </is>
      </c>
      <c r="E46">
        <f>SUMIFS('Asset Log'!$H$5:$H$1379,'Asset Log'!$D$5:$D$1379,A46,'Asset Log'!$E$5:$E$1379,D46,'Asset Log'!$J$5:$J$1379,1)</f>
        <v>42</v>
      </c>
      <c r="F46" t="inlineStr">
        <is>
          <t>On hire</t>
        </is>
      </c>
    </row>
    <row r="47">
      <c r="A47" t="inlineStr">
        <is>
          <t>S0060</t>
        </is>
      </c>
      <c r="B47" t="inlineStr">
        <is>
          <t>Bluegum Constructions</t>
        </is>
      </c>
      <c r="C47" t="inlineStr">
        <is>
          <t>Fencing</t>
        </is>
      </c>
      <c r="D47" t="inlineStr">
        <is>
          <t>BR</t>
        </is>
      </c>
      <c r="E47">
        <f>SUMIFS('Asset Log'!$H$5:$H$1379,'Asset Log'!$D$5:$D$1379,A47,'Asset Log'!$E$5:$E$1379,D47,'Asset Log'!$J$5:$J$1379,1)</f>
        <v>19</v>
      </c>
      <c r="F47" t="inlineStr">
        <is>
          <t>On hire</t>
        </is>
      </c>
    </row>
    <row r="48">
      <c r="A48" t="inlineStr">
        <is>
          <t>S0060</t>
        </is>
      </c>
      <c r="B48" t="inlineStr">
        <is>
          <t>Bluegum Constructions</t>
        </is>
      </c>
      <c r="C48" t="inlineStr">
        <is>
          <t>Fencing</t>
        </is>
      </c>
      <c r="D48" t="inlineStr">
        <is>
          <t>FB</t>
        </is>
      </c>
      <c r="E48">
        <f>SUMIFS('Asset Log'!$H$5:$H$1379,'Asset Log'!$D$5:$D$1379,A48,'Asset Log'!$E$5:$E$1379,D48,'Asset Log'!$J$5:$J$1379,1)</f>
        <v>39</v>
      </c>
      <c r="F48" t="inlineStr">
        <is>
          <t>On hire</t>
        </is>
      </c>
    </row>
    <row r="49">
      <c r="A49" t="inlineStr">
        <is>
          <t>S0060</t>
        </is>
      </c>
      <c r="B49" t="inlineStr">
        <is>
          <t>Bluegum Constructions</t>
        </is>
      </c>
      <c r="C49" t="inlineStr">
        <is>
          <t>Fencing</t>
        </is>
      </c>
      <c r="D49" t="inlineStr">
        <is>
          <t>FP</t>
        </is>
      </c>
      <c r="E49">
        <f>SUMIFS('Asset Log'!$H$5:$H$1379,'Asset Log'!$D$5:$D$1379,A49,'Asset Log'!$E$5:$E$1379,D49,'Asset Log'!$J$5:$J$1379,1)</f>
        <v>36</v>
      </c>
      <c r="F49" t="inlineStr">
        <is>
          <t>On hire</t>
        </is>
      </c>
    </row>
    <row r="50">
      <c r="A50" t="inlineStr">
        <is>
          <t>S0063</t>
        </is>
      </c>
      <c r="B50" t="inlineStr">
        <is>
          <t>Banyule City Council</t>
        </is>
      </c>
      <c r="C50" t="inlineStr">
        <is>
          <t>Fencing</t>
        </is>
      </c>
      <c r="D50" t="inlineStr">
        <is>
          <t>FP</t>
        </is>
      </c>
      <c r="E50">
        <f>SUMIFS('Asset Log'!$H$5:$H$1379,'Asset Log'!$D$5:$D$1379,A50,'Asset Log'!$E$5:$E$1379,D50,'Asset Log'!$J$5:$J$1379,1)</f>
        <v>3</v>
      </c>
      <c r="F50" t="inlineStr">
        <is>
          <t>Closed site: units not returned</t>
        </is>
      </c>
    </row>
    <row r="51">
      <c r="A51" t="inlineStr">
        <is>
          <t>S0064</t>
        </is>
      </c>
      <c r="B51" t="inlineStr">
        <is>
          <t>Banksia Projects Pty Ltd</t>
        </is>
      </c>
      <c r="C51" t="inlineStr">
        <is>
          <t>Fencing</t>
        </is>
      </c>
      <c r="D51" t="inlineStr">
        <is>
          <t>BR</t>
        </is>
      </c>
      <c r="E51">
        <f>SUMIFS('Asset Log'!$H$5:$H$1379,'Asset Log'!$D$5:$D$1379,A51,'Asset Log'!$E$5:$E$1379,D51,'Asset Log'!$J$5:$J$1379,1)</f>
        <v>20</v>
      </c>
      <c r="F51" t="inlineStr">
        <is>
          <t>On hire</t>
        </is>
      </c>
    </row>
    <row r="52">
      <c r="A52" t="inlineStr">
        <is>
          <t>S0064</t>
        </is>
      </c>
      <c r="B52" t="inlineStr">
        <is>
          <t>Banksia Projects Pty Ltd</t>
        </is>
      </c>
      <c r="C52" t="inlineStr">
        <is>
          <t>Fencing</t>
        </is>
      </c>
      <c r="D52" t="inlineStr">
        <is>
          <t>FB</t>
        </is>
      </c>
      <c r="E52">
        <f>SUMIFS('Asset Log'!$H$5:$H$1379,'Asset Log'!$D$5:$D$1379,A52,'Asset Log'!$E$5:$E$1379,D52,'Asset Log'!$J$5:$J$1379,1)</f>
        <v>46</v>
      </c>
      <c r="F52" t="inlineStr">
        <is>
          <t>On hire</t>
        </is>
      </c>
    </row>
    <row r="53">
      <c r="A53" t="inlineStr">
        <is>
          <t>S0064</t>
        </is>
      </c>
      <c r="B53" t="inlineStr">
        <is>
          <t>Banksia Projects Pty Ltd</t>
        </is>
      </c>
      <c r="C53" t="inlineStr">
        <is>
          <t>Fencing</t>
        </is>
      </c>
      <c r="D53" t="inlineStr">
        <is>
          <t>FP</t>
        </is>
      </c>
      <c r="E53">
        <f>SUMIFS('Asset Log'!$H$5:$H$1379,'Asset Log'!$D$5:$D$1379,A53,'Asset Log'!$E$5:$E$1379,D53,'Asset Log'!$J$5:$J$1379,1)</f>
        <v>42</v>
      </c>
      <c r="F53" t="inlineStr">
        <is>
          <t>On hire</t>
        </is>
      </c>
    </row>
    <row r="54">
      <c r="A54" t="inlineStr">
        <is>
          <t>S0066</t>
        </is>
      </c>
      <c r="B54" t="inlineStr">
        <is>
          <t>Maribyrnong City Council</t>
        </is>
      </c>
      <c r="C54" t="inlineStr">
        <is>
          <t>Fencing</t>
        </is>
      </c>
      <c r="D54" t="inlineStr">
        <is>
          <t>FP</t>
        </is>
      </c>
      <c r="E54">
        <f>SUMIFS('Asset Log'!$H$5:$H$1379,'Asset Log'!$D$5:$D$1379,A54,'Asset Log'!$E$5:$E$1379,D54,'Asset Log'!$J$5:$J$1379,1)</f>
        <v>9</v>
      </c>
      <c r="F54" t="inlineStr">
        <is>
          <t>Closed site: units not returned</t>
        </is>
      </c>
    </row>
    <row r="55">
      <c r="A55" t="inlineStr">
        <is>
          <t>S0070</t>
        </is>
      </c>
      <c r="B55" t="inlineStr">
        <is>
          <t>Maribyrnong City Council</t>
        </is>
      </c>
      <c r="C55" t="inlineStr">
        <is>
          <t>Fencing</t>
        </is>
      </c>
      <c r="D55" t="inlineStr">
        <is>
          <t>FB</t>
        </is>
      </c>
      <c r="E55">
        <f>SUMIFS('Asset Log'!$H$5:$H$1379,'Asset Log'!$D$5:$D$1379,A55,'Asset Log'!$E$5:$E$1379,D55,'Asset Log'!$J$5:$J$1379,1)</f>
        <v>31</v>
      </c>
      <c r="F55" t="inlineStr">
        <is>
          <t>On hire</t>
        </is>
      </c>
    </row>
    <row r="56">
      <c r="A56" t="inlineStr">
        <is>
          <t>S0070</t>
        </is>
      </c>
      <c r="B56" t="inlineStr">
        <is>
          <t>Maribyrnong City Council</t>
        </is>
      </c>
      <c r="C56" t="inlineStr">
        <is>
          <t>Fencing</t>
        </is>
      </c>
      <c r="D56" t="inlineStr">
        <is>
          <t>FP</t>
        </is>
      </c>
      <c r="E56">
        <f>SUMIFS('Asset Log'!$H$5:$H$1379,'Asset Log'!$D$5:$D$1379,A56,'Asset Log'!$E$5:$E$1379,D56,'Asset Log'!$J$5:$J$1379,1)</f>
        <v>29</v>
      </c>
      <c r="F56" t="inlineStr">
        <is>
          <t>On hire</t>
        </is>
      </c>
    </row>
    <row r="57">
      <c r="A57" t="inlineStr">
        <is>
          <t>S0073</t>
        </is>
      </c>
      <c r="B57" t="inlineStr">
        <is>
          <t>Wattle Constructions Pty Ltd</t>
        </is>
      </c>
      <c r="C57" t="inlineStr">
        <is>
          <t>Fencing</t>
        </is>
      </c>
      <c r="D57" t="inlineStr">
        <is>
          <t>BR</t>
        </is>
      </c>
      <c r="E57">
        <f>SUMIFS('Asset Log'!$H$5:$H$1379,'Asset Log'!$D$5:$D$1379,A57,'Asset Log'!$E$5:$E$1379,D57,'Asset Log'!$J$5:$J$1379,1)</f>
        <v>23</v>
      </c>
      <c r="F57" t="inlineStr">
        <is>
          <t>On hire</t>
        </is>
      </c>
    </row>
    <row r="58">
      <c r="A58" t="inlineStr">
        <is>
          <t>S0073</t>
        </is>
      </c>
      <c r="B58" t="inlineStr">
        <is>
          <t>Wattle Constructions Pty Ltd</t>
        </is>
      </c>
      <c r="C58" t="inlineStr">
        <is>
          <t>Fencing</t>
        </is>
      </c>
      <c r="D58" t="inlineStr">
        <is>
          <t>FB</t>
        </is>
      </c>
      <c r="E58">
        <f>SUMIFS('Asset Log'!$H$5:$H$1379,'Asset Log'!$D$5:$D$1379,A58,'Asset Log'!$E$5:$E$1379,D58,'Asset Log'!$J$5:$J$1379,1)</f>
        <v>77</v>
      </c>
      <c r="F58" t="inlineStr">
        <is>
          <t>On hire</t>
        </is>
      </c>
    </row>
    <row r="59">
      <c r="A59" t="inlineStr">
        <is>
          <t>S0073</t>
        </is>
      </c>
      <c r="B59" t="inlineStr">
        <is>
          <t>Wattle Constructions Pty Ltd</t>
        </is>
      </c>
      <c r="C59" t="inlineStr">
        <is>
          <t>Fencing</t>
        </is>
      </c>
      <c r="D59" t="inlineStr">
        <is>
          <t>FP</t>
        </is>
      </c>
      <c r="E59">
        <f>SUMIFS('Asset Log'!$H$5:$H$1379,'Asset Log'!$D$5:$D$1379,A59,'Asset Log'!$E$5:$E$1379,D59,'Asset Log'!$J$5:$J$1379,1)</f>
        <v>70</v>
      </c>
      <c r="F59" t="inlineStr">
        <is>
          <t>On hire</t>
        </is>
      </c>
    </row>
    <row r="60">
      <c r="A60" t="inlineStr">
        <is>
          <t>S0086</t>
        </is>
      </c>
      <c r="B60" t="inlineStr">
        <is>
          <t>Granite Projects Pty Ltd</t>
        </is>
      </c>
      <c r="C60" t="inlineStr">
        <is>
          <t>Fencing</t>
        </is>
      </c>
      <c r="D60" t="inlineStr">
        <is>
          <t>FP</t>
        </is>
      </c>
      <c r="E60">
        <f>SUMIFS('Asset Log'!$H$5:$H$1379,'Asset Log'!$D$5:$D$1379,A60,'Asset Log'!$E$5:$E$1379,D60,'Asset Log'!$J$5:$J$1379,1)</f>
        <v>6</v>
      </c>
      <c r="F60" t="inlineStr">
        <is>
          <t>Closed site: units not returned</t>
        </is>
      </c>
    </row>
    <row r="61">
      <c r="A61" t="inlineStr">
        <is>
          <t>S0092</t>
        </is>
      </c>
      <c r="B61" t="inlineStr">
        <is>
          <t>Banksia Homes</t>
        </is>
      </c>
      <c r="C61" t="inlineStr">
        <is>
          <t>Fencing</t>
        </is>
      </c>
      <c r="D61" t="inlineStr">
        <is>
          <t>FB</t>
        </is>
      </c>
      <c r="E61">
        <f>SUMIFS('Asset Log'!$H$5:$H$1379,'Asset Log'!$D$5:$D$1379,A61,'Asset Log'!$E$5:$E$1379,D61,'Asset Log'!$J$5:$J$1379,1)</f>
        <v>114</v>
      </c>
      <c r="F61" t="inlineStr">
        <is>
          <t>On hire</t>
        </is>
      </c>
    </row>
    <row r="62">
      <c r="A62" t="inlineStr">
        <is>
          <t>S0092</t>
        </is>
      </c>
      <c r="B62" t="inlineStr">
        <is>
          <t>Banksia Homes</t>
        </is>
      </c>
      <c r="C62" t="inlineStr">
        <is>
          <t>Fencing</t>
        </is>
      </c>
      <c r="D62" t="inlineStr">
        <is>
          <t>FP</t>
        </is>
      </c>
      <c r="E62">
        <f>SUMIFS('Asset Log'!$H$5:$H$1379,'Asset Log'!$D$5:$D$1379,A62,'Asset Log'!$E$5:$E$1379,D62,'Asset Log'!$J$5:$J$1379,1)</f>
        <v>104</v>
      </c>
      <c r="F62" t="inlineStr">
        <is>
          <t>On hire</t>
        </is>
      </c>
    </row>
    <row r="63">
      <c r="A63" t="inlineStr">
        <is>
          <t>S0095</t>
        </is>
      </c>
      <c r="B63" t="inlineStr">
        <is>
          <t>Banksia Projects Pty Ltd</t>
        </is>
      </c>
      <c r="C63" t="inlineStr">
        <is>
          <t>Fencing</t>
        </is>
      </c>
      <c r="D63" t="inlineStr">
        <is>
          <t>FB</t>
        </is>
      </c>
      <c r="E63">
        <f>SUMIFS('Asset Log'!$H$5:$H$1379,'Asset Log'!$D$5:$D$1379,A63,'Asset Log'!$E$5:$E$1379,D63,'Asset Log'!$J$5:$J$1379,1)</f>
        <v>141</v>
      </c>
      <c r="F63" t="inlineStr">
        <is>
          <t>On hire</t>
        </is>
      </c>
    </row>
    <row r="64">
      <c r="A64" t="inlineStr">
        <is>
          <t>S0095</t>
        </is>
      </c>
      <c r="B64" t="inlineStr">
        <is>
          <t>Banksia Projects Pty Ltd</t>
        </is>
      </c>
      <c r="C64" t="inlineStr">
        <is>
          <t>Fencing</t>
        </is>
      </c>
      <c r="D64" t="inlineStr">
        <is>
          <t>FP</t>
        </is>
      </c>
      <c r="E64">
        <f>SUMIFS('Asset Log'!$H$5:$H$1379,'Asset Log'!$D$5:$D$1379,A64,'Asset Log'!$E$5:$E$1379,D64,'Asset Log'!$J$5:$J$1379,1)</f>
        <v>129</v>
      </c>
      <c r="F64" t="inlineStr">
        <is>
          <t>On hire</t>
        </is>
      </c>
    </row>
    <row r="65">
      <c r="A65" t="inlineStr">
        <is>
          <t>S0096</t>
        </is>
      </c>
      <c r="B65" t="inlineStr">
        <is>
          <t>Summit Builders Pty Ltd</t>
        </is>
      </c>
      <c r="C65" t="inlineStr">
        <is>
          <t>Fencing</t>
        </is>
      </c>
      <c r="D65" t="inlineStr">
        <is>
          <t>FB</t>
        </is>
      </c>
      <c r="E65">
        <f>SUMIFS('Asset Log'!$H$5:$H$1379,'Asset Log'!$D$5:$D$1379,A65,'Asset Log'!$E$5:$E$1379,D65,'Asset Log'!$J$5:$J$1379,1)</f>
        <v>96</v>
      </c>
      <c r="F65" t="inlineStr">
        <is>
          <t>On hire</t>
        </is>
      </c>
    </row>
    <row r="66">
      <c r="A66" t="inlineStr">
        <is>
          <t>S0096</t>
        </is>
      </c>
      <c r="B66" t="inlineStr">
        <is>
          <t>Summit Builders Pty Ltd</t>
        </is>
      </c>
      <c r="C66" t="inlineStr">
        <is>
          <t>Fencing</t>
        </is>
      </c>
      <c r="D66" t="inlineStr">
        <is>
          <t>FP</t>
        </is>
      </c>
      <c r="E66">
        <f>SUMIFS('Asset Log'!$H$5:$H$1379,'Asset Log'!$D$5:$D$1379,A66,'Asset Log'!$E$5:$E$1379,D66,'Asset Log'!$J$5:$J$1379,1)</f>
        <v>88</v>
      </c>
      <c r="F66" t="inlineStr">
        <is>
          <t>On hire</t>
        </is>
      </c>
    </row>
    <row r="67">
      <c r="A67" t="inlineStr">
        <is>
          <t>S0097</t>
        </is>
      </c>
      <c r="B67" t="inlineStr">
        <is>
          <t>Bluegum Constructions</t>
        </is>
      </c>
      <c r="C67" t="inlineStr">
        <is>
          <t>Fencing</t>
        </is>
      </c>
      <c r="D67" t="inlineStr">
        <is>
          <t>FP</t>
        </is>
      </c>
      <c r="E67">
        <f>SUMIFS('Asset Log'!$H$5:$H$1379,'Asset Log'!$D$5:$D$1379,A67,'Asset Log'!$E$5:$E$1379,D67,'Asset Log'!$J$5:$J$1379,1)</f>
        <v>4</v>
      </c>
      <c r="F67" t="inlineStr">
        <is>
          <t>Closed site: units not returned</t>
        </is>
      </c>
    </row>
    <row r="68">
      <c r="A68" t="inlineStr">
        <is>
          <t>S0099</t>
        </is>
      </c>
      <c r="B68" t="inlineStr">
        <is>
          <t>Highpoint Projects</t>
        </is>
      </c>
      <c r="C68" t="inlineStr">
        <is>
          <t>Fencing</t>
        </is>
      </c>
      <c r="D68" t="inlineStr">
        <is>
          <t>BR</t>
        </is>
      </c>
      <c r="E68">
        <f>SUMIFS('Asset Log'!$H$5:$H$1379,'Asset Log'!$D$5:$D$1379,A68,'Asset Log'!$E$5:$E$1379,D68,'Asset Log'!$J$5:$J$1379,1)</f>
        <v>10</v>
      </c>
      <c r="F68" t="inlineStr">
        <is>
          <t>On hire</t>
        </is>
      </c>
    </row>
    <row r="69">
      <c r="A69" t="inlineStr">
        <is>
          <t>S0099</t>
        </is>
      </c>
      <c r="B69" t="inlineStr">
        <is>
          <t>Highpoint Projects</t>
        </is>
      </c>
      <c r="C69" t="inlineStr">
        <is>
          <t>Fencing</t>
        </is>
      </c>
      <c r="D69" t="inlineStr">
        <is>
          <t>FB</t>
        </is>
      </c>
      <c r="E69">
        <f>SUMIFS('Asset Log'!$H$5:$H$1379,'Asset Log'!$D$5:$D$1379,A69,'Asset Log'!$E$5:$E$1379,D69,'Asset Log'!$J$5:$J$1379,1)</f>
        <v>77</v>
      </c>
      <c r="F69" t="inlineStr">
        <is>
          <t>On hire</t>
        </is>
      </c>
    </row>
    <row r="70">
      <c r="A70" t="inlineStr">
        <is>
          <t>S0099</t>
        </is>
      </c>
      <c r="B70" t="inlineStr">
        <is>
          <t>Highpoint Projects</t>
        </is>
      </c>
      <c r="C70" t="inlineStr">
        <is>
          <t>Fencing</t>
        </is>
      </c>
      <c r="D70" t="inlineStr">
        <is>
          <t>FP</t>
        </is>
      </c>
      <c r="E70">
        <f>SUMIFS('Asset Log'!$H$5:$H$1379,'Asset Log'!$D$5:$D$1379,A70,'Asset Log'!$E$5:$E$1379,D70,'Asset Log'!$J$5:$J$1379,1)</f>
        <v>70</v>
      </c>
      <c r="F70" t="inlineStr">
        <is>
          <t>On hire</t>
        </is>
      </c>
    </row>
    <row r="71">
      <c r="A71" t="inlineStr">
        <is>
          <t>S0100</t>
        </is>
      </c>
      <c r="B71" t="inlineStr">
        <is>
          <t>Metro Projects Pty Ltd</t>
        </is>
      </c>
      <c r="C71" t="inlineStr">
        <is>
          <t>Fencing</t>
        </is>
      </c>
      <c r="D71" t="inlineStr">
        <is>
          <t>BR</t>
        </is>
      </c>
      <c r="E71">
        <f>SUMIFS('Asset Log'!$H$5:$H$1379,'Asset Log'!$D$5:$D$1379,A71,'Asset Log'!$E$5:$E$1379,D71,'Asset Log'!$J$5:$J$1379,1)</f>
        <v>14</v>
      </c>
      <c r="F71" t="inlineStr">
        <is>
          <t>On hire</t>
        </is>
      </c>
    </row>
    <row r="72">
      <c r="A72" t="inlineStr">
        <is>
          <t>S0100</t>
        </is>
      </c>
      <c r="B72" t="inlineStr">
        <is>
          <t>Metro Projects Pty Ltd</t>
        </is>
      </c>
      <c r="C72" t="inlineStr">
        <is>
          <t>Fencing</t>
        </is>
      </c>
      <c r="D72" t="inlineStr">
        <is>
          <t>FB</t>
        </is>
      </c>
      <c r="E72">
        <f>SUMIFS('Asset Log'!$H$5:$H$1379,'Asset Log'!$D$5:$D$1379,A72,'Asset Log'!$E$5:$E$1379,D72,'Asset Log'!$J$5:$J$1379,1)</f>
        <v>155</v>
      </c>
      <c r="F72" t="inlineStr">
        <is>
          <t>On hire</t>
        </is>
      </c>
    </row>
    <row r="73">
      <c r="A73" t="inlineStr">
        <is>
          <t>S0100</t>
        </is>
      </c>
      <c r="B73" t="inlineStr">
        <is>
          <t>Metro Projects Pty Ltd</t>
        </is>
      </c>
      <c r="C73" t="inlineStr">
        <is>
          <t>Fencing</t>
        </is>
      </c>
      <c r="D73" t="inlineStr">
        <is>
          <t>FP</t>
        </is>
      </c>
      <c r="E73">
        <f>SUMIFS('Asset Log'!$H$5:$H$1379,'Asset Log'!$D$5:$D$1379,A73,'Asset Log'!$E$5:$E$1379,D73,'Asset Log'!$J$5:$J$1379,1)</f>
        <v>141</v>
      </c>
      <c r="F73" t="inlineStr">
        <is>
          <t>On hire</t>
        </is>
      </c>
    </row>
    <row r="74">
      <c r="A74" t="inlineStr">
        <is>
          <t>S0109</t>
        </is>
      </c>
      <c r="B74" t="inlineStr">
        <is>
          <t>Riverbend Homes Pty Ltd</t>
        </is>
      </c>
      <c r="C74" t="inlineStr">
        <is>
          <t>Fencing</t>
        </is>
      </c>
      <c r="D74" t="inlineStr">
        <is>
          <t>FP</t>
        </is>
      </c>
      <c r="E74">
        <f>SUMIFS('Asset Log'!$H$5:$H$1379,'Asset Log'!$D$5:$D$1379,A74,'Asset Log'!$E$5:$E$1379,D74,'Asset Log'!$J$5:$J$1379,1)</f>
        <v>4</v>
      </c>
      <c r="F74" t="inlineStr">
        <is>
          <t>Closed site: units not returned</t>
        </is>
      </c>
    </row>
    <row r="75">
      <c r="A75" t="inlineStr">
        <is>
          <t>S0118</t>
        </is>
      </c>
      <c r="B75" t="inlineStr">
        <is>
          <t>Northgate Insurance Repairs</t>
        </is>
      </c>
      <c r="C75" t="inlineStr">
        <is>
          <t>Fencing</t>
        </is>
      </c>
      <c r="D75" t="inlineStr">
        <is>
          <t>FB</t>
        </is>
      </c>
      <c r="E75">
        <f>SUMIFS('Asset Log'!$H$5:$H$1379,'Asset Log'!$D$5:$D$1379,A75,'Asset Log'!$E$5:$E$1379,D75,'Asset Log'!$J$5:$J$1379,1)</f>
        <v>149</v>
      </c>
      <c r="F75" t="inlineStr">
        <is>
          <t>On hire</t>
        </is>
      </c>
    </row>
    <row r="76">
      <c r="A76" t="inlineStr">
        <is>
          <t>S0118</t>
        </is>
      </c>
      <c r="B76" t="inlineStr">
        <is>
          <t>Northgate Insurance Repairs</t>
        </is>
      </c>
      <c r="C76" t="inlineStr">
        <is>
          <t>Fencing</t>
        </is>
      </c>
      <c r="D76" t="inlineStr">
        <is>
          <t>FP</t>
        </is>
      </c>
      <c r="E76">
        <f>SUMIFS('Asset Log'!$H$5:$H$1379,'Asset Log'!$D$5:$D$1379,A76,'Asset Log'!$E$5:$E$1379,D76,'Asset Log'!$J$5:$J$1379,1)</f>
        <v>136</v>
      </c>
      <c r="F76" t="inlineStr">
        <is>
          <t>On hire</t>
        </is>
      </c>
    </row>
    <row r="77">
      <c r="A77" t="inlineStr">
        <is>
          <t>S0125</t>
        </is>
      </c>
      <c r="B77" t="inlineStr">
        <is>
          <t>Westside Productions</t>
        </is>
      </c>
      <c r="C77" t="inlineStr">
        <is>
          <t>Fencing (event)</t>
        </is>
      </c>
      <c r="D77" t="inlineStr">
        <is>
          <t>FP</t>
        </is>
      </c>
      <c r="E77">
        <f>SUMIFS('Asset Log'!$H$5:$H$1379,'Asset Log'!$D$5:$D$1379,A77,'Asset Log'!$E$5:$E$1379,D77,'Asset Log'!$J$5:$J$1379,1)</f>
        <v>7</v>
      </c>
      <c r="F77" t="inlineStr">
        <is>
          <t>Closed site: units not returned</t>
        </is>
      </c>
    </row>
    <row r="78">
      <c r="A78" t="inlineStr">
        <is>
          <t>S0127</t>
        </is>
      </c>
      <c r="B78" t="inlineStr">
        <is>
          <t>Granite Projects Pty Ltd</t>
        </is>
      </c>
      <c r="C78" t="inlineStr">
        <is>
          <t>Fencing</t>
        </is>
      </c>
      <c r="D78" t="inlineStr">
        <is>
          <t>FB</t>
        </is>
      </c>
      <c r="E78">
        <f>SUMIFS('Asset Log'!$H$5:$H$1379,'Asset Log'!$D$5:$D$1379,A78,'Asset Log'!$E$5:$E$1379,D78,'Asset Log'!$J$5:$J$1379,1)</f>
        <v>56</v>
      </c>
      <c r="F78" t="inlineStr">
        <is>
          <t>On hire</t>
        </is>
      </c>
    </row>
    <row r="79">
      <c r="A79" t="inlineStr">
        <is>
          <t>S0127</t>
        </is>
      </c>
      <c r="B79" t="inlineStr">
        <is>
          <t>Granite Projects Pty Ltd</t>
        </is>
      </c>
      <c r="C79" t="inlineStr">
        <is>
          <t>Fencing</t>
        </is>
      </c>
      <c r="D79" t="inlineStr">
        <is>
          <t>FP</t>
        </is>
      </c>
      <c r="E79">
        <f>SUMIFS('Asset Log'!$H$5:$H$1379,'Asset Log'!$D$5:$D$1379,A79,'Asset Log'!$E$5:$E$1379,D79,'Asset Log'!$J$5:$J$1379,1)</f>
        <v>51</v>
      </c>
      <c r="F79" t="inlineStr">
        <is>
          <t>On hire</t>
        </is>
      </c>
    </row>
    <row r="80">
      <c r="A80" t="inlineStr">
        <is>
          <t>S0133</t>
        </is>
      </c>
      <c r="B80" t="inlineStr">
        <is>
          <t>Granite Projects Pty Ltd</t>
        </is>
      </c>
      <c r="C80" t="inlineStr">
        <is>
          <t>Fencing</t>
        </is>
      </c>
      <c r="D80" t="inlineStr">
        <is>
          <t>FB</t>
        </is>
      </c>
      <c r="E80">
        <f>SUMIFS('Asset Log'!$H$5:$H$1379,'Asset Log'!$D$5:$D$1379,A80,'Asset Log'!$E$5:$E$1379,D80,'Asset Log'!$J$5:$J$1379,1)</f>
        <v>154</v>
      </c>
      <c r="F80" t="inlineStr">
        <is>
          <t>On hire</t>
        </is>
      </c>
    </row>
    <row r="81">
      <c r="A81" t="inlineStr">
        <is>
          <t>S0133</t>
        </is>
      </c>
      <c r="B81" t="inlineStr">
        <is>
          <t>Granite Projects Pty Ltd</t>
        </is>
      </c>
      <c r="C81" t="inlineStr">
        <is>
          <t>Fencing</t>
        </is>
      </c>
      <c r="D81" t="inlineStr">
        <is>
          <t>FP</t>
        </is>
      </c>
      <c r="E81">
        <f>SUMIFS('Asset Log'!$H$5:$H$1379,'Asset Log'!$D$5:$D$1379,A81,'Asset Log'!$E$5:$E$1379,D81,'Asset Log'!$J$5:$J$1379,1)</f>
        <v>140</v>
      </c>
      <c r="F81" t="inlineStr">
        <is>
          <t>On hire</t>
        </is>
      </c>
    </row>
    <row r="82">
      <c r="A82" t="inlineStr">
        <is>
          <t>S0134</t>
        </is>
      </c>
      <c r="B82" t="inlineStr">
        <is>
          <t>Northgate Building Group</t>
        </is>
      </c>
      <c r="C82" t="inlineStr">
        <is>
          <t>Fencing</t>
        </is>
      </c>
      <c r="D82" t="inlineStr">
        <is>
          <t>FB</t>
        </is>
      </c>
      <c r="E82">
        <f>SUMIFS('Asset Log'!$H$5:$H$1379,'Asset Log'!$D$5:$D$1379,A82,'Asset Log'!$E$5:$E$1379,D82,'Asset Log'!$J$5:$J$1379,1)</f>
        <v>128</v>
      </c>
      <c r="F82" t="inlineStr">
        <is>
          <t>On hire</t>
        </is>
      </c>
    </row>
    <row r="83">
      <c r="A83" t="inlineStr">
        <is>
          <t>S0134</t>
        </is>
      </c>
      <c r="B83" t="inlineStr">
        <is>
          <t>Northgate Building Group</t>
        </is>
      </c>
      <c r="C83" t="inlineStr">
        <is>
          <t>Fencing</t>
        </is>
      </c>
      <c r="D83" t="inlineStr">
        <is>
          <t>FP</t>
        </is>
      </c>
      <c r="E83">
        <f>SUMIFS('Asset Log'!$H$5:$H$1379,'Asset Log'!$D$5:$D$1379,A83,'Asset Log'!$E$5:$E$1379,D83,'Asset Log'!$J$5:$J$1379,1)</f>
        <v>117</v>
      </c>
      <c r="F83" t="inlineStr">
        <is>
          <t>On hire</t>
        </is>
      </c>
    </row>
    <row r="84">
      <c r="A84" t="inlineStr">
        <is>
          <t>S0136</t>
        </is>
      </c>
      <c r="B84" t="inlineStr">
        <is>
          <t>Corner Events Pty Ltd</t>
        </is>
      </c>
      <c r="C84" t="inlineStr">
        <is>
          <t>Fencing (event)</t>
        </is>
      </c>
      <c r="D84" t="inlineStr">
        <is>
          <t>FP</t>
        </is>
      </c>
      <c r="E84">
        <f>SUMIFS('Asset Log'!$H$5:$H$1379,'Asset Log'!$D$5:$D$1379,A84,'Asset Log'!$E$5:$E$1379,D84,'Asset Log'!$J$5:$J$1379,1)</f>
        <v>5</v>
      </c>
      <c r="F84" t="inlineStr">
        <is>
          <t>Closed site: units not returned</t>
        </is>
      </c>
    </row>
    <row r="85">
      <c r="A85" t="inlineStr">
        <is>
          <t>S0142</t>
        </is>
      </c>
      <c r="B85" t="inlineStr">
        <is>
          <t>Highpoint Projects</t>
        </is>
      </c>
      <c r="C85" t="inlineStr">
        <is>
          <t>Fencing</t>
        </is>
      </c>
      <c r="D85" t="inlineStr">
        <is>
          <t>FP</t>
        </is>
      </c>
      <c r="E85">
        <f>SUMIFS('Asset Log'!$H$5:$H$1379,'Asset Log'!$D$5:$D$1379,A85,'Asset Log'!$E$5:$E$1379,D85,'Asset Log'!$J$5:$J$1379,1)</f>
        <v>3</v>
      </c>
      <c r="F85" t="inlineStr">
        <is>
          <t>On hire</t>
        </is>
      </c>
    </row>
    <row r="86">
      <c r="A86" t="inlineStr">
        <is>
          <t>S0143</t>
        </is>
      </c>
      <c r="B86" t="inlineStr">
        <is>
          <t>Noah Williams</t>
        </is>
      </c>
      <c r="C86" t="inlineStr">
        <is>
          <t>Fencing</t>
        </is>
      </c>
      <c r="D86" t="inlineStr">
        <is>
          <t>FB</t>
        </is>
      </c>
      <c r="E86">
        <f>SUMIFS('Asset Log'!$H$5:$H$1379,'Asset Log'!$D$5:$D$1379,A86,'Asset Log'!$E$5:$E$1379,D86,'Asset Log'!$J$5:$J$1379,1)</f>
        <v>84</v>
      </c>
      <c r="F86" t="inlineStr">
        <is>
          <t>On hire</t>
        </is>
      </c>
    </row>
    <row r="87">
      <c r="A87" t="inlineStr">
        <is>
          <t>S0143</t>
        </is>
      </c>
      <c r="B87" t="inlineStr">
        <is>
          <t>Noah Williams</t>
        </is>
      </c>
      <c r="C87" t="inlineStr">
        <is>
          <t>Fencing</t>
        </is>
      </c>
      <c r="D87" t="inlineStr">
        <is>
          <t>FP</t>
        </is>
      </c>
      <c r="E87">
        <f>SUMIFS('Asset Log'!$H$5:$H$1379,'Asset Log'!$D$5:$D$1379,A87,'Asset Log'!$E$5:$E$1379,D87,'Asset Log'!$J$5:$J$1379,1)</f>
        <v>70</v>
      </c>
      <c r="F87" t="inlineStr">
        <is>
          <t>On hire</t>
        </is>
      </c>
    </row>
    <row r="88">
      <c r="A88" t="inlineStr">
        <is>
          <t>S0148</t>
        </is>
      </c>
      <c r="B88" t="inlineStr">
        <is>
          <t>Parkview Homes Pty Ltd</t>
        </is>
      </c>
      <c r="C88" t="inlineStr">
        <is>
          <t>Fencing</t>
        </is>
      </c>
      <c r="D88" t="inlineStr">
        <is>
          <t>FB</t>
        </is>
      </c>
      <c r="E88">
        <f>SUMIFS('Asset Log'!$H$5:$H$1379,'Asset Log'!$D$5:$D$1379,A88,'Asset Log'!$E$5:$E$1379,D88,'Asset Log'!$J$5:$J$1379,1)</f>
        <v>186</v>
      </c>
      <c r="F88" t="inlineStr">
        <is>
          <t>On hire</t>
        </is>
      </c>
    </row>
    <row r="89">
      <c r="A89" t="inlineStr">
        <is>
          <t>S0148</t>
        </is>
      </c>
      <c r="B89" t="inlineStr">
        <is>
          <t>Parkview Homes Pty Ltd</t>
        </is>
      </c>
      <c r="C89" t="inlineStr">
        <is>
          <t>Fencing</t>
        </is>
      </c>
      <c r="D89" t="inlineStr">
        <is>
          <t>FP</t>
        </is>
      </c>
      <c r="E89">
        <f>SUMIFS('Asset Log'!$H$5:$H$1379,'Asset Log'!$D$5:$D$1379,A89,'Asset Log'!$E$5:$E$1379,D89,'Asset Log'!$J$5:$J$1379,1)</f>
        <v>171</v>
      </c>
      <c r="F89" t="inlineStr">
        <is>
          <t>On hire</t>
        </is>
      </c>
    </row>
    <row r="90">
      <c r="A90" t="inlineStr">
        <is>
          <t>S0158</t>
        </is>
      </c>
      <c r="B90" t="inlineStr">
        <is>
          <t>Summit Homes Pty Ltd</t>
        </is>
      </c>
      <c r="C90" t="inlineStr">
        <is>
          <t>Fencing</t>
        </is>
      </c>
      <c r="D90" t="inlineStr">
        <is>
          <t>BR</t>
        </is>
      </c>
      <c r="E90">
        <f>SUMIFS('Asset Log'!$H$5:$H$1379,'Asset Log'!$D$5:$D$1379,A90,'Asset Log'!$E$5:$E$1379,D90,'Asset Log'!$J$5:$J$1379,1)</f>
        <v>23</v>
      </c>
      <c r="F90" t="inlineStr">
        <is>
          <t>On hire</t>
        </is>
      </c>
    </row>
    <row r="91">
      <c r="A91" t="inlineStr">
        <is>
          <t>S0158</t>
        </is>
      </c>
      <c r="B91" t="inlineStr">
        <is>
          <t>Summit Homes Pty Ltd</t>
        </is>
      </c>
      <c r="C91" t="inlineStr">
        <is>
          <t>Fencing</t>
        </is>
      </c>
      <c r="D91" t="inlineStr">
        <is>
          <t>FB</t>
        </is>
      </c>
      <c r="E91">
        <f>SUMIFS('Asset Log'!$H$5:$H$1379,'Asset Log'!$D$5:$D$1379,A91,'Asset Log'!$E$5:$E$1379,D91,'Asset Log'!$J$5:$J$1379,1)</f>
        <v>31</v>
      </c>
      <c r="F91" t="inlineStr">
        <is>
          <t>On hire</t>
        </is>
      </c>
    </row>
    <row r="92">
      <c r="A92" t="inlineStr">
        <is>
          <t>S0158</t>
        </is>
      </c>
      <c r="B92" t="inlineStr">
        <is>
          <t>Summit Homes Pty Ltd</t>
        </is>
      </c>
      <c r="C92" t="inlineStr">
        <is>
          <t>Fencing</t>
        </is>
      </c>
      <c r="D92" t="inlineStr">
        <is>
          <t>FP</t>
        </is>
      </c>
      <c r="E92">
        <f>SUMIFS('Asset Log'!$H$5:$H$1379,'Asset Log'!$D$5:$D$1379,A92,'Asset Log'!$E$5:$E$1379,D92,'Asset Log'!$J$5:$J$1379,1)</f>
        <v>29</v>
      </c>
      <c r="F92" t="inlineStr">
        <is>
          <t>On hire</t>
        </is>
      </c>
    </row>
    <row r="93">
      <c r="A93" t="inlineStr">
        <is>
          <t>S0162</t>
        </is>
      </c>
      <c r="B93" t="inlineStr">
        <is>
          <t>Highpoint Projects</t>
        </is>
      </c>
      <c r="C93" t="inlineStr">
        <is>
          <t>Fencing</t>
        </is>
      </c>
      <c r="D93" t="inlineStr">
        <is>
          <t>FB</t>
        </is>
      </c>
      <c r="E93">
        <f>SUMIFS('Asset Log'!$H$5:$H$1379,'Asset Log'!$D$5:$D$1379,A93,'Asset Log'!$E$5:$E$1379,D93,'Asset Log'!$J$5:$J$1379,1)</f>
        <v>49</v>
      </c>
      <c r="F93" t="inlineStr">
        <is>
          <t>On hire</t>
        </is>
      </c>
    </row>
    <row r="94">
      <c r="A94" t="inlineStr">
        <is>
          <t>S0162</t>
        </is>
      </c>
      <c r="B94" t="inlineStr">
        <is>
          <t>Highpoint Projects</t>
        </is>
      </c>
      <c r="C94" t="inlineStr">
        <is>
          <t>Fencing</t>
        </is>
      </c>
      <c r="D94" t="inlineStr">
        <is>
          <t>FP</t>
        </is>
      </c>
      <c r="E94">
        <f>SUMIFS('Asset Log'!$H$5:$H$1379,'Asset Log'!$D$5:$D$1379,A94,'Asset Log'!$E$5:$E$1379,D94,'Asset Log'!$J$5:$J$1379,1)</f>
        <v>39</v>
      </c>
      <c r="F94" t="inlineStr">
        <is>
          <t>On hire</t>
        </is>
      </c>
    </row>
    <row r="95">
      <c r="A95" t="inlineStr">
        <is>
          <t>S0165</t>
        </is>
      </c>
      <c r="B95" t="inlineStr">
        <is>
          <t>Northgate Builders Pty Ltd</t>
        </is>
      </c>
      <c r="C95" t="inlineStr">
        <is>
          <t>Fencing</t>
        </is>
      </c>
      <c r="D95" t="inlineStr">
        <is>
          <t>FB</t>
        </is>
      </c>
      <c r="E95">
        <f>SUMIFS('Asset Log'!$H$5:$H$1379,'Asset Log'!$D$5:$D$1379,A95,'Asset Log'!$E$5:$E$1379,D95,'Asset Log'!$J$5:$J$1379,1)</f>
        <v>154</v>
      </c>
      <c r="F95" t="inlineStr">
        <is>
          <t>On hire</t>
        </is>
      </c>
    </row>
    <row r="96">
      <c r="A96" t="inlineStr">
        <is>
          <t>S0165</t>
        </is>
      </c>
      <c r="B96" t="inlineStr">
        <is>
          <t>Northgate Builders Pty Ltd</t>
        </is>
      </c>
      <c r="C96" t="inlineStr">
        <is>
          <t>Fencing</t>
        </is>
      </c>
      <c r="D96" t="inlineStr">
        <is>
          <t>FP</t>
        </is>
      </c>
      <c r="E96">
        <f>SUMIFS('Asset Log'!$H$5:$H$1379,'Asset Log'!$D$5:$D$1379,A96,'Asset Log'!$E$5:$E$1379,D96,'Asset Log'!$J$5:$J$1379,1)</f>
        <v>140</v>
      </c>
      <c r="F96" t="inlineStr">
        <is>
          <t>On hire</t>
        </is>
      </c>
    </row>
    <row r="97">
      <c r="A97" t="inlineStr">
        <is>
          <t>S0166</t>
        </is>
      </c>
      <c r="B97" t="inlineStr">
        <is>
          <t>Metro Developments</t>
        </is>
      </c>
      <c r="C97" t="inlineStr">
        <is>
          <t>Fencing</t>
        </is>
      </c>
      <c r="D97" t="inlineStr">
        <is>
          <t>FB</t>
        </is>
      </c>
      <c r="E97">
        <f>SUMIFS('Asset Log'!$H$5:$H$1379,'Asset Log'!$D$5:$D$1379,A97,'Asset Log'!$E$5:$E$1379,D97,'Asset Log'!$J$5:$J$1379,1)</f>
        <v>86</v>
      </c>
      <c r="F97" t="inlineStr">
        <is>
          <t>On hire</t>
        </is>
      </c>
    </row>
    <row r="98">
      <c r="A98" t="inlineStr">
        <is>
          <t>S0166</t>
        </is>
      </c>
      <c r="B98" t="inlineStr">
        <is>
          <t>Metro Developments</t>
        </is>
      </c>
      <c r="C98" t="inlineStr">
        <is>
          <t>Fencing</t>
        </is>
      </c>
      <c r="D98" t="inlineStr">
        <is>
          <t>FP</t>
        </is>
      </c>
      <c r="E98">
        <f>SUMIFS('Asset Log'!$H$5:$H$1379,'Asset Log'!$D$5:$D$1379,A98,'Asset Log'!$E$5:$E$1379,D98,'Asset Log'!$J$5:$J$1379,1)</f>
        <v>79</v>
      </c>
      <c r="F98" t="inlineStr">
        <is>
          <t>On hire</t>
        </is>
      </c>
    </row>
    <row r="99">
      <c r="A99" t="inlineStr">
        <is>
          <t>S0168</t>
        </is>
      </c>
      <c r="B99" t="inlineStr">
        <is>
          <t>Cobalt Developments Pty Ltd</t>
        </is>
      </c>
      <c r="C99" t="inlineStr">
        <is>
          <t>Fencing</t>
        </is>
      </c>
      <c r="D99" t="inlineStr">
        <is>
          <t>FB</t>
        </is>
      </c>
      <c r="E99">
        <f>SUMIFS('Asset Log'!$H$5:$H$1379,'Asset Log'!$D$5:$D$1379,A99,'Asset Log'!$E$5:$E$1379,D99,'Asset Log'!$J$5:$J$1379,1)</f>
        <v>139</v>
      </c>
      <c r="F99" t="inlineStr">
        <is>
          <t>On hire</t>
        </is>
      </c>
    </row>
    <row r="100">
      <c r="A100" t="inlineStr">
        <is>
          <t>S0168</t>
        </is>
      </c>
      <c r="B100" t="inlineStr">
        <is>
          <t>Cobalt Developments Pty Ltd</t>
        </is>
      </c>
      <c r="C100" t="inlineStr">
        <is>
          <t>Fencing</t>
        </is>
      </c>
      <c r="D100" t="inlineStr">
        <is>
          <t>FP</t>
        </is>
      </c>
      <c r="E100">
        <f>SUMIFS('Asset Log'!$H$5:$H$1379,'Asset Log'!$D$5:$D$1379,A100,'Asset Log'!$E$5:$E$1379,D100,'Asset Log'!$J$5:$J$1379,1)</f>
        <v>127</v>
      </c>
      <c r="F100" t="inlineStr">
        <is>
          <t>On hire</t>
        </is>
      </c>
    </row>
    <row r="101">
      <c r="A101" t="inlineStr">
        <is>
          <t>S0169</t>
        </is>
      </c>
      <c r="B101" t="inlineStr">
        <is>
          <t>Wattle Homes Pty Ltd</t>
        </is>
      </c>
      <c r="C101" t="inlineStr">
        <is>
          <t>Fencing</t>
        </is>
      </c>
      <c r="D101" t="inlineStr">
        <is>
          <t>BR</t>
        </is>
      </c>
      <c r="E101">
        <f>SUMIFS('Asset Log'!$H$5:$H$1379,'Asset Log'!$D$5:$D$1379,A101,'Asset Log'!$E$5:$E$1379,D101,'Asset Log'!$J$5:$J$1379,1)</f>
        <v>16</v>
      </c>
      <c r="F101" t="inlineStr">
        <is>
          <t>On hire</t>
        </is>
      </c>
    </row>
    <row r="102">
      <c r="A102" t="inlineStr">
        <is>
          <t>S0169</t>
        </is>
      </c>
      <c r="B102" t="inlineStr">
        <is>
          <t>Wattle Homes Pty Ltd</t>
        </is>
      </c>
      <c r="C102" t="inlineStr">
        <is>
          <t>Fencing</t>
        </is>
      </c>
      <c r="D102" t="inlineStr">
        <is>
          <t>FB</t>
        </is>
      </c>
      <c r="E102">
        <f>SUMIFS('Asset Log'!$H$5:$H$1379,'Asset Log'!$D$5:$D$1379,A102,'Asset Log'!$E$5:$E$1379,D102,'Asset Log'!$J$5:$J$1379,1)</f>
        <v>31</v>
      </c>
      <c r="F102" t="inlineStr">
        <is>
          <t>On hire</t>
        </is>
      </c>
    </row>
    <row r="103">
      <c r="A103" t="inlineStr">
        <is>
          <t>S0169</t>
        </is>
      </c>
      <c r="B103" t="inlineStr">
        <is>
          <t>Wattle Homes Pty Ltd</t>
        </is>
      </c>
      <c r="C103" t="inlineStr">
        <is>
          <t>Fencing</t>
        </is>
      </c>
      <c r="D103" t="inlineStr">
        <is>
          <t>FP</t>
        </is>
      </c>
      <c r="E103">
        <f>SUMIFS('Asset Log'!$H$5:$H$1379,'Asset Log'!$D$5:$D$1379,A103,'Asset Log'!$E$5:$E$1379,D103,'Asset Log'!$J$5:$J$1379,1)</f>
        <v>29</v>
      </c>
      <c r="F103" t="inlineStr">
        <is>
          <t>On hire</t>
        </is>
      </c>
    </row>
    <row r="104">
      <c r="A104" t="inlineStr">
        <is>
          <t>S0171</t>
        </is>
      </c>
      <c r="B104" t="inlineStr">
        <is>
          <t>Arjun Doyle</t>
        </is>
      </c>
      <c r="C104" t="inlineStr">
        <is>
          <t>Fencing</t>
        </is>
      </c>
      <c r="D104" t="inlineStr">
        <is>
          <t>BR</t>
        </is>
      </c>
      <c r="E104">
        <f>SUMIFS('Asset Log'!$H$5:$H$1379,'Asset Log'!$D$5:$D$1379,A104,'Asset Log'!$E$5:$E$1379,D104,'Asset Log'!$J$5:$J$1379,1)</f>
        <v>15</v>
      </c>
      <c r="F104" t="inlineStr">
        <is>
          <t>On hire</t>
        </is>
      </c>
    </row>
    <row r="105">
      <c r="A105" t="inlineStr">
        <is>
          <t>S0171</t>
        </is>
      </c>
      <c r="B105" t="inlineStr">
        <is>
          <t>Arjun Doyle</t>
        </is>
      </c>
      <c r="C105" t="inlineStr">
        <is>
          <t>Fencing</t>
        </is>
      </c>
      <c r="D105" t="inlineStr">
        <is>
          <t>FB</t>
        </is>
      </c>
      <c r="E105">
        <f>SUMIFS('Asset Log'!$H$5:$H$1379,'Asset Log'!$D$5:$D$1379,A105,'Asset Log'!$E$5:$E$1379,D105,'Asset Log'!$J$5:$J$1379,1)</f>
        <v>90</v>
      </c>
      <c r="F105" t="inlineStr">
        <is>
          <t>On hire</t>
        </is>
      </c>
    </row>
    <row r="106">
      <c r="A106" t="inlineStr">
        <is>
          <t>S0171</t>
        </is>
      </c>
      <c r="B106" t="inlineStr">
        <is>
          <t>Arjun Doyle</t>
        </is>
      </c>
      <c r="C106" t="inlineStr">
        <is>
          <t>Fencing</t>
        </is>
      </c>
      <c r="D106" t="inlineStr">
        <is>
          <t>FP</t>
        </is>
      </c>
      <c r="E106">
        <f>SUMIFS('Asset Log'!$H$5:$H$1379,'Asset Log'!$D$5:$D$1379,A106,'Asset Log'!$E$5:$E$1379,D106,'Asset Log'!$J$5:$J$1379,1)</f>
        <v>82</v>
      </c>
      <c r="F106" t="inlineStr">
        <is>
          <t>On hire</t>
        </is>
      </c>
    </row>
    <row r="107">
      <c r="A107" t="inlineStr">
        <is>
          <t>S0173</t>
        </is>
      </c>
      <c r="B107" t="inlineStr">
        <is>
          <t>Wattle Constructions Pty Ltd</t>
        </is>
      </c>
      <c r="C107" t="inlineStr">
        <is>
          <t>Fencing</t>
        </is>
      </c>
      <c r="D107" t="inlineStr">
        <is>
          <t>FB</t>
        </is>
      </c>
      <c r="E107">
        <f>SUMIFS('Asset Log'!$H$5:$H$1379,'Asset Log'!$D$5:$D$1379,A107,'Asset Log'!$E$5:$E$1379,D107,'Asset Log'!$J$5:$J$1379,1)</f>
        <v>163</v>
      </c>
      <c r="F107" t="inlineStr">
        <is>
          <t>On hire</t>
        </is>
      </c>
    </row>
    <row r="108">
      <c r="A108" t="inlineStr">
        <is>
          <t>S0173</t>
        </is>
      </c>
      <c r="B108" t="inlineStr">
        <is>
          <t>Wattle Constructions Pty Ltd</t>
        </is>
      </c>
      <c r="C108" t="inlineStr">
        <is>
          <t>Fencing</t>
        </is>
      </c>
      <c r="D108" t="inlineStr">
        <is>
          <t>FP</t>
        </is>
      </c>
      <c r="E108">
        <f>SUMIFS('Asset Log'!$H$5:$H$1379,'Asset Log'!$D$5:$D$1379,A108,'Asset Log'!$E$5:$E$1379,D108,'Asset Log'!$J$5:$J$1379,1)</f>
        <v>149</v>
      </c>
      <c r="F108" t="inlineStr">
        <is>
          <t>On hire</t>
        </is>
      </c>
    </row>
    <row r="109">
      <c r="A109" t="inlineStr">
        <is>
          <t>S0176</t>
        </is>
      </c>
      <c r="B109" t="inlineStr">
        <is>
          <t>Coastline Projects Pty Ltd</t>
        </is>
      </c>
      <c r="C109" t="inlineStr">
        <is>
          <t>Fencing</t>
        </is>
      </c>
      <c r="D109" t="inlineStr">
        <is>
          <t>FB</t>
        </is>
      </c>
      <c r="E109">
        <f>SUMIFS('Asset Log'!$H$5:$H$1379,'Asset Log'!$D$5:$D$1379,A109,'Asset Log'!$E$5:$E$1379,D109,'Asset Log'!$J$5:$J$1379,1)</f>
        <v>86</v>
      </c>
      <c r="F109" t="inlineStr">
        <is>
          <t>On hire</t>
        </is>
      </c>
    </row>
    <row r="110">
      <c r="A110" t="inlineStr">
        <is>
          <t>S0176</t>
        </is>
      </c>
      <c r="B110" t="inlineStr">
        <is>
          <t>Coastline Projects Pty Ltd</t>
        </is>
      </c>
      <c r="C110" t="inlineStr">
        <is>
          <t>Fencing</t>
        </is>
      </c>
      <c r="D110" t="inlineStr">
        <is>
          <t>FP</t>
        </is>
      </c>
      <c r="E110">
        <f>SUMIFS('Asset Log'!$H$5:$H$1379,'Asset Log'!$D$5:$D$1379,A110,'Asset Log'!$E$5:$E$1379,D110,'Asset Log'!$J$5:$J$1379,1)</f>
        <v>79</v>
      </c>
      <c r="F110" t="inlineStr">
        <is>
          <t>On hire</t>
        </is>
      </c>
    </row>
    <row r="111">
      <c r="A111" t="inlineStr">
        <is>
          <t>S0182</t>
        </is>
      </c>
      <c r="B111" t="inlineStr">
        <is>
          <t>Highpoint Projects</t>
        </is>
      </c>
      <c r="C111" t="inlineStr">
        <is>
          <t>Fencing</t>
        </is>
      </c>
      <c r="D111" t="inlineStr">
        <is>
          <t>FB</t>
        </is>
      </c>
      <c r="E111">
        <f>SUMIFS('Asset Log'!$H$5:$H$1379,'Asset Log'!$D$5:$D$1379,A111,'Asset Log'!$E$5:$E$1379,D111,'Asset Log'!$J$5:$J$1379,1)</f>
        <v>122</v>
      </c>
      <c r="F111" t="inlineStr">
        <is>
          <t>On hire</t>
        </is>
      </c>
    </row>
    <row r="112">
      <c r="A112" t="inlineStr">
        <is>
          <t>S0182</t>
        </is>
      </c>
      <c r="B112" t="inlineStr">
        <is>
          <t>Highpoint Projects</t>
        </is>
      </c>
      <c r="C112" t="inlineStr">
        <is>
          <t>Fencing</t>
        </is>
      </c>
      <c r="D112" t="inlineStr">
        <is>
          <t>FP</t>
        </is>
      </c>
      <c r="E112">
        <f>SUMIFS('Asset Log'!$H$5:$H$1379,'Asset Log'!$D$5:$D$1379,A112,'Asset Log'!$E$5:$E$1379,D112,'Asset Log'!$J$5:$J$1379,1)</f>
        <v>111</v>
      </c>
      <c r="F112" t="inlineStr">
        <is>
          <t>On hire</t>
        </is>
      </c>
    </row>
    <row r="113">
      <c r="A113" t="inlineStr">
        <is>
          <t>S0187</t>
        </is>
      </c>
      <c r="B113" t="inlineStr">
        <is>
          <t>Eastlink Developments</t>
        </is>
      </c>
      <c r="C113" t="inlineStr">
        <is>
          <t>Fencing</t>
        </is>
      </c>
      <c r="D113" t="inlineStr">
        <is>
          <t>FB</t>
        </is>
      </c>
      <c r="E113">
        <f>SUMIFS('Asset Log'!$H$5:$H$1379,'Asset Log'!$D$5:$D$1379,A113,'Asset Log'!$E$5:$E$1379,D113,'Asset Log'!$J$5:$J$1379,1)</f>
        <v>132</v>
      </c>
      <c r="F113" t="inlineStr">
        <is>
          <t>On hire</t>
        </is>
      </c>
    </row>
    <row r="114">
      <c r="A114" t="inlineStr">
        <is>
          <t>S0187</t>
        </is>
      </c>
      <c r="B114" t="inlineStr">
        <is>
          <t>Eastlink Developments</t>
        </is>
      </c>
      <c r="C114" t="inlineStr">
        <is>
          <t>Fencing</t>
        </is>
      </c>
      <c r="D114" t="inlineStr">
        <is>
          <t>FP</t>
        </is>
      </c>
      <c r="E114">
        <f>SUMIFS('Asset Log'!$H$5:$H$1379,'Asset Log'!$D$5:$D$1379,A114,'Asset Log'!$E$5:$E$1379,D114,'Asset Log'!$J$5:$J$1379,1)</f>
        <v>120</v>
      </c>
      <c r="F114" t="inlineStr">
        <is>
          <t>On hire</t>
        </is>
      </c>
    </row>
    <row r="115">
      <c r="A115" t="inlineStr">
        <is>
          <t>S0195</t>
        </is>
      </c>
      <c r="B115" t="inlineStr">
        <is>
          <t>Highpoint Projects</t>
        </is>
      </c>
      <c r="C115" t="inlineStr">
        <is>
          <t>Fencing</t>
        </is>
      </c>
      <c r="D115" t="inlineStr">
        <is>
          <t>FP</t>
        </is>
      </c>
      <c r="E115">
        <f>SUMIFS('Asset Log'!$H$5:$H$1379,'Asset Log'!$D$5:$D$1379,A115,'Asset Log'!$E$5:$E$1379,D115,'Asset Log'!$J$5:$J$1379,1)</f>
        <v>6</v>
      </c>
      <c r="F115" t="inlineStr">
        <is>
          <t>Closed site: units not returned</t>
        </is>
      </c>
    </row>
    <row r="116">
      <c r="A116" t="inlineStr">
        <is>
          <t>S0196</t>
        </is>
      </c>
      <c r="B116" t="inlineStr">
        <is>
          <t>Kingston City Council</t>
        </is>
      </c>
      <c r="C116" t="inlineStr">
        <is>
          <t>Fencing</t>
        </is>
      </c>
      <c r="D116" t="inlineStr">
        <is>
          <t>FP</t>
        </is>
      </c>
      <c r="E116">
        <f>SUMIFS('Asset Log'!$H$5:$H$1379,'Asset Log'!$D$5:$D$1379,A116,'Asset Log'!$E$5:$E$1379,D116,'Asset Log'!$J$5:$J$1379,1)</f>
        <v>2</v>
      </c>
      <c r="F116" t="inlineStr">
        <is>
          <t>Closed site: units not returned</t>
        </is>
      </c>
    </row>
    <row r="117">
      <c r="A117" t="inlineStr">
        <is>
          <t>S0198</t>
        </is>
      </c>
      <c r="B117" t="inlineStr">
        <is>
          <t>Bluegum Building Group</t>
        </is>
      </c>
      <c r="C117" t="inlineStr">
        <is>
          <t>Fencing</t>
        </is>
      </c>
      <c r="D117" t="inlineStr">
        <is>
          <t>FB</t>
        </is>
      </c>
      <c r="E117">
        <f>SUMIFS('Asset Log'!$H$5:$H$1379,'Asset Log'!$D$5:$D$1379,A117,'Asset Log'!$E$5:$E$1379,D117,'Asset Log'!$J$5:$J$1379,1)</f>
        <v>92</v>
      </c>
      <c r="F117" t="inlineStr">
        <is>
          <t>On hire</t>
        </is>
      </c>
    </row>
    <row r="118">
      <c r="A118" t="inlineStr">
        <is>
          <t>S0198</t>
        </is>
      </c>
      <c r="B118" t="inlineStr">
        <is>
          <t>Bluegum Building Group</t>
        </is>
      </c>
      <c r="C118" t="inlineStr">
        <is>
          <t>Fencing</t>
        </is>
      </c>
      <c r="D118" t="inlineStr">
        <is>
          <t>FP</t>
        </is>
      </c>
      <c r="E118">
        <f>SUMIFS('Asset Log'!$H$5:$H$1379,'Asset Log'!$D$5:$D$1379,A118,'Asset Log'!$E$5:$E$1379,D118,'Asset Log'!$J$5:$J$1379,1)</f>
        <v>84</v>
      </c>
      <c r="F118" t="inlineStr">
        <is>
          <t>On hire</t>
        </is>
      </c>
    </row>
    <row r="119">
      <c r="A119" t="inlineStr">
        <is>
          <t>S0202</t>
        </is>
      </c>
      <c r="B119" t="inlineStr">
        <is>
          <t>Maribyrnong City Council</t>
        </is>
      </c>
      <c r="C119" t="inlineStr">
        <is>
          <t>Fencing</t>
        </is>
      </c>
      <c r="D119" t="inlineStr">
        <is>
          <t>FP</t>
        </is>
      </c>
      <c r="E119">
        <f>SUMIFS('Asset Log'!$H$5:$H$1379,'Asset Log'!$D$5:$D$1379,A119,'Asset Log'!$E$5:$E$1379,D119,'Asset Log'!$J$5:$J$1379,1)</f>
        <v>2</v>
      </c>
      <c r="F119" t="inlineStr">
        <is>
          <t>Closed site: units not returned</t>
        </is>
      </c>
    </row>
    <row r="120">
      <c r="A120" t="inlineStr">
        <is>
          <t>S0219</t>
        </is>
      </c>
      <c r="B120" t="inlineStr">
        <is>
          <t>Cobalt Constructions Pty Ltd</t>
        </is>
      </c>
      <c r="C120" t="inlineStr">
        <is>
          <t>Fencing</t>
        </is>
      </c>
      <c r="D120" t="inlineStr">
        <is>
          <t>FB</t>
        </is>
      </c>
      <c r="E120">
        <f>SUMIFS('Asset Log'!$H$5:$H$1379,'Asset Log'!$D$5:$D$1379,A120,'Asset Log'!$E$5:$E$1379,D120,'Asset Log'!$J$5:$J$1379,1)</f>
        <v>121</v>
      </c>
      <c r="F120" t="inlineStr">
        <is>
          <t>On hire</t>
        </is>
      </c>
    </row>
    <row r="121">
      <c r="A121" t="inlineStr">
        <is>
          <t>S0219</t>
        </is>
      </c>
      <c r="B121" t="inlineStr">
        <is>
          <t>Cobalt Constructions Pty Ltd</t>
        </is>
      </c>
      <c r="C121" t="inlineStr">
        <is>
          <t>Fencing</t>
        </is>
      </c>
      <c r="D121" t="inlineStr">
        <is>
          <t>FP</t>
        </is>
      </c>
      <c r="E121">
        <f>SUMIFS('Asset Log'!$H$5:$H$1379,'Asset Log'!$D$5:$D$1379,A121,'Asset Log'!$E$5:$E$1379,D121,'Asset Log'!$J$5:$J$1379,1)</f>
        <v>110</v>
      </c>
      <c r="F121" t="inlineStr">
        <is>
          <t>On hire</t>
        </is>
      </c>
    </row>
    <row r="122">
      <c r="A122" t="inlineStr">
        <is>
          <t>S0221</t>
        </is>
      </c>
      <c r="B122" t="inlineStr">
        <is>
          <t>Summit Homes Pty Ltd</t>
        </is>
      </c>
      <c r="C122" t="inlineStr">
        <is>
          <t>Fencing</t>
        </is>
      </c>
      <c r="D122" t="inlineStr">
        <is>
          <t>FB</t>
        </is>
      </c>
      <c r="E122">
        <f>SUMIFS('Asset Log'!$H$5:$H$1379,'Asset Log'!$D$5:$D$1379,A122,'Asset Log'!$E$5:$E$1379,D122,'Asset Log'!$J$5:$J$1379,1)</f>
        <v>46</v>
      </c>
      <c r="F122" t="inlineStr">
        <is>
          <t>On hire</t>
        </is>
      </c>
    </row>
    <row r="123">
      <c r="A123" t="inlineStr">
        <is>
          <t>S0221</t>
        </is>
      </c>
      <c r="B123" t="inlineStr">
        <is>
          <t>Summit Homes Pty Ltd</t>
        </is>
      </c>
      <c r="C123" t="inlineStr">
        <is>
          <t>Fencing</t>
        </is>
      </c>
      <c r="D123" t="inlineStr">
        <is>
          <t>FP</t>
        </is>
      </c>
      <c r="E123">
        <f>SUMIFS('Asset Log'!$H$5:$H$1379,'Asset Log'!$D$5:$D$1379,A123,'Asset Log'!$E$5:$E$1379,D123,'Asset Log'!$J$5:$J$1379,1)</f>
        <v>42</v>
      </c>
      <c r="F123" t="inlineStr">
        <is>
          <t>On hire</t>
        </is>
      </c>
    </row>
    <row r="124">
      <c r="A124" t="inlineStr">
        <is>
          <t>S0232</t>
        </is>
      </c>
      <c r="B124" t="inlineStr">
        <is>
          <t>Ironbark Constructions</t>
        </is>
      </c>
      <c r="C124" t="inlineStr">
        <is>
          <t>Fencing</t>
        </is>
      </c>
      <c r="D124" t="inlineStr">
        <is>
          <t>FP</t>
        </is>
      </c>
      <c r="E124">
        <f>SUMIFS('Asset Log'!$H$5:$H$1379,'Asset Log'!$D$5:$D$1379,A124,'Asset Log'!$E$5:$E$1379,D124,'Asset Log'!$J$5:$J$1379,1)</f>
        <v>9</v>
      </c>
      <c r="F124" t="inlineStr">
        <is>
          <t>Closed site: units not returned</t>
        </is>
      </c>
    </row>
    <row r="125">
      <c r="A125" t="inlineStr">
        <is>
          <t>S0266</t>
        </is>
      </c>
      <c r="B125" t="inlineStr">
        <is>
          <t>Cobalt Constructions Pty Ltd</t>
        </is>
      </c>
      <c r="C125" t="inlineStr">
        <is>
          <t>Scaffolding</t>
        </is>
      </c>
      <c r="D125" t="inlineStr">
        <is>
          <t>ST</t>
        </is>
      </c>
      <c r="E125">
        <f>SUMIFS('Asset Log'!$H$5:$H$1379,'Asset Log'!$D$5:$D$1379,A125,'Asset Log'!$E$5:$E$1379,D125,'Asset Log'!$J$5:$J$1379,1)</f>
        <v>4</v>
      </c>
      <c r="F125" t="inlineStr">
        <is>
          <t>On hire</t>
        </is>
      </c>
    </row>
    <row r="126">
      <c r="A126" t="inlineStr">
        <is>
          <t>S0267</t>
        </is>
      </c>
      <c r="B126" t="inlineStr">
        <is>
          <t>Mei Ali</t>
        </is>
      </c>
      <c r="C126" t="inlineStr">
        <is>
          <t>Scaffolding</t>
        </is>
      </c>
      <c r="D126" t="inlineStr">
        <is>
          <t>ST</t>
        </is>
      </c>
      <c r="E126">
        <f>SUMIFS('Asset Log'!$H$5:$H$1379,'Asset Log'!$D$5:$D$1379,A126,'Asset Log'!$E$5:$E$1379,D126,'Asset Log'!$J$5:$J$1379,1)</f>
        <v>2</v>
      </c>
      <c r="F126" t="inlineStr">
        <is>
          <t>On hire</t>
        </is>
      </c>
    </row>
    <row r="127">
      <c r="A127" t="inlineStr">
        <is>
          <t>S0320</t>
        </is>
      </c>
      <c r="B127" t="inlineStr">
        <is>
          <t>Wattle Constructions Pty Ltd</t>
        </is>
      </c>
      <c r="C127" t="inlineStr">
        <is>
          <t>Make-safe</t>
        </is>
      </c>
      <c r="D127" t="inlineStr">
        <is>
          <t>TK</t>
        </is>
      </c>
      <c r="E127">
        <f>SUMIFS('Asset Log'!$H$5:$H$1379,'Asset Log'!$D$5:$D$1379,A127,'Asset Log'!$E$5:$E$1379,D127,'Asset Log'!$J$5:$J$1379,1)</f>
        <v>1</v>
      </c>
      <c r="F127" t="inlineStr">
        <is>
          <t>On hire</t>
        </is>
      </c>
    </row>
    <row r="128">
      <c r="A128" t="inlineStr">
        <is>
          <t>S0349</t>
        </is>
      </c>
      <c r="B128" t="inlineStr">
        <is>
          <t>Redline Claims Services</t>
        </is>
      </c>
      <c r="C128" t="inlineStr">
        <is>
          <t>Make-safe</t>
        </is>
      </c>
      <c r="D128" t="inlineStr">
        <is>
          <t>TK</t>
        </is>
      </c>
      <c r="E128">
        <f>SUMIFS('Asset Log'!$H$5:$H$1379,'Asset Log'!$D$5:$D$1379,A128,'Asset Log'!$E$5:$E$1379,D128,'Asset Log'!$J$5:$J$1379,1)</f>
        <v>1</v>
      </c>
      <c r="F128" t="inlineStr">
        <is>
          <t>On hire</t>
        </is>
      </c>
    </row>
    <row r="129">
      <c r="A129" t="inlineStr">
        <is>
          <t>S0356</t>
        </is>
      </c>
      <c r="B129" t="inlineStr">
        <is>
          <t>Ashford Constructions Pty Ltd</t>
        </is>
      </c>
      <c r="C129" t="inlineStr">
        <is>
          <t>Make-safe</t>
        </is>
      </c>
      <c r="D129" t="inlineStr">
        <is>
          <t>TK</t>
        </is>
      </c>
      <c r="E129">
        <f>SUMIFS('Asset Log'!$H$5:$H$1379,'Asset Log'!$D$5:$D$1379,A129,'Asset Log'!$E$5:$E$1379,D129,'Asset Log'!$J$5:$J$1379,1)</f>
        <v>3</v>
      </c>
      <c r="F129" t="inlineStr">
        <is>
          <t>On hire</t>
        </is>
      </c>
    </row>
    <row r="130">
      <c r="A130" t="inlineStr">
        <is>
          <t>S0359</t>
        </is>
      </c>
      <c r="B130" t="inlineStr">
        <is>
          <t>Northgate Insurance Repairs</t>
        </is>
      </c>
      <c r="C130" t="inlineStr">
        <is>
          <t>Make-safe</t>
        </is>
      </c>
      <c r="D130" t="inlineStr">
        <is>
          <t>TK</t>
        </is>
      </c>
      <c r="E130">
        <f>SUMIFS('Asset Log'!$H$5:$H$1379,'Asset Log'!$D$5:$D$1379,A130,'Asset Log'!$E$5:$E$1379,D130,'Asset Log'!$J$5:$J$1379,1)</f>
        <v>2</v>
      </c>
      <c r="F130" t="inlineStr">
        <is>
          <t>On hire</t>
        </is>
      </c>
    </row>
    <row r="131">
      <c r="A131" t="inlineStr">
        <is>
          <t>S0387</t>
        </is>
      </c>
      <c r="B131" t="inlineStr">
        <is>
          <t>Silverleaf Insurance Repairs Pty Ltd</t>
        </is>
      </c>
      <c r="C131" t="inlineStr">
        <is>
          <t>Make-safe</t>
        </is>
      </c>
      <c r="D131" t="inlineStr">
        <is>
          <t>TK</t>
        </is>
      </c>
      <c r="E131">
        <f>SUMIFS('Asset Log'!$H$5:$H$1379,'Asset Log'!$D$5:$D$1379,A131,'Asset Log'!$E$5:$E$1379,D131,'Asset Log'!$J$5:$J$1379,1)</f>
        <v>2</v>
      </c>
      <c r="F131" t="inlineStr">
        <is>
          <t>On hire</t>
        </is>
      </c>
    </row>
    <row r="132">
      <c r="A132" t="inlineStr">
        <is>
          <t>S0400</t>
        </is>
      </c>
      <c r="B132" t="inlineStr">
        <is>
          <t>Wattle Homes Pty Ltd</t>
        </is>
      </c>
      <c r="C132" t="inlineStr">
        <is>
          <t>Make-safe</t>
        </is>
      </c>
      <c r="D132" t="inlineStr">
        <is>
          <t>TK</t>
        </is>
      </c>
      <c r="E132">
        <f>SUMIFS('Asset Log'!$H$5:$H$1379,'Asset Log'!$D$5:$D$1379,A132,'Asset Log'!$E$5:$E$1379,D132,'Asset Log'!$J$5:$J$1379,1)</f>
        <v>2</v>
      </c>
      <c r="F132" t="inlineStr">
        <is>
          <t>On hire</t>
        </is>
      </c>
    </row>
    <row r="133">
      <c r="A133" t="inlineStr">
        <is>
          <t>S0432</t>
        </is>
      </c>
      <c r="B133" t="inlineStr">
        <is>
          <t>Granite Body Corporate Pty Ltd</t>
        </is>
      </c>
      <c r="C133" t="inlineStr">
        <is>
          <t>Make-safe</t>
        </is>
      </c>
      <c r="D133" t="inlineStr">
        <is>
          <t>TK</t>
        </is>
      </c>
      <c r="E133">
        <f>SUMIFS('Asset Log'!$H$5:$H$1379,'Asset Log'!$D$5:$D$1379,A133,'Asset Log'!$E$5:$E$1379,D133,'Asset Log'!$J$5:$J$1379,1)</f>
        <v>1</v>
      </c>
      <c r="F133" t="inlineStr">
        <is>
          <t>On hire</t>
        </is>
      </c>
    </row>
    <row r="134">
      <c r="A134" t="inlineStr">
        <is>
          <t>S0475</t>
        </is>
      </c>
      <c r="B134" t="inlineStr">
        <is>
          <t>Arjun Doyle</t>
        </is>
      </c>
      <c r="C134" t="inlineStr">
        <is>
          <t>Make-safe</t>
        </is>
      </c>
      <c r="D134" t="inlineStr">
        <is>
          <t>TK</t>
        </is>
      </c>
      <c r="E134">
        <f>SUMIFS('Asset Log'!$H$5:$H$1379,'Asset Log'!$D$5:$D$1379,A134,'Asset Log'!$E$5:$E$1379,D134,'Asset Log'!$J$5:$J$1379,1)</f>
        <v>1</v>
      </c>
      <c r="F134" t="inlineStr">
        <is>
          <t>On hire</t>
        </is>
      </c>
    </row>
    <row r="135">
      <c r="A135" t="inlineStr">
        <is>
          <t>S0492</t>
        </is>
      </c>
      <c r="B135" t="inlineStr">
        <is>
          <t>Bayside Owners Corporation Services Pty Ltd</t>
        </is>
      </c>
      <c r="C135" t="inlineStr">
        <is>
          <t>Make-safe</t>
        </is>
      </c>
      <c r="D135" t="inlineStr">
        <is>
          <t>TK</t>
        </is>
      </c>
      <c r="E135">
        <f>SUMIFS('Asset Log'!$H$5:$H$1379,'Asset Log'!$D$5:$D$1379,A135,'Asset Log'!$E$5:$E$1379,D135,'Asset Log'!$J$5:$J$1379,1)</f>
        <v>2</v>
      </c>
      <c r="F135" t="inlineStr">
        <is>
          <t>On hire</t>
        </is>
      </c>
    </row>
    <row r="136">
      <c r="A136" t="inlineStr">
        <is>
          <t>S0510</t>
        </is>
      </c>
      <c r="B136" t="inlineStr">
        <is>
          <t>Redline Claims Services</t>
        </is>
      </c>
      <c r="C136" t="inlineStr">
        <is>
          <t>Make-safe</t>
        </is>
      </c>
      <c r="D136" t="inlineStr">
        <is>
          <t>TK</t>
        </is>
      </c>
      <c r="E136">
        <f>SUMIFS('Asset Log'!$H$5:$H$1379,'Asset Log'!$D$5:$D$1379,A136,'Asset Log'!$E$5:$E$1379,D136,'Asset Log'!$J$5:$J$1379,1)</f>
        <v>1</v>
      </c>
      <c r="F136" t="inlineStr">
        <is>
          <t>On hire</t>
        </is>
      </c>
    </row>
    <row r="137">
      <c r="A137" t="inlineStr">
        <is>
          <t>S0525</t>
        </is>
      </c>
      <c r="B137" t="inlineStr">
        <is>
          <t>Coastline Strata Management Pty Ltd</t>
        </is>
      </c>
      <c r="C137" t="inlineStr">
        <is>
          <t>Make-safe</t>
        </is>
      </c>
      <c r="D137" t="inlineStr">
        <is>
          <t>TK</t>
        </is>
      </c>
      <c r="E137">
        <f>SUMIFS('Asset Log'!$H$5:$H$1379,'Asset Log'!$D$5:$D$1379,A137,'Asset Log'!$E$5:$E$1379,D137,'Asset Log'!$J$5:$J$1379,1)</f>
        <v>2</v>
      </c>
      <c r="F137" t="inlineStr">
        <is>
          <t>On hire</t>
        </is>
      </c>
    </row>
    <row r="138">
      <c r="A138" t="inlineStr">
        <is>
          <t>S0526</t>
        </is>
      </c>
      <c r="B138" t="inlineStr">
        <is>
          <t>Highpoint Insurance Repairs Pty Ltd</t>
        </is>
      </c>
      <c r="C138" t="inlineStr">
        <is>
          <t>Make-safe</t>
        </is>
      </c>
      <c r="D138" t="inlineStr">
        <is>
          <t>TK</t>
        </is>
      </c>
      <c r="E138">
        <f>SUMIFS('Asset Log'!$H$5:$H$1379,'Asset Log'!$D$5:$D$1379,A138,'Asset Log'!$E$5:$E$1379,D138,'Asset Log'!$J$5:$J$1379,1)</f>
        <v>3</v>
      </c>
      <c r="F138" t="inlineStr">
        <is>
          <t>On hire</t>
        </is>
      </c>
    </row>
  </sheetData>
  <autoFilter ref="A4:F138"/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6" customWidth="1" min="3" max="3"/>
    <col width="11" customWidth="1" min="4" max="4"/>
    <col width="12" customWidth="1" min="5" max="5"/>
    <col width="11" customWidth="1" min="6" max="6"/>
    <col width="11" customWidth="1" min="7" max="7"/>
    <col width="10" customWidth="1" min="8" max="8"/>
    <col width="11" customWidth="1" min="9" max="9"/>
    <col width="10" customWidth="1" min="10" max="10"/>
  </cols>
  <sheetData>
    <row r="1">
      <c r="A1" s="6" t="inlineStr">
        <is>
          <t>Fleet reconciliation at 30 June 2026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Asset</t>
        </is>
      </c>
      <c r="B4" s="7" t="inlineStr">
        <is>
          <t>Register 30 Jun 25</t>
        </is>
      </c>
      <c r="C4" s="7" t="inlineStr">
        <is>
          <t>Lost before 1 Jul 25 (still on register)</t>
        </is>
      </c>
      <c r="D4" s="7" t="inlineStr">
        <is>
          <t>Bought FY26</t>
        </is>
      </c>
      <c r="E4" s="7" t="inlineStr">
        <is>
          <t>Lost (billed) FY26</t>
        </is>
      </c>
      <c r="F4" s="7" t="inlineStr">
        <is>
          <t>Should own</t>
        </is>
      </c>
      <c r="G4" s="7" t="inlineStr">
        <is>
          <t>Yard count</t>
        </is>
      </c>
      <c r="H4" s="7" t="inlineStr">
        <is>
          <t>On hire</t>
        </is>
      </c>
      <c r="I4" s="7" t="inlineStr">
        <is>
          <t>Not returned</t>
        </is>
      </c>
      <c r="J4" s="7" t="inlineStr">
        <is>
          <t>Variance</t>
        </is>
      </c>
    </row>
    <row r="5">
      <c r="A5" t="inlineStr">
        <is>
          <t>FP</t>
        </is>
      </c>
      <c r="B5" t="n">
        <v>4970</v>
      </c>
      <c r="C5">
        <f>SUMIFS('Asset Log'!$F$5:$F$1379,'Asset Log'!$E$5:$E$1379,A5,'Asset Log'!$G$5:$G$1379,"LOST",'Asset Log'!$B$5:$B$1379,"&lt;"&amp;DATE(2025,7,1))</f>
        <v>12</v>
      </c>
      <c r="D5">
        <f>SUMIFS($C$15:$C$17,$B$15:$B$17,A5)</f>
        <v>120</v>
      </c>
      <c r="E5">
        <f>SUMIFS('Asset Log'!$F$5:$F$1379,'Asset Log'!$E$5:$E$1379,A5,'Asset Log'!$G$5:$G$1379,"LOST",'Asset Log'!$I$5:$I$1379,1)</f>
        <v>75</v>
      </c>
      <c r="F5">
        <f>B5-C5+D5-E5</f>
        <v>5003</v>
      </c>
      <c r="G5" t="n">
        <v>1171</v>
      </c>
      <c r="H5">
        <f>SUMIFS('Asset Position'!$E$5:$E$138,'Asset Position'!$D$5:$D$138,A5,'Asset Position'!$F$5:$F$138,"On hire")</f>
        <v>3749</v>
      </c>
      <c r="I5">
        <f>SUMIFS('Asset Position'!$E$5:$E$138,'Asset Position'!$D$5:$D$138,A5,'Asset Position'!$F$5:$F$138,"&lt;&gt;On hire")</f>
        <v>79</v>
      </c>
      <c r="J5">
        <f>F5-G5-H5-I5</f>
        <v>4</v>
      </c>
    </row>
    <row r="6">
      <c r="A6" t="inlineStr">
        <is>
          <t>FB</t>
        </is>
      </c>
      <c r="B6" t="n">
        <v>5380</v>
      </c>
      <c r="C6">
        <f>SUMIFS('Asset Log'!$F$5:$F$1379,'Asset Log'!$E$5:$E$1379,A6,'Asset Log'!$G$5:$G$1379,"LOST",'Asset Log'!$B$5:$B$1379,"&lt;"&amp;DATE(2025,7,1))</f>
        <v>0</v>
      </c>
      <c r="D6">
        <f>SUMIFS($C$15:$C$17,$B$15:$B$17,A6)</f>
        <v>150</v>
      </c>
      <c r="E6">
        <f>SUMIFS('Asset Log'!$F$5:$F$1379,'Asset Log'!$E$5:$E$1379,A6,'Asset Log'!$G$5:$G$1379,"LOST",'Asset Log'!$I$5:$I$1379,1)</f>
        <v>0</v>
      </c>
      <c r="F6">
        <f>B6-C6+D6-E6</f>
        <v>5530</v>
      </c>
      <c r="G6" t="n">
        <v>1421</v>
      </c>
      <c r="H6">
        <f>SUMIFS('Asset Position'!$E$5:$E$138,'Asset Position'!$D$5:$D$138,A6,'Asset Position'!$F$5:$F$138,"On hire")</f>
        <v>4112</v>
      </c>
      <c r="I6">
        <f>SUMIFS('Asset Position'!$E$5:$E$138,'Asset Position'!$D$5:$D$138,A6,'Asset Position'!$F$5:$F$138,"&lt;&gt;On hire")</f>
        <v>0</v>
      </c>
      <c r="J6">
        <f>F6-G6-H6-I6</f>
        <v>-3</v>
      </c>
    </row>
    <row r="7">
      <c r="A7" t="inlineStr">
        <is>
          <t>BR</t>
        </is>
      </c>
      <c r="B7" t="n">
        <v>330</v>
      </c>
      <c r="C7">
        <f>SUMIFS('Asset Log'!$F$5:$F$1379,'Asset Log'!$E$5:$E$1379,A7,'Asset Log'!$G$5:$G$1379,"LOST",'Asset Log'!$B$5:$B$1379,"&lt;"&amp;DATE(2025,7,1))</f>
        <v>0</v>
      </c>
      <c r="D7">
        <f>SUMIFS($C$15:$C$17,$B$15:$B$17,A7)</f>
        <v>0</v>
      </c>
      <c r="E7">
        <f>SUMIFS('Asset Log'!$F$5:$F$1379,'Asset Log'!$E$5:$E$1379,A7,'Asset Log'!$G$5:$G$1379,"LOST",'Asset Log'!$I$5:$I$1379,1)</f>
        <v>0</v>
      </c>
      <c r="F7">
        <f>B7-C7+D7-E7</f>
        <v>330</v>
      </c>
      <c r="G7" t="n">
        <v>105</v>
      </c>
      <c r="H7">
        <f>SUMIFS('Asset Position'!$E$5:$E$138,'Asset Position'!$D$5:$D$138,A7,'Asset Position'!$F$5:$F$138,"On hire")</f>
        <v>225</v>
      </c>
      <c r="I7">
        <f>SUMIFS('Asset Position'!$E$5:$E$138,'Asset Position'!$D$5:$D$138,A7,'Asset Position'!$F$5:$F$138,"&lt;&gt;On hire")</f>
        <v>0</v>
      </c>
      <c r="J7">
        <f>F7-G7-H7-I7</f>
        <v>0</v>
      </c>
    </row>
    <row r="8">
      <c r="A8" t="inlineStr">
        <is>
          <t>ST</t>
        </is>
      </c>
      <c r="B8" t="n">
        <v>37</v>
      </c>
      <c r="C8">
        <f>SUMIFS('Asset Log'!$F$5:$F$1379,'Asset Log'!$E$5:$E$1379,A8,'Asset Log'!$G$5:$G$1379,"LOST",'Asset Log'!$B$5:$B$1379,"&lt;"&amp;DATE(2025,7,1))</f>
        <v>0</v>
      </c>
      <c r="D8">
        <f>SUMIFS($C$15:$C$17,$B$15:$B$17,A8)</f>
        <v>4</v>
      </c>
      <c r="E8">
        <f>SUMIFS('Asset Log'!$F$5:$F$1379,'Asset Log'!$E$5:$E$1379,A8,'Asset Log'!$G$5:$G$1379,"LOST",'Asset Log'!$I$5:$I$1379,1)</f>
        <v>0</v>
      </c>
      <c r="F8">
        <f>B8-C8+D8-E8</f>
        <v>41</v>
      </c>
      <c r="G8" t="n">
        <v>35</v>
      </c>
      <c r="H8">
        <f>SUMIFS('Asset Position'!$E$5:$E$138,'Asset Position'!$D$5:$D$138,A8,'Asset Position'!$F$5:$F$138,"On hire")</f>
        <v>6</v>
      </c>
      <c r="I8">
        <f>SUMIFS('Asset Position'!$E$5:$E$138,'Asset Position'!$D$5:$D$138,A8,'Asset Position'!$F$5:$F$138,"&lt;&gt;On hire")</f>
        <v>0</v>
      </c>
      <c r="J8">
        <f>F8-G8-H8-I8</f>
        <v>0</v>
      </c>
    </row>
    <row r="9">
      <c r="A9" t="inlineStr">
        <is>
          <t>TK</t>
        </is>
      </c>
      <c r="B9" t="n">
        <v>37</v>
      </c>
      <c r="C9">
        <f>SUMIFS('Asset Log'!$F$5:$F$1379,'Asset Log'!$E$5:$E$1379,A9,'Asset Log'!$G$5:$G$1379,"LOST",'Asset Log'!$B$5:$B$1379,"&lt;"&amp;DATE(2025,7,1))</f>
        <v>0</v>
      </c>
      <c r="D9">
        <f>SUMIFS($C$15:$C$17,$B$15:$B$17,A9)</f>
        <v>0</v>
      </c>
      <c r="E9">
        <f>SUMIFS('Asset Log'!$F$5:$F$1379,'Asset Log'!$E$5:$E$1379,A9,'Asset Log'!$G$5:$G$1379,"LOST",'Asset Log'!$I$5:$I$1379,1)</f>
        <v>0</v>
      </c>
      <c r="F9">
        <f>B9-C9+D9-E9</f>
        <v>37</v>
      </c>
      <c r="G9" t="n">
        <v>16</v>
      </c>
      <c r="H9">
        <f>SUMIFS('Asset Position'!$E$5:$E$138,'Asset Position'!$D$5:$D$138,A9,'Asset Position'!$F$5:$F$138,"On hire")</f>
        <v>21</v>
      </c>
      <c r="I9">
        <f>SUMIFS('Asset Position'!$E$5:$E$138,'Asset Position'!$D$5:$D$138,A9,'Asset Position'!$F$5:$F$138,"&lt;&gt;On hire")</f>
        <v>0</v>
      </c>
      <c r="J9">
        <f>F9-G9-H9-I9</f>
        <v>0</v>
      </c>
    </row>
    <row r="10">
      <c r="A10" t="inlineStr">
        <is>
          <t>Total</t>
        </is>
      </c>
      <c r="B10">
        <f>SUM(B5:B9)</f>
        <v>10754</v>
      </c>
      <c r="C10">
        <f>SUM(C5:C9)</f>
        <v>12</v>
      </c>
      <c r="D10">
        <f>SUM(D5:D9)</f>
        <v>274</v>
      </c>
      <c r="E10">
        <f>SUM(E5:E9)</f>
        <v>75</v>
      </c>
      <c r="F10">
        <f>SUM(F5:F9)</f>
        <v>10941</v>
      </c>
      <c r="G10">
        <f>SUM(G5:G9)</f>
        <v>2748</v>
      </c>
      <c r="H10">
        <f>SUM(H5:H9)</f>
        <v>8113</v>
      </c>
      <c r="I10">
        <f>SUM(I5:I9)</f>
        <v>79</v>
      </c>
      <c r="J10">
        <f>SUM(J5:J9)</f>
        <v>1</v>
      </c>
    </row>
    <row r="13">
      <c r="A13" s="4" t="inlineStr">
        <is>
          <t>Purchases FY26</t>
        </is>
      </c>
    </row>
    <row r="14">
      <c r="A14" s="4" t="inlineStr">
        <is>
          <t>Date</t>
        </is>
      </c>
      <c r="B14" s="4" t="inlineStr">
        <is>
          <t>Asset</t>
        </is>
      </c>
      <c r="C14" s="4" t="inlineStr">
        <is>
          <t>Qty</t>
        </is>
      </c>
      <c r="D14" s="4" t="inlineStr">
        <is>
          <t>Supplier</t>
        </is>
      </c>
    </row>
    <row r="15">
      <c r="A15" s="11" t="n">
        <v>45944</v>
      </c>
      <c r="B15" t="inlineStr">
        <is>
          <t>FP</t>
        </is>
      </c>
      <c r="C15" t="n">
        <v>120</v>
      </c>
      <c r="D15" t="inlineStr">
        <is>
          <t>Fence supplier (placeholder)</t>
        </is>
      </c>
    </row>
    <row r="16">
      <c r="A16" s="11" t="n">
        <v>46062</v>
      </c>
      <c r="B16" t="inlineStr">
        <is>
          <t>FB</t>
        </is>
      </c>
      <c r="C16" t="n">
        <v>150</v>
      </c>
      <c r="D16" t="inlineStr">
        <is>
          <t>Fence supplier (placeholder)</t>
        </is>
      </c>
    </row>
    <row r="17">
      <c r="A17" s="11" t="n">
        <v>46083</v>
      </c>
      <c r="B17" t="inlineStr">
        <is>
          <t>ST</t>
        </is>
      </c>
      <c r="C17" t="n">
        <v>4</v>
      </c>
      <c r="D17" t="inlineStr">
        <is>
          <t>Scaffold supplier (placeholder)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H106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6" customWidth="1" min="2" max="2"/>
    <col width="11" customWidth="1" min="3" max="3"/>
    <col width="11" customWidth="1" min="4" max="4"/>
    <col width="6" customWidth="1" min="5" max="5"/>
    <col width="12" customWidth="1" min="6" max="6"/>
    <col width="10" customWidth="1" min="7" max="7"/>
  </cols>
  <sheetData>
    <row r="1">
      <c r="A1" s="6" t="inlineStr">
        <is>
          <t>4-weekly hire cycles rebuilt from the clean log (billable unit-weeks = peak units each week)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Site</t>
        </is>
      </c>
      <c r="B4" s="7" t="inlineStr">
        <is>
          <t>Asset</t>
        </is>
      </c>
      <c r="C4" s="7" t="inlineStr">
        <is>
          <t>Cycle start</t>
        </is>
      </c>
      <c r="D4" s="7" t="inlineStr">
        <is>
          <t>Invoice due</t>
        </is>
      </c>
      <c r="E4" s="7" t="inlineStr">
        <is>
          <t>Weeks</t>
        </is>
      </c>
      <c r="F4" s="7" t="inlineStr">
        <is>
          <t>Billable unit-weeks</t>
        </is>
      </c>
      <c r="G4" s="7" t="inlineStr">
        <is>
          <t>Invoice due in FY26</t>
        </is>
      </c>
    </row>
    <row r="5">
      <c r="A5" t="inlineStr">
        <is>
          <t>S0001</t>
        </is>
      </c>
      <c r="B5" t="inlineStr">
        <is>
          <t>FP</t>
        </is>
      </c>
      <c r="C5" s="11" t="n">
        <v>45924</v>
      </c>
      <c r="D5" s="11" t="n">
        <v>45952</v>
      </c>
      <c r="E5" t="n">
        <v>4</v>
      </c>
      <c r="F5" t="n">
        <v>330</v>
      </c>
      <c r="G5">
        <f>IF(AND(D5&gt;=DATE(2025,7,1),D5&lt;=DATE(2026,6,30)),1,0)</f>
        <v>1</v>
      </c>
    </row>
    <row r="6">
      <c r="A6" t="inlineStr">
        <is>
          <t>S0001</t>
        </is>
      </c>
      <c r="B6" t="inlineStr">
        <is>
          <t>FP</t>
        </is>
      </c>
      <c r="C6" s="11" t="n">
        <v>45952</v>
      </c>
      <c r="D6" s="11" t="n">
        <v>45980</v>
      </c>
      <c r="E6" t="n">
        <v>4</v>
      </c>
      <c r="F6" t="n">
        <v>404</v>
      </c>
      <c r="G6">
        <f>IF(AND(D6&gt;=DATE(2025,7,1),D6&lt;=DATE(2026,6,30)),1,0)</f>
        <v>1</v>
      </c>
    </row>
    <row r="7">
      <c r="A7" t="inlineStr">
        <is>
          <t>S0001</t>
        </is>
      </c>
      <c r="B7" t="inlineStr">
        <is>
          <t>FP</t>
        </is>
      </c>
      <c r="C7" s="11" t="n">
        <v>45980</v>
      </c>
      <c r="D7" s="11" t="n">
        <v>46008</v>
      </c>
      <c r="E7" t="n">
        <v>4</v>
      </c>
      <c r="F7" t="n">
        <v>404</v>
      </c>
      <c r="G7">
        <f>IF(AND(D7&gt;=DATE(2025,7,1),D7&lt;=DATE(2026,6,30)),1,0)</f>
        <v>1</v>
      </c>
    </row>
    <row r="8">
      <c r="A8" t="inlineStr">
        <is>
          <t>S0001</t>
        </is>
      </c>
      <c r="B8" t="inlineStr">
        <is>
          <t>FP</t>
        </is>
      </c>
      <c r="C8" s="11" t="n">
        <v>46008</v>
      </c>
      <c r="D8" s="11" t="n">
        <v>46036</v>
      </c>
      <c r="E8" t="n">
        <v>4</v>
      </c>
      <c r="F8" t="n">
        <v>404</v>
      </c>
      <c r="G8">
        <f>IF(AND(D8&gt;=DATE(2025,7,1),D8&lt;=DATE(2026,6,30)),1,0)</f>
        <v>1</v>
      </c>
    </row>
    <row r="9">
      <c r="A9" t="inlineStr">
        <is>
          <t>S0001</t>
        </is>
      </c>
      <c r="B9" t="inlineStr">
        <is>
          <t>FP</t>
        </is>
      </c>
      <c r="C9" s="11" t="n">
        <v>46036</v>
      </c>
      <c r="D9" s="11" t="n">
        <v>46064</v>
      </c>
      <c r="E9" t="n">
        <v>4</v>
      </c>
      <c r="F9" t="n">
        <v>404</v>
      </c>
      <c r="G9">
        <f>IF(AND(D9&gt;=DATE(2025,7,1),D9&lt;=DATE(2026,6,30)),1,0)</f>
        <v>1</v>
      </c>
    </row>
    <row r="10">
      <c r="A10" t="inlineStr">
        <is>
          <t>S0001</t>
        </is>
      </c>
      <c r="B10" t="inlineStr">
        <is>
          <t>FP</t>
        </is>
      </c>
      <c r="C10" s="11" t="n">
        <v>46064</v>
      </c>
      <c r="D10" s="11" t="n">
        <v>46092</v>
      </c>
      <c r="E10" t="n">
        <v>4</v>
      </c>
      <c r="F10" t="n">
        <v>404</v>
      </c>
      <c r="G10">
        <f>IF(AND(D10&gt;=DATE(2025,7,1),D10&lt;=DATE(2026,6,30)),1,0)</f>
        <v>1</v>
      </c>
    </row>
    <row r="11">
      <c r="A11" t="inlineStr">
        <is>
          <t>S0001</t>
        </is>
      </c>
      <c r="B11" t="inlineStr">
        <is>
          <t>FP</t>
        </is>
      </c>
      <c r="C11" s="11" t="n">
        <v>46092</v>
      </c>
      <c r="D11" s="11" t="n">
        <v>46106</v>
      </c>
      <c r="E11" t="n">
        <v>2</v>
      </c>
      <c r="F11" t="n">
        <v>202</v>
      </c>
      <c r="G11">
        <f>IF(AND(D11&gt;=DATE(2025,7,1),D11&lt;=DATE(2026,6,30)),1,0)</f>
        <v>1</v>
      </c>
    </row>
    <row r="12">
      <c r="A12" t="inlineStr">
        <is>
          <t>S0003</t>
        </is>
      </c>
      <c r="B12" t="inlineStr">
        <is>
          <t>FP</t>
        </is>
      </c>
      <c r="C12" s="11" t="n">
        <v>45927</v>
      </c>
      <c r="D12" s="11" t="n">
        <v>45955</v>
      </c>
      <c r="E12" t="n">
        <v>4</v>
      </c>
      <c r="F12" t="n">
        <v>608</v>
      </c>
      <c r="G12">
        <f>IF(AND(D12&gt;=DATE(2025,7,1),D12&lt;=DATE(2026,6,30)),1,0)</f>
        <v>1</v>
      </c>
    </row>
    <row r="13">
      <c r="A13" t="inlineStr">
        <is>
          <t>S0003</t>
        </is>
      </c>
      <c r="B13" t="inlineStr">
        <is>
          <t>FP</t>
        </is>
      </c>
      <c r="C13" s="11" t="n">
        <v>45955</v>
      </c>
      <c r="D13" s="11" t="n">
        <v>45983</v>
      </c>
      <c r="E13" t="n">
        <v>4</v>
      </c>
      <c r="F13" t="n">
        <v>608</v>
      </c>
      <c r="G13">
        <f>IF(AND(D13&gt;=DATE(2025,7,1),D13&lt;=DATE(2026,6,30)),1,0)</f>
        <v>1</v>
      </c>
    </row>
    <row r="14">
      <c r="A14" t="inlineStr">
        <is>
          <t>S0003</t>
        </is>
      </c>
      <c r="B14" t="inlineStr">
        <is>
          <t>FP</t>
        </is>
      </c>
      <c r="C14" s="11" t="n">
        <v>45983</v>
      </c>
      <c r="D14" s="11" t="n">
        <v>46011</v>
      </c>
      <c r="E14" t="n">
        <v>4</v>
      </c>
      <c r="F14" t="n">
        <v>608</v>
      </c>
      <c r="G14">
        <f>IF(AND(D14&gt;=DATE(2025,7,1),D14&lt;=DATE(2026,6,30)),1,0)</f>
        <v>1</v>
      </c>
    </row>
    <row r="15">
      <c r="A15" t="inlineStr">
        <is>
          <t>S0003</t>
        </is>
      </c>
      <c r="B15" t="inlineStr">
        <is>
          <t>FP</t>
        </is>
      </c>
      <c r="C15" s="11" t="n">
        <v>46011</v>
      </c>
      <c r="D15" s="11" t="n">
        <v>46015</v>
      </c>
      <c r="E15" t="n">
        <v>1</v>
      </c>
      <c r="F15" t="n">
        <v>152</v>
      </c>
      <c r="G15">
        <f>IF(AND(D15&gt;=DATE(2025,7,1),D15&lt;=DATE(2026,6,30)),1,0)</f>
        <v>1</v>
      </c>
    </row>
    <row r="16">
      <c r="A16" t="inlineStr">
        <is>
          <t>S0004</t>
        </is>
      </c>
      <c r="B16" t="inlineStr">
        <is>
          <t>FP</t>
        </is>
      </c>
      <c r="C16" s="11" t="n">
        <v>45890</v>
      </c>
      <c r="D16" s="11" t="n">
        <v>45918</v>
      </c>
      <c r="E16" t="n">
        <v>4</v>
      </c>
      <c r="F16" t="n">
        <v>500</v>
      </c>
      <c r="G16">
        <f>IF(AND(D16&gt;=DATE(2025,7,1),D16&lt;=DATE(2026,6,30)),1,0)</f>
        <v>1</v>
      </c>
    </row>
    <row r="17">
      <c r="A17" t="inlineStr">
        <is>
          <t>S0004</t>
        </is>
      </c>
      <c r="B17" t="inlineStr">
        <is>
          <t>FP</t>
        </is>
      </c>
      <c r="C17" s="11" t="n">
        <v>45918</v>
      </c>
      <c r="D17" s="11" t="n">
        <v>45946</v>
      </c>
      <c r="E17" t="n">
        <v>4</v>
      </c>
      <c r="F17" t="n">
        <v>500</v>
      </c>
      <c r="G17">
        <f>IF(AND(D17&gt;=DATE(2025,7,1),D17&lt;=DATE(2026,6,30)),1,0)</f>
        <v>1</v>
      </c>
    </row>
    <row r="18">
      <c r="A18" t="inlineStr">
        <is>
          <t>S0004</t>
        </is>
      </c>
      <c r="B18" t="inlineStr">
        <is>
          <t>FP</t>
        </is>
      </c>
      <c r="C18" s="11" t="n">
        <v>45946</v>
      </c>
      <c r="D18" s="11" t="n">
        <v>45947</v>
      </c>
      <c r="E18" t="n">
        <v>1</v>
      </c>
      <c r="F18" t="n">
        <v>125</v>
      </c>
      <c r="G18">
        <f>IF(AND(D18&gt;=DATE(2025,7,1),D18&lt;=DATE(2026,6,30)),1,0)</f>
        <v>1</v>
      </c>
    </row>
    <row r="19">
      <c r="A19" t="inlineStr">
        <is>
          <t>S0005</t>
        </is>
      </c>
      <c r="B19" t="inlineStr">
        <is>
          <t>FP</t>
        </is>
      </c>
      <c r="C19" s="11" t="n">
        <v>46110</v>
      </c>
      <c r="D19" s="11" t="n">
        <v>46138</v>
      </c>
      <c r="E19" t="n">
        <v>4</v>
      </c>
      <c r="F19" t="n">
        <v>212</v>
      </c>
      <c r="G19">
        <f>IF(AND(D19&gt;=DATE(2025,7,1),D19&lt;=DATE(2026,6,30)),1,0)</f>
        <v>1</v>
      </c>
    </row>
    <row r="20">
      <c r="A20" t="inlineStr">
        <is>
          <t>S0005</t>
        </is>
      </c>
      <c r="B20" t="inlineStr">
        <is>
          <t>FP</t>
        </is>
      </c>
      <c r="C20" s="11" t="n">
        <v>46138</v>
      </c>
      <c r="D20" s="11" t="n">
        <v>46165</v>
      </c>
      <c r="E20" t="n">
        <v>4</v>
      </c>
      <c r="F20" t="n">
        <v>212</v>
      </c>
      <c r="G20">
        <f>IF(AND(D20&gt;=DATE(2025,7,1),D20&lt;=DATE(2026,6,30)),1,0)</f>
        <v>1</v>
      </c>
    </row>
    <row r="21">
      <c r="A21" t="inlineStr">
        <is>
          <t>S0006</t>
        </is>
      </c>
      <c r="B21" t="inlineStr">
        <is>
          <t>FP</t>
        </is>
      </c>
      <c r="C21" s="11" t="n">
        <v>45897</v>
      </c>
      <c r="D21" s="11" t="n">
        <v>45919</v>
      </c>
      <c r="E21" t="n">
        <v>4</v>
      </c>
      <c r="F21" t="n">
        <v>372</v>
      </c>
      <c r="G21">
        <f>IF(AND(D21&gt;=DATE(2025,7,1),D21&lt;=DATE(2026,6,30)),1,0)</f>
        <v>1</v>
      </c>
    </row>
    <row r="22">
      <c r="A22" t="inlineStr">
        <is>
          <t>S0007</t>
        </is>
      </c>
      <c r="B22" t="inlineStr">
        <is>
          <t>FP</t>
        </is>
      </c>
      <c r="C22" s="11" t="n">
        <v>45932</v>
      </c>
      <c r="D22" s="11" t="n">
        <v>45960</v>
      </c>
      <c r="E22" t="n">
        <v>4</v>
      </c>
      <c r="F22" t="n">
        <v>284</v>
      </c>
      <c r="G22">
        <f>IF(AND(D22&gt;=DATE(2025,7,1),D22&lt;=DATE(2026,6,30)),1,0)</f>
        <v>1</v>
      </c>
    </row>
    <row r="23">
      <c r="A23" t="inlineStr">
        <is>
          <t>S0007</t>
        </is>
      </c>
      <c r="B23" t="inlineStr">
        <is>
          <t>FP</t>
        </is>
      </c>
      <c r="C23" s="11" t="n">
        <v>45960</v>
      </c>
      <c r="D23" s="11" t="n">
        <v>45988</v>
      </c>
      <c r="E23" t="n">
        <v>4</v>
      </c>
      <c r="F23" t="n">
        <v>284</v>
      </c>
      <c r="G23">
        <f>IF(AND(D23&gt;=DATE(2025,7,1),D23&lt;=DATE(2026,6,30)),1,0)</f>
        <v>1</v>
      </c>
    </row>
    <row r="24">
      <c r="A24" t="inlineStr">
        <is>
          <t>S0007</t>
        </is>
      </c>
      <c r="B24" t="inlineStr">
        <is>
          <t>FP</t>
        </is>
      </c>
      <c r="C24" s="11" t="n">
        <v>45988</v>
      </c>
      <c r="D24" s="11" t="n">
        <v>46016</v>
      </c>
      <c r="E24" t="n">
        <v>4</v>
      </c>
      <c r="F24" t="n">
        <v>284</v>
      </c>
      <c r="G24">
        <f>IF(AND(D24&gt;=DATE(2025,7,1),D24&lt;=DATE(2026,6,30)),1,0)</f>
        <v>1</v>
      </c>
    </row>
    <row r="25">
      <c r="A25" t="inlineStr">
        <is>
          <t>S0007</t>
        </is>
      </c>
      <c r="B25" t="inlineStr">
        <is>
          <t>FP</t>
        </is>
      </c>
      <c r="C25" s="11" t="n">
        <v>46016</v>
      </c>
      <c r="D25" s="11" t="n">
        <v>46044</v>
      </c>
      <c r="E25" t="n">
        <v>4</v>
      </c>
      <c r="F25" t="n">
        <v>284</v>
      </c>
      <c r="G25">
        <f>IF(AND(D25&gt;=DATE(2025,7,1),D25&lt;=DATE(2026,6,30)),1,0)</f>
        <v>1</v>
      </c>
    </row>
    <row r="26">
      <c r="A26" t="inlineStr">
        <is>
          <t>S0007</t>
        </is>
      </c>
      <c r="B26" t="inlineStr">
        <is>
          <t>FP</t>
        </is>
      </c>
      <c r="C26" s="11" t="n">
        <v>46044</v>
      </c>
      <c r="D26" s="11" t="n">
        <v>46072</v>
      </c>
      <c r="E26" t="n">
        <v>4</v>
      </c>
      <c r="F26" t="n">
        <v>284</v>
      </c>
      <c r="G26">
        <f>IF(AND(D26&gt;=DATE(2025,7,1),D26&lt;=DATE(2026,6,30)),1,0)</f>
        <v>1</v>
      </c>
    </row>
    <row r="27">
      <c r="A27" t="inlineStr">
        <is>
          <t>S0008</t>
        </is>
      </c>
      <c r="B27" t="inlineStr">
        <is>
          <t>BR</t>
        </is>
      </c>
      <c r="C27" s="11" t="n">
        <v>46071</v>
      </c>
      <c r="D27" s="11" t="n">
        <v>46099</v>
      </c>
      <c r="E27" t="n">
        <v>4</v>
      </c>
      <c r="F27" t="n">
        <v>84</v>
      </c>
      <c r="G27">
        <f>IF(AND(D27&gt;=DATE(2025,7,1),D27&lt;=DATE(2026,6,30)),1,0)</f>
        <v>1</v>
      </c>
    </row>
    <row r="28">
      <c r="A28" t="inlineStr">
        <is>
          <t>S0008</t>
        </is>
      </c>
      <c r="B28" t="inlineStr">
        <is>
          <t>BR</t>
        </is>
      </c>
      <c r="C28" s="11" t="n">
        <v>46099</v>
      </c>
      <c r="D28" s="11" t="n">
        <v>46127</v>
      </c>
      <c r="E28" t="n">
        <v>4</v>
      </c>
      <c r="F28" t="n">
        <v>84</v>
      </c>
      <c r="G28">
        <f>IF(AND(D28&gt;=DATE(2025,7,1),D28&lt;=DATE(2026,6,30)),1,0)</f>
        <v>1</v>
      </c>
    </row>
    <row r="29">
      <c r="A29" t="inlineStr">
        <is>
          <t>S0008</t>
        </is>
      </c>
      <c r="B29" t="inlineStr">
        <is>
          <t>BR</t>
        </is>
      </c>
      <c r="C29" s="11" t="n">
        <v>46127</v>
      </c>
      <c r="D29" s="11" t="n">
        <v>46155</v>
      </c>
      <c r="E29" t="n">
        <v>4</v>
      </c>
      <c r="F29" t="n">
        <v>84</v>
      </c>
      <c r="G29">
        <f>IF(AND(D29&gt;=DATE(2025,7,1),D29&lt;=DATE(2026,6,30)),1,0)</f>
        <v>1</v>
      </c>
    </row>
    <row r="30">
      <c r="A30" t="inlineStr">
        <is>
          <t>S0008</t>
        </is>
      </c>
      <c r="B30" t="inlineStr">
        <is>
          <t>BR</t>
        </is>
      </c>
      <c r="C30" s="11" t="n">
        <v>46155</v>
      </c>
      <c r="D30" s="11" t="n">
        <v>46183</v>
      </c>
      <c r="E30" t="n">
        <v>4</v>
      </c>
      <c r="F30" t="n">
        <v>84</v>
      </c>
      <c r="G30">
        <f>IF(AND(D30&gt;=DATE(2025,7,1),D30&lt;=DATE(2026,6,30)),1,0)</f>
        <v>1</v>
      </c>
    </row>
    <row r="31">
      <c r="A31" t="inlineStr">
        <is>
          <t>S0008</t>
        </is>
      </c>
      <c r="B31" t="inlineStr">
        <is>
          <t>BR</t>
        </is>
      </c>
      <c r="C31" s="11" t="n">
        <v>46183</v>
      </c>
      <c r="D31" s="11" t="n">
        <v>46187</v>
      </c>
      <c r="E31" t="n">
        <v>1</v>
      </c>
      <c r="F31" t="n">
        <v>21</v>
      </c>
      <c r="G31">
        <f>IF(AND(D31&gt;=DATE(2025,7,1),D31&lt;=DATE(2026,6,30)),1,0)</f>
        <v>1</v>
      </c>
    </row>
    <row r="32">
      <c r="A32" t="inlineStr">
        <is>
          <t>S0008</t>
        </is>
      </c>
      <c r="B32" t="inlineStr">
        <is>
          <t>FP</t>
        </is>
      </c>
      <c r="C32" s="11" t="n">
        <v>46071</v>
      </c>
      <c r="D32" s="11" t="n">
        <v>46099</v>
      </c>
      <c r="E32" t="n">
        <v>4</v>
      </c>
      <c r="F32" t="n">
        <v>248</v>
      </c>
      <c r="G32">
        <f>IF(AND(D32&gt;=DATE(2025,7,1),D32&lt;=DATE(2026,6,30)),1,0)</f>
        <v>1</v>
      </c>
    </row>
    <row r="33">
      <c r="A33" t="inlineStr">
        <is>
          <t>S0008</t>
        </is>
      </c>
      <c r="B33" t="inlineStr">
        <is>
          <t>FP</t>
        </is>
      </c>
      <c r="C33" s="11" t="n">
        <v>46099</v>
      </c>
      <c r="D33" s="11" t="n">
        <v>46127</v>
      </c>
      <c r="E33" t="n">
        <v>4</v>
      </c>
      <c r="F33" t="n">
        <v>248</v>
      </c>
      <c r="G33">
        <f>IF(AND(D33&gt;=DATE(2025,7,1),D33&lt;=DATE(2026,6,30)),1,0)</f>
        <v>1</v>
      </c>
    </row>
    <row r="34">
      <c r="A34" t="inlineStr">
        <is>
          <t>S0008</t>
        </is>
      </c>
      <c r="B34" t="inlineStr">
        <is>
          <t>FP</t>
        </is>
      </c>
      <c r="C34" s="11" t="n">
        <v>46127</v>
      </c>
      <c r="D34" s="11" t="n">
        <v>46155</v>
      </c>
      <c r="E34" t="n">
        <v>4</v>
      </c>
      <c r="F34" t="n">
        <v>248</v>
      </c>
      <c r="G34">
        <f>IF(AND(D34&gt;=DATE(2025,7,1),D34&lt;=DATE(2026,6,30)),1,0)</f>
        <v>1</v>
      </c>
    </row>
    <row r="35">
      <c r="A35" t="inlineStr">
        <is>
          <t>S0008</t>
        </is>
      </c>
      <c r="B35" t="inlineStr">
        <is>
          <t>FP</t>
        </is>
      </c>
      <c r="C35" s="11" t="n">
        <v>46155</v>
      </c>
      <c r="D35" s="11" t="n">
        <v>46183</v>
      </c>
      <c r="E35" t="n">
        <v>4</v>
      </c>
      <c r="F35" t="n">
        <v>248</v>
      </c>
      <c r="G35">
        <f>IF(AND(D35&gt;=DATE(2025,7,1),D35&lt;=DATE(2026,6,30)),1,0)</f>
        <v>1</v>
      </c>
    </row>
    <row r="36">
      <c r="A36" t="inlineStr">
        <is>
          <t>S0008</t>
        </is>
      </c>
      <c r="B36" t="inlineStr">
        <is>
          <t>FP</t>
        </is>
      </c>
      <c r="C36" s="11" t="n">
        <v>46183</v>
      </c>
      <c r="D36" s="11" t="n">
        <v>46187</v>
      </c>
      <c r="E36" t="n">
        <v>1</v>
      </c>
      <c r="F36" t="n">
        <v>62</v>
      </c>
      <c r="G36">
        <f>IF(AND(D36&gt;=DATE(2025,7,1),D36&lt;=DATE(2026,6,30)),1,0)</f>
        <v>1</v>
      </c>
    </row>
    <row r="37">
      <c r="A37" t="inlineStr">
        <is>
          <t>S0009</t>
        </is>
      </c>
      <c r="B37" t="inlineStr">
        <is>
          <t>BR</t>
        </is>
      </c>
      <c r="C37" s="11" t="n">
        <v>46163</v>
      </c>
      <c r="D37" s="11" t="n">
        <v>46191</v>
      </c>
      <c r="E37" t="n">
        <v>4</v>
      </c>
      <c r="F37" t="n">
        <v>16</v>
      </c>
      <c r="G37">
        <f>IF(AND(D37&gt;=DATE(2025,7,1),D37&lt;=DATE(2026,6,30)),1,0)</f>
        <v>1</v>
      </c>
    </row>
    <row r="38">
      <c r="A38" t="inlineStr">
        <is>
          <t>S0009</t>
        </is>
      </c>
      <c r="B38" t="inlineStr">
        <is>
          <t>FP</t>
        </is>
      </c>
      <c r="C38" s="11" t="n">
        <v>46163</v>
      </c>
      <c r="D38" s="11" t="n">
        <v>46191</v>
      </c>
      <c r="E38" t="n">
        <v>4</v>
      </c>
      <c r="F38" t="n">
        <v>172</v>
      </c>
      <c r="G38">
        <f>IF(AND(D38&gt;=DATE(2025,7,1),D38&lt;=DATE(2026,6,30)),1,0)</f>
        <v>1</v>
      </c>
    </row>
    <row r="39">
      <c r="A39" t="inlineStr">
        <is>
          <t>S0010</t>
        </is>
      </c>
      <c r="B39" t="inlineStr">
        <is>
          <t>BR</t>
        </is>
      </c>
      <c r="C39" s="11" t="n">
        <v>46095</v>
      </c>
      <c r="D39" s="11" t="n">
        <v>46123</v>
      </c>
      <c r="E39" t="n">
        <v>4</v>
      </c>
      <c r="F39" t="n">
        <v>36</v>
      </c>
      <c r="G39">
        <f>IF(AND(D39&gt;=DATE(2025,7,1),D39&lt;=DATE(2026,6,30)),1,0)</f>
        <v>1</v>
      </c>
    </row>
    <row r="40">
      <c r="A40" t="inlineStr">
        <is>
          <t>S0010</t>
        </is>
      </c>
      <c r="B40" t="inlineStr">
        <is>
          <t>BR</t>
        </is>
      </c>
      <c r="C40" s="11" t="n">
        <v>46123</v>
      </c>
      <c r="D40" s="11" t="n">
        <v>46126</v>
      </c>
      <c r="E40" t="n">
        <v>1</v>
      </c>
      <c r="F40" t="n">
        <v>9</v>
      </c>
      <c r="G40">
        <f>IF(AND(D40&gt;=DATE(2025,7,1),D40&lt;=DATE(2026,6,30)),1,0)</f>
        <v>1</v>
      </c>
    </row>
    <row r="41">
      <c r="A41" t="inlineStr">
        <is>
          <t>S0010</t>
        </is>
      </c>
      <c r="B41" t="inlineStr">
        <is>
          <t>FP</t>
        </is>
      </c>
      <c r="C41" s="11" t="n">
        <v>46095</v>
      </c>
      <c r="D41" s="11" t="n">
        <v>46123</v>
      </c>
      <c r="E41" t="n">
        <v>4</v>
      </c>
      <c r="F41" t="n">
        <v>64</v>
      </c>
      <c r="G41">
        <f>IF(AND(D41&gt;=DATE(2025,7,1),D41&lt;=DATE(2026,6,30)),1,0)</f>
        <v>1</v>
      </c>
    </row>
    <row r="42">
      <c r="A42" t="inlineStr">
        <is>
          <t>S0010</t>
        </is>
      </c>
      <c r="B42" t="inlineStr">
        <is>
          <t>FP</t>
        </is>
      </c>
      <c r="C42" s="11" t="n">
        <v>46123</v>
      </c>
      <c r="D42" s="11" t="n">
        <v>46126</v>
      </c>
      <c r="E42" t="n">
        <v>1</v>
      </c>
      <c r="F42" t="n">
        <v>16</v>
      </c>
      <c r="G42">
        <f>IF(AND(D42&gt;=DATE(2025,7,1),D42&lt;=DATE(2026,6,30)),1,0)</f>
        <v>1</v>
      </c>
    </row>
    <row r="43">
      <c r="A43" t="inlineStr">
        <is>
          <t>S0011</t>
        </is>
      </c>
      <c r="B43" t="inlineStr">
        <is>
          <t>FP</t>
        </is>
      </c>
      <c r="C43" s="11" t="n">
        <v>45924</v>
      </c>
      <c r="D43" s="11" t="n">
        <v>45952</v>
      </c>
      <c r="E43" t="n">
        <v>4</v>
      </c>
      <c r="F43" t="n">
        <v>384</v>
      </c>
      <c r="G43">
        <f>IF(AND(D43&gt;=DATE(2025,7,1),D43&lt;=DATE(2026,6,30)),1,0)</f>
        <v>1</v>
      </c>
    </row>
    <row r="44">
      <c r="A44" t="inlineStr">
        <is>
          <t>S0011</t>
        </is>
      </c>
      <c r="B44" t="inlineStr">
        <is>
          <t>FP</t>
        </is>
      </c>
      <c r="C44" s="11" t="n">
        <v>45952</v>
      </c>
      <c r="D44" s="11" t="n">
        <v>45980</v>
      </c>
      <c r="E44" t="n">
        <v>4</v>
      </c>
      <c r="F44" t="n">
        <v>384</v>
      </c>
      <c r="G44">
        <f>IF(AND(D44&gt;=DATE(2025,7,1),D44&lt;=DATE(2026,6,30)),1,0)</f>
        <v>1</v>
      </c>
    </row>
    <row r="45">
      <c r="A45" t="inlineStr">
        <is>
          <t>S0011</t>
        </is>
      </c>
      <c r="B45" t="inlineStr">
        <is>
          <t>FP</t>
        </is>
      </c>
      <c r="C45" s="11" t="n">
        <v>45980</v>
      </c>
      <c r="D45" s="11" t="n">
        <v>46008</v>
      </c>
      <c r="E45" t="n">
        <v>4</v>
      </c>
      <c r="F45" t="n">
        <v>384</v>
      </c>
      <c r="G45">
        <f>IF(AND(D45&gt;=DATE(2025,7,1),D45&lt;=DATE(2026,6,30)),1,0)</f>
        <v>1</v>
      </c>
    </row>
    <row r="46">
      <c r="A46" t="inlineStr">
        <is>
          <t>S0011</t>
        </is>
      </c>
      <c r="B46" t="inlineStr">
        <is>
          <t>FP</t>
        </is>
      </c>
      <c r="C46" s="11" t="n">
        <v>46008</v>
      </c>
      <c r="D46" s="11" t="n">
        <v>46036</v>
      </c>
      <c r="E46" t="n">
        <v>4</v>
      </c>
      <c r="F46" t="n">
        <v>384</v>
      </c>
      <c r="G46">
        <f>IF(AND(D46&gt;=DATE(2025,7,1),D46&lt;=DATE(2026,6,30)),1,0)</f>
        <v>1</v>
      </c>
    </row>
    <row r="47">
      <c r="A47" t="inlineStr">
        <is>
          <t>S0011</t>
        </is>
      </c>
      <c r="B47" t="inlineStr">
        <is>
          <t>FP</t>
        </is>
      </c>
      <c r="C47" s="11" t="n">
        <v>46036</v>
      </c>
      <c r="D47" s="11" t="n">
        <v>46064</v>
      </c>
      <c r="E47" t="n">
        <v>4</v>
      </c>
      <c r="F47" t="n">
        <v>384</v>
      </c>
      <c r="G47">
        <f>IF(AND(D47&gt;=DATE(2025,7,1),D47&lt;=DATE(2026,6,30)),1,0)</f>
        <v>1</v>
      </c>
    </row>
    <row r="48">
      <c r="A48" t="inlineStr">
        <is>
          <t>S0011</t>
        </is>
      </c>
      <c r="B48" t="inlineStr">
        <is>
          <t>FP</t>
        </is>
      </c>
      <c r="C48" s="11" t="n">
        <v>46064</v>
      </c>
      <c r="D48" s="11" t="n">
        <v>46092</v>
      </c>
      <c r="E48" t="n">
        <v>4</v>
      </c>
      <c r="F48" t="n">
        <v>384</v>
      </c>
      <c r="G48">
        <f>IF(AND(D48&gt;=DATE(2025,7,1),D48&lt;=DATE(2026,6,30)),1,0)</f>
        <v>1</v>
      </c>
    </row>
    <row r="49">
      <c r="A49" t="inlineStr">
        <is>
          <t>S0011</t>
        </is>
      </c>
      <c r="B49" t="inlineStr">
        <is>
          <t>FP</t>
        </is>
      </c>
      <c r="C49" s="11" t="n">
        <v>46092</v>
      </c>
      <c r="D49" s="11" t="n">
        <v>46106</v>
      </c>
      <c r="E49" t="n">
        <v>2</v>
      </c>
      <c r="F49" t="n">
        <v>192</v>
      </c>
      <c r="G49">
        <f>IF(AND(D49&gt;=DATE(2025,7,1),D49&lt;=DATE(2026,6,30)),1,0)</f>
        <v>1</v>
      </c>
    </row>
    <row r="50">
      <c r="A50" t="inlineStr">
        <is>
          <t>S0012</t>
        </is>
      </c>
      <c r="B50" t="inlineStr">
        <is>
          <t>BR</t>
        </is>
      </c>
      <c r="C50" s="11" t="n">
        <v>46123</v>
      </c>
      <c r="D50" s="11" t="n">
        <v>46151</v>
      </c>
      <c r="E50" t="n">
        <v>4</v>
      </c>
      <c r="F50" t="n">
        <v>16</v>
      </c>
      <c r="G50">
        <f>IF(AND(D50&gt;=DATE(2025,7,1),D50&lt;=DATE(2026,6,30)),1,0)</f>
        <v>1</v>
      </c>
    </row>
    <row r="51">
      <c r="A51" t="inlineStr">
        <is>
          <t>S0012</t>
        </is>
      </c>
      <c r="B51" t="inlineStr">
        <is>
          <t>BR</t>
        </is>
      </c>
      <c r="C51" s="11" t="n">
        <v>46151</v>
      </c>
      <c r="D51" s="11" t="n">
        <v>46179</v>
      </c>
      <c r="E51" t="n">
        <v>4</v>
      </c>
      <c r="F51" t="n">
        <v>16</v>
      </c>
      <c r="G51">
        <f>IF(AND(D51&gt;=DATE(2025,7,1),D51&lt;=DATE(2026,6,30)),1,0)</f>
        <v>1</v>
      </c>
    </row>
    <row r="52">
      <c r="A52" t="inlineStr">
        <is>
          <t>S0012</t>
        </is>
      </c>
      <c r="B52" t="inlineStr">
        <is>
          <t>FP</t>
        </is>
      </c>
      <c r="C52" s="11" t="n">
        <v>46123</v>
      </c>
      <c r="D52" s="11" t="n">
        <v>46151</v>
      </c>
      <c r="E52" t="n">
        <v>4</v>
      </c>
      <c r="F52" t="n">
        <v>344</v>
      </c>
      <c r="G52">
        <f>IF(AND(D52&gt;=DATE(2025,7,1),D52&lt;=DATE(2026,6,30)),1,0)</f>
        <v>1</v>
      </c>
    </row>
    <row r="53">
      <c r="A53" t="inlineStr">
        <is>
          <t>S0012</t>
        </is>
      </c>
      <c r="B53" t="inlineStr">
        <is>
          <t>FP</t>
        </is>
      </c>
      <c r="C53" s="11" t="n">
        <v>46151</v>
      </c>
      <c r="D53" s="11" t="n">
        <v>46179</v>
      </c>
      <c r="E53" t="n">
        <v>4</v>
      </c>
      <c r="F53" t="n">
        <v>344</v>
      </c>
      <c r="G53">
        <f>IF(AND(D53&gt;=DATE(2025,7,1),D53&lt;=DATE(2026,6,30)),1,0)</f>
        <v>1</v>
      </c>
    </row>
    <row r="54">
      <c r="A54" t="inlineStr">
        <is>
          <t>S0013</t>
        </is>
      </c>
      <c r="B54" t="inlineStr">
        <is>
          <t>BR</t>
        </is>
      </c>
      <c r="C54" s="11" t="n">
        <v>46004</v>
      </c>
      <c r="D54" s="11" t="n">
        <v>46019</v>
      </c>
      <c r="E54" t="n">
        <v>3</v>
      </c>
      <c r="F54" t="n">
        <v>69</v>
      </c>
      <c r="G54">
        <f>IF(AND(D54&gt;=DATE(2025,7,1),D54&lt;=DATE(2026,6,30)),1,0)</f>
        <v>1</v>
      </c>
    </row>
    <row r="55">
      <c r="A55" t="inlineStr">
        <is>
          <t>S0013</t>
        </is>
      </c>
      <c r="B55" t="inlineStr">
        <is>
          <t>FP</t>
        </is>
      </c>
      <c r="C55" s="11" t="n">
        <v>46004</v>
      </c>
      <c r="D55" s="11" t="n">
        <v>46019</v>
      </c>
      <c r="E55" t="n">
        <v>3</v>
      </c>
      <c r="F55" t="n">
        <v>330</v>
      </c>
      <c r="G55">
        <f>IF(AND(D55&gt;=DATE(2025,7,1),D55&lt;=DATE(2026,6,30)),1,0)</f>
        <v>1</v>
      </c>
    </row>
    <row r="56">
      <c r="A56" t="inlineStr">
        <is>
          <t>S0014</t>
        </is>
      </c>
      <c r="B56" t="inlineStr">
        <is>
          <t>BR</t>
        </is>
      </c>
      <c r="C56" s="11" t="n">
        <v>46082</v>
      </c>
      <c r="D56" s="11" t="n">
        <v>46110</v>
      </c>
      <c r="E56" t="n">
        <v>4</v>
      </c>
      <c r="F56" t="n">
        <v>56</v>
      </c>
      <c r="G56">
        <f>IF(AND(D56&gt;=DATE(2025,7,1),D56&lt;=DATE(2026,6,30)),1,0)</f>
        <v>1</v>
      </c>
    </row>
    <row r="57">
      <c r="A57" t="inlineStr">
        <is>
          <t>S0014</t>
        </is>
      </c>
      <c r="B57" t="inlineStr">
        <is>
          <t>BR</t>
        </is>
      </c>
      <c r="C57" s="11" t="n">
        <v>46110</v>
      </c>
      <c r="D57" s="11" t="n">
        <v>46138</v>
      </c>
      <c r="E57" t="n">
        <v>4</v>
      </c>
      <c r="F57" t="n">
        <v>56</v>
      </c>
      <c r="G57">
        <f>IF(AND(D57&gt;=DATE(2025,7,1),D57&lt;=DATE(2026,6,30)),1,0)</f>
        <v>1</v>
      </c>
    </row>
    <row r="58">
      <c r="A58" t="inlineStr">
        <is>
          <t>S0014</t>
        </is>
      </c>
      <c r="B58" t="inlineStr">
        <is>
          <t>BR</t>
        </is>
      </c>
      <c r="C58" s="11" t="n">
        <v>46138</v>
      </c>
      <c r="D58" s="11" t="n">
        <v>46166</v>
      </c>
      <c r="E58" t="n">
        <v>4</v>
      </c>
      <c r="F58" t="n">
        <v>56</v>
      </c>
      <c r="G58">
        <f>IF(AND(D58&gt;=DATE(2025,7,1),D58&lt;=DATE(2026,6,30)),1,0)</f>
        <v>1</v>
      </c>
    </row>
    <row r="59">
      <c r="A59" t="inlineStr">
        <is>
          <t>S0014</t>
        </is>
      </c>
      <c r="B59" t="inlineStr">
        <is>
          <t>BR</t>
        </is>
      </c>
      <c r="C59" s="11" t="n">
        <v>46166</v>
      </c>
      <c r="D59" s="11" t="n">
        <v>46194</v>
      </c>
      <c r="E59" t="n">
        <v>4</v>
      </c>
      <c r="F59" t="n">
        <v>56</v>
      </c>
      <c r="G59">
        <f>IF(AND(D59&gt;=DATE(2025,7,1),D59&lt;=DATE(2026,6,30)),1,0)</f>
        <v>1</v>
      </c>
    </row>
    <row r="60">
      <c r="A60" t="inlineStr">
        <is>
          <t>S0014</t>
        </is>
      </c>
      <c r="B60" t="inlineStr">
        <is>
          <t>FP</t>
        </is>
      </c>
      <c r="C60" s="11" t="n">
        <v>46082</v>
      </c>
      <c r="D60" s="11" t="n">
        <v>46110</v>
      </c>
      <c r="E60" t="n">
        <v>4</v>
      </c>
      <c r="F60" t="n">
        <v>120</v>
      </c>
      <c r="G60">
        <f>IF(AND(D60&gt;=DATE(2025,7,1),D60&lt;=DATE(2026,6,30)),1,0)</f>
        <v>1</v>
      </c>
    </row>
    <row r="61">
      <c r="A61" t="inlineStr">
        <is>
          <t>S0014</t>
        </is>
      </c>
      <c r="B61" t="inlineStr">
        <is>
          <t>FP</t>
        </is>
      </c>
      <c r="C61" s="11" t="n">
        <v>46110</v>
      </c>
      <c r="D61" s="11" t="n">
        <v>46138</v>
      </c>
      <c r="E61" t="n">
        <v>4</v>
      </c>
      <c r="F61" t="n">
        <v>120</v>
      </c>
      <c r="G61">
        <f>IF(AND(D61&gt;=DATE(2025,7,1),D61&lt;=DATE(2026,6,30)),1,0)</f>
        <v>1</v>
      </c>
    </row>
    <row r="62">
      <c r="A62" t="inlineStr">
        <is>
          <t>S0014</t>
        </is>
      </c>
      <c r="B62" t="inlineStr">
        <is>
          <t>FP</t>
        </is>
      </c>
      <c r="C62" s="11" t="n">
        <v>46138</v>
      </c>
      <c r="D62" s="11" t="n">
        <v>46166</v>
      </c>
      <c r="E62" t="n">
        <v>4</v>
      </c>
      <c r="F62" t="n">
        <v>120</v>
      </c>
      <c r="G62">
        <f>IF(AND(D62&gt;=DATE(2025,7,1),D62&lt;=DATE(2026,6,30)),1,0)</f>
        <v>1</v>
      </c>
    </row>
    <row r="63">
      <c r="A63" t="inlineStr">
        <is>
          <t>S0014</t>
        </is>
      </c>
      <c r="B63" t="inlineStr">
        <is>
          <t>FP</t>
        </is>
      </c>
      <c r="C63" s="11" t="n">
        <v>46166</v>
      </c>
      <c r="D63" s="11" t="n">
        <v>46194</v>
      </c>
      <c r="E63" t="n">
        <v>4</v>
      </c>
      <c r="F63" t="n">
        <v>120</v>
      </c>
      <c r="G63">
        <f>IF(AND(D63&gt;=DATE(2025,7,1),D63&lt;=DATE(2026,6,30)),1,0)</f>
        <v>1</v>
      </c>
    </row>
    <row r="64">
      <c r="A64" t="inlineStr">
        <is>
          <t>S0016</t>
        </is>
      </c>
      <c r="B64" t="inlineStr">
        <is>
          <t>BR</t>
        </is>
      </c>
      <c r="C64" s="11" t="n">
        <v>46082</v>
      </c>
      <c r="D64" s="11" t="n">
        <v>46110</v>
      </c>
      <c r="E64" t="n">
        <v>4</v>
      </c>
      <c r="F64" t="n">
        <v>52</v>
      </c>
      <c r="G64">
        <f>IF(AND(D64&gt;=DATE(2025,7,1),D64&lt;=DATE(2026,6,30)),1,0)</f>
        <v>1</v>
      </c>
    </row>
    <row r="65">
      <c r="A65" t="inlineStr">
        <is>
          <t>S0016</t>
        </is>
      </c>
      <c r="B65" t="inlineStr">
        <is>
          <t>BR</t>
        </is>
      </c>
      <c r="C65" s="11" t="n">
        <v>46110</v>
      </c>
      <c r="D65" s="11" t="n">
        <v>46138</v>
      </c>
      <c r="E65" t="n">
        <v>4</v>
      </c>
      <c r="F65" t="n">
        <v>52</v>
      </c>
      <c r="G65">
        <f>IF(AND(D65&gt;=DATE(2025,7,1),D65&lt;=DATE(2026,6,30)),1,0)</f>
        <v>1</v>
      </c>
    </row>
    <row r="66">
      <c r="A66" t="inlineStr">
        <is>
          <t>S0016</t>
        </is>
      </c>
      <c r="B66" t="inlineStr">
        <is>
          <t>BR</t>
        </is>
      </c>
      <c r="C66" s="11" t="n">
        <v>46138</v>
      </c>
      <c r="D66" s="11" t="n">
        <v>46166</v>
      </c>
      <c r="E66" t="n">
        <v>4</v>
      </c>
      <c r="F66" t="n">
        <v>52</v>
      </c>
      <c r="G66">
        <f>IF(AND(D66&gt;=DATE(2025,7,1),D66&lt;=DATE(2026,6,30)),1,0)</f>
        <v>1</v>
      </c>
    </row>
    <row r="67">
      <c r="A67" t="inlineStr">
        <is>
          <t>S0016</t>
        </is>
      </c>
      <c r="B67" t="inlineStr">
        <is>
          <t>BR</t>
        </is>
      </c>
      <c r="C67" s="11" t="n">
        <v>46166</v>
      </c>
      <c r="D67" s="11" t="n">
        <v>46194</v>
      </c>
      <c r="E67" t="n">
        <v>4</v>
      </c>
      <c r="F67" t="n">
        <v>52</v>
      </c>
      <c r="G67">
        <f>IF(AND(D67&gt;=DATE(2025,7,1),D67&lt;=DATE(2026,6,30)),1,0)</f>
        <v>1</v>
      </c>
    </row>
    <row r="68">
      <c r="A68" t="inlineStr">
        <is>
          <t>S0016</t>
        </is>
      </c>
      <c r="B68" t="inlineStr">
        <is>
          <t>FP</t>
        </is>
      </c>
      <c r="C68" s="11" t="n">
        <v>46082</v>
      </c>
      <c r="D68" s="11" t="n">
        <v>46110</v>
      </c>
      <c r="E68" t="n">
        <v>4</v>
      </c>
      <c r="F68" t="n">
        <v>196</v>
      </c>
      <c r="G68">
        <f>IF(AND(D68&gt;=DATE(2025,7,1),D68&lt;=DATE(2026,6,30)),1,0)</f>
        <v>1</v>
      </c>
    </row>
    <row r="69">
      <c r="A69" t="inlineStr">
        <is>
          <t>S0016</t>
        </is>
      </c>
      <c r="B69" t="inlineStr">
        <is>
          <t>FP</t>
        </is>
      </c>
      <c r="C69" s="11" t="n">
        <v>46110</v>
      </c>
      <c r="D69" s="11" t="n">
        <v>46138</v>
      </c>
      <c r="E69" t="n">
        <v>4</v>
      </c>
      <c r="F69" t="n">
        <v>196</v>
      </c>
      <c r="G69">
        <f>IF(AND(D69&gt;=DATE(2025,7,1),D69&lt;=DATE(2026,6,30)),1,0)</f>
        <v>1</v>
      </c>
    </row>
    <row r="70">
      <c r="A70" t="inlineStr">
        <is>
          <t>S0016</t>
        </is>
      </c>
      <c r="B70" t="inlineStr">
        <is>
          <t>FP</t>
        </is>
      </c>
      <c r="C70" s="11" t="n">
        <v>46138</v>
      </c>
      <c r="D70" s="11" t="n">
        <v>46166</v>
      </c>
      <c r="E70" t="n">
        <v>4</v>
      </c>
      <c r="F70" t="n">
        <v>196</v>
      </c>
      <c r="G70">
        <f>IF(AND(D70&gt;=DATE(2025,7,1),D70&lt;=DATE(2026,6,30)),1,0)</f>
        <v>1</v>
      </c>
    </row>
    <row r="71">
      <c r="A71" t="inlineStr">
        <is>
          <t>S0016</t>
        </is>
      </c>
      <c r="B71" t="inlineStr">
        <is>
          <t>FP</t>
        </is>
      </c>
      <c r="C71" s="11" t="n">
        <v>46166</v>
      </c>
      <c r="D71" s="11" t="n">
        <v>46194</v>
      </c>
      <c r="E71" t="n">
        <v>4</v>
      </c>
      <c r="F71" t="n">
        <v>196</v>
      </c>
      <c r="G71">
        <f>IF(AND(D71&gt;=DATE(2025,7,1),D71&lt;=DATE(2026,6,30)),1,0)</f>
        <v>1</v>
      </c>
    </row>
    <row r="72">
      <c r="A72" t="inlineStr">
        <is>
          <t>S0018</t>
        </is>
      </c>
      <c r="B72" t="inlineStr">
        <is>
          <t>FP</t>
        </is>
      </c>
      <c r="C72" s="11" t="n">
        <v>45822</v>
      </c>
      <c r="D72" s="11" t="n">
        <v>45850</v>
      </c>
      <c r="E72" t="n">
        <v>4</v>
      </c>
      <c r="F72" t="n">
        <v>320</v>
      </c>
      <c r="G72">
        <f>IF(AND(D72&gt;=DATE(2025,7,1),D72&lt;=DATE(2026,6,30)),1,0)</f>
        <v>1</v>
      </c>
    </row>
    <row r="73">
      <c r="A73" t="inlineStr">
        <is>
          <t>S0018</t>
        </is>
      </c>
      <c r="B73" t="inlineStr">
        <is>
          <t>FP</t>
        </is>
      </c>
      <c r="C73" s="11" t="n">
        <v>45850</v>
      </c>
      <c r="D73" s="11" t="n">
        <v>45878</v>
      </c>
      <c r="E73" t="n">
        <v>4</v>
      </c>
      <c r="F73" t="n">
        <v>320</v>
      </c>
      <c r="G73">
        <f>IF(AND(D73&gt;=DATE(2025,7,1),D73&lt;=DATE(2026,6,30)),1,0)</f>
        <v>1</v>
      </c>
    </row>
    <row r="74">
      <c r="A74" t="inlineStr">
        <is>
          <t>S0018</t>
        </is>
      </c>
      <c r="B74" t="inlineStr">
        <is>
          <t>FP</t>
        </is>
      </c>
      <c r="C74" s="11" t="n">
        <v>45878</v>
      </c>
      <c r="D74" s="11" t="n">
        <v>45906</v>
      </c>
      <c r="E74" t="n">
        <v>4</v>
      </c>
      <c r="F74" t="n">
        <v>320</v>
      </c>
      <c r="G74">
        <f>IF(AND(D74&gt;=DATE(2025,7,1),D74&lt;=DATE(2026,6,30)),1,0)</f>
        <v>1</v>
      </c>
    </row>
    <row r="75">
      <c r="A75" t="inlineStr">
        <is>
          <t>S0018</t>
        </is>
      </c>
      <c r="B75" t="inlineStr">
        <is>
          <t>FP</t>
        </is>
      </c>
      <c r="C75" s="11" t="n">
        <v>45906</v>
      </c>
      <c r="D75" s="11" t="n">
        <v>45934</v>
      </c>
      <c r="E75" t="n">
        <v>4</v>
      </c>
      <c r="F75" t="n">
        <v>248</v>
      </c>
      <c r="G75">
        <f>IF(AND(D75&gt;=DATE(2025,7,1),D75&lt;=DATE(2026,6,30)),1,0)</f>
        <v>1</v>
      </c>
    </row>
    <row r="76">
      <c r="A76" t="inlineStr">
        <is>
          <t>S0018</t>
        </is>
      </c>
      <c r="B76" t="inlineStr">
        <is>
          <t>FP</t>
        </is>
      </c>
      <c r="C76" s="11" t="n">
        <v>45934</v>
      </c>
      <c r="D76" s="11" t="n">
        <v>45962</v>
      </c>
      <c r="E76" t="n">
        <v>4</v>
      </c>
      <c r="F76" t="n">
        <v>176</v>
      </c>
      <c r="G76">
        <f>IF(AND(D76&gt;=DATE(2025,7,1),D76&lt;=DATE(2026,6,30)),1,0)</f>
        <v>1</v>
      </c>
    </row>
    <row r="77">
      <c r="A77" t="inlineStr">
        <is>
          <t>S0018</t>
        </is>
      </c>
      <c r="B77" t="inlineStr">
        <is>
          <t>FP</t>
        </is>
      </c>
      <c r="C77" s="11" t="n">
        <v>45962</v>
      </c>
      <c r="D77" s="11" t="n">
        <v>45990</v>
      </c>
      <c r="E77" t="n">
        <v>4</v>
      </c>
      <c r="F77" t="n">
        <v>176</v>
      </c>
      <c r="G77">
        <f>IF(AND(D77&gt;=DATE(2025,7,1),D77&lt;=DATE(2026,6,30)),1,0)</f>
        <v>1</v>
      </c>
    </row>
    <row r="78">
      <c r="A78" t="inlineStr">
        <is>
          <t>S0018</t>
        </is>
      </c>
      <c r="B78" t="inlineStr">
        <is>
          <t>FP</t>
        </is>
      </c>
      <c r="C78" s="11" t="n">
        <v>45990</v>
      </c>
      <c r="D78" s="11" t="n">
        <v>46018</v>
      </c>
      <c r="E78" t="n">
        <v>4</v>
      </c>
      <c r="F78" t="n">
        <v>176</v>
      </c>
      <c r="G78">
        <f>IF(AND(D78&gt;=DATE(2025,7,1),D78&lt;=DATE(2026,6,30)),1,0)</f>
        <v>1</v>
      </c>
    </row>
    <row r="79">
      <c r="A79" t="inlineStr">
        <is>
          <t>S0018</t>
        </is>
      </c>
      <c r="B79" t="inlineStr">
        <is>
          <t>FP</t>
        </is>
      </c>
      <c r="C79" s="11" t="n">
        <v>46018</v>
      </c>
      <c r="D79" s="11" t="n">
        <v>46046</v>
      </c>
      <c r="E79" t="n">
        <v>4</v>
      </c>
      <c r="F79" t="n">
        <v>176</v>
      </c>
      <c r="G79">
        <f>IF(AND(D79&gt;=DATE(2025,7,1),D79&lt;=DATE(2026,6,30)),1,0)</f>
        <v>1</v>
      </c>
    </row>
    <row r="80">
      <c r="A80" t="inlineStr">
        <is>
          <t>S0018</t>
        </is>
      </c>
      <c r="B80" t="inlineStr">
        <is>
          <t>FP</t>
        </is>
      </c>
      <c r="C80" s="11" t="n">
        <v>46046</v>
      </c>
      <c r="D80" s="11" t="n">
        <v>46062</v>
      </c>
      <c r="E80" t="n">
        <v>3</v>
      </c>
      <c r="F80" t="n">
        <v>132</v>
      </c>
      <c r="G80">
        <f>IF(AND(D80&gt;=DATE(2025,7,1),D80&lt;=DATE(2026,6,30)),1,0)</f>
        <v>1</v>
      </c>
    </row>
    <row r="81">
      <c r="A81" t="inlineStr">
        <is>
          <t>S0019</t>
        </is>
      </c>
      <c r="B81" t="inlineStr">
        <is>
          <t>FP</t>
        </is>
      </c>
      <c r="C81" s="11" t="n">
        <v>46027</v>
      </c>
      <c r="D81" s="11" t="n">
        <v>46055</v>
      </c>
      <c r="E81" t="n">
        <v>4</v>
      </c>
      <c r="F81" t="n">
        <v>616</v>
      </c>
      <c r="G81">
        <f>IF(AND(D81&gt;=DATE(2025,7,1),D81&lt;=DATE(2026,6,30)),1,0)</f>
        <v>1</v>
      </c>
    </row>
    <row r="82">
      <c r="A82" t="inlineStr">
        <is>
          <t>S0019</t>
        </is>
      </c>
      <c r="B82" t="inlineStr">
        <is>
          <t>FP</t>
        </is>
      </c>
      <c r="C82" s="11" t="n">
        <v>46055</v>
      </c>
      <c r="D82" s="11" t="n">
        <v>46083</v>
      </c>
      <c r="E82" t="n">
        <v>4</v>
      </c>
      <c r="F82" t="n">
        <v>397</v>
      </c>
      <c r="G82">
        <f>IF(AND(D82&gt;=DATE(2025,7,1),D82&lt;=DATE(2026,6,30)),1,0)</f>
        <v>1</v>
      </c>
    </row>
    <row r="83">
      <c r="A83" t="inlineStr">
        <is>
          <t>S0019</t>
        </is>
      </c>
      <c r="B83" t="inlineStr">
        <is>
          <t>FP</t>
        </is>
      </c>
      <c r="C83" s="11" t="n">
        <v>46083</v>
      </c>
      <c r="D83" s="11" t="n">
        <v>46111</v>
      </c>
      <c r="E83" t="n">
        <v>4</v>
      </c>
      <c r="F83" t="n">
        <v>324</v>
      </c>
      <c r="G83">
        <f>IF(AND(D83&gt;=DATE(2025,7,1),D83&lt;=DATE(2026,6,30)),1,0)</f>
        <v>1</v>
      </c>
    </row>
    <row r="84">
      <c r="A84" t="inlineStr">
        <is>
          <t>S0019</t>
        </is>
      </c>
      <c r="B84" t="inlineStr">
        <is>
          <t>FP</t>
        </is>
      </c>
      <c r="C84" s="11" t="n">
        <v>46111</v>
      </c>
      <c r="D84" s="11" t="n">
        <v>46137</v>
      </c>
      <c r="E84" t="n">
        <v>4</v>
      </c>
      <c r="F84" t="n">
        <v>324</v>
      </c>
      <c r="G84">
        <f>IF(AND(D84&gt;=DATE(2025,7,1),D84&lt;=DATE(2026,6,30)),1,0)</f>
        <v>1</v>
      </c>
    </row>
    <row r="85">
      <c r="A85" t="inlineStr">
        <is>
          <t>S0020</t>
        </is>
      </c>
      <c r="B85" t="inlineStr">
        <is>
          <t>BR</t>
        </is>
      </c>
      <c r="C85" s="11" t="n">
        <v>46148</v>
      </c>
      <c r="D85" s="11" t="n">
        <v>46176</v>
      </c>
      <c r="E85" t="n">
        <v>4</v>
      </c>
      <c r="F85" t="n">
        <v>44</v>
      </c>
      <c r="G85">
        <f>IF(AND(D85&gt;=DATE(2025,7,1),D85&lt;=DATE(2026,6,30)),1,0)</f>
        <v>1</v>
      </c>
    </row>
    <row r="86">
      <c r="A86" t="inlineStr">
        <is>
          <t>S0020</t>
        </is>
      </c>
      <c r="B86" t="inlineStr">
        <is>
          <t>FP</t>
        </is>
      </c>
      <c r="C86" s="11" t="n">
        <v>46148</v>
      </c>
      <c r="D86" s="11" t="n">
        <v>46176</v>
      </c>
      <c r="E86" t="n">
        <v>4</v>
      </c>
      <c r="F86" t="n">
        <v>87</v>
      </c>
      <c r="G86">
        <f>IF(AND(D86&gt;=DATE(2025,7,1),D86&lt;=DATE(2026,6,30)),1,0)</f>
        <v>1</v>
      </c>
    </row>
    <row r="87">
      <c r="A87" t="inlineStr">
        <is>
          <t>S0021</t>
        </is>
      </c>
      <c r="B87" t="inlineStr">
        <is>
          <t>BR</t>
        </is>
      </c>
      <c r="C87" s="11" t="n">
        <v>46039</v>
      </c>
      <c r="D87" s="11" t="n">
        <v>46067</v>
      </c>
      <c r="E87" t="n">
        <v>4</v>
      </c>
      <c r="F87" t="n">
        <v>80</v>
      </c>
      <c r="G87">
        <f>IF(AND(D87&gt;=DATE(2025,7,1),D87&lt;=DATE(2026,6,30)),1,0)</f>
        <v>1</v>
      </c>
    </row>
    <row r="88">
      <c r="A88" t="inlineStr">
        <is>
          <t>S0021</t>
        </is>
      </c>
      <c r="B88" t="inlineStr">
        <is>
          <t>BR</t>
        </is>
      </c>
      <c r="C88" s="11" t="n">
        <v>46067</v>
      </c>
      <c r="D88" s="11" t="n">
        <v>46095</v>
      </c>
      <c r="E88" t="n">
        <v>4</v>
      </c>
      <c r="F88" t="n">
        <v>80</v>
      </c>
      <c r="G88">
        <f>IF(AND(D88&gt;=DATE(2025,7,1),D88&lt;=DATE(2026,6,30)),1,0)</f>
        <v>1</v>
      </c>
    </row>
    <row r="89">
      <c r="A89" t="inlineStr">
        <is>
          <t>S0021</t>
        </is>
      </c>
      <c r="B89" t="inlineStr">
        <is>
          <t>BR</t>
        </is>
      </c>
      <c r="C89" s="11" t="n">
        <v>46095</v>
      </c>
      <c r="D89" s="11" t="n">
        <v>46097</v>
      </c>
      <c r="E89" t="n">
        <v>1</v>
      </c>
      <c r="F89" t="n">
        <v>20</v>
      </c>
      <c r="G89">
        <f>IF(AND(D89&gt;=DATE(2025,7,1),D89&lt;=DATE(2026,6,30)),1,0)</f>
        <v>1</v>
      </c>
    </row>
    <row r="90">
      <c r="A90" t="inlineStr">
        <is>
          <t>S0021</t>
        </is>
      </c>
      <c r="B90" t="inlineStr">
        <is>
          <t>FP</t>
        </is>
      </c>
      <c r="C90" s="11" t="n">
        <v>46039</v>
      </c>
      <c r="D90" s="11" t="n">
        <v>46067</v>
      </c>
      <c r="E90" t="n">
        <v>4</v>
      </c>
      <c r="F90" t="n">
        <v>404</v>
      </c>
      <c r="G90">
        <f>IF(AND(D90&gt;=DATE(2025,7,1),D90&lt;=DATE(2026,6,30)),1,0)</f>
        <v>1</v>
      </c>
    </row>
    <row r="91">
      <c r="A91" t="inlineStr">
        <is>
          <t>S0021</t>
        </is>
      </c>
      <c r="B91" t="inlineStr">
        <is>
          <t>FP</t>
        </is>
      </c>
      <c r="C91" s="11" t="n">
        <v>46067</v>
      </c>
      <c r="D91" s="11" t="n">
        <v>46095</v>
      </c>
      <c r="E91" t="n">
        <v>4</v>
      </c>
      <c r="F91" t="n">
        <v>404</v>
      </c>
      <c r="G91">
        <f>IF(AND(D91&gt;=DATE(2025,7,1),D91&lt;=DATE(2026,6,30)),1,0)</f>
        <v>1</v>
      </c>
    </row>
    <row r="92">
      <c r="A92" t="inlineStr">
        <is>
          <t>S0021</t>
        </is>
      </c>
      <c r="B92" t="inlineStr">
        <is>
          <t>FP</t>
        </is>
      </c>
      <c r="C92" s="11" t="n">
        <v>46095</v>
      </c>
      <c r="D92" s="11" t="n">
        <v>46097</v>
      </c>
      <c r="E92" t="n">
        <v>1</v>
      </c>
      <c r="F92" t="n">
        <v>101</v>
      </c>
      <c r="G92">
        <f>IF(AND(D92&gt;=DATE(2025,7,1),D92&lt;=DATE(2026,6,30)),1,0)</f>
        <v>1</v>
      </c>
    </row>
    <row r="93">
      <c r="A93" t="inlineStr">
        <is>
          <t>S0022</t>
        </is>
      </c>
      <c r="B93" t="inlineStr">
        <is>
          <t>BR</t>
        </is>
      </c>
      <c r="C93" s="11" t="n">
        <v>45897</v>
      </c>
      <c r="D93" s="11" t="n">
        <v>45925</v>
      </c>
      <c r="E93" t="n">
        <v>4</v>
      </c>
      <c r="F93" t="n">
        <v>60</v>
      </c>
      <c r="G93">
        <f>IF(AND(D93&gt;=DATE(2025,7,1),D93&lt;=DATE(2026,6,30)),1,0)</f>
        <v>1</v>
      </c>
    </row>
    <row r="94">
      <c r="A94" t="inlineStr">
        <is>
          <t>S0022</t>
        </is>
      </c>
      <c r="B94" t="inlineStr">
        <is>
          <t>BR</t>
        </is>
      </c>
      <c r="C94" s="11" t="n">
        <v>45925</v>
      </c>
      <c r="D94" s="11" t="n">
        <v>45939</v>
      </c>
      <c r="E94" t="n">
        <v>2</v>
      </c>
      <c r="F94" t="n">
        <v>30</v>
      </c>
      <c r="G94">
        <f>IF(AND(D94&gt;=DATE(2025,7,1),D94&lt;=DATE(2026,6,30)),1,0)</f>
        <v>1</v>
      </c>
    </row>
    <row r="95">
      <c r="A95" t="inlineStr">
        <is>
          <t>S0022</t>
        </is>
      </c>
      <c r="B95" t="inlineStr">
        <is>
          <t>FP</t>
        </is>
      </c>
      <c r="C95" s="11" t="n">
        <v>45897</v>
      </c>
      <c r="D95" s="11" t="n">
        <v>45925</v>
      </c>
      <c r="E95" t="n">
        <v>4</v>
      </c>
      <c r="F95" t="n">
        <v>540</v>
      </c>
      <c r="G95">
        <f>IF(AND(D95&gt;=DATE(2025,7,1),D95&lt;=DATE(2026,6,30)),1,0)</f>
        <v>1</v>
      </c>
    </row>
    <row r="96">
      <c r="A96" t="inlineStr">
        <is>
          <t>S0022</t>
        </is>
      </c>
      <c r="B96" t="inlineStr">
        <is>
          <t>FP</t>
        </is>
      </c>
      <c r="C96" s="11" t="n">
        <v>45925</v>
      </c>
      <c r="D96" s="11" t="n">
        <v>45939</v>
      </c>
      <c r="E96" t="n">
        <v>2</v>
      </c>
      <c r="F96" t="n">
        <v>270</v>
      </c>
      <c r="G96">
        <f>IF(AND(D96&gt;=DATE(2025,7,1),D96&lt;=DATE(2026,6,30)),1,0)</f>
        <v>1</v>
      </c>
    </row>
    <row r="97">
      <c r="A97" t="inlineStr">
        <is>
          <t>S0024</t>
        </is>
      </c>
      <c r="B97" t="inlineStr">
        <is>
          <t>BR</t>
        </is>
      </c>
      <c r="C97" s="11" t="n">
        <v>45905</v>
      </c>
      <c r="D97" s="11" t="n">
        <v>45928</v>
      </c>
      <c r="E97" t="n">
        <v>4</v>
      </c>
      <c r="F97" t="n">
        <v>68</v>
      </c>
      <c r="G97">
        <f>IF(AND(D97&gt;=DATE(2025,7,1),D97&lt;=DATE(2026,6,30)),1,0)</f>
        <v>1</v>
      </c>
    </row>
    <row r="98">
      <c r="A98" t="inlineStr">
        <is>
          <t>S0024</t>
        </is>
      </c>
      <c r="B98" t="inlineStr">
        <is>
          <t>FP</t>
        </is>
      </c>
      <c r="C98" s="11" t="n">
        <v>45905</v>
      </c>
      <c r="D98" s="11" t="n">
        <v>45928</v>
      </c>
      <c r="E98" t="n">
        <v>4</v>
      </c>
      <c r="F98" t="n">
        <v>100</v>
      </c>
      <c r="G98">
        <f>IF(AND(D98&gt;=DATE(2025,7,1),D98&lt;=DATE(2026,6,30)),1,0)</f>
        <v>1</v>
      </c>
    </row>
    <row r="99">
      <c r="A99" t="inlineStr">
        <is>
          <t>S0025</t>
        </is>
      </c>
      <c r="B99" t="inlineStr">
        <is>
          <t>FP</t>
        </is>
      </c>
      <c r="C99" s="11" t="n">
        <v>45837</v>
      </c>
      <c r="D99" s="11" t="n">
        <v>45865</v>
      </c>
      <c r="E99" t="n">
        <v>4</v>
      </c>
      <c r="F99" t="n">
        <v>304</v>
      </c>
      <c r="G99">
        <f>IF(AND(D99&gt;=DATE(2025,7,1),D99&lt;=DATE(2026,6,30)),1,0)</f>
        <v>1</v>
      </c>
    </row>
    <row r="100">
      <c r="A100" t="inlineStr">
        <is>
          <t>S0025</t>
        </is>
      </c>
      <c r="B100" t="inlineStr">
        <is>
          <t>FP</t>
        </is>
      </c>
      <c r="C100" s="11" t="n">
        <v>45865</v>
      </c>
      <c r="D100" s="11" t="n">
        <v>45893</v>
      </c>
      <c r="E100" t="n">
        <v>4</v>
      </c>
      <c r="F100" t="n">
        <v>304</v>
      </c>
      <c r="G100">
        <f>IF(AND(D100&gt;=DATE(2025,7,1),D100&lt;=DATE(2026,6,30)),1,0)</f>
        <v>1</v>
      </c>
    </row>
    <row r="101">
      <c r="A101" t="inlineStr">
        <is>
          <t>S0025</t>
        </is>
      </c>
      <c r="B101" t="inlineStr">
        <is>
          <t>FP</t>
        </is>
      </c>
      <c r="C101" s="11" t="n">
        <v>45893</v>
      </c>
      <c r="D101" s="11" t="n">
        <v>45921</v>
      </c>
      <c r="E101" t="n">
        <v>4</v>
      </c>
      <c r="F101" t="n">
        <v>304</v>
      </c>
      <c r="G101">
        <f>IF(AND(D101&gt;=DATE(2025,7,1),D101&lt;=DATE(2026,6,30)),1,0)</f>
        <v>1</v>
      </c>
    </row>
    <row r="102">
      <c r="A102" t="inlineStr">
        <is>
          <t>S0025</t>
        </is>
      </c>
      <c r="B102" t="inlineStr">
        <is>
          <t>FP</t>
        </is>
      </c>
      <c r="C102" s="11" t="n">
        <v>45921</v>
      </c>
      <c r="D102" s="11" t="n">
        <v>45949</v>
      </c>
      <c r="E102" t="n">
        <v>4</v>
      </c>
      <c r="F102" t="n">
        <v>304</v>
      </c>
      <c r="G102">
        <f>IF(AND(D102&gt;=DATE(2025,7,1),D102&lt;=DATE(2026,6,30)),1,0)</f>
        <v>1</v>
      </c>
    </row>
    <row r="103">
      <c r="A103" t="inlineStr">
        <is>
          <t>S0025</t>
        </is>
      </c>
      <c r="B103" t="inlineStr">
        <is>
          <t>FP</t>
        </is>
      </c>
      <c r="C103" s="11" t="n">
        <v>45949</v>
      </c>
      <c r="D103" s="11" t="n">
        <v>45977</v>
      </c>
      <c r="E103" t="n">
        <v>4</v>
      </c>
      <c r="F103" t="n">
        <v>304</v>
      </c>
      <c r="G103">
        <f>IF(AND(D103&gt;=DATE(2025,7,1),D103&lt;=DATE(2026,6,30)),1,0)</f>
        <v>1</v>
      </c>
    </row>
    <row r="104">
      <c r="A104" t="inlineStr">
        <is>
          <t>S0025</t>
        </is>
      </c>
      <c r="B104" t="inlineStr">
        <is>
          <t>FP</t>
        </is>
      </c>
      <c r="C104" s="11" t="n">
        <v>45977</v>
      </c>
      <c r="D104" s="11" t="n">
        <v>46005</v>
      </c>
      <c r="E104" t="n">
        <v>4</v>
      </c>
      <c r="F104" t="n">
        <v>304</v>
      </c>
      <c r="G104">
        <f>IF(AND(D104&gt;=DATE(2025,7,1),D104&lt;=DATE(2026,6,30)),1,0)</f>
        <v>1</v>
      </c>
    </row>
    <row r="105">
      <c r="A105" t="inlineStr">
        <is>
          <t>S0025</t>
        </is>
      </c>
      <c r="B105" t="inlineStr">
        <is>
          <t>FP</t>
        </is>
      </c>
      <c r="C105" s="11" t="n">
        <v>46005</v>
      </c>
      <c r="D105" s="11" t="n">
        <v>46017</v>
      </c>
      <c r="E105" t="n">
        <v>2</v>
      </c>
      <c r="F105" t="n">
        <v>152</v>
      </c>
      <c r="G105">
        <f>IF(AND(D105&gt;=DATE(2025,7,1),D105&lt;=DATE(2026,6,30)),1,0)</f>
        <v>1</v>
      </c>
    </row>
    <row r="106">
      <c r="A106" t="inlineStr">
        <is>
          <t>S0026</t>
        </is>
      </c>
      <c r="B106" t="inlineStr">
        <is>
          <t>FP</t>
        </is>
      </c>
      <c r="C106" s="11" t="n">
        <v>45987</v>
      </c>
      <c r="D106" s="11" t="n">
        <v>46009</v>
      </c>
      <c r="E106" t="n">
        <v>4</v>
      </c>
      <c r="F106" t="n">
        <v>348</v>
      </c>
      <c r="G106">
        <f>IF(AND(D106&gt;=DATE(2025,7,1),D106&lt;=DATE(2026,6,30)),1,0)</f>
        <v>1</v>
      </c>
    </row>
    <row r="107">
      <c r="A107" t="inlineStr">
        <is>
          <t>S0027</t>
        </is>
      </c>
      <c r="B107" t="inlineStr">
        <is>
          <t>FP</t>
        </is>
      </c>
      <c r="C107" s="11" t="n">
        <v>46130</v>
      </c>
      <c r="D107" s="11" t="n">
        <v>46158</v>
      </c>
      <c r="E107" t="n">
        <v>4</v>
      </c>
      <c r="F107" t="n">
        <v>316</v>
      </c>
      <c r="G107">
        <f>IF(AND(D107&gt;=DATE(2025,7,1),D107&lt;=DATE(2026,6,30)),1,0)</f>
        <v>1</v>
      </c>
    </row>
    <row r="108">
      <c r="A108" t="inlineStr">
        <is>
          <t>S0027</t>
        </is>
      </c>
      <c r="B108" t="inlineStr">
        <is>
          <t>FP</t>
        </is>
      </c>
      <c r="C108" s="11" t="n">
        <v>46158</v>
      </c>
      <c r="D108" s="11" t="n">
        <v>46186</v>
      </c>
      <c r="E108" t="n">
        <v>4</v>
      </c>
      <c r="F108" t="n">
        <v>316</v>
      </c>
      <c r="G108">
        <f>IF(AND(D108&gt;=DATE(2025,7,1),D108&lt;=DATE(2026,6,30)),1,0)</f>
        <v>1</v>
      </c>
    </row>
    <row r="109">
      <c r="A109" t="inlineStr">
        <is>
          <t>S0028</t>
        </is>
      </c>
      <c r="B109" t="inlineStr">
        <is>
          <t>BR</t>
        </is>
      </c>
      <c r="C109" s="11" t="n">
        <v>46144</v>
      </c>
      <c r="D109" s="11" t="n">
        <v>46172</v>
      </c>
      <c r="E109" t="n">
        <v>4</v>
      </c>
      <c r="F109" t="n">
        <v>48</v>
      </c>
      <c r="G109">
        <f>IF(AND(D109&gt;=DATE(2025,7,1),D109&lt;=DATE(2026,6,30)),1,0)</f>
        <v>1</v>
      </c>
    </row>
    <row r="110">
      <c r="A110" t="inlineStr">
        <is>
          <t>S0028</t>
        </is>
      </c>
      <c r="B110" t="inlineStr">
        <is>
          <t>BR</t>
        </is>
      </c>
      <c r="C110" s="11" t="n">
        <v>46172</v>
      </c>
      <c r="D110" s="11" t="n">
        <v>46189</v>
      </c>
      <c r="E110" t="n">
        <v>3</v>
      </c>
      <c r="F110" t="n">
        <v>36</v>
      </c>
      <c r="G110">
        <f>IF(AND(D110&gt;=DATE(2025,7,1),D110&lt;=DATE(2026,6,30)),1,0)</f>
        <v>1</v>
      </c>
    </row>
    <row r="111">
      <c r="A111" t="inlineStr">
        <is>
          <t>S0028</t>
        </is>
      </c>
      <c r="B111" t="inlineStr">
        <is>
          <t>FP</t>
        </is>
      </c>
      <c r="C111" s="11" t="n">
        <v>46144</v>
      </c>
      <c r="D111" s="11" t="n">
        <v>46172</v>
      </c>
      <c r="E111" t="n">
        <v>4</v>
      </c>
      <c r="F111" t="n">
        <v>408</v>
      </c>
      <c r="G111">
        <f>IF(AND(D111&gt;=DATE(2025,7,1),D111&lt;=DATE(2026,6,30)),1,0)</f>
        <v>1</v>
      </c>
    </row>
    <row r="112">
      <c r="A112" t="inlineStr">
        <is>
          <t>S0028</t>
        </is>
      </c>
      <c r="B112" t="inlineStr">
        <is>
          <t>FP</t>
        </is>
      </c>
      <c r="C112" s="11" t="n">
        <v>46172</v>
      </c>
      <c r="D112" s="11" t="n">
        <v>46189</v>
      </c>
      <c r="E112" t="n">
        <v>3</v>
      </c>
      <c r="F112" t="n">
        <v>306</v>
      </c>
      <c r="G112">
        <f>IF(AND(D112&gt;=DATE(2025,7,1),D112&lt;=DATE(2026,6,30)),1,0)</f>
        <v>1</v>
      </c>
    </row>
    <row r="113">
      <c r="A113" t="inlineStr">
        <is>
          <t>S0030</t>
        </is>
      </c>
      <c r="B113" t="inlineStr">
        <is>
          <t>FP</t>
        </is>
      </c>
      <c r="C113" s="11" t="n">
        <v>46180</v>
      </c>
      <c r="D113" s="11" t="n">
        <v>46188</v>
      </c>
      <c r="E113" t="n">
        <v>2</v>
      </c>
      <c r="F113" t="n">
        <v>272</v>
      </c>
      <c r="G113">
        <f>IF(AND(D113&gt;=DATE(2025,7,1),D113&lt;=DATE(2026,6,30)),1,0)</f>
        <v>1</v>
      </c>
    </row>
    <row r="114">
      <c r="A114" t="inlineStr">
        <is>
          <t>S0031</t>
        </is>
      </c>
      <c r="B114" t="inlineStr">
        <is>
          <t>FP</t>
        </is>
      </c>
      <c r="C114" s="11" t="n">
        <v>45838</v>
      </c>
      <c r="D114" s="11" t="n">
        <v>45866</v>
      </c>
      <c r="E114" t="n">
        <v>4</v>
      </c>
      <c r="F114" t="n">
        <v>588</v>
      </c>
      <c r="G114">
        <f>IF(AND(D114&gt;=DATE(2025,7,1),D114&lt;=DATE(2026,6,30)),1,0)</f>
        <v>1</v>
      </c>
    </row>
    <row r="115">
      <c r="A115" t="inlineStr">
        <is>
          <t>S0034</t>
        </is>
      </c>
      <c r="B115" t="inlineStr">
        <is>
          <t>BR</t>
        </is>
      </c>
      <c r="C115" s="11" t="n">
        <v>45987</v>
      </c>
      <c r="D115" s="11" t="n">
        <v>46015</v>
      </c>
      <c r="E115" t="n">
        <v>4</v>
      </c>
      <c r="F115" t="n">
        <v>64</v>
      </c>
      <c r="G115">
        <f>IF(AND(D115&gt;=DATE(2025,7,1),D115&lt;=DATE(2026,6,30)),1,0)</f>
        <v>1</v>
      </c>
    </row>
    <row r="116">
      <c r="A116" t="inlineStr">
        <is>
          <t>S0034</t>
        </is>
      </c>
      <c r="B116" t="inlineStr">
        <is>
          <t>BR</t>
        </is>
      </c>
      <c r="C116" s="11" t="n">
        <v>46015</v>
      </c>
      <c r="D116" s="11" t="n">
        <v>46043</v>
      </c>
      <c r="E116" t="n">
        <v>4</v>
      </c>
      <c r="F116" t="n">
        <v>64</v>
      </c>
      <c r="G116">
        <f>IF(AND(D116&gt;=DATE(2025,7,1),D116&lt;=DATE(2026,6,30)),1,0)</f>
        <v>1</v>
      </c>
    </row>
    <row r="117">
      <c r="A117" t="inlineStr">
        <is>
          <t>S0034</t>
        </is>
      </c>
      <c r="B117" t="inlineStr">
        <is>
          <t>BR</t>
        </is>
      </c>
      <c r="C117" s="11" t="n">
        <v>46043</v>
      </c>
      <c r="D117" s="11" t="n">
        <v>46071</v>
      </c>
      <c r="E117" t="n">
        <v>4</v>
      </c>
      <c r="F117" t="n">
        <v>64</v>
      </c>
      <c r="G117">
        <f>IF(AND(D117&gt;=DATE(2025,7,1),D117&lt;=DATE(2026,6,30)),1,0)</f>
        <v>1</v>
      </c>
    </row>
    <row r="118">
      <c r="A118" t="inlineStr">
        <is>
          <t>S0034</t>
        </is>
      </c>
      <c r="B118" t="inlineStr">
        <is>
          <t>BR</t>
        </is>
      </c>
      <c r="C118" s="11" t="n">
        <v>46071</v>
      </c>
      <c r="D118" s="11" t="n">
        <v>46099</v>
      </c>
      <c r="E118" t="n">
        <v>4</v>
      </c>
      <c r="F118" t="n">
        <v>64</v>
      </c>
      <c r="G118">
        <f>IF(AND(D118&gt;=DATE(2025,7,1),D118&lt;=DATE(2026,6,30)),1,0)</f>
        <v>1</v>
      </c>
    </row>
    <row r="119">
      <c r="A119" t="inlineStr">
        <is>
          <t>S0034</t>
        </is>
      </c>
      <c r="B119" t="inlineStr">
        <is>
          <t>BR</t>
        </is>
      </c>
      <c r="C119" s="11" t="n">
        <v>46099</v>
      </c>
      <c r="D119" s="11" t="n">
        <v>46125</v>
      </c>
      <c r="E119" t="n">
        <v>4</v>
      </c>
      <c r="F119" t="n">
        <v>64</v>
      </c>
      <c r="G119">
        <f>IF(AND(D119&gt;=DATE(2025,7,1),D119&lt;=DATE(2026,6,30)),1,0)</f>
        <v>1</v>
      </c>
    </row>
    <row r="120">
      <c r="A120" t="inlineStr">
        <is>
          <t>S0034</t>
        </is>
      </c>
      <c r="B120" t="inlineStr">
        <is>
          <t>FP</t>
        </is>
      </c>
      <c r="C120" s="11" t="n">
        <v>45987</v>
      </c>
      <c r="D120" s="11" t="n">
        <v>46015</v>
      </c>
      <c r="E120" t="n">
        <v>4</v>
      </c>
      <c r="F120" t="n">
        <v>112</v>
      </c>
      <c r="G120">
        <f>IF(AND(D120&gt;=DATE(2025,7,1),D120&lt;=DATE(2026,6,30)),1,0)</f>
        <v>1</v>
      </c>
    </row>
    <row r="121">
      <c r="A121" t="inlineStr">
        <is>
          <t>S0034</t>
        </is>
      </c>
      <c r="B121" t="inlineStr">
        <is>
          <t>FP</t>
        </is>
      </c>
      <c r="C121" s="11" t="n">
        <v>46015</v>
      </c>
      <c r="D121" s="11" t="n">
        <v>46043</v>
      </c>
      <c r="E121" t="n">
        <v>4</v>
      </c>
      <c r="F121" t="n">
        <v>112</v>
      </c>
      <c r="G121">
        <f>IF(AND(D121&gt;=DATE(2025,7,1),D121&lt;=DATE(2026,6,30)),1,0)</f>
        <v>1</v>
      </c>
    </row>
    <row r="122">
      <c r="A122" t="inlineStr">
        <is>
          <t>S0034</t>
        </is>
      </c>
      <c r="B122" t="inlineStr">
        <is>
          <t>FP</t>
        </is>
      </c>
      <c r="C122" s="11" t="n">
        <v>46043</v>
      </c>
      <c r="D122" s="11" t="n">
        <v>46071</v>
      </c>
      <c r="E122" t="n">
        <v>4</v>
      </c>
      <c r="F122" t="n">
        <v>112</v>
      </c>
      <c r="G122">
        <f>IF(AND(D122&gt;=DATE(2025,7,1),D122&lt;=DATE(2026,6,30)),1,0)</f>
        <v>1</v>
      </c>
    </row>
    <row r="123">
      <c r="A123" t="inlineStr">
        <is>
          <t>S0034</t>
        </is>
      </c>
      <c r="B123" t="inlineStr">
        <is>
          <t>FP</t>
        </is>
      </c>
      <c r="C123" s="11" t="n">
        <v>46071</v>
      </c>
      <c r="D123" s="11" t="n">
        <v>46099</v>
      </c>
      <c r="E123" t="n">
        <v>4</v>
      </c>
      <c r="F123" t="n">
        <v>112</v>
      </c>
      <c r="G123">
        <f>IF(AND(D123&gt;=DATE(2025,7,1),D123&lt;=DATE(2026,6,30)),1,0)</f>
        <v>1</v>
      </c>
    </row>
    <row r="124">
      <c r="A124" t="inlineStr">
        <is>
          <t>S0034</t>
        </is>
      </c>
      <c r="B124" t="inlineStr">
        <is>
          <t>FP</t>
        </is>
      </c>
      <c r="C124" s="11" t="n">
        <v>46099</v>
      </c>
      <c r="D124" s="11" t="n">
        <v>46125</v>
      </c>
      <c r="E124" t="n">
        <v>4</v>
      </c>
      <c r="F124" t="n">
        <v>112</v>
      </c>
      <c r="G124">
        <f>IF(AND(D124&gt;=DATE(2025,7,1),D124&lt;=DATE(2026,6,30)),1,0)</f>
        <v>1</v>
      </c>
    </row>
    <row r="125">
      <c r="A125" t="inlineStr">
        <is>
          <t>S0035</t>
        </is>
      </c>
      <c r="B125" t="inlineStr">
        <is>
          <t>FP</t>
        </is>
      </c>
      <c r="C125" s="11" t="n">
        <v>46188</v>
      </c>
      <c r="D125" s="11" t="n">
        <v>46203</v>
      </c>
      <c r="E125" t="n">
        <v>3</v>
      </c>
      <c r="F125" t="n">
        <v>294</v>
      </c>
      <c r="G125">
        <f>IF(AND(D125&gt;=DATE(2025,7,1),D125&lt;=DATE(2026,6,30)),1,0)</f>
        <v>1</v>
      </c>
    </row>
    <row r="126">
      <c r="A126" t="inlineStr">
        <is>
          <t>S0036</t>
        </is>
      </c>
      <c r="B126" t="inlineStr">
        <is>
          <t>FP</t>
        </is>
      </c>
      <c r="C126" s="11" t="n">
        <v>45962</v>
      </c>
      <c r="D126" s="11" t="n">
        <v>45990</v>
      </c>
      <c r="E126" t="n">
        <v>4</v>
      </c>
      <c r="F126" t="n">
        <v>572</v>
      </c>
      <c r="G126">
        <f>IF(AND(D126&gt;=DATE(2025,7,1),D126&lt;=DATE(2026,6,30)),1,0)</f>
        <v>1</v>
      </c>
    </row>
    <row r="127">
      <c r="A127" t="inlineStr">
        <is>
          <t>S0036</t>
        </is>
      </c>
      <c r="B127" t="inlineStr">
        <is>
          <t>FP</t>
        </is>
      </c>
      <c r="C127" s="11" t="n">
        <v>45990</v>
      </c>
      <c r="D127" s="11" t="n">
        <v>46018</v>
      </c>
      <c r="E127" t="n">
        <v>4</v>
      </c>
      <c r="F127" t="n">
        <v>632</v>
      </c>
      <c r="G127">
        <f>IF(AND(D127&gt;=DATE(2025,7,1),D127&lt;=DATE(2026,6,30)),1,0)</f>
        <v>1</v>
      </c>
    </row>
    <row r="128">
      <c r="A128" t="inlineStr">
        <is>
          <t>S0036</t>
        </is>
      </c>
      <c r="B128" t="inlineStr">
        <is>
          <t>FP</t>
        </is>
      </c>
      <c r="C128" s="11" t="n">
        <v>46018</v>
      </c>
      <c r="D128" s="11" t="n">
        <v>46046</v>
      </c>
      <c r="E128" t="n">
        <v>4</v>
      </c>
      <c r="F128" t="n">
        <v>692</v>
      </c>
      <c r="G128">
        <f>IF(AND(D128&gt;=DATE(2025,7,1),D128&lt;=DATE(2026,6,30)),1,0)</f>
        <v>1</v>
      </c>
    </row>
    <row r="129">
      <c r="A129" t="inlineStr">
        <is>
          <t>S0036</t>
        </is>
      </c>
      <c r="B129" t="inlineStr">
        <is>
          <t>FP</t>
        </is>
      </c>
      <c r="C129" s="11" t="n">
        <v>46046</v>
      </c>
      <c r="D129" s="11" t="n">
        <v>46049</v>
      </c>
      <c r="E129" t="n">
        <v>1</v>
      </c>
      <c r="F129" t="n">
        <v>173</v>
      </c>
      <c r="G129">
        <f>IF(AND(D129&gt;=DATE(2025,7,1),D129&lt;=DATE(2026,6,30)),1,0)</f>
        <v>1</v>
      </c>
    </row>
    <row r="130">
      <c r="A130" t="inlineStr">
        <is>
          <t>S0037</t>
        </is>
      </c>
      <c r="B130" t="inlineStr">
        <is>
          <t>FP</t>
        </is>
      </c>
      <c r="C130" s="11" t="n">
        <v>45814</v>
      </c>
      <c r="D130" s="11" t="n">
        <v>45842</v>
      </c>
      <c r="E130" t="n">
        <v>4</v>
      </c>
      <c r="F130" t="n">
        <v>528</v>
      </c>
      <c r="G130">
        <f>IF(AND(D130&gt;=DATE(2025,7,1),D130&lt;=DATE(2026,6,30)),1,0)</f>
        <v>1</v>
      </c>
    </row>
    <row r="131">
      <c r="A131" t="inlineStr">
        <is>
          <t>S0037</t>
        </is>
      </c>
      <c r="B131" t="inlineStr">
        <is>
          <t>FP</t>
        </is>
      </c>
      <c r="C131" s="11" t="n">
        <v>45842</v>
      </c>
      <c r="D131" s="11" t="n">
        <v>45843</v>
      </c>
      <c r="E131" t="n">
        <v>1</v>
      </c>
      <c r="F131" t="n">
        <v>132</v>
      </c>
      <c r="G131">
        <f>IF(AND(D131&gt;=DATE(2025,7,1),D131&lt;=DATE(2026,6,30)),1,0)</f>
        <v>1</v>
      </c>
    </row>
    <row r="132">
      <c r="A132" t="inlineStr">
        <is>
          <t>S0038</t>
        </is>
      </c>
      <c r="B132" t="inlineStr">
        <is>
          <t>BR</t>
        </is>
      </c>
      <c r="C132" s="11" t="n">
        <v>45893</v>
      </c>
      <c r="D132" s="11" t="n">
        <v>45921</v>
      </c>
      <c r="E132" t="n">
        <v>4</v>
      </c>
      <c r="F132" t="n">
        <v>80</v>
      </c>
      <c r="G132">
        <f>IF(AND(D132&gt;=DATE(2025,7,1),D132&lt;=DATE(2026,6,30)),1,0)</f>
        <v>1</v>
      </c>
    </row>
    <row r="133">
      <c r="A133" t="inlineStr">
        <is>
          <t>S0038</t>
        </is>
      </c>
      <c r="B133" t="inlineStr">
        <is>
          <t>BR</t>
        </is>
      </c>
      <c r="C133" s="11" t="n">
        <v>45921</v>
      </c>
      <c r="D133" s="11" t="n">
        <v>45949</v>
      </c>
      <c r="E133" t="n">
        <v>4</v>
      </c>
      <c r="F133" t="n">
        <v>80</v>
      </c>
      <c r="G133">
        <f>IF(AND(D133&gt;=DATE(2025,7,1),D133&lt;=DATE(2026,6,30)),1,0)</f>
        <v>1</v>
      </c>
    </row>
    <row r="134">
      <c r="A134" t="inlineStr">
        <is>
          <t>S0038</t>
        </is>
      </c>
      <c r="B134" t="inlineStr">
        <is>
          <t>BR</t>
        </is>
      </c>
      <c r="C134" s="11" t="n">
        <v>45949</v>
      </c>
      <c r="D134" s="11" t="n">
        <v>45977</v>
      </c>
      <c r="E134" t="n">
        <v>4</v>
      </c>
      <c r="F134" t="n">
        <v>80</v>
      </c>
      <c r="G134">
        <f>IF(AND(D134&gt;=DATE(2025,7,1),D134&lt;=DATE(2026,6,30)),1,0)</f>
        <v>1</v>
      </c>
    </row>
    <row r="135">
      <c r="A135" t="inlineStr">
        <is>
          <t>S0038</t>
        </is>
      </c>
      <c r="B135" t="inlineStr">
        <is>
          <t>BR</t>
        </is>
      </c>
      <c r="C135" s="11" t="n">
        <v>45977</v>
      </c>
      <c r="D135" s="11" t="n">
        <v>46005</v>
      </c>
      <c r="E135" t="n">
        <v>4</v>
      </c>
      <c r="F135" t="n">
        <v>80</v>
      </c>
      <c r="G135">
        <f>IF(AND(D135&gt;=DATE(2025,7,1),D135&lt;=DATE(2026,6,30)),1,0)</f>
        <v>1</v>
      </c>
    </row>
    <row r="136">
      <c r="A136" t="inlineStr">
        <is>
          <t>S0038</t>
        </is>
      </c>
      <c r="B136" t="inlineStr">
        <is>
          <t>BR</t>
        </is>
      </c>
      <c r="C136" s="11" t="n">
        <v>46005</v>
      </c>
      <c r="D136" s="11" t="n">
        <v>46033</v>
      </c>
      <c r="E136" t="n">
        <v>4</v>
      </c>
      <c r="F136" t="n">
        <v>80</v>
      </c>
      <c r="G136">
        <f>IF(AND(D136&gt;=DATE(2025,7,1),D136&lt;=DATE(2026,6,30)),1,0)</f>
        <v>1</v>
      </c>
    </row>
    <row r="137">
      <c r="A137" t="inlineStr">
        <is>
          <t>S0038</t>
        </is>
      </c>
      <c r="B137" t="inlineStr">
        <is>
          <t>FP</t>
        </is>
      </c>
      <c r="C137" s="11" t="n">
        <v>45893</v>
      </c>
      <c r="D137" s="11" t="n">
        <v>45921</v>
      </c>
      <c r="E137" t="n">
        <v>4</v>
      </c>
      <c r="F137" t="n">
        <v>548</v>
      </c>
      <c r="G137">
        <f>IF(AND(D137&gt;=DATE(2025,7,1),D137&lt;=DATE(2026,6,30)),1,0)</f>
        <v>1</v>
      </c>
    </row>
    <row r="138">
      <c r="A138" t="inlineStr">
        <is>
          <t>S0038</t>
        </is>
      </c>
      <c r="B138" t="inlineStr">
        <is>
          <t>FP</t>
        </is>
      </c>
      <c r="C138" s="11" t="n">
        <v>45921</v>
      </c>
      <c r="D138" s="11" t="n">
        <v>45949</v>
      </c>
      <c r="E138" t="n">
        <v>4</v>
      </c>
      <c r="F138" t="n">
        <v>548</v>
      </c>
      <c r="G138">
        <f>IF(AND(D138&gt;=DATE(2025,7,1),D138&lt;=DATE(2026,6,30)),1,0)</f>
        <v>1</v>
      </c>
    </row>
    <row r="139">
      <c r="A139" t="inlineStr">
        <is>
          <t>S0038</t>
        </is>
      </c>
      <c r="B139" t="inlineStr">
        <is>
          <t>FP</t>
        </is>
      </c>
      <c r="C139" s="11" t="n">
        <v>45949</v>
      </c>
      <c r="D139" s="11" t="n">
        <v>45977</v>
      </c>
      <c r="E139" t="n">
        <v>4</v>
      </c>
      <c r="F139" t="n">
        <v>548</v>
      </c>
      <c r="G139">
        <f>IF(AND(D139&gt;=DATE(2025,7,1),D139&lt;=DATE(2026,6,30)),1,0)</f>
        <v>1</v>
      </c>
    </row>
    <row r="140">
      <c r="A140" t="inlineStr">
        <is>
          <t>S0038</t>
        </is>
      </c>
      <c r="B140" t="inlineStr">
        <is>
          <t>FP</t>
        </is>
      </c>
      <c r="C140" s="11" t="n">
        <v>45977</v>
      </c>
      <c r="D140" s="11" t="n">
        <v>46005</v>
      </c>
      <c r="E140" t="n">
        <v>4</v>
      </c>
      <c r="F140" t="n">
        <v>548</v>
      </c>
      <c r="G140">
        <f>IF(AND(D140&gt;=DATE(2025,7,1),D140&lt;=DATE(2026,6,30)),1,0)</f>
        <v>1</v>
      </c>
    </row>
    <row r="141">
      <c r="A141" t="inlineStr">
        <is>
          <t>S0038</t>
        </is>
      </c>
      <c r="B141" t="inlineStr">
        <is>
          <t>FP</t>
        </is>
      </c>
      <c r="C141" s="11" t="n">
        <v>46005</v>
      </c>
      <c r="D141" s="11" t="n">
        <v>46033</v>
      </c>
      <c r="E141" t="n">
        <v>4</v>
      </c>
      <c r="F141" t="n">
        <v>548</v>
      </c>
      <c r="G141">
        <f>IF(AND(D141&gt;=DATE(2025,7,1),D141&lt;=DATE(2026,6,30)),1,0)</f>
        <v>1</v>
      </c>
    </row>
    <row r="142">
      <c r="A142" t="inlineStr">
        <is>
          <t>S0039</t>
        </is>
      </c>
      <c r="B142" t="inlineStr">
        <is>
          <t>BR</t>
        </is>
      </c>
      <c r="C142" s="11" t="n">
        <v>45841</v>
      </c>
      <c r="D142" s="11" t="n">
        <v>45856</v>
      </c>
      <c r="E142" t="n">
        <v>3</v>
      </c>
      <c r="F142" t="n">
        <v>63</v>
      </c>
      <c r="G142">
        <f>IF(AND(D142&gt;=DATE(2025,7,1),D142&lt;=DATE(2026,6,30)),1,0)</f>
        <v>1</v>
      </c>
    </row>
    <row r="143">
      <c r="A143" t="inlineStr">
        <is>
          <t>S0039</t>
        </is>
      </c>
      <c r="B143" t="inlineStr">
        <is>
          <t>FP</t>
        </is>
      </c>
      <c r="C143" s="11" t="n">
        <v>45841</v>
      </c>
      <c r="D143" s="11" t="n">
        <v>45856</v>
      </c>
      <c r="E143" t="n">
        <v>3</v>
      </c>
      <c r="F143" t="n">
        <v>297</v>
      </c>
      <c r="G143">
        <f>IF(AND(D143&gt;=DATE(2025,7,1),D143&lt;=DATE(2026,6,30)),1,0)</f>
        <v>1</v>
      </c>
    </row>
    <row r="144">
      <c r="A144" t="inlineStr">
        <is>
          <t>S0041</t>
        </is>
      </c>
      <c r="B144" t="inlineStr">
        <is>
          <t>BR</t>
        </is>
      </c>
      <c r="C144" s="11" t="n">
        <v>45994</v>
      </c>
      <c r="D144" s="11" t="n">
        <v>46022</v>
      </c>
      <c r="E144" t="n">
        <v>4</v>
      </c>
      <c r="F144" t="n">
        <v>52</v>
      </c>
      <c r="G144">
        <f>IF(AND(D144&gt;=DATE(2025,7,1),D144&lt;=DATE(2026,6,30)),1,0)</f>
        <v>1</v>
      </c>
    </row>
    <row r="145">
      <c r="A145" t="inlineStr">
        <is>
          <t>S0041</t>
        </is>
      </c>
      <c r="B145" t="inlineStr">
        <is>
          <t>BR</t>
        </is>
      </c>
      <c r="C145" s="11" t="n">
        <v>46022</v>
      </c>
      <c r="D145" s="11" t="n">
        <v>46050</v>
      </c>
      <c r="E145" t="n">
        <v>4</v>
      </c>
      <c r="F145" t="n">
        <v>52</v>
      </c>
      <c r="G145">
        <f>IF(AND(D145&gt;=DATE(2025,7,1),D145&lt;=DATE(2026,6,30)),1,0)</f>
        <v>1</v>
      </c>
    </row>
    <row r="146">
      <c r="A146" t="inlineStr">
        <is>
          <t>S0041</t>
        </is>
      </c>
      <c r="B146" t="inlineStr">
        <is>
          <t>BR</t>
        </is>
      </c>
      <c r="C146" s="11" t="n">
        <v>46050</v>
      </c>
      <c r="D146" s="11" t="n">
        <v>46078</v>
      </c>
      <c r="E146" t="n">
        <v>4</v>
      </c>
      <c r="F146" t="n">
        <v>52</v>
      </c>
      <c r="G146">
        <f>IF(AND(D146&gt;=DATE(2025,7,1),D146&lt;=DATE(2026,6,30)),1,0)</f>
        <v>1</v>
      </c>
    </row>
    <row r="147">
      <c r="A147" t="inlineStr">
        <is>
          <t>S0041</t>
        </is>
      </c>
      <c r="B147" t="inlineStr">
        <is>
          <t>BR</t>
        </is>
      </c>
      <c r="C147" s="11" t="n">
        <v>46078</v>
      </c>
      <c r="D147" s="11" t="n">
        <v>46079</v>
      </c>
      <c r="E147" t="n">
        <v>1</v>
      </c>
      <c r="F147" t="n">
        <v>13</v>
      </c>
      <c r="G147">
        <f>IF(AND(D147&gt;=DATE(2025,7,1),D147&lt;=DATE(2026,6,30)),1,0)</f>
        <v>1</v>
      </c>
    </row>
    <row r="148">
      <c r="A148" t="inlineStr">
        <is>
          <t>S0041</t>
        </is>
      </c>
      <c r="B148" t="inlineStr">
        <is>
          <t>FP</t>
        </is>
      </c>
      <c r="C148" s="11" t="n">
        <v>45994</v>
      </c>
      <c r="D148" s="11" t="n">
        <v>46022</v>
      </c>
      <c r="E148" t="n">
        <v>4</v>
      </c>
      <c r="F148" t="n">
        <v>408</v>
      </c>
      <c r="G148">
        <f>IF(AND(D148&gt;=DATE(2025,7,1),D148&lt;=DATE(2026,6,30)),1,0)</f>
        <v>1</v>
      </c>
    </row>
    <row r="149">
      <c r="A149" t="inlineStr">
        <is>
          <t>S0041</t>
        </is>
      </c>
      <c r="B149" t="inlineStr">
        <is>
          <t>FP</t>
        </is>
      </c>
      <c r="C149" s="11" t="n">
        <v>46022</v>
      </c>
      <c r="D149" s="11" t="n">
        <v>46050</v>
      </c>
      <c r="E149" t="n">
        <v>4</v>
      </c>
      <c r="F149" t="n">
        <v>525</v>
      </c>
      <c r="G149">
        <f>IF(AND(D149&gt;=DATE(2025,7,1),D149&lt;=DATE(2026,6,30)),1,0)</f>
        <v>1</v>
      </c>
    </row>
    <row r="150">
      <c r="A150" t="inlineStr">
        <is>
          <t>S0041</t>
        </is>
      </c>
      <c r="B150" t="inlineStr">
        <is>
          <t>FP</t>
        </is>
      </c>
      <c r="C150" s="11" t="n">
        <v>46050</v>
      </c>
      <c r="D150" s="11" t="n">
        <v>46078</v>
      </c>
      <c r="E150" t="n">
        <v>4</v>
      </c>
      <c r="F150" t="n">
        <v>564</v>
      </c>
      <c r="G150">
        <f>IF(AND(D150&gt;=DATE(2025,7,1),D150&lt;=DATE(2026,6,30)),1,0)</f>
        <v>1</v>
      </c>
    </row>
    <row r="151">
      <c r="A151" t="inlineStr">
        <is>
          <t>S0041</t>
        </is>
      </c>
      <c r="B151" t="inlineStr">
        <is>
          <t>FP</t>
        </is>
      </c>
      <c r="C151" s="11" t="n">
        <v>46078</v>
      </c>
      <c r="D151" s="11" t="n">
        <v>46079</v>
      </c>
      <c r="E151" t="n">
        <v>1</v>
      </c>
      <c r="F151" t="n">
        <v>141</v>
      </c>
      <c r="G151">
        <f>IF(AND(D151&gt;=DATE(2025,7,1),D151&lt;=DATE(2026,6,30)),1,0)</f>
        <v>1</v>
      </c>
    </row>
    <row r="152">
      <c r="A152" t="inlineStr">
        <is>
          <t>S0042</t>
        </is>
      </c>
      <c r="B152" t="inlineStr">
        <is>
          <t>FP</t>
        </is>
      </c>
      <c r="C152" s="11" t="n">
        <v>46055</v>
      </c>
      <c r="D152" s="11" t="n">
        <v>46083</v>
      </c>
      <c r="E152" t="n">
        <v>4</v>
      </c>
      <c r="F152" t="n">
        <v>324</v>
      </c>
      <c r="G152">
        <f>IF(AND(D152&gt;=DATE(2025,7,1),D152&lt;=DATE(2026,6,30)),1,0)</f>
        <v>1</v>
      </c>
    </row>
    <row r="153">
      <c r="A153" t="inlineStr">
        <is>
          <t>S0042</t>
        </is>
      </c>
      <c r="B153" t="inlineStr">
        <is>
          <t>FP</t>
        </is>
      </c>
      <c r="C153" s="11" t="n">
        <v>46083</v>
      </c>
      <c r="D153" s="11" t="n">
        <v>46111</v>
      </c>
      <c r="E153" t="n">
        <v>4</v>
      </c>
      <c r="F153" t="n">
        <v>324</v>
      </c>
      <c r="G153">
        <f>IF(AND(D153&gt;=DATE(2025,7,1),D153&lt;=DATE(2026,6,30)),1,0)</f>
        <v>1</v>
      </c>
    </row>
    <row r="154">
      <c r="A154" t="inlineStr">
        <is>
          <t>S0042</t>
        </is>
      </c>
      <c r="B154" t="inlineStr">
        <is>
          <t>FP</t>
        </is>
      </c>
      <c r="C154" s="11" t="n">
        <v>46111</v>
      </c>
      <c r="D154" s="11" t="n">
        <v>46139</v>
      </c>
      <c r="E154" t="n">
        <v>4</v>
      </c>
      <c r="F154" t="n">
        <v>324</v>
      </c>
      <c r="G154">
        <f>IF(AND(D154&gt;=DATE(2025,7,1),D154&lt;=DATE(2026,6,30)),1,0)</f>
        <v>1</v>
      </c>
    </row>
    <row r="155">
      <c r="A155" t="inlineStr">
        <is>
          <t>S0042</t>
        </is>
      </c>
      <c r="B155" t="inlineStr">
        <is>
          <t>FP</t>
        </is>
      </c>
      <c r="C155" s="11" t="n">
        <v>46139</v>
      </c>
      <c r="D155" s="11" t="n">
        <v>46167</v>
      </c>
      <c r="E155" t="n">
        <v>4</v>
      </c>
      <c r="F155" t="n">
        <v>324</v>
      </c>
      <c r="G155">
        <f>IF(AND(D155&gt;=DATE(2025,7,1),D155&lt;=DATE(2026,6,30)),1,0)</f>
        <v>1</v>
      </c>
    </row>
    <row r="156">
      <c r="A156" t="inlineStr">
        <is>
          <t>S0042</t>
        </is>
      </c>
      <c r="B156" t="inlineStr">
        <is>
          <t>FP</t>
        </is>
      </c>
      <c r="C156" s="11" t="n">
        <v>46167</v>
      </c>
      <c r="D156" s="11" t="n">
        <v>46195</v>
      </c>
      <c r="E156" t="n">
        <v>4</v>
      </c>
      <c r="F156" t="n">
        <v>324</v>
      </c>
      <c r="G156">
        <f>IF(AND(D156&gt;=DATE(2025,7,1),D156&lt;=DATE(2026,6,30)),1,0)</f>
        <v>1</v>
      </c>
    </row>
    <row r="157">
      <c r="A157" t="inlineStr">
        <is>
          <t>S0043</t>
        </is>
      </c>
      <c r="B157" t="inlineStr">
        <is>
          <t>FP</t>
        </is>
      </c>
      <c r="C157" s="11" t="n">
        <v>46059</v>
      </c>
      <c r="D157" s="11" t="n">
        <v>46078</v>
      </c>
      <c r="E157" t="n">
        <v>3</v>
      </c>
      <c r="F157" t="n">
        <v>234</v>
      </c>
      <c r="G157">
        <f>IF(AND(D157&gt;=DATE(2025,7,1),D157&lt;=DATE(2026,6,30)),1,0)</f>
        <v>1</v>
      </c>
    </row>
    <row r="158">
      <c r="A158" t="inlineStr">
        <is>
          <t>S0044</t>
        </is>
      </c>
      <c r="B158" t="inlineStr">
        <is>
          <t>FP</t>
        </is>
      </c>
      <c r="C158" s="11" t="n">
        <v>45949</v>
      </c>
      <c r="D158" s="11" t="n">
        <v>45977</v>
      </c>
      <c r="E158" t="n">
        <v>4</v>
      </c>
      <c r="F158" t="n">
        <v>548</v>
      </c>
      <c r="G158">
        <f>IF(AND(D158&gt;=DATE(2025,7,1),D158&lt;=DATE(2026,6,30)),1,0)</f>
        <v>1</v>
      </c>
    </row>
    <row r="159">
      <c r="A159" t="inlineStr">
        <is>
          <t>S0044</t>
        </is>
      </c>
      <c r="B159" t="inlineStr">
        <is>
          <t>FP</t>
        </is>
      </c>
      <c r="C159" s="11" t="n">
        <v>45977</v>
      </c>
      <c r="D159" s="11" t="n">
        <v>45989</v>
      </c>
      <c r="E159" t="n">
        <v>2</v>
      </c>
      <c r="F159" t="n">
        <v>274</v>
      </c>
      <c r="G159">
        <f>IF(AND(D159&gt;=DATE(2025,7,1),D159&lt;=DATE(2026,6,30)),1,0)</f>
        <v>1</v>
      </c>
    </row>
    <row r="160">
      <c r="A160" t="inlineStr">
        <is>
          <t>S0046</t>
        </is>
      </c>
      <c r="B160" t="inlineStr">
        <is>
          <t>FP</t>
        </is>
      </c>
      <c r="C160" s="11" t="n">
        <v>45825</v>
      </c>
      <c r="D160" s="11" t="n">
        <v>45840</v>
      </c>
      <c r="E160" t="n">
        <v>3</v>
      </c>
      <c r="F160" t="n">
        <v>174</v>
      </c>
      <c r="G160">
        <f>IF(AND(D160&gt;=DATE(2025,7,1),D160&lt;=DATE(2026,6,30)),1,0)</f>
        <v>1</v>
      </c>
    </row>
    <row r="161">
      <c r="A161" t="inlineStr">
        <is>
          <t>S0047</t>
        </is>
      </c>
      <c r="B161" t="inlineStr">
        <is>
          <t>FP</t>
        </is>
      </c>
      <c r="C161" s="11" t="n">
        <v>46122</v>
      </c>
      <c r="D161" s="11" t="n">
        <v>46147</v>
      </c>
      <c r="E161" t="n">
        <v>4</v>
      </c>
      <c r="F161" t="n">
        <v>444</v>
      </c>
      <c r="G161">
        <f>IF(AND(D161&gt;=DATE(2025,7,1),D161&lt;=DATE(2026,6,30)),1,0)</f>
        <v>1</v>
      </c>
    </row>
    <row r="162">
      <c r="A162" t="inlineStr">
        <is>
          <t>S0048</t>
        </is>
      </c>
      <c r="B162" t="inlineStr">
        <is>
          <t>FP</t>
        </is>
      </c>
      <c r="C162" s="11" t="n">
        <v>45851</v>
      </c>
      <c r="D162" s="11" t="n">
        <v>45879</v>
      </c>
      <c r="E162" t="n">
        <v>4</v>
      </c>
      <c r="F162" t="n">
        <v>400</v>
      </c>
      <c r="G162">
        <f>IF(AND(D162&gt;=DATE(2025,7,1),D162&lt;=DATE(2026,6,30)),1,0)</f>
        <v>1</v>
      </c>
    </row>
    <row r="163">
      <c r="A163" t="inlineStr">
        <is>
          <t>S0048</t>
        </is>
      </c>
      <c r="B163" t="inlineStr">
        <is>
          <t>FP</t>
        </is>
      </c>
      <c r="C163" s="11" t="n">
        <v>45879</v>
      </c>
      <c r="D163" s="11" t="n">
        <v>45897</v>
      </c>
      <c r="E163" t="n">
        <v>3</v>
      </c>
      <c r="F163" t="n">
        <v>300</v>
      </c>
      <c r="G163">
        <f>IF(AND(D163&gt;=DATE(2025,7,1),D163&lt;=DATE(2026,6,30)),1,0)</f>
        <v>1</v>
      </c>
    </row>
    <row r="164">
      <c r="A164" t="inlineStr">
        <is>
          <t>S0049</t>
        </is>
      </c>
      <c r="B164" t="inlineStr">
        <is>
          <t>FP</t>
        </is>
      </c>
      <c r="C164" s="11" t="n">
        <v>45863</v>
      </c>
      <c r="D164" s="11" t="n">
        <v>45891</v>
      </c>
      <c r="E164" t="n">
        <v>4</v>
      </c>
      <c r="F164" t="n">
        <v>108</v>
      </c>
      <c r="G164">
        <f>IF(AND(D164&gt;=DATE(2025,7,1),D164&lt;=DATE(2026,6,30)),1,0)</f>
        <v>1</v>
      </c>
    </row>
    <row r="165">
      <c r="A165" t="inlineStr">
        <is>
          <t>S0049</t>
        </is>
      </c>
      <c r="B165" t="inlineStr">
        <is>
          <t>FP</t>
        </is>
      </c>
      <c r="C165" s="11" t="n">
        <v>45891</v>
      </c>
      <c r="D165" s="11" t="n">
        <v>45919</v>
      </c>
      <c r="E165" t="n">
        <v>4</v>
      </c>
      <c r="F165" t="n">
        <v>108</v>
      </c>
      <c r="G165">
        <f>IF(AND(D165&gt;=DATE(2025,7,1),D165&lt;=DATE(2026,6,30)),1,0)</f>
        <v>1</v>
      </c>
    </row>
    <row r="166">
      <c r="A166" t="inlineStr">
        <is>
          <t>S0049</t>
        </is>
      </c>
      <c r="B166" t="inlineStr">
        <is>
          <t>FP</t>
        </is>
      </c>
      <c r="C166" s="11" t="n">
        <v>45919</v>
      </c>
      <c r="D166" s="11" t="n">
        <v>45947</v>
      </c>
      <c r="E166" t="n">
        <v>4</v>
      </c>
      <c r="F166" t="n">
        <v>108</v>
      </c>
      <c r="G166">
        <f>IF(AND(D166&gt;=DATE(2025,7,1),D166&lt;=DATE(2026,6,30)),1,0)</f>
        <v>1</v>
      </c>
    </row>
    <row r="167">
      <c r="A167" t="inlineStr">
        <is>
          <t>S0049</t>
        </is>
      </c>
      <c r="B167" t="inlineStr">
        <is>
          <t>FP</t>
        </is>
      </c>
      <c r="C167" s="11" t="n">
        <v>45947</v>
      </c>
      <c r="D167" s="11" t="n">
        <v>45975</v>
      </c>
      <c r="E167" t="n">
        <v>4</v>
      </c>
      <c r="F167" t="n">
        <v>48</v>
      </c>
      <c r="G167">
        <f>IF(AND(D167&gt;=DATE(2025,7,1),D167&lt;=DATE(2026,6,30)),1,0)</f>
        <v>1</v>
      </c>
    </row>
    <row r="168">
      <c r="A168" t="inlineStr">
        <is>
          <t>S0049</t>
        </is>
      </c>
      <c r="B168" t="inlineStr">
        <is>
          <t>FP</t>
        </is>
      </c>
      <c r="C168" s="11" t="n">
        <v>45975</v>
      </c>
      <c r="D168" s="11" t="n">
        <v>46003</v>
      </c>
      <c r="E168" t="n">
        <v>4</v>
      </c>
      <c r="F168" t="n">
        <v>48</v>
      </c>
      <c r="G168">
        <f>IF(AND(D168&gt;=DATE(2025,7,1),D168&lt;=DATE(2026,6,30)),1,0)</f>
        <v>1</v>
      </c>
    </row>
    <row r="169">
      <c r="A169" t="inlineStr">
        <is>
          <t>S0049</t>
        </is>
      </c>
      <c r="B169" t="inlineStr">
        <is>
          <t>FP</t>
        </is>
      </c>
      <c r="C169" s="11" t="n">
        <v>46003</v>
      </c>
      <c r="D169" s="11" t="n">
        <v>46031</v>
      </c>
      <c r="E169" t="n">
        <v>4</v>
      </c>
      <c r="F169" t="n">
        <v>48</v>
      </c>
      <c r="G169">
        <f>IF(AND(D169&gt;=DATE(2025,7,1),D169&lt;=DATE(2026,6,30)),1,0)</f>
        <v>1</v>
      </c>
    </row>
    <row r="170">
      <c r="A170" t="inlineStr">
        <is>
          <t>S0049</t>
        </is>
      </c>
      <c r="B170" t="inlineStr">
        <is>
          <t>FP</t>
        </is>
      </c>
      <c r="C170" s="11" t="n">
        <v>46031</v>
      </c>
      <c r="D170" s="11" t="n">
        <v>46059</v>
      </c>
      <c r="E170" t="n">
        <v>4</v>
      </c>
      <c r="F170" t="n">
        <v>48</v>
      </c>
      <c r="G170">
        <f>IF(AND(D170&gt;=DATE(2025,7,1),D170&lt;=DATE(2026,6,30)),1,0)</f>
        <v>1</v>
      </c>
    </row>
    <row r="171">
      <c r="A171" t="inlineStr">
        <is>
          <t>S0049</t>
        </is>
      </c>
      <c r="B171" t="inlineStr">
        <is>
          <t>FP</t>
        </is>
      </c>
      <c r="C171" s="11" t="n">
        <v>46059</v>
      </c>
      <c r="D171" s="11" t="n">
        <v>46087</v>
      </c>
      <c r="E171" t="n">
        <v>4</v>
      </c>
      <c r="F171" t="n">
        <v>48</v>
      </c>
      <c r="G171">
        <f>IF(AND(D171&gt;=DATE(2025,7,1),D171&lt;=DATE(2026,6,30)),1,0)</f>
        <v>1</v>
      </c>
    </row>
    <row r="172">
      <c r="A172" t="inlineStr">
        <is>
          <t>S0049</t>
        </is>
      </c>
      <c r="B172" t="inlineStr">
        <is>
          <t>FP</t>
        </is>
      </c>
      <c r="C172" s="11" t="n">
        <v>46087</v>
      </c>
      <c r="D172" s="11" t="n">
        <v>46102</v>
      </c>
      <c r="E172" t="n">
        <v>3</v>
      </c>
      <c r="F172" t="n">
        <v>36</v>
      </c>
      <c r="G172">
        <f>IF(AND(D172&gt;=DATE(2025,7,1),D172&lt;=DATE(2026,6,30)),1,0)</f>
        <v>1</v>
      </c>
    </row>
    <row r="173">
      <c r="A173" t="inlineStr">
        <is>
          <t>S0050</t>
        </is>
      </c>
      <c r="B173" t="inlineStr">
        <is>
          <t>FP</t>
        </is>
      </c>
      <c r="C173" s="11" t="n">
        <v>46111</v>
      </c>
      <c r="D173" s="11" t="n">
        <v>46139</v>
      </c>
      <c r="E173" t="n">
        <v>4</v>
      </c>
      <c r="F173" t="n">
        <v>104</v>
      </c>
      <c r="G173">
        <f>IF(AND(D173&gt;=DATE(2025,7,1),D173&lt;=DATE(2026,6,30)),1,0)</f>
        <v>1</v>
      </c>
    </row>
    <row r="174">
      <c r="A174" t="inlineStr">
        <is>
          <t>S0050</t>
        </is>
      </c>
      <c r="B174" t="inlineStr">
        <is>
          <t>FP</t>
        </is>
      </c>
      <c r="C174" s="11" t="n">
        <v>46139</v>
      </c>
      <c r="D174" s="11" t="n">
        <v>46167</v>
      </c>
      <c r="E174" t="n">
        <v>4</v>
      </c>
      <c r="F174" t="n">
        <v>104</v>
      </c>
      <c r="G174">
        <f>IF(AND(D174&gt;=DATE(2025,7,1),D174&lt;=DATE(2026,6,30)),1,0)</f>
        <v>1</v>
      </c>
    </row>
    <row r="175">
      <c r="A175" t="inlineStr">
        <is>
          <t>S0050</t>
        </is>
      </c>
      <c r="B175" t="inlineStr">
        <is>
          <t>FP</t>
        </is>
      </c>
      <c r="C175" s="11" t="n">
        <v>46167</v>
      </c>
      <c r="D175" s="11" t="n">
        <v>46168</v>
      </c>
      <c r="E175" t="n">
        <v>1</v>
      </c>
      <c r="F175" t="n">
        <v>26</v>
      </c>
      <c r="G175">
        <f>IF(AND(D175&gt;=DATE(2025,7,1),D175&lt;=DATE(2026,6,30)),1,0)</f>
        <v>1</v>
      </c>
    </row>
    <row r="176">
      <c r="A176" t="inlineStr">
        <is>
          <t>S0051</t>
        </is>
      </c>
      <c r="B176" t="inlineStr">
        <is>
          <t>FP</t>
        </is>
      </c>
      <c r="C176" s="11" t="n">
        <v>45817</v>
      </c>
      <c r="D176" s="11" t="n">
        <v>45845</v>
      </c>
      <c r="E176" t="n">
        <v>4</v>
      </c>
      <c r="F176" t="n">
        <v>152</v>
      </c>
      <c r="G176">
        <f>IF(AND(D176&gt;=DATE(2025,7,1),D176&lt;=DATE(2026,6,30)),1,0)</f>
        <v>1</v>
      </c>
    </row>
    <row r="177">
      <c r="A177" t="inlineStr">
        <is>
          <t>S0051</t>
        </is>
      </c>
      <c r="B177" t="inlineStr">
        <is>
          <t>FP</t>
        </is>
      </c>
      <c r="C177" s="11" t="n">
        <v>45845</v>
      </c>
      <c r="D177" s="11" t="n">
        <v>45873</v>
      </c>
      <c r="E177" t="n">
        <v>4</v>
      </c>
      <c r="F177" t="n">
        <v>152</v>
      </c>
      <c r="G177">
        <f>IF(AND(D177&gt;=DATE(2025,7,1),D177&lt;=DATE(2026,6,30)),1,0)</f>
        <v>1</v>
      </c>
    </row>
    <row r="178">
      <c r="A178" t="inlineStr">
        <is>
          <t>S0051</t>
        </is>
      </c>
      <c r="B178" t="inlineStr">
        <is>
          <t>FP</t>
        </is>
      </c>
      <c r="C178" s="11" t="n">
        <v>45873</v>
      </c>
      <c r="D178" s="11" t="n">
        <v>45901</v>
      </c>
      <c r="E178" t="n">
        <v>4</v>
      </c>
      <c r="F178" t="n">
        <v>152</v>
      </c>
      <c r="G178">
        <f>IF(AND(D178&gt;=DATE(2025,7,1),D178&lt;=DATE(2026,6,30)),1,0)</f>
        <v>1</v>
      </c>
    </row>
    <row r="179">
      <c r="A179" t="inlineStr">
        <is>
          <t>S0051</t>
        </is>
      </c>
      <c r="B179" t="inlineStr">
        <is>
          <t>FP</t>
        </is>
      </c>
      <c r="C179" s="11" t="n">
        <v>45901</v>
      </c>
      <c r="D179" s="11" t="n">
        <v>45905</v>
      </c>
      <c r="E179" t="n">
        <v>1</v>
      </c>
      <c r="F179" t="n">
        <v>38</v>
      </c>
      <c r="G179">
        <f>IF(AND(D179&gt;=DATE(2025,7,1),D179&lt;=DATE(2026,6,30)),1,0)</f>
        <v>1</v>
      </c>
    </row>
    <row r="180">
      <c r="A180" t="inlineStr">
        <is>
          <t>S0052</t>
        </is>
      </c>
      <c r="B180" t="inlineStr">
        <is>
          <t>FP</t>
        </is>
      </c>
      <c r="C180" s="11" t="n">
        <v>46087</v>
      </c>
      <c r="D180" s="11" t="n">
        <v>46115</v>
      </c>
      <c r="E180" t="n">
        <v>4</v>
      </c>
      <c r="F180" t="n">
        <v>428</v>
      </c>
      <c r="G180">
        <f>IF(AND(D180&gt;=DATE(2025,7,1),D180&lt;=DATE(2026,6,30)),1,0)</f>
        <v>1</v>
      </c>
    </row>
    <row r="181">
      <c r="A181" t="inlineStr">
        <is>
          <t>S0052</t>
        </is>
      </c>
      <c r="B181" t="inlineStr">
        <is>
          <t>FP</t>
        </is>
      </c>
      <c r="C181" s="11" t="n">
        <v>46115</v>
      </c>
      <c r="D181" s="11" t="n">
        <v>46143</v>
      </c>
      <c r="E181" t="n">
        <v>4</v>
      </c>
      <c r="F181" t="n">
        <v>428</v>
      </c>
      <c r="G181">
        <f>IF(AND(D181&gt;=DATE(2025,7,1),D181&lt;=DATE(2026,6,30)),1,0)</f>
        <v>1</v>
      </c>
    </row>
    <row r="182">
      <c r="A182" t="inlineStr">
        <is>
          <t>S0052</t>
        </is>
      </c>
      <c r="B182" t="inlineStr">
        <is>
          <t>FP</t>
        </is>
      </c>
      <c r="C182" s="11" t="n">
        <v>46143</v>
      </c>
      <c r="D182" s="11" t="n">
        <v>46171</v>
      </c>
      <c r="E182" t="n">
        <v>4</v>
      </c>
      <c r="F182" t="n">
        <v>428</v>
      </c>
      <c r="G182">
        <f>IF(AND(D182&gt;=DATE(2025,7,1),D182&lt;=DATE(2026,6,30)),1,0)</f>
        <v>1</v>
      </c>
    </row>
    <row r="183">
      <c r="A183" t="inlineStr">
        <is>
          <t>S0052</t>
        </is>
      </c>
      <c r="B183" t="inlineStr">
        <is>
          <t>FP</t>
        </is>
      </c>
      <c r="C183" s="11" t="n">
        <v>46171</v>
      </c>
      <c r="D183" s="11" t="n">
        <v>46199</v>
      </c>
      <c r="E183" t="n">
        <v>4</v>
      </c>
      <c r="F183" t="n">
        <v>428</v>
      </c>
      <c r="G183">
        <f>IF(AND(D183&gt;=DATE(2025,7,1),D183&lt;=DATE(2026,6,30)),1,0)</f>
        <v>1</v>
      </c>
    </row>
    <row r="184">
      <c r="A184" t="inlineStr">
        <is>
          <t>S0053</t>
        </is>
      </c>
      <c r="B184" t="inlineStr">
        <is>
          <t>FP</t>
        </is>
      </c>
      <c r="C184" s="11" t="n">
        <v>45918</v>
      </c>
      <c r="D184" s="11" t="n">
        <v>45946</v>
      </c>
      <c r="E184" t="n">
        <v>4</v>
      </c>
      <c r="F184" t="n">
        <v>572</v>
      </c>
      <c r="G184">
        <f>IF(AND(D184&gt;=DATE(2025,7,1),D184&lt;=DATE(2026,6,30)),1,0)</f>
        <v>1</v>
      </c>
    </row>
    <row r="185">
      <c r="A185" t="inlineStr">
        <is>
          <t>S0053</t>
        </is>
      </c>
      <c r="B185" t="inlineStr">
        <is>
          <t>FP</t>
        </is>
      </c>
      <c r="C185" s="11" t="n">
        <v>45946</v>
      </c>
      <c r="D185" s="11" t="n">
        <v>45974</v>
      </c>
      <c r="E185" t="n">
        <v>4</v>
      </c>
      <c r="F185" t="n">
        <v>572</v>
      </c>
      <c r="G185">
        <f>IF(AND(D185&gt;=DATE(2025,7,1),D185&lt;=DATE(2026,6,30)),1,0)</f>
        <v>1</v>
      </c>
    </row>
    <row r="186">
      <c r="A186" t="inlineStr">
        <is>
          <t>S0053</t>
        </is>
      </c>
      <c r="B186" t="inlineStr">
        <is>
          <t>FP</t>
        </is>
      </c>
      <c r="C186" s="11" t="n">
        <v>45974</v>
      </c>
      <c r="D186" s="11" t="n">
        <v>46002</v>
      </c>
      <c r="E186" t="n">
        <v>4</v>
      </c>
      <c r="F186" t="n">
        <v>572</v>
      </c>
      <c r="G186">
        <f>IF(AND(D186&gt;=DATE(2025,7,1),D186&lt;=DATE(2026,6,30)),1,0)</f>
        <v>1</v>
      </c>
    </row>
    <row r="187">
      <c r="A187" t="inlineStr">
        <is>
          <t>S0053</t>
        </is>
      </c>
      <c r="B187" t="inlineStr">
        <is>
          <t>FP</t>
        </is>
      </c>
      <c r="C187" s="11" t="n">
        <v>46002</v>
      </c>
      <c r="D187" s="11" t="n">
        <v>46030</v>
      </c>
      <c r="E187" t="n">
        <v>4</v>
      </c>
      <c r="F187" t="n">
        <v>572</v>
      </c>
      <c r="G187">
        <f>IF(AND(D187&gt;=DATE(2025,7,1),D187&lt;=DATE(2026,6,30)),1,0)</f>
        <v>1</v>
      </c>
    </row>
    <row r="188">
      <c r="A188" t="inlineStr">
        <is>
          <t>S0053</t>
        </is>
      </c>
      <c r="B188" t="inlineStr">
        <is>
          <t>FP</t>
        </is>
      </c>
      <c r="C188" s="11" t="n">
        <v>46030</v>
      </c>
      <c r="D188" s="11" t="n">
        <v>46058</v>
      </c>
      <c r="E188" t="n">
        <v>4</v>
      </c>
      <c r="F188" t="n">
        <v>572</v>
      </c>
      <c r="G188">
        <f>IF(AND(D188&gt;=DATE(2025,7,1),D188&lt;=DATE(2026,6,30)),1,0)</f>
        <v>1</v>
      </c>
    </row>
    <row r="189">
      <c r="A189" t="inlineStr">
        <is>
          <t>S0053</t>
        </is>
      </c>
      <c r="B189" t="inlineStr">
        <is>
          <t>FP</t>
        </is>
      </c>
      <c r="C189" s="11" t="n">
        <v>46058</v>
      </c>
      <c r="D189" s="11" t="n">
        <v>46086</v>
      </c>
      <c r="E189" t="n">
        <v>4</v>
      </c>
      <c r="F189" t="n">
        <v>572</v>
      </c>
      <c r="G189">
        <f>IF(AND(D189&gt;=DATE(2025,7,1),D189&lt;=DATE(2026,6,30)),1,0)</f>
        <v>1</v>
      </c>
    </row>
    <row r="190">
      <c r="A190" t="inlineStr">
        <is>
          <t>S0053</t>
        </is>
      </c>
      <c r="B190" t="inlineStr">
        <is>
          <t>FP</t>
        </is>
      </c>
      <c r="C190" s="11" t="n">
        <v>46086</v>
      </c>
      <c r="D190" s="11" t="n">
        <v>46114</v>
      </c>
      <c r="E190" t="n">
        <v>4</v>
      </c>
      <c r="F190" t="n">
        <v>572</v>
      </c>
      <c r="G190">
        <f>IF(AND(D190&gt;=DATE(2025,7,1),D190&lt;=DATE(2026,6,30)),1,0)</f>
        <v>1</v>
      </c>
    </row>
    <row r="191">
      <c r="A191" t="inlineStr">
        <is>
          <t>S0053</t>
        </is>
      </c>
      <c r="B191" t="inlineStr">
        <is>
          <t>FP</t>
        </is>
      </c>
      <c r="C191" s="11" t="n">
        <v>46114</v>
      </c>
      <c r="D191" s="11" t="n">
        <v>46142</v>
      </c>
      <c r="E191" t="n">
        <v>4</v>
      </c>
      <c r="F191" t="n">
        <v>572</v>
      </c>
      <c r="G191">
        <f>IF(AND(D191&gt;=DATE(2025,7,1),D191&lt;=DATE(2026,6,30)),1,0)</f>
        <v>1</v>
      </c>
    </row>
    <row r="192">
      <c r="A192" t="inlineStr">
        <is>
          <t>S0053</t>
        </is>
      </c>
      <c r="B192" t="inlineStr">
        <is>
          <t>FP</t>
        </is>
      </c>
      <c r="C192" s="11" t="n">
        <v>46142</v>
      </c>
      <c r="D192" s="11" t="n">
        <v>46158</v>
      </c>
      <c r="E192" t="n">
        <v>3</v>
      </c>
      <c r="F192" t="n">
        <v>429</v>
      </c>
      <c r="G192">
        <f>IF(AND(D192&gt;=DATE(2025,7,1),D192&lt;=DATE(2026,6,30)),1,0)</f>
        <v>1</v>
      </c>
    </row>
    <row r="193">
      <c r="A193" t="inlineStr">
        <is>
          <t>S0054</t>
        </is>
      </c>
      <c r="B193" t="inlineStr">
        <is>
          <t>BR</t>
        </is>
      </c>
      <c r="C193" s="11" t="n">
        <v>45875</v>
      </c>
      <c r="D193" s="11" t="n">
        <v>45903</v>
      </c>
      <c r="E193" t="n">
        <v>4</v>
      </c>
      <c r="F193" t="n">
        <v>92</v>
      </c>
      <c r="G193">
        <f>IF(AND(D193&gt;=DATE(2025,7,1),D193&lt;=DATE(2026,6,30)),1,0)</f>
        <v>1</v>
      </c>
    </row>
    <row r="194">
      <c r="A194" t="inlineStr">
        <is>
          <t>S0054</t>
        </is>
      </c>
      <c r="B194" t="inlineStr">
        <is>
          <t>BR</t>
        </is>
      </c>
      <c r="C194" s="11" t="n">
        <v>45903</v>
      </c>
      <c r="D194" s="11" t="n">
        <v>45931</v>
      </c>
      <c r="E194" t="n">
        <v>4</v>
      </c>
      <c r="F194" t="n">
        <v>92</v>
      </c>
      <c r="G194">
        <f>IF(AND(D194&gt;=DATE(2025,7,1),D194&lt;=DATE(2026,6,30)),1,0)</f>
        <v>1</v>
      </c>
    </row>
    <row r="195">
      <c r="A195" t="inlineStr">
        <is>
          <t>S0054</t>
        </is>
      </c>
      <c r="B195" t="inlineStr">
        <is>
          <t>BR</t>
        </is>
      </c>
      <c r="C195" s="11" t="n">
        <v>45931</v>
      </c>
      <c r="D195" s="11" t="n">
        <v>45959</v>
      </c>
      <c r="E195" t="n">
        <v>4</v>
      </c>
      <c r="F195" t="n">
        <v>92</v>
      </c>
      <c r="G195">
        <f>IF(AND(D195&gt;=DATE(2025,7,1),D195&lt;=DATE(2026,6,30)),1,0)</f>
        <v>1</v>
      </c>
    </row>
    <row r="196">
      <c r="A196" t="inlineStr">
        <is>
          <t>S0054</t>
        </is>
      </c>
      <c r="B196" t="inlineStr">
        <is>
          <t>FP</t>
        </is>
      </c>
      <c r="C196" s="11" t="n">
        <v>45875</v>
      </c>
      <c r="D196" s="11" t="n">
        <v>45903</v>
      </c>
      <c r="E196" t="n">
        <v>4</v>
      </c>
      <c r="F196" t="n">
        <v>112</v>
      </c>
      <c r="G196">
        <f>IF(AND(D196&gt;=DATE(2025,7,1),D196&lt;=DATE(2026,6,30)),1,0)</f>
        <v>1</v>
      </c>
    </row>
    <row r="197">
      <c r="A197" t="inlineStr">
        <is>
          <t>S0054</t>
        </is>
      </c>
      <c r="B197" t="inlineStr">
        <is>
          <t>FP</t>
        </is>
      </c>
      <c r="C197" s="11" t="n">
        <v>45903</v>
      </c>
      <c r="D197" s="11" t="n">
        <v>45931</v>
      </c>
      <c r="E197" t="n">
        <v>4</v>
      </c>
      <c r="F197" t="n">
        <v>112</v>
      </c>
      <c r="G197">
        <f>IF(AND(D197&gt;=DATE(2025,7,1),D197&lt;=DATE(2026,6,30)),1,0)</f>
        <v>1</v>
      </c>
    </row>
    <row r="198">
      <c r="A198" t="inlineStr">
        <is>
          <t>S0054</t>
        </is>
      </c>
      <c r="B198" t="inlineStr">
        <is>
          <t>FP</t>
        </is>
      </c>
      <c r="C198" s="11" t="n">
        <v>45931</v>
      </c>
      <c r="D198" s="11" t="n">
        <v>45959</v>
      </c>
      <c r="E198" t="n">
        <v>4</v>
      </c>
      <c r="F198" t="n">
        <v>112</v>
      </c>
      <c r="G198">
        <f>IF(AND(D198&gt;=DATE(2025,7,1),D198&lt;=DATE(2026,6,30)),1,0)</f>
        <v>1</v>
      </c>
    </row>
    <row r="199">
      <c r="A199" t="inlineStr">
        <is>
          <t>S0055</t>
        </is>
      </c>
      <c r="B199" t="inlineStr">
        <is>
          <t>BR</t>
        </is>
      </c>
      <c r="C199" s="11" t="n">
        <v>45832</v>
      </c>
      <c r="D199" s="11" t="n">
        <v>45860</v>
      </c>
      <c r="E199" t="n">
        <v>4</v>
      </c>
      <c r="F199" t="n">
        <v>88</v>
      </c>
      <c r="G199">
        <f>IF(AND(D199&gt;=DATE(2025,7,1),D199&lt;=DATE(2026,6,30)),1,0)</f>
        <v>1</v>
      </c>
    </row>
    <row r="200">
      <c r="A200" t="inlineStr">
        <is>
          <t>S0055</t>
        </is>
      </c>
      <c r="B200" t="inlineStr">
        <is>
          <t>BR</t>
        </is>
      </c>
      <c r="C200" s="11" t="n">
        <v>45860</v>
      </c>
      <c r="D200" s="11" t="n">
        <v>45888</v>
      </c>
      <c r="E200" t="n">
        <v>4</v>
      </c>
      <c r="F200" t="n">
        <v>88</v>
      </c>
      <c r="G200">
        <f>IF(AND(D200&gt;=DATE(2025,7,1),D200&lt;=DATE(2026,6,30)),1,0)</f>
        <v>1</v>
      </c>
    </row>
    <row r="201">
      <c r="A201" t="inlineStr">
        <is>
          <t>S0055</t>
        </is>
      </c>
      <c r="B201" t="inlineStr">
        <is>
          <t>BR</t>
        </is>
      </c>
      <c r="C201" s="11" t="n">
        <v>45888</v>
      </c>
      <c r="D201" s="11" t="n">
        <v>45901</v>
      </c>
      <c r="E201" t="n">
        <v>2</v>
      </c>
      <c r="F201" t="n">
        <v>44</v>
      </c>
      <c r="G201">
        <f>IF(AND(D201&gt;=DATE(2025,7,1),D201&lt;=DATE(2026,6,30)),1,0)</f>
        <v>1</v>
      </c>
    </row>
    <row r="202">
      <c r="A202" t="inlineStr">
        <is>
          <t>S0055</t>
        </is>
      </c>
      <c r="B202" t="inlineStr">
        <is>
          <t>FP</t>
        </is>
      </c>
      <c r="C202" s="11" t="n">
        <v>45832</v>
      </c>
      <c r="D202" s="11" t="n">
        <v>45860</v>
      </c>
      <c r="E202" t="n">
        <v>4</v>
      </c>
      <c r="F202" t="n">
        <v>364</v>
      </c>
      <c r="G202">
        <f>IF(AND(D202&gt;=DATE(2025,7,1),D202&lt;=DATE(2026,6,30)),1,0)</f>
        <v>1</v>
      </c>
    </row>
    <row r="203">
      <c r="A203" t="inlineStr">
        <is>
          <t>S0055</t>
        </is>
      </c>
      <c r="B203" t="inlineStr">
        <is>
          <t>FP</t>
        </is>
      </c>
      <c r="C203" s="11" t="n">
        <v>45860</v>
      </c>
      <c r="D203" s="11" t="n">
        <v>45888</v>
      </c>
      <c r="E203" t="n">
        <v>4</v>
      </c>
      <c r="F203" t="n">
        <v>364</v>
      </c>
      <c r="G203">
        <f>IF(AND(D203&gt;=DATE(2025,7,1),D203&lt;=DATE(2026,6,30)),1,0)</f>
        <v>1</v>
      </c>
    </row>
    <row r="204">
      <c r="A204" t="inlineStr">
        <is>
          <t>S0055</t>
        </is>
      </c>
      <c r="B204" t="inlineStr">
        <is>
          <t>FP</t>
        </is>
      </c>
      <c r="C204" s="11" t="n">
        <v>45888</v>
      </c>
      <c r="D204" s="11" t="n">
        <v>45901</v>
      </c>
      <c r="E204" t="n">
        <v>2</v>
      </c>
      <c r="F204" t="n">
        <v>182</v>
      </c>
      <c r="G204">
        <f>IF(AND(D204&gt;=DATE(2025,7,1),D204&lt;=DATE(2026,6,30)),1,0)</f>
        <v>1</v>
      </c>
    </row>
    <row r="205">
      <c r="A205" t="inlineStr">
        <is>
          <t>S0056</t>
        </is>
      </c>
      <c r="B205" t="inlineStr">
        <is>
          <t>BR</t>
        </is>
      </c>
      <c r="C205" s="11" t="n">
        <v>46152</v>
      </c>
      <c r="D205" s="11" t="n">
        <v>46180</v>
      </c>
      <c r="E205" t="n">
        <v>4</v>
      </c>
      <c r="F205" t="n">
        <v>36</v>
      </c>
      <c r="G205">
        <f>IF(AND(D205&gt;=DATE(2025,7,1),D205&lt;=DATE(2026,6,30)),1,0)</f>
        <v>1</v>
      </c>
    </row>
    <row r="206">
      <c r="A206" t="inlineStr">
        <is>
          <t>S0056</t>
        </is>
      </c>
      <c r="B206" t="inlineStr">
        <is>
          <t>FP</t>
        </is>
      </c>
      <c r="C206" s="11" t="n">
        <v>46152</v>
      </c>
      <c r="D206" s="11" t="n">
        <v>46180</v>
      </c>
      <c r="E206" t="n">
        <v>4</v>
      </c>
      <c r="F206" t="n">
        <v>204</v>
      </c>
      <c r="G206">
        <f>IF(AND(D206&gt;=DATE(2025,7,1),D206&lt;=DATE(2026,6,30)),1,0)</f>
        <v>1</v>
      </c>
    </row>
    <row r="207">
      <c r="A207" t="inlineStr">
        <is>
          <t>S0057</t>
        </is>
      </c>
      <c r="B207" t="inlineStr">
        <is>
          <t>FP</t>
        </is>
      </c>
      <c r="C207" s="11" t="n">
        <v>46053</v>
      </c>
      <c r="D207" s="11" t="n">
        <v>46081</v>
      </c>
      <c r="E207" t="n">
        <v>4</v>
      </c>
      <c r="F207" t="n">
        <v>532</v>
      </c>
      <c r="G207">
        <f>IF(AND(D207&gt;=DATE(2025,7,1),D207&lt;=DATE(2026,6,30)),1,0)</f>
        <v>1</v>
      </c>
    </row>
    <row r="208">
      <c r="A208" t="inlineStr">
        <is>
          <t>S0057</t>
        </is>
      </c>
      <c r="B208" t="inlineStr">
        <is>
          <t>FP</t>
        </is>
      </c>
      <c r="C208" s="11" t="n">
        <v>46081</v>
      </c>
      <c r="D208" s="11" t="n">
        <v>46109</v>
      </c>
      <c r="E208" t="n">
        <v>4</v>
      </c>
      <c r="F208" t="n">
        <v>532</v>
      </c>
      <c r="G208">
        <f>IF(AND(D208&gt;=DATE(2025,7,1),D208&lt;=DATE(2026,6,30)),1,0)</f>
        <v>1</v>
      </c>
    </row>
    <row r="209">
      <c r="A209" t="inlineStr">
        <is>
          <t>S0057</t>
        </is>
      </c>
      <c r="B209" t="inlineStr">
        <is>
          <t>FP</t>
        </is>
      </c>
      <c r="C209" s="11" t="n">
        <v>46109</v>
      </c>
      <c r="D209" s="11" t="n">
        <v>46137</v>
      </c>
      <c r="E209" t="n">
        <v>4</v>
      </c>
      <c r="F209" t="n">
        <v>532</v>
      </c>
      <c r="G209">
        <f>IF(AND(D209&gt;=DATE(2025,7,1),D209&lt;=DATE(2026,6,30)),1,0)</f>
        <v>1</v>
      </c>
    </row>
    <row r="210">
      <c r="A210" t="inlineStr">
        <is>
          <t>S0057</t>
        </is>
      </c>
      <c r="B210" t="inlineStr">
        <is>
          <t>FP</t>
        </is>
      </c>
      <c r="C210" s="11" t="n">
        <v>46137</v>
      </c>
      <c r="D210" s="11" t="n">
        <v>46165</v>
      </c>
      <c r="E210" t="n">
        <v>4</v>
      </c>
      <c r="F210" t="n">
        <v>532</v>
      </c>
      <c r="G210">
        <f>IF(AND(D210&gt;=DATE(2025,7,1),D210&lt;=DATE(2026,6,30)),1,0)</f>
        <v>1</v>
      </c>
    </row>
    <row r="211">
      <c r="A211" t="inlineStr">
        <is>
          <t>S0057</t>
        </is>
      </c>
      <c r="B211" t="inlineStr">
        <is>
          <t>FP</t>
        </is>
      </c>
      <c r="C211" s="11" t="n">
        <v>46165</v>
      </c>
      <c r="D211" s="11" t="n">
        <v>46193</v>
      </c>
      <c r="E211" t="n">
        <v>4</v>
      </c>
      <c r="F211" t="n">
        <v>532</v>
      </c>
      <c r="G211">
        <f>IF(AND(D211&gt;=DATE(2025,7,1),D211&lt;=DATE(2026,6,30)),1,0)</f>
        <v>1</v>
      </c>
    </row>
    <row r="212">
      <c r="A212" t="inlineStr">
        <is>
          <t>S0059</t>
        </is>
      </c>
      <c r="B212" t="inlineStr">
        <is>
          <t>FP</t>
        </is>
      </c>
      <c r="C212" s="11" t="n">
        <v>45845</v>
      </c>
      <c r="D212" s="11" t="n">
        <v>45853</v>
      </c>
      <c r="E212" t="n">
        <v>2</v>
      </c>
      <c r="F212" t="n">
        <v>270</v>
      </c>
      <c r="G212">
        <f>IF(AND(D212&gt;=DATE(2025,7,1),D212&lt;=DATE(2026,6,30)),1,0)</f>
        <v>1</v>
      </c>
    </row>
    <row r="213">
      <c r="A213" t="inlineStr">
        <is>
          <t>S0060</t>
        </is>
      </c>
      <c r="B213" t="inlineStr">
        <is>
          <t>BR</t>
        </is>
      </c>
      <c r="C213" s="11" t="n">
        <v>46175</v>
      </c>
      <c r="D213" s="11" t="n">
        <v>46203</v>
      </c>
      <c r="E213" t="n">
        <v>4</v>
      </c>
      <c r="F213" t="n">
        <v>76</v>
      </c>
      <c r="G213">
        <f>IF(AND(D213&gt;=DATE(2025,7,1),D213&lt;=DATE(2026,6,30)),1,0)</f>
        <v>1</v>
      </c>
    </row>
    <row r="214">
      <c r="A214" t="inlineStr">
        <is>
          <t>S0060</t>
        </is>
      </c>
      <c r="B214" t="inlineStr">
        <is>
          <t>FP</t>
        </is>
      </c>
      <c r="C214" s="11" t="n">
        <v>46175</v>
      </c>
      <c r="D214" s="11" t="n">
        <v>46203</v>
      </c>
      <c r="E214" t="n">
        <v>4</v>
      </c>
      <c r="F214" t="n">
        <v>144</v>
      </c>
      <c r="G214">
        <f>IF(AND(D214&gt;=DATE(2025,7,1),D214&lt;=DATE(2026,6,30)),1,0)</f>
        <v>1</v>
      </c>
    </row>
    <row r="215">
      <c r="A215" t="inlineStr">
        <is>
          <t>S0061</t>
        </is>
      </c>
      <c r="B215" t="inlineStr">
        <is>
          <t>BR</t>
        </is>
      </c>
      <c r="C215" s="11" t="n">
        <v>45974</v>
      </c>
      <c r="D215" s="11" t="n">
        <v>46002</v>
      </c>
      <c r="E215" t="n">
        <v>4</v>
      </c>
      <c r="F215" t="n">
        <v>48</v>
      </c>
      <c r="G215">
        <f>IF(AND(D215&gt;=DATE(2025,7,1),D215&lt;=DATE(2026,6,30)),1,0)</f>
        <v>1</v>
      </c>
    </row>
    <row r="216">
      <c r="A216" t="inlineStr">
        <is>
          <t>S0061</t>
        </is>
      </c>
      <c r="B216" t="inlineStr">
        <is>
          <t>BR</t>
        </is>
      </c>
      <c r="C216" s="11" t="n">
        <v>46002</v>
      </c>
      <c r="D216" s="11" t="n">
        <v>46030</v>
      </c>
      <c r="E216" t="n">
        <v>4</v>
      </c>
      <c r="F216" t="n">
        <v>48</v>
      </c>
      <c r="G216">
        <f>IF(AND(D216&gt;=DATE(2025,7,1),D216&lt;=DATE(2026,6,30)),1,0)</f>
        <v>1</v>
      </c>
    </row>
    <row r="217">
      <c r="A217" t="inlineStr">
        <is>
          <t>S0061</t>
        </is>
      </c>
      <c r="B217" t="inlineStr">
        <is>
          <t>BR</t>
        </is>
      </c>
      <c r="C217" s="11" t="n">
        <v>46030</v>
      </c>
      <c r="D217" s="11" t="n">
        <v>46048</v>
      </c>
      <c r="E217" t="n">
        <v>3</v>
      </c>
      <c r="F217" t="n">
        <v>36</v>
      </c>
      <c r="G217">
        <f>IF(AND(D217&gt;=DATE(2025,7,1),D217&lt;=DATE(2026,6,30)),1,0)</f>
        <v>1</v>
      </c>
    </row>
    <row r="218">
      <c r="A218" t="inlineStr">
        <is>
          <t>S0061</t>
        </is>
      </c>
      <c r="B218" t="inlineStr">
        <is>
          <t>FP</t>
        </is>
      </c>
      <c r="C218" s="11" t="n">
        <v>45974</v>
      </c>
      <c r="D218" s="11" t="n">
        <v>46002</v>
      </c>
      <c r="E218" t="n">
        <v>4</v>
      </c>
      <c r="F218" t="n">
        <v>508</v>
      </c>
      <c r="G218">
        <f>IF(AND(D218&gt;=DATE(2025,7,1),D218&lt;=DATE(2026,6,30)),1,0)</f>
        <v>1</v>
      </c>
    </row>
    <row r="219">
      <c r="A219" t="inlineStr">
        <is>
          <t>S0061</t>
        </is>
      </c>
      <c r="B219" t="inlineStr">
        <is>
          <t>FP</t>
        </is>
      </c>
      <c r="C219" s="11" t="n">
        <v>46002</v>
      </c>
      <c r="D219" s="11" t="n">
        <v>46030</v>
      </c>
      <c r="E219" t="n">
        <v>4</v>
      </c>
      <c r="F219" t="n">
        <v>508</v>
      </c>
      <c r="G219">
        <f>IF(AND(D219&gt;=DATE(2025,7,1),D219&lt;=DATE(2026,6,30)),1,0)</f>
        <v>1</v>
      </c>
    </row>
    <row r="220">
      <c r="A220" t="inlineStr">
        <is>
          <t>S0061</t>
        </is>
      </c>
      <c r="B220" t="inlineStr">
        <is>
          <t>FP</t>
        </is>
      </c>
      <c r="C220" s="11" t="n">
        <v>46030</v>
      </c>
      <c r="D220" s="11" t="n">
        <v>46048</v>
      </c>
      <c r="E220" t="n">
        <v>3</v>
      </c>
      <c r="F220" t="n">
        <v>381</v>
      </c>
      <c r="G220">
        <f>IF(AND(D220&gt;=DATE(2025,7,1),D220&lt;=DATE(2026,6,30)),1,0)</f>
        <v>1</v>
      </c>
    </row>
    <row r="221">
      <c r="A221" t="inlineStr">
        <is>
          <t>S0062</t>
        </is>
      </c>
      <c r="B221" t="inlineStr">
        <is>
          <t>BR</t>
        </is>
      </c>
      <c r="C221" s="11" t="n">
        <v>45902</v>
      </c>
      <c r="D221" s="11" t="n">
        <v>45930</v>
      </c>
      <c r="E221" t="n">
        <v>4</v>
      </c>
      <c r="F221" t="n">
        <v>76</v>
      </c>
      <c r="G221">
        <f>IF(AND(D221&gt;=DATE(2025,7,1),D221&lt;=DATE(2026,6,30)),1,0)</f>
        <v>1</v>
      </c>
    </row>
    <row r="222">
      <c r="A222" t="inlineStr">
        <is>
          <t>S0062</t>
        </is>
      </c>
      <c r="B222" t="inlineStr">
        <is>
          <t>BR</t>
        </is>
      </c>
      <c r="C222" s="11" t="n">
        <v>45930</v>
      </c>
      <c r="D222" s="11" t="n">
        <v>45958</v>
      </c>
      <c r="E222" t="n">
        <v>4</v>
      </c>
      <c r="F222" t="n">
        <v>76</v>
      </c>
      <c r="G222">
        <f>IF(AND(D222&gt;=DATE(2025,7,1),D222&lt;=DATE(2026,6,30)),1,0)</f>
        <v>1</v>
      </c>
    </row>
    <row r="223">
      <c r="A223" t="inlineStr">
        <is>
          <t>S0062</t>
        </is>
      </c>
      <c r="B223" t="inlineStr">
        <is>
          <t>BR</t>
        </is>
      </c>
      <c r="C223" s="11" t="n">
        <v>45958</v>
      </c>
      <c r="D223" s="11" t="n">
        <v>45986</v>
      </c>
      <c r="E223" t="n">
        <v>4</v>
      </c>
      <c r="F223" t="n">
        <v>76</v>
      </c>
      <c r="G223">
        <f>IF(AND(D223&gt;=DATE(2025,7,1),D223&lt;=DATE(2026,6,30)),1,0)</f>
        <v>1</v>
      </c>
    </row>
    <row r="224">
      <c r="A224" t="inlineStr">
        <is>
          <t>S0062</t>
        </is>
      </c>
      <c r="B224" t="inlineStr">
        <is>
          <t>BR</t>
        </is>
      </c>
      <c r="C224" s="11" t="n">
        <v>45986</v>
      </c>
      <c r="D224" s="11" t="n">
        <v>46014</v>
      </c>
      <c r="E224" t="n">
        <v>4</v>
      </c>
      <c r="F224" t="n">
        <v>76</v>
      </c>
      <c r="G224">
        <f>IF(AND(D224&gt;=DATE(2025,7,1),D224&lt;=DATE(2026,6,30)),1,0)</f>
        <v>1</v>
      </c>
    </row>
    <row r="225">
      <c r="A225" t="inlineStr">
        <is>
          <t>S0062</t>
        </is>
      </c>
      <c r="B225" t="inlineStr">
        <is>
          <t>BR</t>
        </is>
      </c>
      <c r="C225" s="11" t="n">
        <v>46014</v>
      </c>
      <c r="D225" s="11" t="n">
        <v>46042</v>
      </c>
      <c r="E225" t="n">
        <v>4</v>
      </c>
      <c r="F225" t="n">
        <v>76</v>
      </c>
      <c r="G225">
        <f>IF(AND(D225&gt;=DATE(2025,7,1),D225&lt;=DATE(2026,6,30)),1,0)</f>
        <v>1</v>
      </c>
    </row>
    <row r="226">
      <c r="A226" t="inlineStr">
        <is>
          <t>S0062</t>
        </is>
      </c>
      <c r="B226" t="inlineStr">
        <is>
          <t>BR</t>
        </is>
      </c>
      <c r="C226" s="11" t="n">
        <v>46042</v>
      </c>
      <c r="D226" s="11" t="n">
        <v>46070</v>
      </c>
      <c r="E226" t="n">
        <v>4</v>
      </c>
      <c r="F226" t="n">
        <v>76</v>
      </c>
      <c r="G226">
        <f>IF(AND(D226&gt;=DATE(2025,7,1),D226&lt;=DATE(2026,6,30)),1,0)</f>
        <v>1</v>
      </c>
    </row>
    <row r="227">
      <c r="A227" t="inlineStr">
        <is>
          <t>S0062</t>
        </is>
      </c>
      <c r="B227" t="inlineStr">
        <is>
          <t>BR</t>
        </is>
      </c>
      <c r="C227" s="11" t="n">
        <v>46070</v>
      </c>
      <c r="D227" s="11" t="n">
        <v>46098</v>
      </c>
      <c r="E227" t="n">
        <v>4</v>
      </c>
      <c r="F227" t="n">
        <v>76</v>
      </c>
      <c r="G227">
        <f>IF(AND(D227&gt;=DATE(2025,7,1),D227&lt;=DATE(2026,6,30)),1,0)</f>
        <v>1</v>
      </c>
    </row>
    <row r="228">
      <c r="A228" t="inlineStr">
        <is>
          <t>S0062</t>
        </is>
      </c>
      <c r="B228" t="inlineStr">
        <is>
          <t>BR</t>
        </is>
      </c>
      <c r="C228" s="11" t="n">
        <v>46098</v>
      </c>
      <c r="D228" s="11" t="n">
        <v>46126</v>
      </c>
      <c r="E228" t="n">
        <v>4</v>
      </c>
      <c r="F228" t="n">
        <v>76</v>
      </c>
      <c r="G228">
        <f>IF(AND(D228&gt;=DATE(2025,7,1),D228&lt;=DATE(2026,6,30)),1,0)</f>
        <v>1</v>
      </c>
    </row>
    <row r="229">
      <c r="A229" t="inlineStr">
        <is>
          <t>S0062</t>
        </is>
      </c>
      <c r="B229" t="inlineStr">
        <is>
          <t>BR</t>
        </is>
      </c>
      <c r="C229" s="11" t="n">
        <v>46126</v>
      </c>
      <c r="D229" s="11" t="n">
        <v>46144</v>
      </c>
      <c r="E229" t="n">
        <v>3</v>
      </c>
      <c r="F229" t="n">
        <v>57</v>
      </c>
      <c r="G229">
        <f>IF(AND(D229&gt;=DATE(2025,7,1),D229&lt;=DATE(2026,6,30)),1,0)</f>
        <v>1</v>
      </c>
    </row>
    <row r="230">
      <c r="A230" t="inlineStr">
        <is>
          <t>S0062</t>
        </is>
      </c>
      <c r="B230" t="inlineStr">
        <is>
          <t>FP</t>
        </is>
      </c>
      <c r="C230" s="11" t="n">
        <v>45902</v>
      </c>
      <c r="D230" s="11" t="n">
        <v>45930</v>
      </c>
      <c r="E230" t="n">
        <v>4</v>
      </c>
      <c r="F230" t="n">
        <v>540</v>
      </c>
      <c r="G230">
        <f>IF(AND(D230&gt;=DATE(2025,7,1),D230&lt;=DATE(2026,6,30)),1,0)</f>
        <v>1</v>
      </c>
    </row>
    <row r="231">
      <c r="A231" t="inlineStr">
        <is>
          <t>S0062</t>
        </is>
      </c>
      <c r="B231" t="inlineStr">
        <is>
          <t>FP</t>
        </is>
      </c>
      <c r="C231" s="11" t="n">
        <v>45930</v>
      </c>
      <c r="D231" s="11" t="n">
        <v>45958</v>
      </c>
      <c r="E231" t="n">
        <v>4</v>
      </c>
      <c r="F231" t="n">
        <v>540</v>
      </c>
      <c r="G231">
        <f>IF(AND(D231&gt;=DATE(2025,7,1),D231&lt;=DATE(2026,6,30)),1,0)</f>
        <v>1</v>
      </c>
    </row>
    <row r="232">
      <c r="A232" t="inlineStr">
        <is>
          <t>S0062</t>
        </is>
      </c>
      <c r="B232" t="inlineStr">
        <is>
          <t>FP</t>
        </is>
      </c>
      <c r="C232" s="11" t="n">
        <v>45958</v>
      </c>
      <c r="D232" s="11" t="n">
        <v>45986</v>
      </c>
      <c r="E232" t="n">
        <v>4</v>
      </c>
      <c r="F232" t="n">
        <v>540</v>
      </c>
      <c r="G232">
        <f>IF(AND(D232&gt;=DATE(2025,7,1),D232&lt;=DATE(2026,6,30)),1,0)</f>
        <v>1</v>
      </c>
    </row>
    <row r="233">
      <c r="A233" t="inlineStr">
        <is>
          <t>S0062</t>
        </is>
      </c>
      <c r="B233" t="inlineStr">
        <is>
          <t>FP</t>
        </is>
      </c>
      <c r="C233" s="11" t="n">
        <v>45986</v>
      </c>
      <c r="D233" s="11" t="n">
        <v>46014</v>
      </c>
      <c r="E233" t="n">
        <v>4</v>
      </c>
      <c r="F233" t="n">
        <v>540</v>
      </c>
      <c r="G233">
        <f>IF(AND(D233&gt;=DATE(2025,7,1),D233&lt;=DATE(2026,6,30)),1,0)</f>
        <v>1</v>
      </c>
    </row>
    <row r="234">
      <c r="A234" t="inlineStr">
        <is>
          <t>S0062</t>
        </is>
      </c>
      <c r="B234" t="inlineStr">
        <is>
          <t>FP</t>
        </is>
      </c>
      <c r="C234" s="11" t="n">
        <v>46014</v>
      </c>
      <c r="D234" s="11" t="n">
        <v>46042</v>
      </c>
      <c r="E234" t="n">
        <v>4</v>
      </c>
      <c r="F234" t="n">
        <v>540</v>
      </c>
      <c r="G234">
        <f>IF(AND(D234&gt;=DATE(2025,7,1),D234&lt;=DATE(2026,6,30)),1,0)</f>
        <v>1</v>
      </c>
    </row>
    <row r="235">
      <c r="A235" t="inlineStr">
        <is>
          <t>S0062</t>
        </is>
      </c>
      <c r="B235" t="inlineStr">
        <is>
          <t>FP</t>
        </is>
      </c>
      <c r="C235" s="11" t="n">
        <v>46042</v>
      </c>
      <c r="D235" s="11" t="n">
        <v>46070</v>
      </c>
      <c r="E235" t="n">
        <v>4</v>
      </c>
      <c r="F235" t="n">
        <v>558</v>
      </c>
      <c r="G235">
        <f>IF(AND(D235&gt;=DATE(2025,7,1),D235&lt;=DATE(2026,6,30)),1,0)</f>
        <v>1</v>
      </c>
    </row>
    <row r="236">
      <c r="A236" t="inlineStr">
        <is>
          <t>S0062</t>
        </is>
      </c>
      <c r="B236" t="inlineStr">
        <is>
          <t>FP</t>
        </is>
      </c>
      <c r="C236" s="11" t="n">
        <v>46070</v>
      </c>
      <c r="D236" s="11" t="n">
        <v>46098</v>
      </c>
      <c r="E236" t="n">
        <v>4</v>
      </c>
      <c r="F236" t="n">
        <v>576</v>
      </c>
      <c r="G236">
        <f>IF(AND(D236&gt;=DATE(2025,7,1),D236&lt;=DATE(2026,6,30)),1,0)</f>
        <v>1</v>
      </c>
    </row>
    <row r="237">
      <c r="A237" t="inlineStr">
        <is>
          <t>S0062</t>
        </is>
      </c>
      <c r="B237" t="inlineStr">
        <is>
          <t>FP</t>
        </is>
      </c>
      <c r="C237" s="11" t="n">
        <v>46098</v>
      </c>
      <c r="D237" s="11" t="n">
        <v>46126</v>
      </c>
      <c r="E237" t="n">
        <v>4</v>
      </c>
      <c r="F237" t="n">
        <v>244</v>
      </c>
      <c r="G237">
        <f>IF(AND(D237&gt;=DATE(2025,7,1),D237&lt;=DATE(2026,6,30)),1,0)</f>
        <v>1</v>
      </c>
    </row>
    <row r="238">
      <c r="A238" t="inlineStr">
        <is>
          <t>S0062</t>
        </is>
      </c>
      <c r="B238" t="inlineStr">
        <is>
          <t>FP</t>
        </is>
      </c>
      <c r="C238" s="11" t="n">
        <v>46126</v>
      </c>
      <c r="D238" s="11" t="n">
        <v>46144</v>
      </c>
      <c r="E238" t="n">
        <v>3</v>
      </c>
      <c r="F238" t="n">
        <v>183</v>
      </c>
      <c r="G238">
        <f>IF(AND(D238&gt;=DATE(2025,7,1),D238&lt;=DATE(2026,6,30)),1,0)</f>
        <v>1</v>
      </c>
    </row>
    <row r="239">
      <c r="A239" t="inlineStr">
        <is>
          <t>S0063</t>
        </is>
      </c>
      <c r="B239" t="inlineStr">
        <is>
          <t>FP</t>
        </is>
      </c>
      <c r="C239" s="11" t="n">
        <v>45909</v>
      </c>
      <c r="D239" s="11" t="n">
        <v>45936</v>
      </c>
      <c r="E239" t="n">
        <v>4</v>
      </c>
      <c r="F239" t="n">
        <v>128</v>
      </c>
      <c r="G239">
        <f>IF(AND(D239&gt;=DATE(2025,7,1),D239&lt;=DATE(2026,6,30)),1,0)</f>
        <v>1</v>
      </c>
    </row>
    <row r="240">
      <c r="A240" t="inlineStr">
        <is>
          <t>S0064</t>
        </is>
      </c>
      <c r="B240" t="inlineStr">
        <is>
          <t>BR</t>
        </is>
      </c>
      <c r="C240" s="11" t="n">
        <v>46152</v>
      </c>
      <c r="D240" s="11" t="n">
        <v>46180</v>
      </c>
      <c r="E240" t="n">
        <v>4</v>
      </c>
      <c r="F240" t="n">
        <v>80</v>
      </c>
      <c r="G240">
        <f>IF(AND(D240&gt;=DATE(2025,7,1),D240&lt;=DATE(2026,6,30)),1,0)</f>
        <v>1</v>
      </c>
    </row>
    <row r="241">
      <c r="A241" t="inlineStr">
        <is>
          <t>S0064</t>
        </is>
      </c>
      <c r="B241" t="inlineStr">
        <is>
          <t>FP</t>
        </is>
      </c>
      <c r="C241" s="11" t="n">
        <v>46152</v>
      </c>
      <c r="D241" s="11" t="n">
        <v>46180</v>
      </c>
      <c r="E241" t="n">
        <v>4</v>
      </c>
      <c r="F241" t="n">
        <v>168</v>
      </c>
      <c r="G241">
        <f>IF(AND(D241&gt;=DATE(2025,7,1),D241&lt;=DATE(2026,6,30)),1,0)</f>
        <v>1</v>
      </c>
    </row>
    <row r="242">
      <c r="A242" t="inlineStr">
        <is>
          <t>S0065</t>
        </is>
      </c>
      <c r="B242" t="inlineStr">
        <is>
          <t>FP</t>
        </is>
      </c>
      <c r="C242" s="11" t="n">
        <v>45864</v>
      </c>
      <c r="D242" s="11" t="n">
        <v>45892</v>
      </c>
      <c r="E242" t="n">
        <v>4</v>
      </c>
      <c r="F242" t="n">
        <v>520</v>
      </c>
      <c r="G242">
        <f>IF(AND(D242&gt;=DATE(2025,7,1),D242&lt;=DATE(2026,6,30)),1,0)</f>
        <v>1</v>
      </c>
    </row>
    <row r="243">
      <c r="A243" t="inlineStr">
        <is>
          <t>S0065</t>
        </is>
      </c>
      <c r="B243" t="inlineStr">
        <is>
          <t>FP</t>
        </is>
      </c>
      <c r="C243" s="11" t="n">
        <v>45892</v>
      </c>
      <c r="D243" s="11" t="n">
        <v>45920</v>
      </c>
      <c r="E243" t="n">
        <v>4</v>
      </c>
      <c r="F243" t="n">
        <v>520</v>
      </c>
      <c r="G243">
        <f>IF(AND(D243&gt;=DATE(2025,7,1),D243&lt;=DATE(2026,6,30)),1,0)</f>
        <v>1</v>
      </c>
    </row>
    <row r="244">
      <c r="A244" t="inlineStr">
        <is>
          <t>S0065</t>
        </is>
      </c>
      <c r="B244" t="inlineStr">
        <is>
          <t>FP</t>
        </is>
      </c>
      <c r="C244" s="11" t="n">
        <v>45920</v>
      </c>
      <c r="D244" s="11" t="n">
        <v>45948</v>
      </c>
      <c r="E244" t="n">
        <v>4</v>
      </c>
      <c r="F244" t="n">
        <v>520</v>
      </c>
      <c r="G244">
        <f>IF(AND(D244&gt;=DATE(2025,7,1),D244&lt;=DATE(2026,6,30)),1,0)</f>
        <v>1</v>
      </c>
    </row>
    <row r="245">
      <c r="A245" t="inlineStr">
        <is>
          <t>S0065</t>
        </is>
      </c>
      <c r="B245" t="inlineStr">
        <is>
          <t>FP</t>
        </is>
      </c>
      <c r="C245" s="11" t="n">
        <v>45948</v>
      </c>
      <c r="D245" s="11" t="n">
        <v>45976</v>
      </c>
      <c r="E245" t="n">
        <v>4</v>
      </c>
      <c r="F245" t="n">
        <v>520</v>
      </c>
      <c r="G245">
        <f>IF(AND(D245&gt;=DATE(2025,7,1),D245&lt;=DATE(2026,6,30)),1,0)</f>
        <v>1</v>
      </c>
    </row>
    <row r="246">
      <c r="A246" t="inlineStr">
        <is>
          <t>S0065</t>
        </is>
      </c>
      <c r="B246" t="inlineStr">
        <is>
          <t>FP</t>
        </is>
      </c>
      <c r="C246" s="11" t="n">
        <v>45976</v>
      </c>
      <c r="D246" s="11" t="n">
        <v>46004</v>
      </c>
      <c r="E246" t="n">
        <v>4</v>
      </c>
      <c r="F246" t="n">
        <v>520</v>
      </c>
      <c r="G246">
        <f>IF(AND(D246&gt;=DATE(2025,7,1),D246&lt;=DATE(2026,6,30)),1,0)</f>
        <v>1</v>
      </c>
    </row>
    <row r="247">
      <c r="A247" t="inlineStr">
        <is>
          <t>S0065</t>
        </is>
      </c>
      <c r="B247" t="inlineStr">
        <is>
          <t>FP</t>
        </is>
      </c>
      <c r="C247" s="11" t="n">
        <v>46004</v>
      </c>
      <c r="D247" s="11" t="n">
        <v>46032</v>
      </c>
      <c r="E247" t="n">
        <v>4</v>
      </c>
      <c r="F247" t="n">
        <v>520</v>
      </c>
      <c r="G247">
        <f>IF(AND(D247&gt;=DATE(2025,7,1),D247&lt;=DATE(2026,6,30)),1,0)</f>
        <v>1</v>
      </c>
    </row>
    <row r="248">
      <c r="A248" t="inlineStr">
        <is>
          <t>S0065</t>
        </is>
      </c>
      <c r="B248" t="inlineStr">
        <is>
          <t>FP</t>
        </is>
      </c>
      <c r="C248" s="11" t="n">
        <v>46032</v>
      </c>
      <c r="D248" s="11" t="n">
        <v>46044</v>
      </c>
      <c r="E248" t="n">
        <v>2</v>
      </c>
      <c r="F248" t="n">
        <v>172</v>
      </c>
      <c r="G248">
        <f>IF(AND(D248&gt;=DATE(2025,7,1),D248&lt;=DATE(2026,6,30)),1,0)</f>
        <v>1</v>
      </c>
    </row>
    <row r="249">
      <c r="A249" t="inlineStr">
        <is>
          <t>S0066</t>
        </is>
      </c>
      <c r="B249" t="inlineStr">
        <is>
          <t>FP</t>
        </is>
      </c>
      <c r="C249" s="11" t="n">
        <v>46009</v>
      </c>
      <c r="D249" s="11" t="n">
        <v>46037</v>
      </c>
      <c r="E249" t="n">
        <v>4</v>
      </c>
      <c r="F249" t="n">
        <v>312</v>
      </c>
      <c r="G249">
        <f>IF(AND(D249&gt;=DATE(2025,7,1),D249&lt;=DATE(2026,6,30)),1,0)</f>
        <v>1</v>
      </c>
    </row>
    <row r="250">
      <c r="A250" t="inlineStr">
        <is>
          <t>S0066</t>
        </is>
      </c>
      <c r="B250" t="inlineStr">
        <is>
          <t>FP</t>
        </is>
      </c>
      <c r="C250" s="11" t="n">
        <v>46037</v>
      </c>
      <c r="D250" s="11" t="n">
        <v>46065</v>
      </c>
      <c r="E250" t="n">
        <v>4</v>
      </c>
      <c r="F250" t="n">
        <v>312</v>
      </c>
      <c r="G250">
        <f>IF(AND(D250&gt;=DATE(2025,7,1),D250&lt;=DATE(2026,6,30)),1,0)</f>
        <v>1</v>
      </c>
    </row>
    <row r="251">
      <c r="A251" t="inlineStr">
        <is>
          <t>S0066</t>
        </is>
      </c>
      <c r="B251" t="inlineStr">
        <is>
          <t>FP</t>
        </is>
      </c>
      <c r="C251" s="11" t="n">
        <v>46065</v>
      </c>
      <c r="D251" s="11" t="n">
        <v>46093</v>
      </c>
      <c r="E251" t="n">
        <v>4</v>
      </c>
      <c r="F251" t="n">
        <v>321</v>
      </c>
      <c r="G251">
        <f>IF(AND(D251&gt;=DATE(2025,7,1),D251&lt;=DATE(2026,6,30)),1,0)</f>
        <v>1</v>
      </c>
    </row>
    <row r="252">
      <c r="A252" t="inlineStr">
        <is>
          <t>S0066</t>
        </is>
      </c>
      <c r="B252" t="inlineStr">
        <is>
          <t>FP</t>
        </is>
      </c>
      <c r="C252" s="11" t="n">
        <v>46093</v>
      </c>
      <c r="D252" s="11" t="n">
        <v>46119</v>
      </c>
      <c r="E252" t="n">
        <v>4</v>
      </c>
      <c r="F252" t="n">
        <v>348</v>
      </c>
      <c r="G252">
        <f>IF(AND(D252&gt;=DATE(2025,7,1),D252&lt;=DATE(2026,6,30)),1,0)</f>
        <v>1</v>
      </c>
    </row>
    <row r="253">
      <c r="A253" t="inlineStr">
        <is>
          <t>S0067</t>
        </is>
      </c>
      <c r="B253" t="inlineStr">
        <is>
          <t>FP</t>
        </is>
      </c>
      <c r="C253" s="11" t="n">
        <v>45858</v>
      </c>
      <c r="D253" s="11" t="n">
        <v>45885</v>
      </c>
      <c r="E253" t="n">
        <v>4</v>
      </c>
      <c r="F253" t="n">
        <v>544</v>
      </c>
      <c r="G253">
        <f>IF(AND(D253&gt;=DATE(2025,7,1),D253&lt;=DATE(2026,6,30)),1,0)</f>
        <v>1</v>
      </c>
    </row>
    <row r="254">
      <c r="A254" t="inlineStr">
        <is>
          <t>S0068</t>
        </is>
      </c>
      <c r="B254" t="inlineStr">
        <is>
          <t>FP</t>
        </is>
      </c>
      <c r="C254" s="11" t="n">
        <v>45867</v>
      </c>
      <c r="D254" s="11" t="n">
        <v>45895</v>
      </c>
      <c r="E254" t="n">
        <v>4</v>
      </c>
      <c r="F254" t="n">
        <v>152</v>
      </c>
      <c r="G254">
        <f>IF(AND(D254&gt;=DATE(2025,7,1),D254&lt;=DATE(2026,6,30)),1,0)</f>
        <v>1</v>
      </c>
    </row>
    <row r="255">
      <c r="A255" t="inlineStr">
        <is>
          <t>S0068</t>
        </is>
      </c>
      <c r="B255" t="inlineStr">
        <is>
          <t>FP</t>
        </is>
      </c>
      <c r="C255" s="11" t="n">
        <v>45895</v>
      </c>
      <c r="D255" s="11" t="n">
        <v>45923</v>
      </c>
      <c r="E255" t="n">
        <v>4</v>
      </c>
      <c r="F255" t="n">
        <v>152</v>
      </c>
      <c r="G255">
        <f>IF(AND(D255&gt;=DATE(2025,7,1),D255&lt;=DATE(2026,6,30)),1,0)</f>
        <v>1</v>
      </c>
    </row>
    <row r="256">
      <c r="A256" t="inlineStr">
        <is>
          <t>S0068</t>
        </is>
      </c>
      <c r="B256" t="inlineStr">
        <is>
          <t>FP</t>
        </is>
      </c>
      <c r="C256" s="11" t="n">
        <v>45923</v>
      </c>
      <c r="D256" s="11" t="n">
        <v>45951</v>
      </c>
      <c r="E256" t="n">
        <v>4</v>
      </c>
      <c r="F256" t="n">
        <v>152</v>
      </c>
      <c r="G256">
        <f>IF(AND(D256&gt;=DATE(2025,7,1),D256&lt;=DATE(2026,6,30)),1,0)</f>
        <v>1</v>
      </c>
    </row>
    <row r="257">
      <c r="A257" t="inlineStr">
        <is>
          <t>S0068</t>
        </is>
      </c>
      <c r="B257" t="inlineStr">
        <is>
          <t>FP</t>
        </is>
      </c>
      <c r="C257" s="11" t="n">
        <v>45951</v>
      </c>
      <c r="D257" s="11" t="n">
        <v>45979</v>
      </c>
      <c r="E257" t="n">
        <v>4</v>
      </c>
      <c r="F257" t="n">
        <v>152</v>
      </c>
      <c r="G257">
        <f>IF(AND(D257&gt;=DATE(2025,7,1),D257&lt;=DATE(2026,6,30)),1,0)</f>
        <v>1</v>
      </c>
    </row>
    <row r="258">
      <c r="A258" t="inlineStr">
        <is>
          <t>S0068</t>
        </is>
      </c>
      <c r="B258" t="inlineStr">
        <is>
          <t>FP</t>
        </is>
      </c>
      <c r="C258" s="11" t="n">
        <v>45979</v>
      </c>
      <c r="D258" s="11" t="n">
        <v>45982</v>
      </c>
      <c r="E258" t="n">
        <v>1</v>
      </c>
      <c r="F258" t="n">
        <v>38</v>
      </c>
      <c r="G258">
        <f>IF(AND(D258&gt;=DATE(2025,7,1),D258&lt;=DATE(2026,6,30)),1,0)</f>
        <v>1</v>
      </c>
    </row>
    <row r="259">
      <c r="A259" t="inlineStr">
        <is>
          <t>S0069</t>
        </is>
      </c>
      <c r="B259" t="inlineStr">
        <is>
          <t>FP</t>
        </is>
      </c>
      <c r="C259" s="11" t="n">
        <v>46067</v>
      </c>
      <c r="D259" s="11" t="n">
        <v>46095</v>
      </c>
      <c r="E259" t="n">
        <v>4</v>
      </c>
      <c r="F259" t="n">
        <v>156</v>
      </c>
      <c r="G259">
        <f>IF(AND(D259&gt;=DATE(2025,7,1),D259&lt;=DATE(2026,6,30)),1,0)</f>
        <v>1</v>
      </c>
    </row>
    <row r="260">
      <c r="A260" t="inlineStr">
        <is>
          <t>S0069</t>
        </is>
      </c>
      <c r="B260" t="inlineStr">
        <is>
          <t>FP</t>
        </is>
      </c>
      <c r="C260" s="11" t="n">
        <v>46095</v>
      </c>
      <c r="D260" s="11" t="n">
        <v>46123</v>
      </c>
      <c r="E260" t="n">
        <v>4</v>
      </c>
      <c r="F260" t="n">
        <v>156</v>
      </c>
      <c r="G260">
        <f>IF(AND(D260&gt;=DATE(2025,7,1),D260&lt;=DATE(2026,6,30)),1,0)</f>
        <v>1</v>
      </c>
    </row>
    <row r="261">
      <c r="A261" t="inlineStr">
        <is>
          <t>S0070</t>
        </is>
      </c>
      <c r="B261" t="inlineStr">
        <is>
          <t>FP</t>
        </is>
      </c>
      <c r="C261" s="11" t="n">
        <v>46149</v>
      </c>
      <c r="D261" s="11" t="n">
        <v>46177</v>
      </c>
      <c r="E261" t="n">
        <v>4</v>
      </c>
      <c r="F261" t="n">
        <v>116</v>
      </c>
      <c r="G261">
        <f>IF(AND(D261&gt;=DATE(2025,7,1),D261&lt;=DATE(2026,6,30)),1,0)</f>
        <v>1</v>
      </c>
    </row>
    <row r="262">
      <c r="A262" t="inlineStr">
        <is>
          <t>S0071</t>
        </is>
      </c>
      <c r="B262" t="inlineStr">
        <is>
          <t>FP</t>
        </is>
      </c>
      <c r="C262" s="11" t="n">
        <v>46109</v>
      </c>
      <c r="D262" s="11" t="n">
        <v>46124</v>
      </c>
      <c r="E262" t="n">
        <v>3</v>
      </c>
      <c r="F262" t="n">
        <v>246</v>
      </c>
      <c r="G262">
        <f>IF(AND(D262&gt;=DATE(2025,7,1),D262&lt;=DATE(2026,6,30)),1,0)</f>
        <v>1</v>
      </c>
    </row>
    <row r="263">
      <c r="A263" t="inlineStr">
        <is>
          <t>S0072</t>
        </is>
      </c>
      <c r="B263" t="inlineStr">
        <is>
          <t>FP</t>
        </is>
      </c>
      <c r="C263" s="11" t="n">
        <v>45935</v>
      </c>
      <c r="D263" s="11" t="n">
        <v>45955</v>
      </c>
      <c r="E263" t="n">
        <v>3</v>
      </c>
      <c r="F263" t="n">
        <v>189</v>
      </c>
      <c r="G263">
        <f>IF(AND(D263&gt;=DATE(2025,7,1),D263&lt;=DATE(2026,6,30)),1,0)</f>
        <v>1</v>
      </c>
    </row>
    <row r="264">
      <c r="A264" t="inlineStr">
        <is>
          <t>S0073</t>
        </is>
      </c>
      <c r="B264" t="inlineStr">
        <is>
          <t>BR</t>
        </is>
      </c>
      <c r="C264" s="11" t="n">
        <v>46143</v>
      </c>
      <c r="D264" s="11" t="n">
        <v>46171</v>
      </c>
      <c r="E264" t="n">
        <v>4</v>
      </c>
      <c r="F264" t="n">
        <v>92</v>
      </c>
      <c r="G264">
        <f>IF(AND(D264&gt;=DATE(2025,7,1),D264&lt;=DATE(2026,6,30)),1,0)</f>
        <v>1</v>
      </c>
    </row>
    <row r="265">
      <c r="A265" t="inlineStr">
        <is>
          <t>S0073</t>
        </is>
      </c>
      <c r="B265" t="inlineStr">
        <is>
          <t>BR</t>
        </is>
      </c>
      <c r="C265" s="11" t="n">
        <v>46171</v>
      </c>
      <c r="D265" s="11" t="n">
        <v>46199</v>
      </c>
      <c r="E265" t="n">
        <v>4</v>
      </c>
      <c r="F265" t="n">
        <v>92</v>
      </c>
      <c r="G265">
        <f>IF(AND(D265&gt;=DATE(2025,7,1),D265&lt;=DATE(2026,6,30)),1,0)</f>
        <v>1</v>
      </c>
    </row>
    <row r="266">
      <c r="A266" t="inlineStr">
        <is>
          <t>S0073</t>
        </is>
      </c>
      <c r="B266" t="inlineStr">
        <is>
          <t>FP</t>
        </is>
      </c>
      <c r="C266" s="11" t="n">
        <v>46143</v>
      </c>
      <c r="D266" s="11" t="n">
        <v>46171</v>
      </c>
      <c r="E266" t="n">
        <v>4</v>
      </c>
      <c r="F266" t="n">
        <v>280</v>
      </c>
      <c r="G266">
        <f>IF(AND(D266&gt;=DATE(2025,7,1),D266&lt;=DATE(2026,6,30)),1,0)</f>
        <v>1</v>
      </c>
    </row>
    <row r="267">
      <c r="A267" t="inlineStr">
        <is>
          <t>S0073</t>
        </is>
      </c>
      <c r="B267" t="inlineStr">
        <is>
          <t>FP</t>
        </is>
      </c>
      <c r="C267" s="11" t="n">
        <v>46171</v>
      </c>
      <c r="D267" s="11" t="n">
        <v>46199</v>
      </c>
      <c r="E267" t="n">
        <v>4</v>
      </c>
      <c r="F267" t="n">
        <v>280</v>
      </c>
      <c r="G267">
        <f>IF(AND(D267&gt;=DATE(2025,7,1),D267&lt;=DATE(2026,6,30)),1,0)</f>
        <v>1</v>
      </c>
    </row>
    <row r="268">
      <c r="A268" t="inlineStr">
        <is>
          <t>S0074</t>
        </is>
      </c>
      <c r="B268" t="inlineStr">
        <is>
          <t>FP</t>
        </is>
      </c>
      <c r="C268" s="11" t="n">
        <v>45838</v>
      </c>
      <c r="D268" s="11" t="n">
        <v>45866</v>
      </c>
      <c r="E268" t="n">
        <v>4</v>
      </c>
      <c r="F268" t="n">
        <v>419</v>
      </c>
      <c r="G268">
        <f>IF(AND(D268&gt;=DATE(2025,7,1),D268&lt;=DATE(2026,6,30)),1,0)</f>
        <v>1</v>
      </c>
    </row>
    <row r="269">
      <c r="A269" t="inlineStr">
        <is>
          <t>S0074</t>
        </is>
      </c>
      <c r="B269" t="inlineStr">
        <is>
          <t>FP</t>
        </is>
      </c>
      <c r="C269" s="11" t="n">
        <v>45866</v>
      </c>
      <c r="D269" s="11" t="n">
        <v>45894</v>
      </c>
      <c r="E269" t="n">
        <v>4</v>
      </c>
      <c r="F269" t="n">
        <v>428</v>
      </c>
      <c r="G269">
        <f>IF(AND(D269&gt;=DATE(2025,7,1),D269&lt;=DATE(2026,6,30)),1,0)</f>
        <v>1</v>
      </c>
    </row>
    <row r="270">
      <c r="A270" t="inlineStr">
        <is>
          <t>S0075</t>
        </is>
      </c>
      <c r="B270" t="inlineStr">
        <is>
          <t>BR</t>
        </is>
      </c>
      <c r="C270" s="11" t="n">
        <v>46039</v>
      </c>
      <c r="D270" s="11" t="n">
        <v>46047</v>
      </c>
      <c r="E270" t="n">
        <v>2</v>
      </c>
      <c r="F270" t="n">
        <v>8</v>
      </c>
      <c r="G270">
        <f>IF(AND(D270&gt;=DATE(2025,7,1),D270&lt;=DATE(2026,6,30)),1,0)</f>
        <v>1</v>
      </c>
    </row>
    <row r="271">
      <c r="A271" t="inlineStr">
        <is>
          <t>S0075</t>
        </is>
      </c>
      <c r="B271" t="inlineStr">
        <is>
          <t>FP</t>
        </is>
      </c>
      <c r="C271" s="11" t="n">
        <v>46039</v>
      </c>
      <c r="D271" s="11" t="n">
        <v>46047</v>
      </c>
      <c r="E271" t="n">
        <v>2</v>
      </c>
      <c r="F271" t="n">
        <v>70</v>
      </c>
      <c r="G271">
        <f>IF(AND(D271&gt;=DATE(2025,7,1),D271&lt;=DATE(2026,6,30)),1,0)</f>
        <v>1</v>
      </c>
    </row>
    <row r="272">
      <c r="A272" t="inlineStr">
        <is>
          <t>S0076</t>
        </is>
      </c>
      <c r="B272" t="inlineStr">
        <is>
          <t>FP</t>
        </is>
      </c>
      <c r="C272" s="11" t="n">
        <v>45909</v>
      </c>
      <c r="D272" s="11" t="n">
        <v>45931</v>
      </c>
      <c r="E272" t="n">
        <v>4</v>
      </c>
      <c r="F272" t="n">
        <v>76</v>
      </c>
      <c r="G272">
        <f>IF(AND(D272&gt;=DATE(2025,7,1),D272&lt;=DATE(2026,6,30)),1,0)</f>
        <v>1</v>
      </c>
    </row>
    <row r="273">
      <c r="A273" t="inlineStr">
        <is>
          <t>S0077</t>
        </is>
      </c>
      <c r="B273" t="inlineStr">
        <is>
          <t>BR</t>
        </is>
      </c>
      <c r="C273" s="11" t="n">
        <v>46082</v>
      </c>
      <c r="D273" s="11" t="n">
        <v>46110</v>
      </c>
      <c r="E273" t="n">
        <v>4</v>
      </c>
      <c r="F273" t="n">
        <v>56</v>
      </c>
      <c r="G273">
        <f>IF(AND(D273&gt;=DATE(2025,7,1),D273&lt;=DATE(2026,6,30)),1,0)</f>
        <v>1</v>
      </c>
    </row>
    <row r="274">
      <c r="A274" t="inlineStr">
        <is>
          <t>S0077</t>
        </is>
      </c>
      <c r="B274" t="inlineStr">
        <is>
          <t>BR</t>
        </is>
      </c>
      <c r="C274" s="11" t="n">
        <v>46110</v>
      </c>
      <c r="D274" s="11" t="n">
        <v>46124</v>
      </c>
      <c r="E274" t="n">
        <v>2</v>
      </c>
      <c r="F274" t="n">
        <v>28</v>
      </c>
      <c r="G274">
        <f>IF(AND(D274&gt;=DATE(2025,7,1),D274&lt;=DATE(2026,6,30)),1,0)</f>
        <v>1</v>
      </c>
    </row>
    <row r="275">
      <c r="A275" t="inlineStr">
        <is>
          <t>S0077</t>
        </is>
      </c>
      <c r="B275" t="inlineStr">
        <is>
          <t>FP</t>
        </is>
      </c>
      <c r="C275" s="11" t="n">
        <v>46082</v>
      </c>
      <c r="D275" s="11" t="n">
        <v>46110</v>
      </c>
      <c r="E275" t="n">
        <v>4</v>
      </c>
      <c r="F275" t="n">
        <v>132</v>
      </c>
      <c r="G275">
        <f>IF(AND(D275&gt;=DATE(2025,7,1),D275&lt;=DATE(2026,6,30)),1,0)</f>
        <v>1</v>
      </c>
    </row>
    <row r="276">
      <c r="A276" t="inlineStr">
        <is>
          <t>S0077</t>
        </is>
      </c>
      <c r="B276" t="inlineStr">
        <is>
          <t>FP</t>
        </is>
      </c>
      <c r="C276" s="11" t="n">
        <v>46110</v>
      </c>
      <c r="D276" s="11" t="n">
        <v>46124</v>
      </c>
      <c r="E276" t="n">
        <v>2</v>
      </c>
      <c r="F276" t="n">
        <v>66</v>
      </c>
      <c r="G276">
        <f>IF(AND(D276&gt;=DATE(2025,7,1),D276&lt;=DATE(2026,6,30)),1,0)</f>
        <v>1</v>
      </c>
    </row>
    <row r="277">
      <c r="A277" t="inlineStr">
        <is>
          <t>S0078</t>
        </is>
      </c>
      <c r="B277" t="inlineStr">
        <is>
          <t>FP</t>
        </is>
      </c>
      <c r="C277" s="11" t="n">
        <v>46107</v>
      </c>
      <c r="D277" s="11" t="n">
        <v>46135</v>
      </c>
      <c r="E277" t="n">
        <v>4</v>
      </c>
      <c r="F277" t="n">
        <v>580</v>
      </c>
      <c r="G277">
        <f>IF(AND(D277&gt;=DATE(2025,7,1),D277&lt;=DATE(2026,6,30)),1,0)</f>
        <v>1</v>
      </c>
    </row>
    <row r="278">
      <c r="A278" t="inlineStr">
        <is>
          <t>S0078</t>
        </is>
      </c>
      <c r="B278" t="inlineStr">
        <is>
          <t>FP</t>
        </is>
      </c>
      <c r="C278" s="11" t="n">
        <v>46135</v>
      </c>
      <c r="D278" s="11" t="n">
        <v>46162</v>
      </c>
      <c r="E278" t="n">
        <v>4</v>
      </c>
      <c r="F278" t="n">
        <v>580</v>
      </c>
      <c r="G278">
        <f>IF(AND(D278&gt;=DATE(2025,7,1),D278&lt;=DATE(2026,6,30)),1,0)</f>
        <v>1</v>
      </c>
    </row>
    <row r="279">
      <c r="A279" t="inlineStr">
        <is>
          <t>S0079</t>
        </is>
      </c>
      <c r="B279" t="inlineStr">
        <is>
          <t>BR</t>
        </is>
      </c>
      <c r="C279" s="11" t="n">
        <v>45890</v>
      </c>
      <c r="D279" s="11" t="n">
        <v>45917</v>
      </c>
      <c r="E279" t="n">
        <v>4</v>
      </c>
      <c r="F279" t="n">
        <v>16</v>
      </c>
      <c r="G279">
        <f>IF(AND(D279&gt;=DATE(2025,7,1),D279&lt;=DATE(2026,6,30)),1,0)</f>
        <v>1</v>
      </c>
    </row>
    <row r="280">
      <c r="A280" t="inlineStr">
        <is>
          <t>S0079</t>
        </is>
      </c>
      <c r="B280" t="inlineStr">
        <is>
          <t>FP</t>
        </is>
      </c>
      <c r="C280" s="11" t="n">
        <v>45890</v>
      </c>
      <c r="D280" s="11" t="n">
        <v>45917</v>
      </c>
      <c r="E280" t="n">
        <v>4</v>
      </c>
      <c r="F280" t="n">
        <v>360</v>
      </c>
      <c r="G280">
        <f>IF(AND(D280&gt;=DATE(2025,7,1),D280&lt;=DATE(2026,6,30)),1,0)</f>
        <v>1</v>
      </c>
    </row>
    <row r="281">
      <c r="A281" t="inlineStr">
        <is>
          <t>S0080</t>
        </is>
      </c>
      <c r="B281" t="inlineStr">
        <is>
          <t>FP</t>
        </is>
      </c>
      <c r="C281" s="11" t="n">
        <v>45838</v>
      </c>
      <c r="D281" s="11" t="n">
        <v>45852</v>
      </c>
      <c r="E281" t="n">
        <v>2</v>
      </c>
      <c r="F281" t="n">
        <v>144</v>
      </c>
      <c r="G281">
        <f>IF(AND(D281&gt;=DATE(2025,7,1),D281&lt;=DATE(2026,6,30)),1,0)</f>
        <v>1</v>
      </c>
    </row>
    <row r="282">
      <c r="A282" t="inlineStr">
        <is>
          <t>S0081</t>
        </is>
      </c>
      <c r="B282" t="inlineStr">
        <is>
          <t>FP</t>
        </is>
      </c>
      <c r="C282" s="11" t="n">
        <v>45857</v>
      </c>
      <c r="D282" s="11" t="n">
        <v>45872</v>
      </c>
      <c r="E282" t="n">
        <v>3</v>
      </c>
      <c r="F282" t="n">
        <v>345</v>
      </c>
      <c r="G282">
        <f>IF(AND(D282&gt;=DATE(2025,7,1),D282&lt;=DATE(2026,6,30)),1,0)</f>
        <v>1</v>
      </c>
    </row>
    <row r="283">
      <c r="A283" t="inlineStr">
        <is>
          <t>S0082</t>
        </is>
      </c>
      <c r="B283" t="inlineStr">
        <is>
          <t>FP</t>
        </is>
      </c>
      <c r="C283" s="11" t="n">
        <v>45923</v>
      </c>
      <c r="D283" s="11" t="n">
        <v>45951</v>
      </c>
      <c r="E283" t="n">
        <v>4</v>
      </c>
      <c r="F283" t="n">
        <v>632</v>
      </c>
      <c r="G283">
        <f>IF(AND(D283&gt;=DATE(2025,7,1),D283&lt;=DATE(2026,6,30)),1,0)</f>
        <v>1</v>
      </c>
    </row>
    <row r="284">
      <c r="A284" t="inlineStr">
        <is>
          <t>S0082</t>
        </is>
      </c>
      <c r="B284" t="inlineStr">
        <is>
          <t>FP</t>
        </is>
      </c>
      <c r="C284" s="11" t="n">
        <v>45951</v>
      </c>
      <c r="D284" s="11" t="n">
        <v>45979</v>
      </c>
      <c r="E284" t="n">
        <v>4</v>
      </c>
      <c r="F284" t="n">
        <v>632</v>
      </c>
      <c r="G284">
        <f>IF(AND(D284&gt;=DATE(2025,7,1),D284&lt;=DATE(2026,6,30)),1,0)</f>
        <v>1</v>
      </c>
    </row>
    <row r="285">
      <c r="A285" t="inlineStr">
        <is>
          <t>S0082</t>
        </is>
      </c>
      <c r="B285" t="inlineStr">
        <is>
          <t>FP</t>
        </is>
      </c>
      <c r="C285" s="11" t="n">
        <v>45979</v>
      </c>
      <c r="D285" s="11" t="n">
        <v>46007</v>
      </c>
      <c r="E285" t="n">
        <v>4</v>
      </c>
      <c r="F285" t="n">
        <v>632</v>
      </c>
      <c r="G285">
        <f>IF(AND(D285&gt;=DATE(2025,7,1),D285&lt;=DATE(2026,6,30)),1,0)</f>
        <v>1</v>
      </c>
    </row>
    <row r="286">
      <c r="A286" t="inlineStr">
        <is>
          <t>S0082</t>
        </is>
      </c>
      <c r="B286" t="inlineStr">
        <is>
          <t>FP</t>
        </is>
      </c>
      <c r="C286" s="11" t="n">
        <v>46007</v>
      </c>
      <c r="D286" s="11" t="n">
        <v>46035</v>
      </c>
      <c r="E286" t="n">
        <v>4</v>
      </c>
      <c r="F286" t="n">
        <v>632</v>
      </c>
      <c r="G286">
        <f>IF(AND(D286&gt;=DATE(2025,7,1),D286&lt;=DATE(2026,6,30)),1,0)</f>
        <v>1</v>
      </c>
    </row>
    <row r="287">
      <c r="A287" t="inlineStr">
        <is>
          <t>S0082</t>
        </is>
      </c>
      <c r="B287" t="inlineStr">
        <is>
          <t>FP</t>
        </is>
      </c>
      <c r="C287" s="11" t="n">
        <v>46035</v>
      </c>
      <c r="D287" s="11" t="n">
        <v>46063</v>
      </c>
      <c r="E287" t="n">
        <v>4</v>
      </c>
      <c r="F287" t="n">
        <v>632</v>
      </c>
      <c r="G287">
        <f>IF(AND(D287&gt;=DATE(2025,7,1),D287&lt;=DATE(2026,6,30)),1,0)</f>
        <v>1</v>
      </c>
    </row>
    <row r="288">
      <c r="A288" t="inlineStr">
        <is>
          <t>S0082</t>
        </is>
      </c>
      <c r="B288" t="inlineStr">
        <is>
          <t>FP</t>
        </is>
      </c>
      <c r="C288" s="11" t="n">
        <v>46063</v>
      </c>
      <c r="D288" s="11" t="n">
        <v>46091</v>
      </c>
      <c r="E288" t="n">
        <v>4</v>
      </c>
      <c r="F288" t="n">
        <v>632</v>
      </c>
      <c r="G288">
        <f>IF(AND(D288&gt;=DATE(2025,7,1),D288&lt;=DATE(2026,6,30)),1,0)</f>
        <v>1</v>
      </c>
    </row>
    <row r="289">
      <c r="A289" t="inlineStr">
        <is>
          <t>S0082</t>
        </is>
      </c>
      <c r="B289" t="inlineStr">
        <is>
          <t>FP</t>
        </is>
      </c>
      <c r="C289" s="11" t="n">
        <v>46091</v>
      </c>
      <c r="D289" s="11" t="n">
        <v>46106</v>
      </c>
      <c r="E289" t="n">
        <v>3</v>
      </c>
      <c r="F289" t="n">
        <v>474</v>
      </c>
      <c r="G289">
        <f>IF(AND(D289&gt;=DATE(2025,7,1),D289&lt;=DATE(2026,6,30)),1,0)</f>
        <v>1</v>
      </c>
    </row>
    <row r="290">
      <c r="A290" t="inlineStr">
        <is>
          <t>S0083</t>
        </is>
      </c>
      <c r="B290" t="inlineStr">
        <is>
          <t>FP</t>
        </is>
      </c>
      <c r="C290" s="11" t="n">
        <v>46175</v>
      </c>
      <c r="D290" s="11" t="n">
        <v>46187</v>
      </c>
      <c r="E290" t="n">
        <v>2</v>
      </c>
      <c r="F290" t="n">
        <v>222</v>
      </c>
      <c r="G290">
        <f>IF(AND(D290&gt;=DATE(2025,7,1),D290&lt;=DATE(2026,6,30)),1,0)</f>
        <v>1</v>
      </c>
    </row>
    <row r="291">
      <c r="A291" t="inlineStr">
        <is>
          <t>S0084</t>
        </is>
      </c>
      <c r="B291" t="inlineStr">
        <is>
          <t>FP</t>
        </is>
      </c>
      <c r="C291" s="11" t="n">
        <v>46064</v>
      </c>
      <c r="D291" s="11" t="n">
        <v>46092</v>
      </c>
      <c r="E291" t="n">
        <v>4</v>
      </c>
      <c r="F291" t="n">
        <v>72</v>
      </c>
      <c r="G291">
        <f>IF(AND(D291&gt;=DATE(2025,7,1),D291&lt;=DATE(2026,6,30)),1,0)</f>
        <v>1</v>
      </c>
    </row>
    <row r="292">
      <c r="A292" t="inlineStr">
        <is>
          <t>S0084</t>
        </is>
      </c>
      <c r="B292" t="inlineStr">
        <is>
          <t>FP</t>
        </is>
      </c>
      <c r="C292" s="11" t="n">
        <v>46092</v>
      </c>
      <c r="D292" s="11" t="n">
        <v>46120</v>
      </c>
      <c r="E292" t="n">
        <v>4</v>
      </c>
      <c r="F292" t="n">
        <v>72</v>
      </c>
      <c r="G292">
        <f>IF(AND(D292&gt;=DATE(2025,7,1),D292&lt;=DATE(2026,6,30)),1,0)</f>
        <v>1</v>
      </c>
    </row>
    <row r="293">
      <c r="A293" t="inlineStr">
        <is>
          <t>S0084</t>
        </is>
      </c>
      <c r="B293" t="inlineStr">
        <is>
          <t>FP</t>
        </is>
      </c>
      <c r="C293" s="11" t="n">
        <v>46120</v>
      </c>
      <c r="D293" s="11" t="n">
        <v>46148</v>
      </c>
      <c r="E293" t="n">
        <v>4</v>
      </c>
      <c r="F293" t="n">
        <v>72</v>
      </c>
      <c r="G293">
        <f>IF(AND(D293&gt;=DATE(2025,7,1),D293&lt;=DATE(2026,6,30)),1,0)</f>
        <v>1</v>
      </c>
    </row>
    <row r="294">
      <c r="A294" t="inlineStr">
        <is>
          <t>S0084</t>
        </is>
      </c>
      <c r="B294" t="inlineStr">
        <is>
          <t>FP</t>
        </is>
      </c>
      <c r="C294" s="11" t="n">
        <v>46148</v>
      </c>
      <c r="D294" s="11" t="n">
        <v>46174</v>
      </c>
      <c r="E294" t="n">
        <v>4</v>
      </c>
      <c r="F294" t="n">
        <v>72</v>
      </c>
      <c r="G294">
        <f>IF(AND(D294&gt;=DATE(2025,7,1),D294&lt;=DATE(2026,6,30)),1,0)</f>
        <v>1</v>
      </c>
    </row>
    <row r="295">
      <c r="A295" t="inlineStr">
        <is>
          <t>S0085</t>
        </is>
      </c>
      <c r="B295" t="inlineStr">
        <is>
          <t>BR</t>
        </is>
      </c>
      <c r="C295" s="11" t="n">
        <v>45842</v>
      </c>
      <c r="D295" s="11" t="n">
        <v>45870</v>
      </c>
      <c r="E295" t="n">
        <v>4</v>
      </c>
      <c r="F295" t="n">
        <v>36</v>
      </c>
      <c r="G295">
        <f>IF(AND(D295&gt;=DATE(2025,7,1),D295&lt;=DATE(2026,6,30)),1,0)</f>
        <v>1</v>
      </c>
    </row>
    <row r="296">
      <c r="A296" t="inlineStr">
        <is>
          <t>S0085</t>
        </is>
      </c>
      <c r="B296" t="inlineStr">
        <is>
          <t>BR</t>
        </is>
      </c>
      <c r="C296" s="11" t="n">
        <v>45870</v>
      </c>
      <c r="D296" s="11" t="n">
        <v>45898</v>
      </c>
      <c r="E296" t="n">
        <v>4</v>
      </c>
      <c r="F296" t="n">
        <v>36</v>
      </c>
      <c r="G296">
        <f>IF(AND(D296&gt;=DATE(2025,7,1),D296&lt;=DATE(2026,6,30)),1,0)</f>
        <v>1</v>
      </c>
    </row>
    <row r="297">
      <c r="A297" t="inlineStr">
        <is>
          <t>S0085</t>
        </is>
      </c>
      <c r="B297" t="inlineStr">
        <is>
          <t>BR</t>
        </is>
      </c>
      <c r="C297" s="11" t="n">
        <v>45898</v>
      </c>
      <c r="D297" s="11" t="n">
        <v>45926</v>
      </c>
      <c r="E297" t="n">
        <v>4</v>
      </c>
      <c r="F297" t="n">
        <v>36</v>
      </c>
      <c r="G297">
        <f>IF(AND(D297&gt;=DATE(2025,7,1),D297&lt;=DATE(2026,6,30)),1,0)</f>
        <v>1</v>
      </c>
    </row>
    <row r="298">
      <c r="A298" t="inlineStr">
        <is>
          <t>S0085</t>
        </is>
      </c>
      <c r="B298" t="inlineStr">
        <is>
          <t>BR</t>
        </is>
      </c>
      <c r="C298" s="11" t="n">
        <v>45926</v>
      </c>
      <c r="D298" s="11" t="n">
        <v>45954</v>
      </c>
      <c r="E298" t="n">
        <v>4</v>
      </c>
      <c r="F298" t="n">
        <v>36</v>
      </c>
      <c r="G298">
        <f>IF(AND(D298&gt;=DATE(2025,7,1),D298&lt;=DATE(2026,6,30)),1,0)</f>
        <v>1</v>
      </c>
    </row>
    <row r="299">
      <c r="A299" t="inlineStr">
        <is>
          <t>S0085</t>
        </is>
      </c>
      <c r="B299" t="inlineStr">
        <is>
          <t>BR</t>
        </is>
      </c>
      <c r="C299" s="11" t="n">
        <v>45954</v>
      </c>
      <c r="D299" s="11" t="n">
        <v>45982</v>
      </c>
      <c r="E299" t="n">
        <v>4</v>
      </c>
      <c r="F299" t="n">
        <v>36</v>
      </c>
      <c r="G299">
        <f>IF(AND(D299&gt;=DATE(2025,7,1),D299&lt;=DATE(2026,6,30)),1,0)</f>
        <v>1</v>
      </c>
    </row>
    <row r="300">
      <c r="A300" t="inlineStr">
        <is>
          <t>S0085</t>
        </is>
      </c>
      <c r="B300" t="inlineStr">
        <is>
          <t>BR</t>
        </is>
      </c>
      <c r="C300" s="11" t="n">
        <v>45982</v>
      </c>
      <c r="D300" s="11" t="n">
        <v>46010</v>
      </c>
      <c r="E300" t="n">
        <v>4</v>
      </c>
      <c r="F300" t="n">
        <v>36</v>
      </c>
      <c r="G300">
        <f>IF(AND(D300&gt;=DATE(2025,7,1),D300&lt;=DATE(2026,6,30)),1,0)</f>
        <v>1</v>
      </c>
    </row>
    <row r="301">
      <c r="A301" t="inlineStr">
        <is>
          <t>S0085</t>
        </is>
      </c>
      <c r="B301" t="inlineStr">
        <is>
          <t>BR</t>
        </is>
      </c>
      <c r="C301" s="11" t="n">
        <v>46010</v>
      </c>
      <c r="D301" s="11" t="n">
        <v>46038</v>
      </c>
      <c r="E301" t="n">
        <v>4</v>
      </c>
      <c r="F301" t="n">
        <v>36</v>
      </c>
      <c r="G301">
        <f>IF(AND(D301&gt;=DATE(2025,7,1),D301&lt;=DATE(2026,6,30)),1,0)</f>
        <v>1</v>
      </c>
    </row>
    <row r="302">
      <c r="A302" t="inlineStr">
        <is>
          <t>S0085</t>
        </is>
      </c>
      <c r="B302" t="inlineStr">
        <is>
          <t>BR</t>
        </is>
      </c>
      <c r="C302" s="11" t="n">
        <v>46038</v>
      </c>
      <c r="D302" s="11" t="n">
        <v>46066</v>
      </c>
      <c r="E302" t="n">
        <v>4</v>
      </c>
      <c r="F302" t="n">
        <v>36</v>
      </c>
      <c r="G302">
        <f>IF(AND(D302&gt;=DATE(2025,7,1),D302&lt;=DATE(2026,6,30)),1,0)</f>
        <v>1</v>
      </c>
    </row>
    <row r="303">
      <c r="A303" t="inlineStr">
        <is>
          <t>S0085</t>
        </is>
      </c>
      <c r="B303" t="inlineStr">
        <is>
          <t>BR</t>
        </is>
      </c>
      <c r="C303" s="11" t="n">
        <v>46066</v>
      </c>
      <c r="D303" s="11" t="n">
        <v>46081</v>
      </c>
      <c r="E303" t="n">
        <v>3</v>
      </c>
      <c r="F303" t="n">
        <v>27</v>
      </c>
      <c r="G303">
        <f>IF(AND(D303&gt;=DATE(2025,7,1),D303&lt;=DATE(2026,6,30)),1,0)</f>
        <v>1</v>
      </c>
    </row>
    <row r="304">
      <c r="A304" t="inlineStr">
        <is>
          <t>S0085</t>
        </is>
      </c>
      <c r="B304" t="inlineStr">
        <is>
          <t>FP</t>
        </is>
      </c>
      <c r="C304" s="11" t="n">
        <v>45842</v>
      </c>
      <c r="D304" s="11" t="n">
        <v>45870</v>
      </c>
      <c r="E304" t="n">
        <v>4</v>
      </c>
      <c r="F304" t="n">
        <v>564</v>
      </c>
      <c r="G304">
        <f>IF(AND(D304&gt;=DATE(2025,7,1),D304&lt;=DATE(2026,6,30)),1,0)</f>
        <v>1</v>
      </c>
    </row>
    <row r="305">
      <c r="A305" t="inlineStr">
        <is>
          <t>S0085</t>
        </is>
      </c>
      <c r="B305" t="inlineStr">
        <is>
          <t>FP</t>
        </is>
      </c>
      <c r="C305" s="11" t="n">
        <v>45870</v>
      </c>
      <c r="D305" s="11" t="n">
        <v>45898</v>
      </c>
      <c r="E305" t="n">
        <v>4</v>
      </c>
      <c r="F305" t="n">
        <v>564</v>
      </c>
      <c r="G305">
        <f>IF(AND(D305&gt;=DATE(2025,7,1),D305&lt;=DATE(2026,6,30)),1,0)</f>
        <v>1</v>
      </c>
    </row>
    <row r="306">
      <c r="A306" t="inlineStr">
        <is>
          <t>S0085</t>
        </is>
      </c>
      <c r="B306" t="inlineStr">
        <is>
          <t>FP</t>
        </is>
      </c>
      <c r="C306" s="11" t="n">
        <v>45898</v>
      </c>
      <c r="D306" s="11" t="n">
        <v>45926</v>
      </c>
      <c r="E306" t="n">
        <v>4</v>
      </c>
      <c r="F306" t="n">
        <v>564</v>
      </c>
      <c r="G306">
        <f>IF(AND(D306&gt;=DATE(2025,7,1),D306&lt;=DATE(2026,6,30)),1,0)</f>
        <v>1</v>
      </c>
    </row>
    <row r="307">
      <c r="A307" t="inlineStr">
        <is>
          <t>S0085</t>
        </is>
      </c>
      <c r="B307" t="inlineStr">
        <is>
          <t>FP</t>
        </is>
      </c>
      <c r="C307" s="11" t="n">
        <v>45926</v>
      </c>
      <c r="D307" s="11" t="n">
        <v>45954</v>
      </c>
      <c r="E307" t="n">
        <v>4</v>
      </c>
      <c r="F307" t="n">
        <v>564</v>
      </c>
      <c r="G307">
        <f>IF(AND(D307&gt;=DATE(2025,7,1),D307&lt;=DATE(2026,6,30)),1,0)</f>
        <v>1</v>
      </c>
    </row>
    <row r="308">
      <c r="A308" t="inlineStr">
        <is>
          <t>S0085</t>
        </is>
      </c>
      <c r="B308" t="inlineStr">
        <is>
          <t>FP</t>
        </is>
      </c>
      <c r="C308" s="11" t="n">
        <v>45954</v>
      </c>
      <c r="D308" s="11" t="n">
        <v>45982</v>
      </c>
      <c r="E308" t="n">
        <v>4</v>
      </c>
      <c r="F308" t="n">
        <v>408</v>
      </c>
      <c r="G308">
        <f>IF(AND(D308&gt;=DATE(2025,7,1),D308&lt;=DATE(2026,6,30)),1,0)</f>
        <v>1</v>
      </c>
    </row>
    <row r="309">
      <c r="A309" t="inlineStr">
        <is>
          <t>S0085</t>
        </is>
      </c>
      <c r="B309" t="inlineStr">
        <is>
          <t>FP</t>
        </is>
      </c>
      <c r="C309" s="11" t="n">
        <v>45982</v>
      </c>
      <c r="D309" s="11" t="n">
        <v>46010</v>
      </c>
      <c r="E309" t="n">
        <v>4</v>
      </c>
      <c r="F309" t="n">
        <v>356</v>
      </c>
      <c r="G309">
        <f>IF(AND(D309&gt;=DATE(2025,7,1),D309&lt;=DATE(2026,6,30)),1,0)</f>
        <v>1</v>
      </c>
    </row>
    <row r="310">
      <c r="A310" t="inlineStr">
        <is>
          <t>S0085</t>
        </is>
      </c>
      <c r="B310" t="inlineStr">
        <is>
          <t>FP</t>
        </is>
      </c>
      <c r="C310" s="11" t="n">
        <v>46010</v>
      </c>
      <c r="D310" s="11" t="n">
        <v>46038</v>
      </c>
      <c r="E310" t="n">
        <v>4</v>
      </c>
      <c r="F310" t="n">
        <v>356</v>
      </c>
      <c r="G310">
        <f>IF(AND(D310&gt;=DATE(2025,7,1),D310&lt;=DATE(2026,6,30)),1,0)</f>
        <v>1</v>
      </c>
    </row>
    <row r="311">
      <c r="A311" t="inlineStr">
        <is>
          <t>S0085</t>
        </is>
      </c>
      <c r="B311" t="inlineStr">
        <is>
          <t>FP</t>
        </is>
      </c>
      <c r="C311" s="11" t="n">
        <v>46038</v>
      </c>
      <c r="D311" s="11" t="n">
        <v>46066</v>
      </c>
      <c r="E311" t="n">
        <v>4</v>
      </c>
      <c r="F311" t="n">
        <v>356</v>
      </c>
      <c r="G311">
        <f>IF(AND(D311&gt;=DATE(2025,7,1),D311&lt;=DATE(2026,6,30)),1,0)</f>
        <v>1</v>
      </c>
    </row>
    <row r="312">
      <c r="A312" t="inlineStr">
        <is>
          <t>S0085</t>
        </is>
      </c>
      <c r="B312" t="inlineStr">
        <is>
          <t>FP</t>
        </is>
      </c>
      <c r="C312" s="11" t="n">
        <v>46066</v>
      </c>
      <c r="D312" s="11" t="n">
        <v>46081</v>
      </c>
      <c r="E312" t="n">
        <v>3</v>
      </c>
      <c r="F312" t="n">
        <v>267</v>
      </c>
      <c r="G312">
        <f>IF(AND(D312&gt;=DATE(2025,7,1),D312&lt;=DATE(2026,6,30)),1,0)</f>
        <v>1</v>
      </c>
    </row>
    <row r="313">
      <c r="A313" t="inlineStr">
        <is>
          <t>S0086</t>
        </is>
      </c>
      <c r="B313" t="inlineStr">
        <is>
          <t>FP</t>
        </is>
      </c>
      <c r="C313" s="11" t="n">
        <v>46159</v>
      </c>
      <c r="D313" s="11" t="n">
        <v>46187</v>
      </c>
      <c r="E313" t="n">
        <v>4</v>
      </c>
      <c r="F313" t="n">
        <v>116</v>
      </c>
      <c r="G313">
        <f>IF(AND(D313&gt;=DATE(2025,7,1),D313&lt;=DATE(2026,6,30)),1,0)</f>
        <v>1</v>
      </c>
    </row>
    <row r="314">
      <c r="A314" t="inlineStr">
        <is>
          <t>S0086</t>
        </is>
      </c>
      <c r="B314" t="inlineStr">
        <is>
          <t>FP</t>
        </is>
      </c>
      <c r="C314" s="11" t="n">
        <v>46187</v>
      </c>
      <c r="D314" s="11" t="n">
        <v>46191</v>
      </c>
      <c r="E314" t="n">
        <v>1</v>
      </c>
      <c r="F314" t="n">
        <v>29</v>
      </c>
      <c r="G314">
        <f>IF(AND(D314&gt;=DATE(2025,7,1),D314&lt;=DATE(2026,6,30)),1,0)</f>
        <v>1</v>
      </c>
    </row>
    <row r="315">
      <c r="A315" t="inlineStr">
        <is>
          <t>S0087</t>
        </is>
      </c>
      <c r="B315" t="inlineStr">
        <is>
          <t>BR</t>
        </is>
      </c>
      <c r="C315" s="11" t="n">
        <v>46060</v>
      </c>
      <c r="D315" s="11" t="n">
        <v>46088</v>
      </c>
      <c r="E315" t="n">
        <v>4</v>
      </c>
      <c r="F315" t="n">
        <v>32</v>
      </c>
      <c r="G315">
        <f>IF(AND(D315&gt;=DATE(2025,7,1),D315&lt;=DATE(2026,6,30)),1,0)</f>
        <v>1</v>
      </c>
    </row>
    <row r="316">
      <c r="A316" t="inlineStr">
        <is>
          <t>S0087</t>
        </is>
      </c>
      <c r="B316" t="inlineStr">
        <is>
          <t>FP</t>
        </is>
      </c>
      <c r="C316" s="11" t="n">
        <v>46060</v>
      </c>
      <c r="D316" s="11" t="n">
        <v>46088</v>
      </c>
      <c r="E316" t="n">
        <v>4</v>
      </c>
      <c r="F316" t="n">
        <v>404</v>
      </c>
      <c r="G316">
        <f>IF(AND(D316&gt;=DATE(2025,7,1),D316&lt;=DATE(2026,6,30)),1,0)</f>
        <v>1</v>
      </c>
    </row>
    <row r="317">
      <c r="A317" t="inlineStr">
        <is>
          <t>S0088</t>
        </is>
      </c>
      <c r="B317" t="inlineStr">
        <is>
          <t>BR</t>
        </is>
      </c>
      <c r="C317" s="11" t="n">
        <v>46107</v>
      </c>
      <c r="D317" s="11" t="n">
        <v>46115</v>
      </c>
      <c r="E317" t="n">
        <v>2</v>
      </c>
      <c r="F317" t="n">
        <v>42</v>
      </c>
      <c r="G317">
        <f>IF(AND(D317&gt;=DATE(2025,7,1),D317&lt;=DATE(2026,6,30)),1,0)</f>
        <v>1</v>
      </c>
    </row>
    <row r="318">
      <c r="A318" t="inlineStr">
        <is>
          <t>S0088</t>
        </is>
      </c>
      <c r="B318" t="inlineStr">
        <is>
          <t>FP</t>
        </is>
      </c>
      <c r="C318" s="11" t="n">
        <v>46107</v>
      </c>
      <c r="D318" s="11" t="n">
        <v>46115</v>
      </c>
      <c r="E318" t="n">
        <v>2</v>
      </c>
      <c r="F318" t="n">
        <v>88</v>
      </c>
      <c r="G318">
        <f>IF(AND(D318&gt;=DATE(2025,7,1),D318&lt;=DATE(2026,6,30)),1,0)</f>
        <v>1</v>
      </c>
    </row>
    <row r="319">
      <c r="A319" t="inlineStr">
        <is>
          <t>S0089</t>
        </is>
      </c>
      <c r="B319" t="inlineStr">
        <is>
          <t>FP</t>
        </is>
      </c>
      <c r="C319" s="11" t="n">
        <v>46096</v>
      </c>
      <c r="D319" s="11" t="n">
        <v>46124</v>
      </c>
      <c r="E319" t="n">
        <v>4</v>
      </c>
      <c r="F319" t="n">
        <v>76</v>
      </c>
      <c r="G319">
        <f>IF(AND(D319&gt;=DATE(2025,7,1),D319&lt;=DATE(2026,6,30)),1,0)</f>
        <v>1</v>
      </c>
    </row>
    <row r="320">
      <c r="A320" t="inlineStr">
        <is>
          <t>S0089</t>
        </is>
      </c>
      <c r="B320" t="inlineStr">
        <is>
          <t>FP</t>
        </is>
      </c>
      <c r="C320" s="11" t="n">
        <v>46124</v>
      </c>
      <c r="D320" s="11" t="n">
        <v>46152</v>
      </c>
      <c r="E320" t="n">
        <v>4</v>
      </c>
      <c r="F320" t="n">
        <v>76</v>
      </c>
      <c r="G320">
        <f>IF(AND(D320&gt;=DATE(2025,7,1),D320&lt;=DATE(2026,6,30)),1,0)</f>
        <v>1</v>
      </c>
    </row>
    <row r="321">
      <c r="A321" t="inlineStr">
        <is>
          <t>S0089</t>
        </is>
      </c>
      <c r="B321" t="inlineStr">
        <is>
          <t>FP</t>
        </is>
      </c>
      <c r="C321" s="11" t="n">
        <v>46152</v>
      </c>
      <c r="D321" s="11" t="n">
        <v>46180</v>
      </c>
      <c r="E321" t="n">
        <v>4</v>
      </c>
      <c r="F321" t="n">
        <v>76</v>
      </c>
      <c r="G321">
        <f>IF(AND(D321&gt;=DATE(2025,7,1),D321&lt;=DATE(2026,6,30)),1,0)</f>
        <v>1</v>
      </c>
    </row>
    <row r="322">
      <c r="A322" t="inlineStr">
        <is>
          <t>S0089</t>
        </is>
      </c>
      <c r="B322" t="inlineStr">
        <is>
          <t>FP</t>
        </is>
      </c>
      <c r="C322" s="11" t="n">
        <v>46180</v>
      </c>
      <c r="D322" s="11" t="n">
        <v>46182</v>
      </c>
      <c r="E322" t="n">
        <v>1</v>
      </c>
      <c r="F322" t="n">
        <v>19</v>
      </c>
      <c r="G322">
        <f>IF(AND(D322&gt;=DATE(2025,7,1),D322&lt;=DATE(2026,6,30)),1,0)</f>
        <v>1</v>
      </c>
    </row>
    <row r="323">
      <c r="A323" t="inlineStr">
        <is>
          <t>S0090</t>
        </is>
      </c>
      <c r="B323" t="inlineStr">
        <is>
          <t>BR</t>
        </is>
      </c>
      <c r="C323" s="11" t="n">
        <v>45853</v>
      </c>
      <c r="D323" s="11" t="n">
        <v>45881</v>
      </c>
      <c r="E323" t="n">
        <v>4</v>
      </c>
      <c r="F323" t="n">
        <v>76</v>
      </c>
      <c r="G323">
        <f>IF(AND(D323&gt;=DATE(2025,7,1),D323&lt;=DATE(2026,6,30)),1,0)</f>
        <v>1</v>
      </c>
    </row>
    <row r="324">
      <c r="A324" t="inlineStr">
        <is>
          <t>S0090</t>
        </is>
      </c>
      <c r="B324" t="inlineStr">
        <is>
          <t>BR</t>
        </is>
      </c>
      <c r="C324" s="11" t="n">
        <v>45881</v>
      </c>
      <c r="D324" s="11" t="n">
        <v>45909</v>
      </c>
      <c r="E324" t="n">
        <v>4</v>
      </c>
      <c r="F324" t="n">
        <v>76</v>
      </c>
      <c r="G324">
        <f>IF(AND(D324&gt;=DATE(2025,7,1),D324&lt;=DATE(2026,6,30)),1,0)</f>
        <v>1</v>
      </c>
    </row>
    <row r="325">
      <c r="A325" t="inlineStr">
        <is>
          <t>S0090</t>
        </is>
      </c>
      <c r="B325" t="inlineStr">
        <is>
          <t>FP</t>
        </is>
      </c>
      <c r="C325" s="11" t="n">
        <v>45853</v>
      </c>
      <c r="D325" s="11" t="n">
        <v>45881</v>
      </c>
      <c r="E325" t="n">
        <v>4</v>
      </c>
      <c r="F325" t="n">
        <v>564</v>
      </c>
      <c r="G325">
        <f>IF(AND(D325&gt;=DATE(2025,7,1),D325&lt;=DATE(2026,6,30)),1,0)</f>
        <v>1</v>
      </c>
    </row>
    <row r="326">
      <c r="A326" t="inlineStr">
        <is>
          <t>S0090</t>
        </is>
      </c>
      <c r="B326" t="inlineStr">
        <is>
          <t>FP</t>
        </is>
      </c>
      <c r="C326" s="11" t="n">
        <v>45881</v>
      </c>
      <c r="D326" s="11" t="n">
        <v>45909</v>
      </c>
      <c r="E326" t="n">
        <v>4</v>
      </c>
      <c r="F326" t="n">
        <v>564</v>
      </c>
      <c r="G326">
        <f>IF(AND(D326&gt;=DATE(2025,7,1),D326&lt;=DATE(2026,6,30)),1,0)</f>
        <v>1</v>
      </c>
    </row>
    <row r="327">
      <c r="A327" t="inlineStr">
        <is>
          <t>S0091</t>
        </is>
      </c>
      <c r="B327" t="inlineStr">
        <is>
          <t>FP</t>
        </is>
      </c>
      <c r="C327" s="11" t="n">
        <v>45839</v>
      </c>
      <c r="D327" s="11" t="n">
        <v>45867</v>
      </c>
      <c r="E327" t="n">
        <v>4</v>
      </c>
      <c r="F327" t="n">
        <v>128</v>
      </c>
      <c r="G327">
        <f>IF(AND(D327&gt;=DATE(2025,7,1),D327&lt;=DATE(2026,6,30)),1,0)</f>
        <v>1</v>
      </c>
    </row>
    <row r="328">
      <c r="A328" t="inlineStr">
        <is>
          <t>S0091</t>
        </is>
      </c>
      <c r="B328" t="inlineStr">
        <is>
          <t>FP</t>
        </is>
      </c>
      <c r="C328" s="11" t="n">
        <v>45867</v>
      </c>
      <c r="D328" s="11" t="n">
        <v>45895</v>
      </c>
      <c r="E328" t="n">
        <v>4</v>
      </c>
      <c r="F328" t="n">
        <v>128</v>
      </c>
      <c r="G328">
        <f>IF(AND(D328&gt;=DATE(2025,7,1),D328&lt;=DATE(2026,6,30)),1,0)</f>
        <v>1</v>
      </c>
    </row>
    <row r="329">
      <c r="A329" t="inlineStr">
        <is>
          <t>S0091</t>
        </is>
      </c>
      <c r="B329" t="inlineStr">
        <is>
          <t>FP</t>
        </is>
      </c>
      <c r="C329" s="11" t="n">
        <v>45895</v>
      </c>
      <c r="D329" s="11" t="n">
        <v>45913</v>
      </c>
      <c r="E329" t="n">
        <v>3</v>
      </c>
      <c r="F329" t="n">
        <v>96</v>
      </c>
      <c r="G329">
        <f>IF(AND(D329&gt;=DATE(2025,7,1),D329&lt;=DATE(2026,6,30)),1,0)</f>
        <v>1</v>
      </c>
    </row>
    <row r="330">
      <c r="A330" t="inlineStr">
        <is>
          <t>S0092</t>
        </is>
      </c>
      <c r="B330" t="inlineStr">
        <is>
          <t>FP</t>
        </is>
      </c>
      <c r="C330" s="11" t="n">
        <v>46114</v>
      </c>
      <c r="D330" s="11" t="n">
        <v>46142</v>
      </c>
      <c r="E330" t="n">
        <v>4</v>
      </c>
      <c r="F330" t="n">
        <v>416</v>
      </c>
      <c r="G330">
        <f>IF(AND(D330&gt;=DATE(2025,7,1),D330&lt;=DATE(2026,6,30)),1,0)</f>
        <v>1</v>
      </c>
    </row>
    <row r="331">
      <c r="A331" t="inlineStr">
        <is>
          <t>S0092</t>
        </is>
      </c>
      <c r="B331" t="inlineStr">
        <is>
          <t>FP</t>
        </is>
      </c>
      <c r="C331" s="11" t="n">
        <v>46142</v>
      </c>
      <c r="D331" s="11" t="n">
        <v>46170</v>
      </c>
      <c r="E331" t="n">
        <v>4</v>
      </c>
      <c r="F331" t="n">
        <v>416</v>
      </c>
      <c r="G331">
        <f>IF(AND(D331&gt;=DATE(2025,7,1),D331&lt;=DATE(2026,6,30)),1,0)</f>
        <v>1</v>
      </c>
    </row>
    <row r="332">
      <c r="A332" t="inlineStr">
        <is>
          <t>S0092</t>
        </is>
      </c>
      <c r="B332" t="inlineStr">
        <is>
          <t>FP</t>
        </is>
      </c>
      <c r="C332" s="11" t="n">
        <v>46170</v>
      </c>
      <c r="D332" s="11" t="n">
        <v>46198</v>
      </c>
      <c r="E332" t="n">
        <v>4</v>
      </c>
      <c r="F332" t="n">
        <v>416</v>
      </c>
      <c r="G332">
        <f>IF(AND(D332&gt;=DATE(2025,7,1),D332&lt;=DATE(2026,6,30)),1,0)</f>
        <v>1</v>
      </c>
    </row>
    <row r="333">
      <c r="A333" t="inlineStr">
        <is>
          <t>S0093</t>
        </is>
      </c>
      <c r="B333" t="inlineStr">
        <is>
          <t>FP</t>
        </is>
      </c>
      <c r="C333" s="11" t="n">
        <v>45843</v>
      </c>
      <c r="D333" s="11" t="n">
        <v>45862</v>
      </c>
      <c r="E333" t="n">
        <v>3</v>
      </c>
      <c r="F333" t="n">
        <v>417</v>
      </c>
      <c r="G333">
        <f>IF(AND(D333&gt;=DATE(2025,7,1),D333&lt;=DATE(2026,6,30)),1,0)</f>
        <v>1</v>
      </c>
    </row>
    <row r="334">
      <c r="A334" t="inlineStr">
        <is>
          <t>S0094</t>
        </is>
      </c>
      <c r="B334" t="inlineStr">
        <is>
          <t>FP</t>
        </is>
      </c>
      <c r="C334" s="11" t="n">
        <v>46122</v>
      </c>
      <c r="D334" s="11" t="n">
        <v>46150</v>
      </c>
      <c r="E334" t="n">
        <v>4</v>
      </c>
      <c r="F334" t="n">
        <v>460</v>
      </c>
      <c r="G334">
        <f>IF(AND(D334&gt;=DATE(2025,7,1),D334&lt;=DATE(2026,6,30)),1,0)</f>
        <v>1</v>
      </c>
    </row>
    <row r="335">
      <c r="A335" t="inlineStr">
        <is>
          <t>S0094</t>
        </is>
      </c>
      <c r="B335" t="inlineStr">
        <is>
          <t>FP</t>
        </is>
      </c>
      <c r="C335" s="11" t="n">
        <v>46150</v>
      </c>
      <c r="D335" s="11" t="n">
        <v>46165</v>
      </c>
      <c r="E335" t="n">
        <v>3</v>
      </c>
      <c r="F335" t="n">
        <v>345</v>
      </c>
      <c r="G335">
        <f>IF(AND(D335&gt;=DATE(2025,7,1),D335&lt;=DATE(2026,6,30)),1,0)</f>
        <v>1</v>
      </c>
    </row>
    <row r="336">
      <c r="A336" t="inlineStr">
        <is>
          <t>S0095</t>
        </is>
      </c>
      <c r="B336" t="inlineStr">
        <is>
          <t>FP</t>
        </is>
      </c>
      <c r="C336" s="11" t="n">
        <v>45977</v>
      </c>
      <c r="D336" s="11" t="n">
        <v>46005</v>
      </c>
      <c r="E336" t="n">
        <v>4</v>
      </c>
      <c r="F336" t="n">
        <v>516</v>
      </c>
      <c r="G336">
        <f>IF(AND(D336&gt;=DATE(2025,7,1),D336&lt;=DATE(2026,6,30)),1,0)</f>
        <v>1</v>
      </c>
    </row>
    <row r="337">
      <c r="A337" t="inlineStr">
        <is>
          <t>S0095</t>
        </is>
      </c>
      <c r="B337" t="inlineStr">
        <is>
          <t>FP</t>
        </is>
      </c>
      <c r="C337" s="11" t="n">
        <v>46005</v>
      </c>
      <c r="D337" s="11" t="n">
        <v>46033</v>
      </c>
      <c r="E337" t="n">
        <v>4</v>
      </c>
      <c r="F337" t="n">
        <v>516</v>
      </c>
      <c r="G337">
        <f>IF(AND(D337&gt;=DATE(2025,7,1),D337&lt;=DATE(2026,6,30)),1,0)</f>
        <v>1</v>
      </c>
    </row>
    <row r="338">
      <c r="A338" t="inlineStr">
        <is>
          <t>S0095</t>
        </is>
      </c>
      <c r="B338" t="inlineStr">
        <is>
          <t>FP</t>
        </is>
      </c>
      <c r="C338" s="11" t="n">
        <v>46033</v>
      </c>
      <c r="D338" s="11" t="n">
        <v>46061</v>
      </c>
      <c r="E338" t="n">
        <v>4</v>
      </c>
      <c r="F338" t="n">
        <v>516</v>
      </c>
      <c r="G338">
        <f>IF(AND(D338&gt;=DATE(2025,7,1),D338&lt;=DATE(2026,6,30)),1,0)</f>
        <v>1</v>
      </c>
    </row>
    <row r="339">
      <c r="A339" t="inlineStr">
        <is>
          <t>S0095</t>
        </is>
      </c>
      <c r="B339" t="inlineStr">
        <is>
          <t>FP</t>
        </is>
      </c>
      <c r="C339" s="11" t="n">
        <v>46061</v>
      </c>
      <c r="D339" s="11" t="n">
        <v>46089</v>
      </c>
      <c r="E339" t="n">
        <v>4</v>
      </c>
      <c r="F339" t="n">
        <v>516</v>
      </c>
      <c r="G339">
        <f>IF(AND(D339&gt;=DATE(2025,7,1),D339&lt;=DATE(2026,6,30)),1,0)</f>
        <v>1</v>
      </c>
    </row>
    <row r="340">
      <c r="A340" t="inlineStr">
        <is>
          <t>S0095</t>
        </is>
      </c>
      <c r="B340" t="inlineStr">
        <is>
          <t>FP</t>
        </is>
      </c>
      <c r="C340" s="11" t="n">
        <v>46089</v>
      </c>
      <c r="D340" s="11" t="n">
        <v>46117</v>
      </c>
      <c r="E340" t="n">
        <v>4</v>
      </c>
      <c r="F340" t="n">
        <v>516</v>
      </c>
      <c r="G340">
        <f>IF(AND(D340&gt;=DATE(2025,7,1),D340&lt;=DATE(2026,6,30)),1,0)</f>
        <v>1</v>
      </c>
    </row>
    <row r="341">
      <c r="A341" t="inlineStr">
        <is>
          <t>S0095</t>
        </is>
      </c>
      <c r="B341" t="inlineStr">
        <is>
          <t>FP</t>
        </is>
      </c>
      <c r="C341" s="11" t="n">
        <v>46117</v>
      </c>
      <c r="D341" s="11" t="n">
        <v>46145</v>
      </c>
      <c r="E341" t="n">
        <v>4</v>
      </c>
      <c r="F341" t="n">
        <v>516</v>
      </c>
      <c r="G341">
        <f>IF(AND(D341&gt;=DATE(2025,7,1),D341&lt;=DATE(2026,6,30)),1,0)</f>
        <v>1</v>
      </c>
    </row>
    <row r="342">
      <c r="A342" t="inlineStr">
        <is>
          <t>S0095</t>
        </is>
      </c>
      <c r="B342" t="inlineStr">
        <is>
          <t>FP</t>
        </is>
      </c>
      <c r="C342" s="11" t="n">
        <v>46145</v>
      </c>
      <c r="D342" s="11" t="n">
        <v>46173</v>
      </c>
      <c r="E342" t="n">
        <v>4</v>
      </c>
      <c r="F342" t="n">
        <v>516</v>
      </c>
      <c r="G342">
        <f>IF(AND(D342&gt;=DATE(2025,7,1),D342&lt;=DATE(2026,6,30)),1,0)</f>
        <v>1</v>
      </c>
    </row>
    <row r="343">
      <c r="A343" t="inlineStr">
        <is>
          <t>S0095</t>
        </is>
      </c>
      <c r="B343" t="inlineStr">
        <is>
          <t>FP</t>
        </is>
      </c>
      <c r="C343" s="11" t="n">
        <v>46173</v>
      </c>
      <c r="D343" s="11" t="n">
        <v>46201</v>
      </c>
      <c r="E343" t="n">
        <v>4</v>
      </c>
      <c r="F343" t="n">
        <v>516</v>
      </c>
      <c r="G343">
        <f>IF(AND(D343&gt;=DATE(2025,7,1),D343&lt;=DATE(2026,6,30)),1,0)</f>
        <v>1</v>
      </c>
    </row>
    <row r="344">
      <c r="A344" t="inlineStr">
        <is>
          <t>S0096</t>
        </is>
      </c>
      <c r="B344" t="inlineStr">
        <is>
          <t>FP</t>
        </is>
      </c>
      <c r="C344" s="11" t="n">
        <v>46165</v>
      </c>
      <c r="D344" s="11" t="n">
        <v>46193</v>
      </c>
      <c r="E344" t="n">
        <v>4</v>
      </c>
      <c r="F344" t="n">
        <v>352</v>
      </c>
      <c r="G344">
        <f>IF(AND(D344&gt;=DATE(2025,7,1),D344&lt;=DATE(2026,6,30)),1,0)</f>
        <v>1</v>
      </c>
    </row>
    <row r="345">
      <c r="A345" t="inlineStr">
        <is>
          <t>S0097</t>
        </is>
      </c>
      <c r="B345" t="inlineStr">
        <is>
          <t>BR</t>
        </is>
      </c>
      <c r="C345" s="11" t="n">
        <v>45857</v>
      </c>
      <c r="D345" s="11" t="n">
        <v>45885</v>
      </c>
      <c r="E345" t="n">
        <v>4</v>
      </c>
      <c r="F345" t="n">
        <v>80</v>
      </c>
      <c r="G345">
        <f>IF(AND(D345&gt;=DATE(2025,7,1),D345&lt;=DATE(2026,6,30)),1,0)</f>
        <v>1</v>
      </c>
    </row>
    <row r="346">
      <c r="A346" t="inlineStr">
        <is>
          <t>S0097</t>
        </is>
      </c>
      <c r="B346" t="inlineStr">
        <is>
          <t>BR</t>
        </is>
      </c>
      <c r="C346" s="11" t="n">
        <v>45885</v>
      </c>
      <c r="D346" s="11" t="n">
        <v>45900</v>
      </c>
      <c r="E346" t="n">
        <v>3</v>
      </c>
      <c r="F346" t="n">
        <v>60</v>
      </c>
      <c r="G346">
        <f>IF(AND(D346&gt;=DATE(2025,7,1),D346&lt;=DATE(2026,6,30)),1,0)</f>
        <v>1</v>
      </c>
    </row>
    <row r="347">
      <c r="A347" t="inlineStr">
        <is>
          <t>S0097</t>
        </is>
      </c>
      <c r="B347" t="inlineStr">
        <is>
          <t>FP</t>
        </is>
      </c>
      <c r="C347" s="11" t="n">
        <v>45857</v>
      </c>
      <c r="D347" s="11" t="n">
        <v>45885</v>
      </c>
      <c r="E347" t="n">
        <v>4</v>
      </c>
      <c r="F347" t="n">
        <v>352</v>
      </c>
      <c r="G347">
        <f>IF(AND(D347&gt;=DATE(2025,7,1),D347&lt;=DATE(2026,6,30)),1,0)</f>
        <v>1</v>
      </c>
    </row>
    <row r="348">
      <c r="A348" t="inlineStr">
        <is>
          <t>S0097</t>
        </is>
      </c>
      <c r="B348" t="inlineStr">
        <is>
          <t>FP</t>
        </is>
      </c>
      <c r="C348" s="11" t="n">
        <v>45885</v>
      </c>
      <c r="D348" s="11" t="n">
        <v>45900</v>
      </c>
      <c r="E348" t="n">
        <v>3</v>
      </c>
      <c r="F348" t="n">
        <v>264</v>
      </c>
      <c r="G348">
        <f>IF(AND(D348&gt;=DATE(2025,7,1),D348&lt;=DATE(2026,6,30)),1,0)</f>
        <v>1</v>
      </c>
    </row>
    <row r="349">
      <c r="A349" t="inlineStr">
        <is>
          <t>S0099</t>
        </is>
      </c>
      <c r="B349" t="inlineStr">
        <is>
          <t>BR</t>
        </is>
      </c>
      <c r="C349" s="11" t="n">
        <v>46048</v>
      </c>
      <c r="D349" s="11" t="n">
        <v>46076</v>
      </c>
      <c r="E349" t="n">
        <v>4</v>
      </c>
      <c r="F349" t="n">
        <v>40</v>
      </c>
      <c r="G349">
        <f>IF(AND(D349&gt;=DATE(2025,7,1),D349&lt;=DATE(2026,6,30)),1,0)</f>
        <v>1</v>
      </c>
    </row>
    <row r="350">
      <c r="A350" t="inlineStr">
        <is>
          <t>S0099</t>
        </is>
      </c>
      <c r="B350" t="inlineStr">
        <is>
          <t>BR</t>
        </is>
      </c>
      <c r="C350" s="11" t="n">
        <v>46076</v>
      </c>
      <c r="D350" s="11" t="n">
        <v>46104</v>
      </c>
      <c r="E350" t="n">
        <v>4</v>
      </c>
      <c r="F350" t="n">
        <v>40</v>
      </c>
      <c r="G350">
        <f>IF(AND(D350&gt;=DATE(2025,7,1),D350&lt;=DATE(2026,6,30)),1,0)</f>
        <v>1</v>
      </c>
    </row>
    <row r="351">
      <c r="A351" t="inlineStr">
        <is>
          <t>S0099</t>
        </is>
      </c>
      <c r="B351" t="inlineStr">
        <is>
          <t>BR</t>
        </is>
      </c>
      <c r="C351" s="11" t="n">
        <v>46104</v>
      </c>
      <c r="D351" s="11" t="n">
        <v>46132</v>
      </c>
      <c r="E351" t="n">
        <v>4</v>
      </c>
      <c r="F351" t="n">
        <v>40</v>
      </c>
      <c r="G351">
        <f>IF(AND(D351&gt;=DATE(2025,7,1),D351&lt;=DATE(2026,6,30)),1,0)</f>
        <v>1</v>
      </c>
    </row>
    <row r="352">
      <c r="A352" t="inlineStr">
        <is>
          <t>S0099</t>
        </is>
      </c>
      <c r="B352" t="inlineStr">
        <is>
          <t>BR</t>
        </is>
      </c>
      <c r="C352" s="11" t="n">
        <v>46132</v>
      </c>
      <c r="D352" s="11" t="n">
        <v>46160</v>
      </c>
      <c r="E352" t="n">
        <v>4</v>
      </c>
      <c r="F352" t="n">
        <v>40</v>
      </c>
      <c r="G352">
        <f>IF(AND(D352&gt;=DATE(2025,7,1),D352&lt;=DATE(2026,6,30)),1,0)</f>
        <v>1</v>
      </c>
    </row>
    <row r="353">
      <c r="A353" t="inlineStr">
        <is>
          <t>S0099</t>
        </is>
      </c>
      <c r="B353" t="inlineStr">
        <is>
          <t>BR</t>
        </is>
      </c>
      <c r="C353" s="11" t="n">
        <v>46160</v>
      </c>
      <c r="D353" s="11" t="n">
        <v>46188</v>
      </c>
      <c r="E353" t="n">
        <v>4</v>
      </c>
      <c r="F353" t="n">
        <v>40</v>
      </c>
      <c r="G353">
        <f>IF(AND(D353&gt;=DATE(2025,7,1),D353&lt;=DATE(2026,6,30)),1,0)</f>
        <v>1</v>
      </c>
    </row>
    <row r="354">
      <c r="A354" t="inlineStr">
        <is>
          <t>S0099</t>
        </is>
      </c>
      <c r="B354" t="inlineStr">
        <is>
          <t>FP</t>
        </is>
      </c>
      <c r="C354" s="11" t="n">
        <v>46048</v>
      </c>
      <c r="D354" s="11" t="n">
        <v>46076</v>
      </c>
      <c r="E354" t="n">
        <v>4</v>
      </c>
      <c r="F354" t="n">
        <v>280</v>
      </c>
      <c r="G354">
        <f>IF(AND(D354&gt;=DATE(2025,7,1),D354&lt;=DATE(2026,6,30)),1,0)</f>
        <v>1</v>
      </c>
    </row>
    <row r="355">
      <c r="A355" t="inlineStr">
        <is>
          <t>S0099</t>
        </is>
      </c>
      <c r="B355" t="inlineStr">
        <is>
          <t>FP</t>
        </is>
      </c>
      <c r="C355" s="11" t="n">
        <v>46076</v>
      </c>
      <c r="D355" s="11" t="n">
        <v>46104</v>
      </c>
      <c r="E355" t="n">
        <v>4</v>
      </c>
      <c r="F355" t="n">
        <v>280</v>
      </c>
      <c r="G355">
        <f>IF(AND(D355&gt;=DATE(2025,7,1),D355&lt;=DATE(2026,6,30)),1,0)</f>
        <v>1</v>
      </c>
    </row>
    <row r="356">
      <c r="A356" t="inlineStr">
        <is>
          <t>S0099</t>
        </is>
      </c>
      <c r="B356" t="inlineStr">
        <is>
          <t>FP</t>
        </is>
      </c>
      <c r="C356" s="11" t="n">
        <v>46104</v>
      </c>
      <c r="D356" s="11" t="n">
        <v>46132</v>
      </c>
      <c r="E356" t="n">
        <v>4</v>
      </c>
      <c r="F356" t="n">
        <v>280</v>
      </c>
      <c r="G356">
        <f>IF(AND(D356&gt;=DATE(2025,7,1),D356&lt;=DATE(2026,6,30)),1,0)</f>
        <v>1</v>
      </c>
    </row>
    <row r="357">
      <c r="A357" t="inlineStr">
        <is>
          <t>S0099</t>
        </is>
      </c>
      <c r="B357" t="inlineStr">
        <is>
          <t>FP</t>
        </is>
      </c>
      <c r="C357" s="11" t="n">
        <v>46132</v>
      </c>
      <c r="D357" s="11" t="n">
        <v>46160</v>
      </c>
      <c r="E357" t="n">
        <v>4</v>
      </c>
      <c r="F357" t="n">
        <v>280</v>
      </c>
      <c r="G357">
        <f>IF(AND(D357&gt;=DATE(2025,7,1),D357&lt;=DATE(2026,6,30)),1,0)</f>
        <v>1</v>
      </c>
    </row>
    <row r="358">
      <c r="A358" t="inlineStr">
        <is>
          <t>S0099</t>
        </is>
      </c>
      <c r="B358" t="inlineStr">
        <is>
          <t>FP</t>
        </is>
      </c>
      <c r="C358" s="11" t="n">
        <v>46160</v>
      </c>
      <c r="D358" s="11" t="n">
        <v>46188</v>
      </c>
      <c r="E358" t="n">
        <v>4</v>
      </c>
      <c r="F358" t="n">
        <v>280</v>
      </c>
      <c r="G358">
        <f>IF(AND(D358&gt;=DATE(2025,7,1),D358&lt;=DATE(2026,6,30)),1,0)</f>
        <v>1</v>
      </c>
    </row>
    <row r="359">
      <c r="A359" t="inlineStr">
        <is>
          <t>S0100</t>
        </is>
      </c>
      <c r="B359" t="inlineStr">
        <is>
          <t>BR</t>
        </is>
      </c>
      <c r="C359" s="11" t="n">
        <v>46050</v>
      </c>
      <c r="D359" s="11" t="n">
        <v>46078</v>
      </c>
      <c r="E359" t="n">
        <v>4</v>
      </c>
      <c r="F359" t="n">
        <v>56</v>
      </c>
      <c r="G359">
        <f>IF(AND(D359&gt;=DATE(2025,7,1),D359&lt;=DATE(2026,6,30)),1,0)</f>
        <v>1</v>
      </c>
    </row>
    <row r="360">
      <c r="A360" t="inlineStr">
        <is>
          <t>S0100</t>
        </is>
      </c>
      <c r="B360" t="inlineStr">
        <is>
          <t>BR</t>
        </is>
      </c>
      <c r="C360" s="11" t="n">
        <v>46078</v>
      </c>
      <c r="D360" s="11" t="n">
        <v>46106</v>
      </c>
      <c r="E360" t="n">
        <v>4</v>
      </c>
      <c r="F360" t="n">
        <v>56</v>
      </c>
      <c r="G360">
        <f>IF(AND(D360&gt;=DATE(2025,7,1),D360&lt;=DATE(2026,6,30)),1,0)</f>
        <v>1</v>
      </c>
    </row>
    <row r="361">
      <c r="A361" t="inlineStr">
        <is>
          <t>S0100</t>
        </is>
      </c>
      <c r="B361" t="inlineStr">
        <is>
          <t>BR</t>
        </is>
      </c>
      <c r="C361" s="11" t="n">
        <v>46106</v>
      </c>
      <c r="D361" s="11" t="n">
        <v>46134</v>
      </c>
      <c r="E361" t="n">
        <v>4</v>
      </c>
      <c r="F361" t="n">
        <v>56</v>
      </c>
      <c r="G361">
        <f>IF(AND(D361&gt;=DATE(2025,7,1),D361&lt;=DATE(2026,6,30)),1,0)</f>
        <v>1</v>
      </c>
    </row>
    <row r="362">
      <c r="A362" t="inlineStr">
        <is>
          <t>S0100</t>
        </is>
      </c>
      <c r="B362" t="inlineStr">
        <is>
          <t>BR</t>
        </is>
      </c>
      <c r="C362" s="11" t="n">
        <v>46134</v>
      </c>
      <c r="D362" s="11" t="n">
        <v>46162</v>
      </c>
      <c r="E362" t="n">
        <v>4</v>
      </c>
      <c r="F362" t="n">
        <v>56</v>
      </c>
      <c r="G362">
        <f>IF(AND(D362&gt;=DATE(2025,7,1),D362&lt;=DATE(2026,6,30)),1,0)</f>
        <v>1</v>
      </c>
    </row>
    <row r="363">
      <c r="A363" t="inlineStr">
        <is>
          <t>S0100</t>
        </is>
      </c>
      <c r="B363" t="inlineStr">
        <is>
          <t>BR</t>
        </is>
      </c>
      <c r="C363" s="11" t="n">
        <v>46162</v>
      </c>
      <c r="D363" s="11" t="n">
        <v>46190</v>
      </c>
      <c r="E363" t="n">
        <v>4</v>
      </c>
      <c r="F363" t="n">
        <v>56</v>
      </c>
      <c r="G363">
        <f>IF(AND(D363&gt;=DATE(2025,7,1),D363&lt;=DATE(2026,6,30)),1,0)</f>
        <v>1</v>
      </c>
    </row>
    <row r="364">
      <c r="A364" t="inlineStr">
        <is>
          <t>S0100</t>
        </is>
      </c>
      <c r="B364" t="inlineStr">
        <is>
          <t>FP</t>
        </is>
      </c>
      <c r="C364" s="11" t="n">
        <v>46050</v>
      </c>
      <c r="D364" s="11" t="n">
        <v>46078</v>
      </c>
      <c r="E364" t="n">
        <v>4</v>
      </c>
      <c r="F364" t="n">
        <v>564</v>
      </c>
      <c r="G364">
        <f>IF(AND(D364&gt;=DATE(2025,7,1),D364&lt;=DATE(2026,6,30)),1,0)</f>
        <v>1</v>
      </c>
    </row>
    <row r="365">
      <c r="A365" t="inlineStr">
        <is>
          <t>S0100</t>
        </is>
      </c>
      <c r="B365" t="inlineStr">
        <is>
          <t>FP</t>
        </is>
      </c>
      <c r="C365" s="11" t="n">
        <v>46078</v>
      </c>
      <c r="D365" s="11" t="n">
        <v>46106</v>
      </c>
      <c r="E365" t="n">
        <v>4</v>
      </c>
      <c r="F365" t="n">
        <v>564</v>
      </c>
      <c r="G365">
        <f>IF(AND(D365&gt;=DATE(2025,7,1),D365&lt;=DATE(2026,6,30)),1,0)</f>
        <v>1</v>
      </c>
    </row>
    <row r="366">
      <c r="A366" t="inlineStr">
        <is>
          <t>S0100</t>
        </is>
      </c>
      <c r="B366" t="inlineStr">
        <is>
          <t>FP</t>
        </is>
      </c>
      <c r="C366" s="11" t="n">
        <v>46106</v>
      </c>
      <c r="D366" s="11" t="n">
        <v>46134</v>
      </c>
      <c r="E366" t="n">
        <v>4</v>
      </c>
      <c r="F366" t="n">
        <v>564</v>
      </c>
      <c r="G366">
        <f>IF(AND(D366&gt;=DATE(2025,7,1),D366&lt;=DATE(2026,6,30)),1,0)</f>
        <v>1</v>
      </c>
    </row>
    <row r="367">
      <c r="A367" t="inlineStr">
        <is>
          <t>S0100</t>
        </is>
      </c>
      <c r="B367" t="inlineStr">
        <is>
          <t>FP</t>
        </is>
      </c>
      <c r="C367" s="11" t="n">
        <v>46134</v>
      </c>
      <c r="D367" s="11" t="n">
        <v>46162</v>
      </c>
      <c r="E367" t="n">
        <v>4</v>
      </c>
      <c r="F367" t="n">
        <v>564</v>
      </c>
      <c r="G367">
        <f>IF(AND(D367&gt;=DATE(2025,7,1),D367&lt;=DATE(2026,6,30)),1,0)</f>
        <v>1</v>
      </c>
    </row>
    <row r="368">
      <c r="A368" t="inlineStr">
        <is>
          <t>S0100</t>
        </is>
      </c>
      <c r="B368" t="inlineStr">
        <is>
          <t>FP</t>
        </is>
      </c>
      <c r="C368" s="11" t="n">
        <v>46162</v>
      </c>
      <c r="D368" s="11" t="n">
        <v>46190</v>
      </c>
      <c r="E368" t="n">
        <v>4</v>
      </c>
      <c r="F368" t="n">
        <v>564</v>
      </c>
      <c r="G368">
        <f>IF(AND(D368&gt;=DATE(2025,7,1),D368&lt;=DATE(2026,6,30)),1,0)</f>
        <v>1</v>
      </c>
    </row>
    <row r="369">
      <c r="A369" t="inlineStr">
        <is>
          <t>S0101</t>
        </is>
      </c>
      <c r="B369" t="inlineStr">
        <is>
          <t>FP</t>
        </is>
      </c>
      <c r="C369" s="11" t="n">
        <v>45909</v>
      </c>
      <c r="D369" s="11" t="n">
        <v>45937</v>
      </c>
      <c r="E369" t="n">
        <v>4</v>
      </c>
      <c r="F369" t="n">
        <v>204</v>
      </c>
      <c r="G369">
        <f>IF(AND(D369&gt;=DATE(2025,7,1),D369&lt;=DATE(2026,6,30)),1,0)</f>
        <v>1</v>
      </c>
    </row>
    <row r="370">
      <c r="A370" t="inlineStr">
        <is>
          <t>S0101</t>
        </is>
      </c>
      <c r="B370" t="inlineStr">
        <is>
          <t>FP</t>
        </is>
      </c>
      <c r="C370" s="11" t="n">
        <v>45937</v>
      </c>
      <c r="D370" s="11" t="n">
        <v>45950</v>
      </c>
      <c r="E370" t="n">
        <v>2</v>
      </c>
      <c r="F370" t="n">
        <v>102</v>
      </c>
      <c r="G370">
        <f>IF(AND(D370&gt;=DATE(2025,7,1),D370&lt;=DATE(2026,6,30)),1,0)</f>
        <v>1</v>
      </c>
    </row>
    <row r="371">
      <c r="A371" t="inlineStr">
        <is>
          <t>S0102</t>
        </is>
      </c>
      <c r="B371" t="inlineStr">
        <is>
          <t>FP</t>
        </is>
      </c>
      <c r="C371" s="11" t="n">
        <v>45831</v>
      </c>
      <c r="D371" s="11" t="n">
        <v>45850</v>
      </c>
      <c r="E371" t="n">
        <v>3</v>
      </c>
      <c r="F371" t="n">
        <v>102</v>
      </c>
      <c r="G371">
        <f>IF(AND(D371&gt;=DATE(2025,7,1),D371&lt;=DATE(2026,6,30)),1,0)</f>
        <v>1</v>
      </c>
    </row>
    <row r="372">
      <c r="A372" t="inlineStr">
        <is>
          <t>S0103</t>
        </is>
      </c>
      <c r="B372" t="inlineStr">
        <is>
          <t>FP</t>
        </is>
      </c>
      <c r="C372" s="11" t="n">
        <v>46017</v>
      </c>
      <c r="D372" s="11" t="n">
        <v>46045</v>
      </c>
      <c r="E372" t="n">
        <v>4</v>
      </c>
      <c r="F372" t="n">
        <v>84</v>
      </c>
      <c r="G372">
        <f>IF(AND(D372&gt;=DATE(2025,7,1),D372&lt;=DATE(2026,6,30)),1,0)</f>
        <v>1</v>
      </c>
    </row>
    <row r="373">
      <c r="A373" t="inlineStr">
        <is>
          <t>S0103</t>
        </is>
      </c>
      <c r="B373" t="inlineStr">
        <is>
          <t>FP</t>
        </is>
      </c>
      <c r="C373" s="11" t="n">
        <v>46045</v>
      </c>
      <c r="D373" s="11" t="n">
        <v>46057</v>
      </c>
      <c r="E373" t="n">
        <v>2</v>
      </c>
      <c r="F373" t="n">
        <v>42</v>
      </c>
      <c r="G373">
        <f>IF(AND(D373&gt;=DATE(2025,7,1),D373&lt;=DATE(2026,6,30)),1,0)</f>
        <v>1</v>
      </c>
    </row>
    <row r="374">
      <c r="A374" t="inlineStr">
        <is>
          <t>S0104</t>
        </is>
      </c>
      <c r="B374" t="inlineStr">
        <is>
          <t>FP</t>
        </is>
      </c>
      <c r="C374" s="11" t="n">
        <v>45886</v>
      </c>
      <c r="D374" s="11" t="n">
        <v>45894</v>
      </c>
      <c r="E374" t="n">
        <v>2</v>
      </c>
      <c r="F374" t="n">
        <v>60</v>
      </c>
      <c r="G374">
        <f>IF(AND(D374&gt;=DATE(2025,7,1),D374&lt;=DATE(2026,6,30)),1,0)</f>
        <v>1</v>
      </c>
    </row>
    <row r="375">
      <c r="A375" t="inlineStr">
        <is>
          <t>S0105</t>
        </is>
      </c>
      <c r="B375" t="inlineStr">
        <is>
          <t>FP</t>
        </is>
      </c>
      <c r="C375" s="11" t="n">
        <v>45961</v>
      </c>
      <c r="D375" s="11" t="n">
        <v>45976</v>
      </c>
      <c r="E375" t="n">
        <v>3</v>
      </c>
      <c r="F375" t="n">
        <v>177</v>
      </c>
      <c r="G375">
        <f>IF(AND(D375&gt;=DATE(2025,7,1),D375&lt;=DATE(2026,6,30)),1,0)</f>
        <v>1</v>
      </c>
    </row>
    <row r="376">
      <c r="A376" t="inlineStr">
        <is>
          <t>S0106</t>
        </is>
      </c>
      <c r="B376" t="inlineStr">
        <is>
          <t>FP</t>
        </is>
      </c>
      <c r="C376" s="11" t="n">
        <v>46056</v>
      </c>
      <c r="D376" s="11" t="n">
        <v>46068</v>
      </c>
      <c r="E376" t="n">
        <v>2</v>
      </c>
      <c r="F376" t="n">
        <v>38</v>
      </c>
      <c r="G376">
        <f>IF(AND(D376&gt;=DATE(2025,7,1),D376&lt;=DATE(2026,6,30)),1,0)</f>
        <v>1</v>
      </c>
    </row>
    <row r="377">
      <c r="A377" t="inlineStr">
        <is>
          <t>S0107</t>
        </is>
      </c>
      <c r="B377" t="inlineStr">
        <is>
          <t>FP</t>
        </is>
      </c>
      <c r="C377" s="11" t="n">
        <v>45951</v>
      </c>
      <c r="D377" s="11" t="n">
        <v>45973</v>
      </c>
      <c r="E377" t="n">
        <v>4</v>
      </c>
      <c r="F377" t="n">
        <v>424</v>
      </c>
      <c r="G377">
        <f>IF(AND(D377&gt;=DATE(2025,7,1),D377&lt;=DATE(2026,6,30)),1,0)</f>
        <v>1</v>
      </c>
    </row>
    <row r="378">
      <c r="A378" t="inlineStr">
        <is>
          <t>S0108</t>
        </is>
      </c>
      <c r="B378" t="inlineStr">
        <is>
          <t>BR</t>
        </is>
      </c>
      <c r="C378" s="11" t="n">
        <v>46012</v>
      </c>
      <c r="D378" s="11" t="n">
        <v>46040</v>
      </c>
      <c r="E378" t="n">
        <v>4</v>
      </c>
      <c r="F378" t="n">
        <v>68</v>
      </c>
      <c r="G378">
        <f>IF(AND(D378&gt;=DATE(2025,7,1),D378&lt;=DATE(2026,6,30)),1,0)</f>
        <v>1</v>
      </c>
    </row>
    <row r="379">
      <c r="A379" t="inlineStr">
        <is>
          <t>S0108</t>
        </is>
      </c>
      <c r="B379" t="inlineStr">
        <is>
          <t>BR</t>
        </is>
      </c>
      <c r="C379" s="11" t="n">
        <v>46040</v>
      </c>
      <c r="D379" s="11" t="n">
        <v>46058</v>
      </c>
      <c r="E379" t="n">
        <v>3</v>
      </c>
      <c r="F379" t="n">
        <v>51</v>
      </c>
      <c r="G379">
        <f>IF(AND(D379&gt;=DATE(2025,7,1),D379&lt;=DATE(2026,6,30)),1,0)</f>
        <v>1</v>
      </c>
    </row>
    <row r="380">
      <c r="A380" t="inlineStr">
        <is>
          <t>S0108</t>
        </is>
      </c>
      <c r="B380" t="inlineStr">
        <is>
          <t>FP</t>
        </is>
      </c>
      <c r="C380" s="11" t="n">
        <v>46012</v>
      </c>
      <c r="D380" s="11" t="n">
        <v>46040</v>
      </c>
      <c r="E380" t="n">
        <v>4</v>
      </c>
      <c r="F380" t="n">
        <v>368</v>
      </c>
      <c r="G380">
        <f>IF(AND(D380&gt;=DATE(2025,7,1),D380&lt;=DATE(2026,6,30)),1,0)</f>
        <v>1</v>
      </c>
    </row>
    <row r="381">
      <c r="A381" t="inlineStr">
        <is>
          <t>S0108</t>
        </is>
      </c>
      <c r="B381" t="inlineStr">
        <is>
          <t>FP</t>
        </is>
      </c>
      <c r="C381" s="11" t="n">
        <v>46040</v>
      </c>
      <c r="D381" s="11" t="n">
        <v>46058</v>
      </c>
      <c r="E381" t="n">
        <v>3</v>
      </c>
      <c r="F381" t="n">
        <v>276</v>
      </c>
      <c r="G381">
        <f>IF(AND(D381&gt;=DATE(2025,7,1),D381&lt;=DATE(2026,6,30)),1,0)</f>
        <v>1</v>
      </c>
    </row>
    <row r="382">
      <c r="A382" t="inlineStr">
        <is>
          <t>S0109</t>
        </is>
      </c>
      <c r="B382" t="inlineStr">
        <is>
          <t>FP</t>
        </is>
      </c>
      <c r="C382" s="11" t="n">
        <v>45944</v>
      </c>
      <c r="D382" s="11" t="n">
        <v>45972</v>
      </c>
      <c r="E382" t="n">
        <v>4</v>
      </c>
      <c r="F382" t="n">
        <v>159</v>
      </c>
      <c r="G382">
        <f>IF(AND(D382&gt;=DATE(2025,7,1),D382&lt;=DATE(2026,6,30)),1,0)</f>
        <v>1</v>
      </c>
    </row>
    <row r="383">
      <c r="A383" t="inlineStr">
        <is>
          <t>S0109</t>
        </is>
      </c>
      <c r="B383" t="inlineStr">
        <is>
          <t>FP</t>
        </is>
      </c>
      <c r="C383" s="11" t="n">
        <v>45972</v>
      </c>
      <c r="D383" s="11" t="n">
        <v>46000</v>
      </c>
      <c r="E383" t="n">
        <v>4</v>
      </c>
      <c r="F383" t="n">
        <v>264</v>
      </c>
      <c r="G383">
        <f>IF(AND(D383&gt;=DATE(2025,7,1),D383&lt;=DATE(2026,6,30)),1,0)</f>
        <v>1</v>
      </c>
    </row>
    <row r="384">
      <c r="A384" t="inlineStr">
        <is>
          <t>S0109</t>
        </is>
      </c>
      <c r="B384" t="inlineStr">
        <is>
          <t>FP</t>
        </is>
      </c>
      <c r="C384" s="11" t="n">
        <v>46000</v>
      </c>
      <c r="D384" s="11" t="n">
        <v>46017</v>
      </c>
      <c r="E384" t="n">
        <v>3</v>
      </c>
      <c r="F384" t="n">
        <v>129</v>
      </c>
      <c r="G384">
        <f>IF(AND(D384&gt;=DATE(2025,7,1),D384&lt;=DATE(2026,6,30)),1,0)</f>
        <v>1</v>
      </c>
    </row>
    <row r="385">
      <c r="A385" t="inlineStr">
        <is>
          <t>S0110</t>
        </is>
      </c>
      <c r="B385" t="inlineStr">
        <is>
          <t>FP</t>
        </is>
      </c>
      <c r="C385" s="11" t="n">
        <v>46000</v>
      </c>
      <c r="D385" s="11" t="n">
        <v>46016</v>
      </c>
      <c r="E385" t="n">
        <v>3</v>
      </c>
      <c r="F385" t="n">
        <v>351</v>
      </c>
      <c r="G385">
        <f>IF(AND(D385&gt;=DATE(2025,7,1),D385&lt;=DATE(2026,6,30)),1,0)</f>
        <v>1</v>
      </c>
    </row>
    <row r="386">
      <c r="A386" t="inlineStr">
        <is>
          <t>S0111</t>
        </is>
      </c>
      <c r="B386" t="inlineStr">
        <is>
          <t>FP</t>
        </is>
      </c>
      <c r="C386" s="11" t="n">
        <v>45975</v>
      </c>
      <c r="D386" s="11" t="n">
        <v>46003</v>
      </c>
      <c r="E386" t="n">
        <v>4</v>
      </c>
      <c r="F386" t="n">
        <v>140</v>
      </c>
      <c r="G386">
        <f>IF(AND(D386&gt;=DATE(2025,7,1),D386&lt;=DATE(2026,6,30)),1,0)</f>
        <v>1</v>
      </c>
    </row>
    <row r="387">
      <c r="A387" t="inlineStr">
        <is>
          <t>S0111</t>
        </is>
      </c>
      <c r="B387" t="inlineStr">
        <is>
          <t>FP</t>
        </is>
      </c>
      <c r="C387" s="11" t="n">
        <v>46003</v>
      </c>
      <c r="D387" s="11" t="n">
        <v>46031</v>
      </c>
      <c r="E387" t="n">
        <v>4</v>
      </c>
      <c r="F387" t="n">
        <v>140</v>
      </c>
      <c r="G387">
        <f>IF(AND(D387&gt;=DATE(2025,7,1),D387&lt;=DATE(2026,6,30)),1,0)</f>
        <v>1</v>
      </c>
    </row>
    <row r="388">
      <c r="A388" t="inlineStr">
        <is>
          <t>S0111</t>
        </is>
      </c>
      <c r="B388" t="inlineStr">
        <is>
          <t>FP</t>
        </is>
      </c>
      <c r="C388" s="11" t="n">
        <v>46031</v>
      </c>
      <c r="D388" s="11" t="n">
        <v>46059</v>
      </c>
      <c r="E388" t="n">
        <v>4</v>
      </c>
      <c r="F388" t="n">
        <v>140</v>
      </c>
      <c r="G388">
        <f>IF(AND(D388&gt;=DATE(2025,7,1),D388&lt;=DATE(2026,6,30)),1,0)</f>
        <v>1</v>
      </c>
    </row>
    <row r="389">
      <c r="A389" t="inlineStr">
        <is>
          <t>S0111</t>
        </is>
      </c>
      <c r="B389" t="inlineStr">
        <is>
          <t>FP</t>
        </is>
      </c>
      <c r="C389" s="11" t="n">
        <v>46059</v>
      </c>
      <c r="D389" s="11" t="n">
        <v>46087</v>
      </c>
      <c r="E389" t="n">
        <v>4</v>
      </c>
      <c r="F389" t="n">
        <v>140</v>
      </c>
      <c r="G389">
        <f>IF(AND(D389&gt;=DATE(2025,7,1),D389&lt;=DATE(2026,6,30)),1,0)</f>
        <v>1</v>
      </c>
    </row>
    <row r="390">
      <c r="A390" t="inlineStr">
        <is>
          <t>S0111</t>
        </is>
      </c>
      <c r="B390" t="inlineStr">
        <is>
          <t>FP</t>
        </is>
      </c>
      <c r="C390" s="11" t="n">
        <v>46087</v>
      </c>
      <c r="D390" s="11" t="n">
        <v>46115</v>
      </c>
      <c r="E390" t="n">
        <v>4</v>
      </c>
      <c r="F390" t="n">
        <v>140</v>
      </c>
      <c r="G390">
        <f>IF(AND(D390&gt;=DATE(2025,7,1),D390&lt;=DATE(2026,6,30)),1,0)</f>
        <v>1</v>
      </c>
    </row>
    <row r="391">
      <c r="A391" t="inlineStr">
        <is>
          <t>S0111</t>
        </is>
      </c>
      <c r="B391" t="inlineStr">
        <is>
          <t>FP</t>
        </is>
      </c>
      <c r="C391" s="11" t="n">
        <v>46115</v>
      </c>
      <c r="D391" s="11" t="n">
        <v>46143</v>
      </c>
      <c r="E391" t="n">
        <v>4</v>
      </c>
      <c r="F391" t="n">
        <v>140</v>
      </c>
      <c r="G391">
        <f>IF(AND(D391&gt;=DATE(2025,7,1),D391&lt;=DATE(2026,6,30)),1,0)</f>
        <v>1</v>
      </c>
    </row>
    <row r="392">
      <c r="A392" t="inlineStr">
        <is>
          <t>S0111</t>
        </is>
      </c>
      <c r="B392" t="inlineStr">
        <is>
          <t>FP</t>
        </is>
      </c>
      <c r="C392" s="11" t="n">
        <v>46143</v>
      </c>
      <c r="D392" s="11" t="n">
        <v>46156</v>
      </c>
      <c r="E392" t="n">
        <v>2</v>
      </c>
      <c r="F392" t="n">
        <v>70</v>
      </c>
      <c r="G392">
        <f>IF(AND(D392&gt;=DATE(2025,7,1),D392&lt;=DATE(2026,6,30)),1,0)</f>
        <v>1</v>
      </c>
    </row>
    <row r="393">
      <c r="A393" t="inlineStr">
        <is>
          <t>S0112</t>
        </is>
      </c>
      <c r="B393" t="inlineStr">
        <is>
          <t>FP</t>
        </is>
      </c>
      <c r="C393" s="11" t="n">
        <v>46148</v>
      </c>
      <c r="D393" s="11" t="n">
        <v>46163</v>
      </c>
      <c r="E393" t="n">
        <v>3</v>
      </c>
      <c r="F393" t="n">
        <v>339</v>
      </c>
      <c r="G393">
        <f>IF(AND(D393&gt;=DATE(2025,7,1),D393&lt;=DATE(2026,6,30)),1,0)</f>
        <v>1</v>
      </c>
    </row>
    <row r="394">
      <c r="A394" t="inlineStr">
        <is>
          <t>S0113</t>
        </is>
      </c>
      <c r="B394" t="inlineStr">
        <is>
          <t>FP</t>
        </is>
      </c>
      <c r="C394" s="11" t="n">
        <v>45844</v>
      </c>
      <c r="D394" s="11" t="n">
        <v>45863</v>
      </c>
      <c r="E394" t="n">
        <v>3</v>
      </c>
      <c r="F394" t="n">
        <v>234</v>
      </c>
      <c r="G394">
        <f>IF(AND(D394&gt;=DATE(2025,7,1),D394&lt;=DATE(2026,6,30)),1,0)</f>
        <v>1</v>
      </c>
    </row>
    <row r="395">
      <c r="A395" t="inlineStr">
        <is>
          <t>S0114</t>
        </is>
      </c>
      <c r="B395" t="inlineStr">
        <is>
          <t>FP</t>
        </is>
      </c>
      <c r="C395" s="11" t="n">
        <v>46150</v>
      </c>
      <c r="D395" s="11" t="n">
        <v>46170</v>
      </c>
      <c r="E395" t="n">
        <v>3</v>
      </c>
      <c r="F395" t="n">
        <v>48</v>
      </c>
      <c r="G395">
        <f>IF(AND(D395&gt;=DATE(2025,7,1),D395&lt;=DATE(2026,6,30)),1,0)</f>
        <v>1</v>
      </c>
    </row>
    <row r="396">
      <c r="A396" t="inlineStr">
        <is>
          <t>S0115</t>
        </is>
      </c>
      <c r="B396" t="inlineStr">
        <is>
          <t>FP</t>
        </is>
      </c>
      <c r="C396" s="11" t="n">
        <v>45908</v>
      </c>
      <c r="D396" s="11" t="n">
        <v>45936</v>
      </c>
      <c r="E396" t="n">
        <v>4</v>
      </c>
      <c r="F396" t="n">
        <v>324</v>
      </c>
      <c r="G396">
        <f>IF(AND(D396&gt;=DATE(2025,7,1),D396&lt;=DATE(2026,6,30)),1,0)</f>
        <v>1</v>
      </c>
    </row>
    <row r="397">
      <c r="A397" t="inlineStr">
        <is>
          <t>S0115</t>
        </is>
      </c>
      <c r="B397" t="inlineStr">
        <is>
          <t>FP</t>
        </is>
      </c>
      <c r="C397" s="11" t="n">
        <v>45936</v>
      </c>
      <c r="D397" s="11" t="n">
        <v>45964</v>
      </c>
      <c r="E397" t="n">
        <v>4</v>
      </c>
      <c r="F397" t="n">
        <v>324</v>
      </c>
      <c r="G397">
        <f>IF(AND(D397&gt;=DATE(2025,7,1),D397&lt;=DATE(2026,6,30)),1,0)</f>
        <v>1</v>
      </c>
    </row>
    <row r="398">
      <c r="A398" t="inlineStr">
        <is>
          <t>S0115</t>
        </is>
      </c>
      <c r="B398" t="inlineStr">
        <is>
          <t>FP</t>
        </is>
      </c>
      <c r="C398" s="11" t="n">
        <v>45964</v>
      </c>
      <c r="D398" s="11" t="n">
        <v>45978</v>
      </c>
      <c r="E398" t="n">
        <v>2</v>
      </c>
      <c r="F398" t="n">
        <v>162</v>
      </c>
      <c r="G398">
        <f>IF(AND(D398&gt;=DATE(2025,7,1),D398&lt;=DATE(2026,6,30)),1,0)</f>
        <v>1</v>
      </c>
    </row>
    <row r="399">
      <c r="A399" t="inlineStr">
        <is>
          <t>S0116</t>
        </is>
      </c>
      <c r="B399" t="inlineStr">
        <is>
          <t>FP</t>
        </is>
      </c>
      <c r="C399" s="11" t="n">
        <v>45850</v>
      </c>
      <c r="D399" s="11" t="n">
        <v>45878</v>
      </c>
      <c r="E399" t="n">
        <v>4</v>
      </c>
      <c r="F399" t="n">
        <v>632</v>
      </c>
      <c r="G399">
        <f>IF(AND(D399&gt;=DATE(2025,7,1),D399&lt;=DATE(2026,6,30)),1,0)</f>
        <v>1</v>
      </c>
    </row>
    <row r="400">
      <c r="A400" t="inlineStr">
        <is>
          <t>S0116</t>
        </is>
      </c>
      <c r="B400" t="inlineStr">
        <is>
          <t>FP</t>
        </is>
      </c>
      <c r="C400" s="11" t="n">
        <v>45878</v>
      </c>
      <c r="D400" s="11" t="n">
        <v>45906</v>
      </c>
      <c r="E400" t="n">
        <v>4</v>
      </c>
      <c r="F400" t="n">
        <v>632</v>
      </c>
      <c r="G400">
        <f>IF(AND(D400&gt;=DATE(2025,7,1),D400&lt;=DATE(2026,6,30)),1,0)</f>
        <v>1</v>
      </c>
    </row>
    <row r="401">
      <c r="A401" t="inlineStr">
        <is>
          <t>S0116</t>
        </is>
      </c>
      <c r="B401" t="inlineStr">
        <is>
          <t>FP</t>
        </is>
      </c>
      <c r="C401" s="11" t="n">
        <v>45906</v>
      </c>
      <c r="D401" s="11" t="n">
        <v>45934</v>
      </c>
      <c r="E401" t="n">
        <v>4</v>
      </c>
      <c r="F401" t="n">
        <v>578</v>
      </c>
      <c r="G401">
        <f>IF(AND(D401&gt;=DATE(2025,7,1),D401&lt;=DATE(2026,6,30)),1,0)</f>
        <v>1</v>
      </c>
    </row>
    <row r="402">
      <c r="A402" t="inlineStr">
        <is>
          <t>S0116</t>
        </is>
      </c>
      <c r="B402" t="inlineStr">
        <is>
          <t>FP</t>
        </is>
      </c>
      <c r="C402" s="11" t="n">
        <v>45934</v>
      </c>
      <c r="D402" s="11" t="n">
        <v>45937</v>
      </c>
      <c r="E402" t="n">
        <v>1</v>
      </c>
      <c r="F402" t="n">
        <v>104</v>
      </c>
      <c r="G402">
        <f>IF(AND(D402&gt;=DATE(2025,7,1),D402&lt;=DATE(2026,6,30)),1,0)</f>
        <v>1</v>
      </c>
    </row>
    <row r="403">
      <c r="A403" t="inlineStr">
        <is>
          <t>S0120</t>
        </is>
      </c>
      <c r="B403" t="inlineStr">
        <is>
          <t>BR</t>
        </is>
      </c>
      <c r="C403" s="11" t="n">
        <v>45819</v>
      </c>
      <c r="D403" s="11" t="n">
        <v>45841</v>
      </c>
      <c r="E403" t="n">
        <v>4</v>
      </c>
      <c r="F403" t="n">
        <v>60</v>
      </c>
      <c r="G403">
        <f>IF(AND(D403&gt;=DATE(2025,7,1),D403&lt;=DATE(2026,6,30)),1,0)</f>
        <v>1</v>
      </c>
    </row>
    <row r="404">
      <c r="A404" t="inlineStr">
        <is>
          <t>S0120</t>
        </is>
      </c>
      <c r="B404" t="inlineStr">
        <is>
          <t>FP</t>
        </is>
      </c>
      <c r="C404" s="11" t="n">
        <v>45819</v>
      </c>
      <c r="D404" s="11" t="n">
        <v>45841</v>
      </c>
      <c r="E404" t="n">
        <v>4</v>
      </c>
      <c r="F404" t="n">
        <v>340</v>
      </c>
      <c r="G404">
        <f>IF(AND(D404&gt;=DATE(2025,7,1),D404&lt;=DATE(2026,6,30)),1,0)</f>
        <v>1</v>
      </c>
    </row>
    <row r="405">
      <c r="A405" t="inlineStr">
        <is>
          <t>S0121</t>
        </is>
      </c>
      <c r="B405" t="inlineStr">
        <is>
          <t>FP</t>
        </is>
      </c>
      <c r="C405" s="11" t="n">
        <v>45837</v>
      </c>
      <c r="D405" s="11" t="n">
        <v>45865</v>
      </c>
      <c r="E405" t="n">
        <v>4</v>
      </c>
      <c r="F405" t="n">
        <v>179</v>
      </c>
      <c r="G405">
        <f>IF(AND(D405&gt;=DATE(2025,7,1),D405&lt;=DATE(2026,6,30)),1,0)</f>
        <v>1</v>
      </c>
    </row>
    <row r="406">
      <c r="A406" t="inlineStr">
        <is>
          <t>S0121</t>
        </is>
      </c>
      <c r="B406" t="inlineStr">
        <is>
          <t>FP</t>
        </is>
      </c>
      <c r="C406" s="11" t="n">
        <v>45865</v>
      </c>
      <c r="D406" s="11" t="n">
        <v>45893</v>
      </c>
      <c r="E406" t="n">
        <v>4</v>
      </c>
      <c r="F406" t="n">
        <v>140</v>
      </c>
      <c r="G406">
        <f>IF(AND(D406&gt;=DATE(2025,7,1),D406&lt;=DATE(2026,6,30)),1,0)</f>
        <v>1</v>
      </c>
    </row>
    <row r="407">
      <c r="A407" t="inlineStr">
        <is>
          <t>S0121</t>
        </is>
      </c>
      <c r="B407" t="inlineStr">
        <is>
          <t>FP</t>
        </is>
      </c>
      <c r="C407" s="11" t="n">
        <v>45893</v>
      </c>
      <c r="D407" s="11" t="n">
        <v>45897</v>
      </c>
      <c r="E407" t="n">
        <v>1</v>
      </c>
      <c r="F407" t="n">
        <v>35</v>
      </c>
      <c r="G407">
        <f>IF(AND(D407&gt;=DATE(2025,7,1),D407&lt;=DATE(2026,6,30)),1,0)</f>
        <v>1</v>
      </c>
    </row>
    <row r="408">
      <c r="A408" t="inlineStr">
        <is>
          <t>S0122</t>
        </is>
      </c>
      <c r="B408" t="inlineStr">
        <is>
          <t>BR</t>
        </is>
      </c>
      <c r="C408" s="11" t="n">
        <v>46095</v>
      </c>
      <c r="D408" s="11" t="n">
        <v>46118</v>
      </c>
      <c r="E408" t="n">
        <v>4</v>
      </c>
      <c r="F408" t="n">
        <v>20</v>
      </c>
      <c r="G408">
        <f>IF(AND(D408&gt;=DATE(2025,7,1),D408&lt;=DATE(2026,6,30)),1,0)</f>
        <v>1</v>
      </c>
    </row>
    <row r="409">
      <c r="A409" t="inlineStr">
        <is>
          <t>S0122</t>
        </is>
      </c>
      <c r="B409" t="inlineStr">
        <is>
          <t>FP</t>
        </is>
      </c>
      <c r="C409" s="11" t="n">
        <v>46095</v>
      </c>
      <c r="D409" s="11" t="n">
        <v>46118</v>
      </c>
      <c r="E409" t="n">
        <v>4</v>
      </c>
      <c r="F409" t="n">
        <v>76</v>
      </c>
      <c r="G409">
        <f>IF(AND(D409&gt;=DATE(2025,7,1),D409&lt;=DATE(2026,6,30)),1,0)</f>
        <v>1</v>
      </c>
    </row>
    <row r="410">
      <c r="A410" t="inlineStr">
        <is>
          <t>S0123</t>
        </is>
      </c>
      <c r="B410" t="inlineStr">
        <is>
          <t>FP</t>
        </is>
      </c>
      <c r="C410" s="11" t="n">
        <v>45945</v>
      </c>
      <c r="D410" s="11" t="n">
        <v>45973</v>
      </c>
      <c r="E410" t="n">
        <v>4</v>
      </c>
      <c r="F410" t="n">
        <v>540</v>
      </c>
      <c r="G410">
        <f>IF(AND(D410&gt;=DATE(2025,7,1),D410&lt;=DATE(2026,6,30)),1,0)</f>
        <v>1</v>
      </c>
    </row>
    <row r="411">
      <c r="A411" t="inlineStr">
        <is>
          <t>S0123</t>
        </is>
      </c>
      <c r="B411" t="inlineStr">
        <is>
          <t>FP</t>
        </is>
      </c>
      <c r="C411" s="11" t="n">
        <v>45973</v>
      </c>
      <c r="D411" s="11" t="n">
        <v>46001</v>
      </c>
      <c r="E411" t="n">
        <v>4</v>
      </c>
      <c r="F411" t="n">
        <v>540</v>
      </c>
      <c r="G411">
        <f>IF(AND(D411&gt;=DATE(2025,7,1),D411&lt;=DATE(2026,6,30)),1,0)</f>
        <v>1</v>
      </c>
    </row>
    <row r="412">
      <c r="A412" t="inlineStr">
        <is>
          <t>S0123</t>
        </is>
      </c>
      <c r="B412" t="inlineStr">
        <is>
          <t>FP</t>
        </is>
      </c>
      <c r="C412" s="11" t="n">
        <v>46001</v>
      </c>
      <c r="D412" s="11" t="n">
        <v>46029</v>
      </c>
      <c r="E412" t="n">
        <v>4</v>
      </c>
      <c r="F412" t="n">
        <v>540</v>
      </c>
      <c r="G412">
        <f>IF(AND(D412&gt;=DATE(2025,7,1),D412&lt;=DATE(2026,6,30)),1,0)</f>
        <v>1</v>
      </c>
    </row>
    <row r="413">
      <c r="A413" t="inlineStr">
        <is>
          <t>S0123</t>
        </is>
      </c>
      <c r="B413" t="inlineStr">
        <is>
          <t>FP</t>
        </is>
      </c>
      <c r="C413" s="11" t="n">
        <v>46029</v>
      </c>
      <c r="D413" s="11" t="n">
        <v>46057</v>
      </c>
      <c r="E413" t="n">
        <v>4</v>
      </c>
      <c r="F413" t="n">
        <v>475</v>
      </c>
      <c r="G413">
        <f>IF(AND(D413&gt;=DATE(2025,7,1),D413&lt;=DATE(2026,6,30)),1,0)</f>
        <v>1</v>
      </c>
    </row>
    <row r="414">
      <c r="A414" t="inlineStr">
        <is>
          <t>S0123</t>
        </is>
      </c>
      <c r="B414" t="inlineStr">
        <is>
          <t>FP</t>
        </is>
      </c>
      <c r="C414" s="11" t="n">
        <v>46057</v>
      </c>
      <c r="D414" s="11" t="n">
        <v>46085</v>
      </c>
      <c r="E414" t="n">
        <v>4</v>
      </c>
      <c r="F414" t="n">
        <v>280</v>
      </c>
      <c r="G414">
        <f>IF(AND(D414&gt;=DATE(2025,7,1),D414&lt;=DATE(2026,6,30)),1,0)</f>
        <v>1</v>
      </c>
    </row>
    <row r="415">
      <c r="A415" t="inlineStr">
        <is>
          <t>S0123</t>
        </is>
      </c>
      <c r="B415" t="inlineStr">
        <is>
          <t>FP</t>
        </is>
      </c>
      <c r="C415" s="11" t="n">
        <v>46085</v>
      </c>
      <c r="D415" s="11" t="n">
        <v>46087</v>
      </c>
      <c r="E415" t="n">
        <v>1</v>
      </c>
      <c r="F415" t="n">
        <v>70</v>
      </c>
      <c r="G415">
        <f>IF(AND(D415&gt;=DATE(2025,7,1),D415&lt;=DATE(2026,6,30)),1,0)</f>
        <v>1</v>
      </c>
    </row>
    <row r="416">
      <c r="A416" t="inlineStr">
        <is>
          <t>S0124</t>
        </is>
      </c>
      <c r="B416" t="inlineStr">
        <is>
          <t>BR</t>
        </is>
      </c>
      <c r="C416" s="11" t="n">
        <v>45877</v>
      </c>
      <c r="D416" s="11" t="n">
        <v>45905</v>
      </c>
      <c r="E416" t="n">
        <v>4</v>
      </c>
      <c r="F416" t="n">
        <v>16</v>
      </c>
      <c r="G416">
        <f>IF(AND(D416&gt;=DATE(2025,7,1),D416&lt;=DATE(2026,6,30)),1,0)</f>
        <v>1</v>
      </c>
    </row>
    <row r="417">
      <c r="A417" t="inlineStr">
        <is>
          <t>S0124</t>
        </is>
      </c>
      <c r="B417" t="inlineStr">
        <is>
          <t>BR</t>
        </is>
      </c>
      <c r="C417" s="11" t="n">
        <v>45905</v>
      </c>
      <c r="D417" s="11" t="n">
        <v>45933</v>
      </c>
      <c r="E417" t="n">
        <v>4</v>
      </c>
      <c r="F417" t="n">
        <v>16</v>
      </c>
      <c r="G417">
        <f>IF(AND(D417&gt;=DATE(2025,7,1),D417&lt;=DATE(2026,6,30)),1,0)</f>
        <v>1</v>
      </c>
    </row>
    <row r="418">
      <c r="A418" t="inlineStr">
        <is>
          <t>S0124</t>
        </is>
      </c>
      <c r="B418" t="inlineStr">
        <is>
          <t>BR</t>
        </is>
      </c>
      <c r="C418" s="11" t="n">
        <v>45933</v>
      </c>
      <c r="D418" s="11" t="n">
        <v>45961</v>
      </c>
      <c r="E418" t="n">
        <v>4</v>
      </c>
      <c r="F418" t="n">
        <v>16</v>
      </c>
      <c r="G418">
        <f>IF(AND(D418&gt;=DATE(2025,7,1),D418&lt;=DATE(2026,6,30)),1,0)</f>
        <v>1</v>
      </c>
    </row>
    <row r="419">
      <c r="A419" t="inlineStr">
        <is>
          <t>S0124</t>
        </is>
      </c>
      <c r="B419" t="inlineStr">
        <is>
          <t>BR</t>
        </is>
      </c>
      <c r="C419" s="11" t="n">
        <v>45961</v>
      </c>
      <c r="D419" s="11" t="n">
        <v>45989</v>
      </c>
      <c r="E419" t="n">
        <v>4</v>
      </c>
      <c r="F419" t="n">
        <v>16</v>
      </c>
      <c r="G419">
        <f>IF(AND(D419&gt;=DATE(2025,7,1),D419&lt;=DATE(2026,6,30)),1,0)</f>
        <v>1</v>
      </c>
    </row>
    <row r="420">
      <c r="A420" t="inlineStr">
        <is>
          <t>S0124</t>
        </is>
      </c>
      <c r="B420" t="inlineStr">
        <is>
          <t>BR</t>
        </is>
      </c>
      <c r="C420" s="11" t="n">
        <v>45989</v>
      </c>
      <c r="D420" s="11" t="n">
        <v>46017</v>
      </c>
      <c r="E420" t="n">
        <v>4</v>
      </c>
      <c r="F420" t="n">
        <v>16</v>
      </c>
      <c r="G420">
        <f>IF(AND(D420&gt;=DATE(2025,7,1),D420&lt;=DATE(2026,6,30)),1,0)</f>
        <v>1</v>
      </c>
    </row>
    <row r="421">
      <c r="A421" t="inlineStr">
        <is>
          <t>S0124</t>
        </is>
      </c>
      <c r="B421" t="inlineStr">
        <is>
          <t>BR</t>
        </is>
      </c>
      <c r="C421" s="11" t="n">
        <v>46017</v>
      </c>
      <c r="D421" s="11" t="n">
        <v>46020</v>
      </c>
      <c r="E421" t="n">
        <v>1</v>
      </c>
      <c r="F421" t="n">
        <v>4</v>
      </c>
      <c r="G421">
        <f>IF(AND(D421&gt;=DATE(2025,7,1),D421&lt;=DATE(2026,6,30)),1,0)</f>
        <v>1</v>
      </c>
    </row>
    <row r="422">
      <c r="A422" t="inlineStr">
        <is>
          <t>S0124</t>
        </is>
      </c>
      <c r="B422" t="inlineStr">
        <is>
          <t>FP</t>
        </is>
      </c>
      <c r="C422" s="11" t="n">
        <v>45877</v>
      </c>
      <c r="D422" s="11" t="n">
        <v>45905</v>
      </c>
      <c r="E422" t="n">
        <v>4</v>
      </c>
      <c r="F422" t="n">
        <v>552</v>
      </c>
      <c r="G422">
        <f>IF(AND(D422&gt;=DATE(2025,7,1),D422&lt;=DATE(2026,6,30)),1,0)</f>
        <v>1</v>
      </c>
    </row>
    <row r="423">
      <c r="A423" t="inlineStr">
        <is>
          <t>S0124</t>
        </is>
      </c>
      <c r="B423" t="inlineStr">
        <is>
          <t>FP</t>
        </is>
      </c>
      <c r="C423" s="11" t="n">
        <v>45905</v>
      </c>
      <c r="D423" s="11" t="n">
        <v>45933</v>
      </c>
      <c r="E423" t="n">
        <v>4</v>
      </c>
      <c r="F423" t="n">
        <v>552</v>
      </c>
      <c r="G423">
        <f>IF(AND(D423&gt;=DATE(2025,7,1),D423&lt;=DATE(2026,6,30)),1,0)</f>
        <v>1</v>
      </c>
    </row>
    <row r="424">
      <c r="A424" t="inlineStr">
        <is>
          <t>S0124</t>
        </is>
      </c>
      <c r="B424" t="inlineStr">
        <is>
          <t>FP</t>
        </is>
      </c>
      <c r="C424" s="11" t="n">
        <v>45933</v>
      </c>
      <c r="D424" s="11" t="n">
        <v>45961</v>
      </c>
      <c r="E424" t="n">
        <v>4</v>
      </c>
      <c r="F424" t="n">
        <v>552</v>
      </c>
      <c r="G424">
        <f>IF(AND(D424&gt;=DATE(2025,7,1),D424&lt;=DATE(2026,6,30)),1,0)</f>
        <v>1</v>
      </c>
    </row>
    <row r="425">
      <c r="A425" t="inlineStr">
        <is>
          <t>S0124</t>
        </is>
      </c>
      <c r="B425" t="inlineStr">
        <is>
          <t>FP</t>
        </is>
      </c>
      <c r="C425" s="11" t="n">
        <v>45961</v>
      </c>
      <c r="D425" s="11" t="n">
        <v>45989</v>
      </c>
      <c r="E425" t="n">
        <v>4</v>
      </c>
      <c r="F425" t="n">
        <v>552</v>
      </c>
      <c r="G425">
        <f>IF(AND(D425&gt;=DATE(2025,7,1),D425&lt;=DATE(2026,6,30)),1,0)</f>
        <v>1</v>
      </c>
    </row>
    <row r="426">
      <c r="A426" t="inlineStr">
        <is>
          <t>S0124</t>
        </is>
      </c>
      <c r="B426" t="inlineStr">
        <is>
          <t>FP</t>
        </is>
      </c>
      <c r="C426" s="11" t="n">
        <v>45989</v>
      </c>
      <c r="D426" s="11" t="n">
        <v>46017</v>
      </c>
      <c r="E426" t="n">
        <v>4</v>
      </c>
      <c r="F426" t="n">
        <v>484</v>
      </c>
      <c r="G426">
        <f>IF(AND(D426&gt;=DATE(2025,7,1),D426&lt;=DATE(2026,6,30)),1,0)</f>
        <v>1</v>
      </c>
    </row>
    <row r="427">
      <c r="A427" t="inlineStr">
        <is>
          <t>S0124</t>
        </is>
      </c>
      <c r="B427" t="inlineStr">
        <is>
          <t>FP</t>
        </is>
      </c>
      <c r="C427" s="11" t="n">
        <v>46017</v>
      </c>
      <c r="D427" s="11" t="n">
        <v>46020</v>
      </c>
      <c r="E427" t="n">
        <v>1</v>
      </c>
      <c r="F427" t="n">
        <v>70</v>
      </c>
      <c r="G427">
        <f>IF(AND(D427&gt;=DATE(2025,7,1),D427&lt;=DATE(2026,6,30)),1,0)</f>
        <v>1</v>
      </c>
    </row>
    <row r="428">
      <c r="A428" t="inlineStr">
        <is>
          <t>S0125</t>
        </is>
      </c>
      <c r="B428" t="inlineStr">
        <is>
          <t>FP</t>
        </is>
      </c>
      <c r="C428" s="11" t="n">
        <v>46150</v>
      </c>
      <c r="D428" s="11" t="n">
        <v>46172</v>
      </c>
      <c r="E428" t="n">
        <v>4</v>
      </c>
      <c r="F428" t="n">
        <v>124</v>
      </c>
      <c r="G428">
        <f>IF(AND(D428&gt;=DATE(2025,7,1),D428&lt;=DATE(2026,6,30)),1,0)</f>
        <v>1</v>
      </c>
    </row>
    <row r="429">
      <c r="A429" t="inlineStr">
        <is>
          <t>S0126</t>
        </is>
      </c>
      <c r="B429" t="inlineStr">
        <is>
          <t>FP</t>
        </is>
      </c>
      <c r="C429" s="11" t="n">
        <v>45950</v>
      </c>
      <c r="D429" s="11" t="n">
        <v>45978</v>
      </c>
      <c r="E429" t="n">
        <v>4</v>
      </c>
      <c r="F429" t="n">
        <v>516</v>
      </c>
      <c r="G429">
        <f>IF(AND(D429&gt;=DATE(2025,7,1),D429&lt;=DATE(2026,6,30)),1,0)</f>
        <v>1</v>
      </c>
    </row>
    <row r="430">
      <c r="A430" t="inlineStr">
        <is>
          <t>S0126</t>
        </is>
      </c>
      <c r="B430" t="inlineStr">
        <is>
          <t>FP</t>
        </is>
      </c>
      <c r="C430" s="11" t="n">
        <v>45978</v>
      </c>
      <c r="D430" s="11" t="n">
        <v>46006</v>
      </c>
      <c r="E430" t="n">
        <v>4</v>
      </c>
      <c r="F430" t="n">
        <v>516</v>
      </c>
      <c r="G430">
        <f>IF(AND(D430&gt;=DATE(2025,7,1),D430&lt;=DATE(2026,6,30)),1,0)</f>
        <v>1</v>
      </c>
    </row>
    <row r="431">
      <c r="A431" t="inlineStr">
        <is>
          <t>S0126</t>
        </is>
      </c>
      <c r="B431" t="inlineStr">
        <is>
          <t>FP</t>
        </is>
      </c>
      <c r="C431" s="11" t="n">
        <v>46006</v>
      </c>
      <c r="D431" s="11" t="n">
        <v>46034</v>
      </c>
      <c r="E431" t="n">
        <v>4</v>
      </c>
      <c r="F431" t="n">
        <v>333</v>
      </c>
      <c r="G431">
        <f>IF(AND(D431&gt;=DATE(2025,7,1),D431&lt;=DATE(2026,6,30)),1,0)</f>
        <v>1</v>
      </c>
    </row>
    <row r="432">
      <c r="A432" t="inlineStr">
        <is>
          <t>S0126</t>
        </is>
      </c>
      <c r="B432" t="inlineStr">
        <is>
          <t>FP</t>
        </is>
      </c>
      <c r="C432" s="11" t="n">
        <v>46034</v>
      </c>
      <c r="D432" s="11" t="n">
        <v>46061</v>
      </c>
      <c r="E432" t="n">
        <v>4</v>
      </c>
      <c r="F432" t="n">
        <v>328</v>
      </c>
      <c r="G432">
        <f>IF(AND(D432&gt;=DATE(2025,7,1),D432&lt;=DATE(2026,6,30)),1,0)</f>
        <v>1</v>
      </c>
    </row>
    <row r="433">
      <c r="A433" t="inlineStr">
        <is>
          <t>S0127</t>
        </is>
      </c>
      <c r="B433" t="inlineStr">
        <is>
          <t>FP</t>
        </is>
      </c>
      <c r="C433" s="11" t="n">
        <v>46158</v>
      </c>
      <c r="D433" s="11" t="n">
        <v>46186</v>
      </c>
      <c r="E433" t="n">
        <v>4</v>
      </c>
      <c r="F433" t="n">
        <v>204</v>
      </c>
      <c r="G433">
        <f>IF(AND(D433&gt;=DATE(2025,7,1),D433&lt;=DATE(2026,6,30)),1,0)</f>
        <v>1</v>
      </c>
    </row>
    <row r="434">
      <c r="A434" t="inlineStr">
        <is>
          <t>S0129</t>
        </is>
      </c>
      <c r="B434" t="inlineStr">
        <is>
          <t>FP</t>
        </is>
      </c>
      <c r="C434" s="11" t="n">
        <v>46135</v>
      </c>
      <c r="D434" s="11" t="n">
        <v>46154</v>
      </c>
      <c r="E434" t="n">
        <v>3</v>
      </c>
      <c r="F434" t="n">
        <v>141</v>
      </c>
      <c r="G434">
        <f>IF(AND(D434&gt;=DATE(2025,7,1),D434&lt;=DATE(2026,6,30)),1,0)</f>
        <v>1</v>
      </c>
    </row>
    <row r="435">
      <c r="A435" t="inlineStr">
        <is>
          <t>S0130</t>
        </is>
      </c>
      <c r="B435" t="inlineStr">
        <is>
          <t>FP</t>
        </is>
      </c>
      <c r="C435" s="11" t="n">
        <v>45859</v>
      </c>
      <c r="D435" s="11" t="n">
        <v>45887</v>
      </c>
      <c r="E435" t="n">
        <v>4</v>
      </c>
      <c r="F435" t="n">
        <v>424</v>
      </c>
      <c r="G435">
        <f>IF(AND(D435&gt;=DATE(2025,7,1),D435&lt;=DATE(2026,6,30)),1,0)</f>
        <v>1</v>
      </c>
    </row>
    <row r="436">
      <c r="A436" t="inlineStr">
        <is>
          <t>S0130</t>
        </is>
      </c>
      <c r="B436" t="inlineStr">
        <is>
          <t>FP</t>
        </is>
      </c>
      <c r="C436" s="11" t="n">
        <v>45887</v>
      </c>
      <c r="D436" s="11" t="n">
        <v>45915</v>
      </c>
      <c r="E436" t="n">
        <v>4</v>
      </c>
      <c r="F436" t="n">
        <v>424</v>
      </c>
      <c r="G436">
        <f>IF(AND(D436&gt;=DATE(2025,7,1),D436&lt;=DATE(2026,6,30)),1,0)</f>
        <v>1</v>
      </c>
    </row>
    <row r="437">
      <c r="A437" t="inlineStr">
        <is>
          <t>S0130</t>
        </is>
      </c>
      <c r="B437" t="inlineStr">
        <is>
          <t>FP</t>
        </is>
      </c>
      <c r="C437" s="11" t="n">
        <v>45915</v>
      </c>
      <c r="D437" s="11" t="n">
        <v>45943</v>
      </c>
      <c r="E437" t="n">
        <v>4</v>
      </c>
      <c r="F437" t="n">
        <v>424</v>
      </c>
      <c r="G437">
        <f>IF(AND(D437&gt;=DATE(2025,7,1),D437&lt;=DATE(2026,6,30)),1,0)</f>
        <v>1</v>
      </c>
    </row>
    <row r="438">
      <c r="A438" t="inlineStr">
        <is>
          <t>S0130</t>
        </is>
      </c>
      <c r="B438" t="inlineStr">
        <is>
          <t>FP</t>
        </is>
      </c>
      <c r="C438" s="11" t="n">
        <v>45943</v>
      </c>
      <c r="D438" s="11" t="n">
        <v>45970</v>
      </c>
      <c r="E438" t="n">
        <v>4</v>
      </c>
      <c r="F438" t="n">
        <v>424</v>
      </c>
      <c r="G438">
        <f>IF(AND(D438&gt;=DATE(2025,7,1),D438&lt;=DATE(2026,6,30)),1,0)</f>
        <v>1</v>
      </c>
    </row>
    <row r="439">
      <c r="A439" t="inlineStr">
        <is>
          <t>S0131</t>
        </is>
      </c>
      <c r="B439" t="inlineStr">
        <is>
          <t>FP</t>
        </is>
      </c>
      <c r="C439" s="11" t="n">
        <v>46065</v>
      </c>
      <c r="D439" s="11" t="n">
        <v>46093</v>
      </c>
      <c r="E439" t="n">
        <v>4</v>
      </c>
      <c r="F439" t="n">
        <v>248</v>
      </c>
      <c r="G439">
        <f>IF(AND(D439&gt;=DATE(2025,7,1),D439&lt;=DATE(2026,6,30)),1,0)</f>
        <v>1</v>
      </c>
    </row>
    <row r="440">
      <c r="A440" t="inlineStr">
        <is>
          <t>S0131</t>
        </is>
      </c>
      <c r="B440" t="inlineStr">
        <is>
          <t>FP</t>
        </is>
      </c>
      <c r="C440" s="11" t="n">
        <v>46093</v>
      </c>
      <c r="D440" s="11" t="n">
        <v>46121</v>
      </c>
      <c r="E440" t="n">
        <v>4</v>
      </c>
      <c r="F440" t="n">
        <v>248</v>
      </c>
      <c r="G440">
        <f>IF(AND(D440&gt;=DATE(2025,7,1),D440&lt;=DATE(2026,6,30)),1,0)</f>
        <v>1</v>
      </c>
    </row>
    <row r="441">
      <c r="A441" t="inlineStr">
        <is>
          <t>S0132</t>
        </is>
      </c>
      <c r="B441" t="inlineStr">
        <is>
          <t>FP</t>
        </is>
      </c>
      <c r="C441" s="11" t="n">
        <v>45974</v>
      </c>
      <c r="D441" s="11" t="n">
        <v>46002</v>
      </c>
      <c r="E441" t="n">
        <v>4</v>
      </c>
      <c r="F441" t="n">
        <v>584</v>
      </c>
      <c r="G441">
        <f>IF(AND(D441&gt;=DATE(2025,7,1),D441&lt;=DATE(2026,6,30)),1,0)</f>
        <v>1</v>
      </c>
    </row>
    <row r="442">
      <c r="A442" t="inlineStr">
        <is>
          <t>S0132</t>
        </is>
      </c>
      <c r="B442" t="inlineStr">
        <is>
          <t>FP</t>
        </is>
      </c>
      <c r="C442" s="11" t="n">
        <v>46002</v>
      </c>
      <c r="D442" s="11" t="n">
        <v>46030</v>
      </c>
      <c r="E442" t="n">
        <v>4</v>
      </c>
      <c r="F442" t="n">
        <v>584</v>
      </c>
      <c r="G442">
        <f>IF(AND(D442&gt;=DATE(2025,7,1),D442&lt;=DATE(2026,6,30)),1,0)</f>
        <v>1</v>
      </c>
    </row>
    <row r="443">
      <c r="A443" t="inlineStr">
        <is>
          <t>S0132</t>
        </is>
      </c>
      <c r="B443" t="inlineStr">
        <is>
          <t>FP</t>
        </is>
      </c>
      <c r="C443" s="11" t="n">
        <v>46030</v>
      </c>
      <c r="D443" s="11" t="n">
        <v>46056</v>
      </c>
      <c r="E443" t="n">
        <v>4</v>
      </c>
      <c r="F443" t="n">
        <v>584</v>
      </c>
      <c r="G443">
        <f>IF(AND(D443&gt;=DATE(2025,7,1),D443&lt;=DATE(2026,6,30)),1,0)</f>
        <v>1</v>
      </c>
    </row>
    <row r="444">
      <c r="A444" t="inlineStr">
        <is>
          <t>S0133</t>
        </is>
      </c>
      <c r="B444" t="inlineStr">
        <is>
          <t>FP</t>
        </is>
      </c>
      <c r="C444" s="11" t="n">
        <v>46101</v>
      </c>
      <c r="D444" s="11" t="n">
        <v>46129</v>
      </c>
      <c r="E444" t="n">
        <v>4</v>
      </c>
      <c r="F444" t="n">
        <v>560</v>
      </c>
      <c r="G444">
        <f>IF(AND(D444&gt;=DATE(2025,7,1),D444&lt;=DATE(2026,6,30)),1,0)</f>
        <v>1</v>
      </c>
    </row>
    <row r="445">
      <c r="A445" t="inlineStr">
        <is>
          <t>S0133</t>
        </is>
      </c>
      <c r="B445" t="inlineStr">
        <is>
          <t>FP</t>
        </is>
      </c>
      <c r="C445" s="11" t="n">
        <v>46129</v>
      </c>
      <c r="D445" s="11" t="n">
        <v>46157</v>
      </c>
      <c r="E445" t="n">
        <v>4</v>
      </c>
      <c r="F445" t="n">
        <v>560</v>
      </c>
      <c r="G445">
        <f>IF(AND(D445&gt;=DATE(2025,7,1),D445&lt;=DATE(2026,6,30)),1,0)</f>
        <v>1</v>
      </c>
    </row>
    <row r="446">
      <c r="A446" t="inlineStr">
        <is>
          <t>S0133</t>
        </is>
      </c>
      <c r="B446" t="inlineStr">
        <is>
          <t>FP</t>
        </is>
      </c>
      <c r="C446" s="11" t="n">
        <v>46157</v>
      </c>
      <c r="D446" s="11" t="n">
        <v>46185</v>
      </c>
      <c r="E446" t="n">
        <v>4</v>
      </c>
      <c r="F446" t="n">
        <v>560</v>
      </c>
      <c r="G446">
        <f>IF(AND(D446&gt;=DATE(2025,7,1),D446&lt;=DATE(2026,6,30)),1,0)</f>
        <v>1</v>
      </c>
    </row>
    <row r="447">
      <c r="A447" t="inlineStr">
        <is>
          <t>S0134</t>
        </is>
      </c>
      <c r="B447" t="inlineStr">
        <is>
          <t>FP</t>
        </is>
      </c>
      <c r="C447" s="11" t="n">
        <v>46079</v>
      </c>
      <c r="D447" s="11" t="n">
        <v>46107</v>
      </c>
      <c r="E447" t="n">
        <v>4</v>
      </c>
      <c r="F447" t="n">
        <v>468</v>
      </c>
      <c r="G447">
        <f>IF(AND(D447&gt;=DATE(2025,7,1),D447&lt;=DATE(2026,6,30)),1,0)</f>
        <v>1</v>
      </c>
    </row>
    <row r="448">
      <c r="A448" t="inlineStr">
        <is>
          <t>S0134</t>
        </is>
      </c>
      <c r="B448" t="inlineStr">
        <is>
          <t>FP</t>
        </is>
      </c>
      <c r="C448" s="11" t="n">
        <v>46107</v>
      </c>
      <c r="D448" s="11" t="n">
        <v>46135</v>
      </c>
      <c r="E448" t="n">
        <v>4</v>
      </c>
      <c r="F448" t="n">
        <v>468</v>
      </c>
      <c r="G448">
        <f>IF(AND(D448&gt;=DATE(2025,7,1),D448&lt;=DATE(2026,6,30)),1,0)</f>
        <v>1</v>
      </c>
    </row>
    <row r="449">
      <c r="A449" t="inlineStr">
        <is>
          <t>S0134</t>
        </is>
      </c>
      <c r="B449" t="inlineStr">
        <is>
          <t>FP</t>
        </is>
      </c>
      <c r="C449" s="11" t="n">
        <v>46135</v>
      </c>
      <c r="D449" s="11" t="n">
        <v>46163</v>
      </c>
      <c r="E449" t="n">
        <v>4</v>
      </c>
      <c r="F449" t="n">
        <v>468</v>
      </c>
      <c r="G449">
        <f>IF(AND(D449&gt;=DATE(2025,7,1),D449&lt;=DATE(2026,6,30)),1,0)</f>
        <v>1</v>
      </c>
    </row>
    <row r="450">
      <c r="A450" t="inlineStr">
        <is>
          <t>S0134</t>
        </is>
      </c>
      <c r="B450" t="inlineStr">
        <is>
          <t>FP</t>
        </is>
      </c>
      <c r="C450" s="11" t="n">
        <v>46163</v>
      </c>
      <c r="D450" s="11" t="n">
        <v>46191</v>
      </c>
      <c r="E450" t="n">
        <v>4</v>
      </c>
      <c r="F450" t="n">
        <v>468</v>
      </c>
      <c r="G450">
        <f>IF(AND(D450&gt;=DATE(2025,7,1),D450&lt;=DATE(2026,6,30)),1,0)</f>
        <v>1</v>
      </c>
    </row>
    <row r="451">
      <c r="A451" t="inlineStr">
        <is>
          <t>S0135</t>
        </is>
      </c>
      <c r="B451" t="inlineStr">
        <is>
          <t>BR</t>
        </is>
      </c>
      <c r="C451" s="11" t="n">
        <v>45954</v>
      </c>
      <c r="D451" s="11" t="n">
        <v>45982</v>
      </c>
      <c r="E451" t="n">
        <v>4</v>
      </c>
      <c r="F451" t="n">
        <v>44</v>
      </c>
      <c r="G451">
        <f>IF(AND(D451&gt;=DATE(2025,7,1),D451&lt;=DATE(2026,6,30)),1,0)</f>
        <v>1</v>
      </c>
    </row>
    <row r="452">
      <c r="A452" t="inlineStr">
        <is>
          <t>S0135</t>
        </is>
      </c>
      <c r="B452" t="inlineStr">
        <is>
          <t>BR</t>
        </is>
      </c>
      <c r="C452" s="11" t="n">
        <v>45982</v>
      </c>
      <c r="D452" s="11" t="n">
        <v>46010</v>
      </c>
      <c r="E452" t="n">
        <v>4</v>
      </c>
      <c r="F452" t="n">
        <v>44</v>
      </c>
      <c r="G452">
        <f>IF(AND(D452&gt;=DATE(2025,7,1),D452&lt;=DATE(2026,6,30)),1,0)</f>
        <v>1</v>
      </c>
    </row>
    <row r="453">
      <c r="A453" t="inlineStr">
        <is>
          <t>S0135</t>
        </is>
      </c>
      <c r="B453" t="inlineStr">
        <is>
          <t>BR</t>
        </is>
      </c>
      <c r="C453" s="11" t="n">
        <v>46010</v>
      </c>
      <c r="D453" s="11" t="n">
        <v>46038</v>
      </c>
      <c r="E453" t="n">
        <v>4</v>
      </c>
      <c r="F453" t="n">
        <v>44</v>
      </c>
      <c r="G453">
        <f>IF(AND(D453&gt;=DATE(2025,7,1),D453&lt;=DATE(2026,6,30)),1,0)</f>
        <v>1</v>
      </c>
    </row>
    <row r="454">
      <c r="A454" t="inlineStr">
        <is>
          <t>S0135</t>
        </is>
      </c>
      <c r="B454" t="inlineStr">
        <is>
          <t>BR</t>
        </is>
      </c>
      <c r="C454" s="11" t="n">
        <v>46038</v>
      </c>
      <c r="D454" s="11" t="n">
        <v>46066</v>
      </c>
      <c r="E454" t="n">
        <v>4</v>
      </c>
      <c r="F454" t="n">
        <v>44</v>
      </c>
      <c r="G454">
        <f>IF(AND(D454&gt;=DATE(2025,7,1),D454&lt;=DATE(2026,6,30)),1,0)</f>
        <v>1</v>
      </c>
    </row>
    <row r="455">
      <c r="A455" t="inlineStr">
        <is>
          <t>S0135</t>
        </is>
      </c>
      <c r="B455" t="inlineStr">
        <is>
          <t>BR</t>
        </is>
      </c>
      <c r="C455" s="11" t="n">
        <v>46066</v>
      </c>
      <c r="D455" s="11" t="n">
        <v>46093</v>
      </c>
      <c r="E455" t="n">
        <v>4</v>
      </c>
      <c r="F455" t="n">
        <v>44</v>
      </c>
      <c r="G455">
        <f>IF(AND(D455&gt;=DATE(2025,7,1),D455&lt;=DATE(2026,6,30)),1,0)</f>
        <v>1</v>
      </c>
    </row>
    <row r="456">
      <c r="A456" t="inlineStr">
        <is>
          <t>S0135</t>
        </is>
      </c>
      <c r="B456" t="inlineStr">
        <is>
          <t>FP</t>
        </is>
      </c>
      <c r="C456" s="11" t="n">
        <v>45954</v>
      </c>
      <c r="D456" s="11" t="n">
        <v>45982</v>
      </c>
      <c r="E456" t="n">
        <v>4</v>
      </c>
      <c r="F456" t="n">
        <v>260</v>
      </c>
      <c r="G456">
        <f>IF(AND(D456&gt;=DATE(2025,7,1),D456&lt;=DATE(2026,6,30)),1,0)</f>
        <v>1</v>
      </c>
    </row>
    <row r="457">
      <c r="A457" t="inlineStr">
        <is>
          <t>S0135</t>
        </is>
      </c>
      <c r="B457" t="inlineStr">
        <is>
          <t>FP</t>
        </is>
      </c>
      <c r="C457" s="11" t="n">
        <v>45982</v>
      </c>
      <c r="D457" s="11" t="n">
        <v>46010</v>
      </c>
      <c r="E457" t="n">
        <v>4</v>
      </c>
      <c r="F457" t="n">
        <v>260</v>
      </c>
      <c r="G457">
        <f>IF(AND(D457&gt;=DATE(2025,7,1),D457&lt;=DATE(2026,6,30)),1,0)</f>
        <v>1</v>
      </c>
    </row>
    <row r="458">
      <c r="A458" t="inlineStr">
        <is>
          <t>S0135</t>
        </is>
      </c>
      <c r="B458" t="inlineStr">
        <is>
          <t>FP</t>
        </is>
      </c>
      <c r="C458" s="11" t="n">
        <v>46010</v>
      </c>
      <c r="D458" s="11" t="n">
        <v>46038</v>
      </c>
      <c r="E458" t="n">
        <v>4</v>
      </c>
      <c r="F458" t="n">
        <v>260</v>
      </c>
      <c r="G458">
        <f>IF(AND(D458&gt;=DATE(2025,7,1),D458&lt;=DATE(2026,6,30)),1,0)</f>
        <v>1</v>
      </c>
    </row>
    <row r="459">
      <c r="A459" t="inlineStr">
        <is>
          <t>S0135</t>
        </is>
      </c>
      <c r="B459" t="inlineStr">
        <is>
          <t>FP</t>
        </is>
      </c>
      <c r="C459" s="11" t="n">
        <v>46038</v>
      </c>
      <c r="D459" s="11" t="n">
        <v>46066</v>
      </c>
      <c r="E459" t="n">
        <v>4</v>
      </c>
      <c r="F459" t="n">
        <v>260</v>
      </c>
      <c r="G459">
        <f>IF(AND(D459&gt;=DATE(2025,7,1),D459&lt;=DATE(2026,6,30)),1,0)</f>
        <v>1</v>
      </c>
    </row>
    <row r="460">
      <c r="A460" t="inlineStr">
        <is>
          <t>S0135</t>
        </is>
      </c>
      <c r="B460" t="inlineStr">
        <is>
          <t>FP</t>
        </is>
      </c>
      <c r="C460" s="11" t="n">
        <v>46066</v>
      </c>
      <c r="D460" s="11" t="n">
        <v>46093</v>
      </c>
      <c r="E460" t="n">
        <v>4</v>
      </c>
      <c r="F460" t="n">
        <v>260</v>
      </c>
      <c r="G460">
        <f>IF(AND(D460&gt;=DATE(2025,7,1),D460&lt;=DATE(2026,6,30)),1,0)</f>
        <v>1</v>
      </c>
    </row>
    <row r="461">
      <c r="A461" t="inlineStr">
        <is>
          <t>S0136</t>
        </is>
      </c>
      <c r="B461" t="inlineStr">
        <is>
          <t>BR</t>
        </is>
      </c>
      <c r="C461" s="11" t="n">
        <v>46155</v>
      </c>
      <c r="D461" s="11" t="n">
        <v>46177</v>
      </c>
      <c r="E461" t="n">
        <v>4</v>
      </c>
      <c r="F461" t="n">
        <v>92</v>
      </c>
      <c r="G461">
        <f>IF(AND(D461&gt;=DATE(2025,7,1),D461&lt;=DATE(2026,6,30)),1,0)</f>
        <v>1</v>
      </c>
    </row>
    <row r="462">
      <c r="A462" t="inlineStr">
        <is>
          <t>S0136</t>
        </is>
      </c>
      <c r="B462" t="inlineStr">
        <is>
          <t>FP</t>
        </is>
      </c>
      <c r="C462" s="11" t="n">
        <v>46155</v>
      </c>
      <c r="D462" s="11" t="n">
        <v>46177</v>
      </c>
      <c r="E462" t="n">
        <v>4</v>
      </c>
      <c r="F462" t="n">
        <v>296</v>
      </c>
      <c r="G462">
        <f>IF(AND(D462&gt;=DATE(2025,7,1),D462&lt;=DATE(2026,6,30)),1,0)</f>
        <v>1</v>
      </c>
    </row>
    <row r="463">
      <c r="A463" t="inlineStr">
        <is>
          <t>S0137</t>
        </is>
      </c>
      <c r="B463" t="inlineStr">
        <is>
          <t>FP</t>
        </is>
      </c>
      <c r="C463" s="11" t="n">
        <v>45838</v>
      </c>
      <c r="D463" s="11" t="n">
        <v>45866</v>
      </c>
      <c r="E463" t="n">
        <v>4</v>
      </c>
      <c r="F463" t="n">
        <v>336</v>
      </c>
      <c r="G463">
        <f>IF(AND(D463&gt;=DATE(2025,7,1),D463&lt;=DATE(2026,6,30)),1,0)</f>
        <v>1</v>
      </c>
    </row>
    <row r="464">
      <c r="A464" t="inlineStr">
        <is>
          <t>S0137</t>
        </is>
      </c>
      <c r="B464" t="inlineStr">
        <is>
          <t>FP</t>
        </is>
      </c>
      <c r="C464" s="11" t="n">
        <v>45866</v>
      </c>
      <c r="D464" s="11" t="n">
        <v>45870</v>
      </c>
      <c r="E464" t="n">
        <v>1</v>
      </c>
      <c r="F464" t="n">
        <v>84</v>
      </c>
      <c r="G464">
        <f>IF(AND(D464&gt;=DATE(2025,7,1),D464&lt;=DATE(2026,6,30)),1,0)</f>
        <v>1</v>
      </c>
    </row>
    <row r="465">
      <c r="A465" t="inlineStr">
        <is>
          <t>S0138</t>
        </is>
      </c>
      <c r="B465" t="inlineStr">
        <is>
          <t>FP</t>
        </is>
      </c>
      <c r="C465" s="11" t="n">
        <v>45953</v>
      </c>
      <c r="D465" s="11" t="n">
        <v>45973</v>
      </c>
      <c r="E465" t="n">
        <v>3</v>
      </c>
      <c r="F465" t="n">
        <v>66</v>
      </c>
      <c r="G465">
        <f>IF(AND(D465&gt;=DATE(2025,7,1),D465&lt;=DATE(2026,6,30)),1,0)</f>
        <v>1</v>
      </c>
    </row>
    <row r="466">
      <c r="A466" t="inlineStr">
        <is>
          <t>S0139</t>
        </is>
      </c>
      <c r="B466" t="inlineStr">
        <is>
          <t>FP</t>
        </is>
      </c>
      <c r="C466" s="11" t="n">
        <v>45989</v>
      </c>
      <c r="D466" s="11" t="n">
        <v>46001</v>
      </c>
      <c r="E466" t="n">
        <v>2</v>
      </c>
      <c r="F466" t="n">
        <v>140</v>
      </c>
      <c r="G466">
        <f>IF(AND(D466&gt;=DATE(2025,7,1),D466&lt;=DATE(2026,6,30)),1,0)</f>
        <v>1</v>
      </c>
    </row>
    <row r="467">
      <c r="A467" t="inlineStr">
        <is>
          <t>S0140</t>
        </is>
      </c>
      <c r="B467" t="inlineStr">
        <is>
          <t>FP</t>
        </is>
      </c>
      <c r="C467" s="11" t="n">
        <v>45887</v>
      </c>
      <c r="D467" s="11" t="n">
        <v>45905</v>
      </c>
      <c r="E467" t="n">
        <v>3</v>
      </c>
      <c r="F467" t="n">
        <v>372</v>
      </c>
      <c r="G467">
        <f>IF(AND(D467&gt;=DATE(2025,7,1),D467&lt;=DATE(2026,6,30)),1,0)</f>
        <v>1</v>
      </c>
    </row>
    <row r="468">
      <c r="A468" t="inlineStr">
        <is>
          <t>S0142</t>
        </is>
      </c>
      <c r="B468" t="inlineStr">
        <is>
          <t>FP</t>
        </is>
      </c>
      <c r="C468" s="11" t="n">
        <v>45836</v>
      </c>
      <c r="D468" s="11" t="n">
        <v>45864</v>
      </c>
      <c r="E468" t="n">
        <v>4</v>
      </c>
      <c r="F468" t="n">
        <v>12</v>
      </c>
      <c r="G468">
        <f>IF(AND(D468&gt;=DATE(2025,7,1),D468&lt;=DATE(2026,6,30)),1,0)</f>
        <v>1</v>
      </c>
    </row>
    <row r="469">
      <c r="A469" t="inlineStr">
        <is>
          <t>S0142</t>
        </is>
      </c>
      <c r="B469" t="inlineStr">
        <is>
          <t>FP</t>
        </is>
      </c>
      <c r="C469" s="11" t="n">
        <v>45864</v>
      </c>
      <c r="D469" s="11" t="n">
        <v>45892</v>
      </c>
      <c r="E469" t="n">
        <v>4</v>
      </c>
      <c r="F469" t="n">
        <v>12</v>
      </c>
      <c r="G469">
        <f>IF(AND(D469&gt;=DATE(2025,7,1),D469&lt;=DATE(2026,6,30)),1,0)</f>
        <v>1</v>
      </c>
    </row>
    <row r="470">
      <c r="A470" t="inlineStr">
        <is>
          <t>S0142</t>
        </is>
      </c>
      <c r="B470" t="inlineStr">
        <is>
          <t>FP</t>
        </is>
      </c>
      <c r="C470" s="11" t="n">
        <v>45892</v>
      </c>
      <c r="D470" s="11" t="n">
        <v>45920</v>
      </c>
      <c r="E470" t="n">
        <v>4</v>
      </c>
      <c r="F470" t="n">
        <v>12</v>
      </c>
      <c r="G470">
        <f>IF(AND(D470&gt;=DATE(2025,7,1),D470&lt;=DATE(2026,6,30)),1,0)</f>
        <v>1</v>
      </c>
    </row>
    <row r="471">
      <c r="A471" t="inlineStr">
        <is>
          <t>S0142</t>
        </is>
      </c>
      <c r="B471" t="inlineStr">
        <is>
          <t>FP</t>
        </is>
      </c>
      <c r="C471" s="11" t="n">
        <v>45920</v>
      </c>
      <c r="D471" s="11" t="n">
        <v>45948</v>
      </c>
      <c r="E471" t="n">
        <v>4</v>
      </c>
      <c r="F471" t="n">
        <v>12</v>
      </c>
      <c r="G471">
        <f>IF(AND(D471&gt;=DATE(2025,7,1),D471&lt;=DATE(2026,6,30)),1,0)</f>
        <v>1</v>
      </c>
    </row>
    <row r="472">
      <c r="A472" t="inlineStr">
        <is>
          <t>S0142</t>
        </is>
      </c>
      <c r="B472" t="inlineStr">
        <is>
          <t>FP</t>
        </is>
      </c>
      <c r="C472" s="11" t="n">
        <v>45948</v>
      </c>
      <c r="D472" s="11" t="n">
        <v>45976</v>
      </c>
      <c r="E472" t="n">
        <v>4</v>
      </c>
      <c r="F472" t="n">
        <v>12</v>
      </c>
      <c r="G472">
        <f>IF(AND(D472&gt;=DATE(2025,7,1),D472&lt;=DATE(2026,6,30)),1,0)</f>
        <v>1</v>
      </c>
    </row>
    <row r="473">
      <c r="A473" t="inlineStr">
        <is>
          <t>S0142</t>
        </is>
      </c>
      <c r="B473" t="inlineStr">
        <is>
          <t>FP</t>
        </is>
      </c>
      <c r="C473" s="11" t="n">
        <v>45976</v>
      </c>
      <c r="D473" s="11" t="n">
        <v>46004</v>
      </c>
      <c r="E473" t="n">
        <v>4</v>
      </c>
      <c r="F473" t="n">
        <v>12</v>
      </c>
      <c r="G473">
        <f>IF(AND(D473&gt;=DATE(2025,7,1),D473&lt;=DATE(2026,6,30)),1,0)</f>
        <v>1</v>
      </c>
    </row>
    <row r="474">
      <c r="A474" t="inlineStr">
        <is>
          <t>S0142</t>
        </is>
      </c>
      <c r="B474" t="inlineStr">
        <is>
          <t>FP</t>
        </is>
      </c>
      <c r="C474" s="11" t="n">
        <v>46004</v>
      </c>
      <c r="D474" s="11" t="n">
        <v>46032</v>
      </c>
      <c r="E474" t="n">
        <v>4</v>
      </c>
      <c r="F474" t="n">
        <v>12</v>
      </c>
      <c r="G474">
        <f>IF(AND(D474&gt;=DATE(2025,7,1),D474&lt;=DATE(2026,6,30)),1,0)</f>
        <v>1</v>
      </c>
    </row>
    <row r="475">
      <c r="A475" t="inlineStr">
        <is>
          <t>S0142</t>
        </is>
      </c>
      <c r="B475" t="inlineStr">
        <is>
          <t>FP</t>
        </is>
      </c>
      <c r="C475" s="11" t="n">
        <v>46032</v>
      </c>
      <c r="D475" s="11" t="n">
        <v>46060</v>
      </c>
      <c r="E475" t="n">
        <v>4</v>
      </c>
      <c r="F475" t="n">
        <v>12</v>
      </c>
      <c r="G475">
        <f>IF(AND(D475&gt;=DATE(2025,7,1),D475&lt;=DATE(2026,6,30)),1,0)</f>
        <v>1</v>
      </c>
    </row>
    <row r="476">
      <c r="A476" t="inlineStr">
        <is>
          <t>S0142</t>
        </is>
      </c>
      <c r="B476" t="inlineStr">
        <is>
          <t>FP</t>
        </is>
      </c>
      <c r="C476" s="11" t="n">
        <v>46060</v>
      </c>
      <c r="D476" s="11" t="n">
        <v>46088</v>
      </c>
      <c r="E476" t="n">
        <v>4</v>
      </c>
      <c r="F476" t="n">
        <v>12</v>
      </c>
      <c r="G476">
        <f>IF(AND(D476&gt;=DATE(2025,7,1),D476&lt;=DATE(2026,6,30)),1,0)</f>
        <v>1</v>
      </c>
    </row>
    <row r="477">
      <c r="A477" t="inlineStr">
        <is>
          <t>S0142</t>
        </is>
      </c>
      <c r="B477" t="inlineStr">
        <is>
          <t>FP</t>
        </is>
      </c>
      <c r="C477" s="11" t="n">
        <v>46088</v>
      </c>
      <c r="D477" s="11" t="n">
        <v>46116</v>
      </c>
      <c r="E477" t="n">
        <v>4</v>
      </c>
      <c r="F477" t="n">
        <v>12</v>
      </c>
      <c r="G477">
        <f>IF(AND(D477&gt;=DATE(2025,7,1),D477&lt;=DATE(2026,6,30)),1,0)</f>
        <v>1</v>
      </c>
    </row>
    <row r="478">
      <c r="A478" t="inlineStr">
        <is>
          <t>S0142</t>
        </is>
      </c>
      <c r="B478" t="inlineStr">
        <is>
          <t>FP</t>
        </is>
      </c>
      <c r="C478" s="11" t="n">
        <v>46116</v>
      </c>
      <c r="D478" s="11" t="n">
        <v>46144</v>
      </c>
      <c r="E478" t="n">
        <v>4</v>
      </c>
      <c r="F478" t="n">
        <v>12</v>
      </c>
      <c r="G478">
        <f>IF(AND(D478&gt;=DATE(2025,7,1),D478&lt;=DATE(2026,6,30)),1,0)</f>
        <v>1</v>
      </c>
    </row>
    <row r="479">
      <c r="A479" t="inlineStr">
        <is>
          <t>S0142</t>
        </is>
      </c>
      <c r="B479" t="inlineStr">
        <is>
          <t>FP</t>
        </is>
      </c>
      <c r="C479" s="11" t="n">
        <v>46144</v>
      </c>
      <c r="D479" s="11" t="n">
        <v>46172</v>
      </c>
      <c r="E479" t="n">
        <v>4</v>
      </c>
      <c r="F479" t="n">
        <v>12</v>
      </c>
      <c r="G479">
        <f>IF(AND(D479&gt;=DATE(2025,7,1),D479&lt;=DATE(2026,6,30)),1,0)</f>
        <v>1</v>
      </c>
    </row>
    <row r="480">
      <c r="A480" t="inlineStr">
        <is>
          <t>S0142</t>
        </is>
      </c>
      <c r="B480" t="inlineStr">
        <is>
          <t>FP</t>
        </is>
      </c>
      <c r="C480" s="11" t="n">
        <v>46172</v>
      </c>
      <c r="D480" s="11" t="n">
        <v>46200</v>
      </c>
      <c r="E480" t="n">
        <v>4</v>
      </c>
      <c r="F480" t="n">
        <v>12</v>
      </c>
      <c r="G480">
        <f>IF(AND(D480&gt;=DATE(2025,7,1),D480&lt;=DATE(2026,6,30)),1,0)</f>
        <v>1</v>
      </c>
    </row>
    <row r="481">
      <c r="A481" t="inlineStr">
        <is>
          <t>S0143</t>
        </is>
      </c>
      <c r="B481" t="inlineStr">
        <is>
          <t>FP</t>
        </is>
      </c>
      <c r="C481" s="11" t="n">
        <v>46060</v>
      </c>
      <c r="D481" s="11" t="n">
        <v>46088</v>
      </c>
      <c r="E481" t="n">
        <v>4</v>
      </c>
      <c r="F481" t="n">
        <v>560</v>
      </c>
      <c r="G481">
        <f>IF(AND(D481&gt;=DATE(2025,7,1),D481&lt;=DATE(2026,6,30)),1,0)</f>
        <v>1</v>
      </c>
    </row>
    <row r="482">
      <c r="A482" t="inlineStr">
        <is>
          <t>S0143</t>
        </is>
      </c>
      <c r="B482" t="inlineStr">
        <is>
          <t>FP</t>
        </is>
      </c>
      <c r="C482" s="11" t="n">
        <v>46088</v>
      </c>
      <c r="D482" s="11" t="n">
        <v>46116</v>
      </c>
      <c r="E482" t="n">
        <v>4</v>
      </c>
      <c r="F482" t="n">
        <v>560</v>
      </c>
      <c r="G482">
        <f>IF(AND(D482&gt;=DATE(2025,7,1),D482&lt;=DATE(2026,6,30)),1,0)</f>
        <v>1</v>
      </c>
    </row>
    <row r="483">
      <c r="A483" t="inlineStr">
        <is>
          <t>S0143</t>
        </is>
      </c>
      <c r="B483" t="inlineStr">
        <is>
          <t>FP</t>
        </is>
      </c>
      <c r="C483" s="11" t="n">
        <v>46116</v>
      </c>
      <c r="D483" s="11" t="n">
        <v>46144</v>
      </c>
      <c r="E483" t="n">
        <v>4</v>
      </c>
      <c r="F483" t="n">
        <v>420</v>
      </c>
      <c r="G483">
        <f>IF(AND(D483&gt;=DATE(2025,7,1),D483&lt;=DATE(2026,6,30)),1,0)</f>
        <v>1</v>
      </c>
    </row>
    <row r="484">
      <c r="A484" t="inlineStr">
        <is>
          <t>S0143</t>
        </is>
      </c>
      <c r="B484" t="inlineStr">
        <is>
          <t>FP</t>
        </is>
      </c>
      <c r="C484" s="11" t="n">
        <v>46144</v>
      </c>
      <c r="D484" s="11" t="n">
        <v>46172</v>
      </c>
      <c r="E484" t="n">
        <v>4</v>
      </c>
      <c r="F484" t="n">
        <v>280</v>
      </c>
      <c r="G484">
        <f>IF(AND(D484&gt;=DATE(2025,7,1),D484&lt;=DATE(2026,6,30)),1,0)</f>
        <v>1</v>
      </c>
    </row>
    <row r="485">
      <c r="A485" t="inlineStr">
        <is>
          <t>S0143</t>
        </is>
      </c>
      <c r="B485" t="inlineStr">
        <is>
          <t>FP</t>
        </is>
      </c>
      <c r="C485" s="11" t="n">
        <v>46172</v>
      </c>
      <c r="D485" s="11" t="n">
        <v>46200</v>
      </c>
      <c r="E485" t="n">
        <v>4</v>
      </c>
      <c r="F485" t="n">
        <v>280</v>
      </c>
      <c r="G485">
        <f>IF(AND(D485&gt;=DATE(2025,7,1),D485&lt;=DATE(2026,6,30)),1,0)</f>
        <v>1</v>
      </c>
    </row>
    <row r="486">
      <c r="A486" t="inlineStr">
        <is>
          <t>S0144</t>
        </is>
      </c>
      <c r="B486" t="inlineStr">
        <is>
          <t>BR</t>
        </is>
      </c>
      <c r="C486" s="11" t="n">
        <v>45966</v>
      </c>
      <c r="D486" s="11" t="n">
        <v>45986</v>
      </c>
      <c r="E486" t="n">
        <v>3</v>
      </c>
      <c r="F486" t="n">
        <v>48</v>
      </c>
      <c r="G486">
        <f>IF(AND(D486&gt;=DATE(2025,7,1),D486&lt;=DATE(2026,6,30)),1,0)</f>
        <v>1</v>
      </c>
    </row>
    <row r="487">
      <c r="A487" t="inlineStr">
        <is>
          <t>S0144</t>
        </is>
      </c>
      <c r="B487" t="inlineStr">
        <is>
          <t>FP</t>
        </is>
      </c>
      <c r="C487" s="11" t="n">
        <v>45966</v>
      </c>
      <c r="D487" s="11" t="n">
        <v>45986</v>
      </c>
      <c r="E487" t="n">
        <v>3</v>
      </c>
      <c r="F487" t="n">
        <v>249</v>
      </c>
      <c r="G487">
        <f>IF(AND(D487&gt;=DATE(2025,7,1),D487&lt;=DATE(2026,6,30)),1,0)</f>
        <v>1</v>
      </c>
    </row>
    <row r="488">
      <c r="A488" t="inlineStr">
        <is>
          <t>S0145</t>
        </is>
      </c>
      <c r="B488" t="inlineStr">
        <is>
          <t>FP</t>
        </is>
      </c>
      <c r="C488" s="11" t="n">
        <v>45935</v>
      </c>
      <c r="D488" s="11" t="n">
        <v>45943</v>
      </c>
      <c r="E488" t="n">
        <v>2</v>
      </c>
      <c r="F488" t="n">
        <v>176</v>
      </c>
      <c r="G488">
        <f>IF(AND(D488&gt;=DATE(2025,7,1),D488&lt;=DATE(2026,6,30)),1,0)</f>
        <v>1</v>
      </c>
    </row>
    <row r="489">
      <c r="A489" t="inlineStr">
        <is>
          <t>S0146</t>
        </is>
      </c>
      <c r="B489" t="inlineStr">
        <is>
          <t>FP</t>
        </is>
      </c>
      <c r="C489" s="11" t="n">
        <v>46131</v>
      </c>
      <c r="D489" s="11" t="n">
        <v>46146</v>
      </c>
      <c r="E489" t="n">
        <v>3</v>
      </c>
      <c r="F489" t="n">
        <v>321</v>
      </c>
      <c r="G489">
        <f>IF(AND(D489&gt;=DATE(2025,7,1),D489&lt;=DATE(2026,6,30)),1,0)</f>
        <v>1</v>
      </c>
    </row>
    <row r="490">
      <c r="A490" t="inlineStr">
        <is>
          <t>S0147</t>
        </is>
      </c>
      <c r="B490" t="inlineStr">
        <is>
          <t>FP</t>
        </is>
      </c>
      <c r="C490" s="11" t="n">
        <v>45893</v>
      </c>
      <c r="D490" s="11" t="n">
        <v>45921</v>
      </c>
      <c r="E490" t="n">
        <v>4</v>
      </c>
      <c r="F490" t="n">
        <v>160</v>
      </c>
      <c r="G490">
        <f>IF(AND(D490&gt;=DATE(2025,7,1),D490&lt;=DATE(2026,6,30)),1,0)</f>
        <v>1</v>
      </c>
    </row>
    <row r="491">
      <c r="A491" t="inlineStr">
        <is>
          <t>S0147</t>
        </is>
      </c>
      <c r="B491" t="inlineStr">
        <is>
          <t>FP</t>
        </is>
      </c>
      <c r="C491" s="11" t="n">
        <v>45921</v>
      </c>
      <c r="D491" s="11" t="n">
        <v>45949</v>
      </c>
      <c r="E491" t="n">
        <v>4</v>
      </c>
      <c r="F491" t="n">
        <v>160</v>
      </c>
      <c r="G491">
        <f>IF(AND(D491&gt;=DATE(2025,7,1),D491&lt;=DATE(2026,6,30)),1,0)</f>
        <v>1</v>
      </c>
    </row>
    <row r="492">
      <c r="A492" t="inlineStr">
        <is>
          <t>S0147</t>
        </is>
      </c>
      <c r="B492" t="inlineStr">
        <is>
          <t>FP</t>
        </is>
      </c>
      <c r="C492" s="11" t="n">
        <v>45949</v>
      </c>
      <c r="D492" s="11" t="n">
        <v>45977</v>
      </c>
      <c r="E492" t="n">
        <v>4</v>
      </c>
      <c r="F492" t="n">
        <v>106</v>
      </c>
      <c r="G492">
        <f>IF(AND(D492&gt;=DATE(2025,7,1),D492&lt;=DATE(2026,6,30)),1,0)</f>
        <v>1</v>
      </c>
    </row>
    <row r="493">
      <c r="A493" t="inlineStr">
        <is>
          <t>S0147</t>
        </is>
      </c>
      <c r="B493" t="inlineStr">
        <is>
          <t>FP</t>
        </is>
      </c>
      <c r="C493" s="11" t="n">
        <v>45977</v>
      </c>
      <c r="D493" s="11" t="n">
        <v>46005</v>
      </c>
      <c r="E493" t="n">
        <v>4</v>
      </c>
      <c r="F493" t="n">
        <v>68</v>
      </c>
      <c r="G493">
        <f>IF(AND(D493&gt;=DATE(2025,7,1),D493&lt;=DATE(2026,6,30)),1,0)</f>
        <v>1</v>
      </c>
    </row>
    <row r="494">
      <c r="A494" t="inlineStr">
        <is>
          <t>S0147</t>
        </is>
      </c>
      <c r="B494" t="inlineStr">
        <is>
          <t>FP</t>
        </is>
      </c>
      <c r="C494" s="11" t="n">
        <v>46005</v>
      </c>
      <c r="D494" s="11" t="n">
        <v>46031</v>
      </c>
      <c r="E494" t="n">
        <v>4</v>
      </c>
      <c r="F494" t="n">
        <v>84</v>
      </c>
      <c r="G494">
        <f>IF(AND(D494&gt;=DATE(2025,7,1),D494&lt;=DATE(2026,6,30)),1,0)</f>
        <v>1</v>
      </c>
    </row>
    <row r="495">
      <c r="A495" t="inlineStr">
        <is>
          <t>S0148</t>
        </is>
      </c>
      <c r="B495" t="inlineStr">
        <is>
          <t>FP</t>
        </is>
      </c>
      <c r="C495" s="11" t="n">
        <v>46017</v>
      </c>
      <c r="D495" s="11" t="n">
        <v>46045</v>
      </c>
      <c r="E495" t="n">
        <v>4</v>
      </c>
      <c r="F495" t="n">
        <v>620</v>
      </c>
      <c r="G495">
        <f>IF(AND(D495&gt;=DATE(2025,7,1),D495&lt;=DATE(2026,6,30)),1,0)</f>
        <v>1</v>
      </c>
    </row>
    <row r="496">
      <c r="A496" t="inlineStr">
        <is>
          <t>S0148</t>
        </is>
      </c>
      <c r="B496" t="inlineStr">
        <is>
          <t>FP</t>
        </is>
      </c>
      <c r="C496" s="11" t="n">
        <v>46045</v>
      </c>
      <c r="D496" s="11" t="n">
        <v>46073</v>
      </c>
      <c r="E496" t="n">
        <v>4</v>
      </c>
      <c r="F496" t="n">
        <v>620</v>
      </c>
      <c r="G496">
        <f>IF(AND(D496&gt;=DATE(2025,7,1),D496&lt;=DATE(2026,6,30)),1,0)</f>
        <v>1</v>
      </c>
    </row>
    <row r="497">
      <c r="A497" t="inlineStr">
        <is>
          <t>S0148</t>
        </is>
      </c>
      <c r="B497" t="inlineStr">
        <is>
          <t>FP</t>
        </is>
      </c>
      <c r="C497" s="11" t="n">
        <v>46073</v>
      </c>
      <c r="D497" s="11" t="n">
        <v>46101</v>
      </c>
      <c r="E497" t="n">
        <v>4</v>
      </c>
      <c r="F497" t="n">
        <v>620</v>
      </c>
      <c r="G497">
        <f>IF(AND(D497&gt;=DATE(2025,7,1),D497&lt;=DATE(2026,6,30)),1,0)</f>
        <v>1</v>
      </c>
    </row>
    <row r="498">
      <c r="A498" t="inlineStr">
        <is>
          <t>S0148</t>
        </is>
      </c>
      <c r="B498" t="inlineStr">
        <is>
          <t>FP</t>
        </is>
      </c>
      <c r="C498" s="11" t="n">
        <v>46101</v>
      </c>
      <c r="D498" s="11" t="n">
        <v>46129</v>
      </c>
      <c r="E498" t="n">
        <v>4</v>
      </c>
      <c r="F498" t="n">
        <v>620</v>
      </c>
      <c r="G498">
        <f>IF(AND(D498&gt;=DATE(2025,7,1),D498&lt;=DATE(2026,6,30)),1,0)</f>
        <v>1</v>
      </c>
    </row>
    <row r="499">
      <c r="A499" t="inlineStr">
        <is>
          <t>S0148</t>
        </is>
      </c>
      <c r="B499" t="inlineStr">
        <is>
          <t>FP</t>
        </is>
      </c>
      <c r="C499" s="11" t="n">
        <v>46129</v>
      </c>
      <c r="D499" s="11" t="n">
        <v>46157</v>
      </c>
      <c r="E499" t="n">
        <v>4</v>
      </c>
      <c r="F499" t="n">
        <v>684</v>
      </c>
      <c r="G499">
        <f>IF(AND(D499&gt;=DATE(2025,7,1),D499&lt;=DATE(2026,6,30)),1,0)</f>
        <v>1</v>
      </c>
    </row>
    <row r="500">
      <c r="A500" t="inlineStr">
        <is>
          <t>S0148</t>
        </is>
      </c>
      <c r="B500" t="inlineStr">
        <is>
          <t>FP</t>
        </is>
      </c>
      <c r="C500" s="11" t="n">
        <v>46157</v>
      </c>
      <c r="D500" s="11" t="n">
        <v>46185</v>
      </c>
      <c r="E500" t="n">
        <v>4</v>
      </c>
      <c r="F500" t="n">
        <v>684</v>
      </c>
      <c r="G500">
        <f>IF(AND(D500&gt;=DATE(2025,7,1),D500&lt;=DATE(2026,6,30)),1,0)</f>
        <v>1</v>
      </c>
    </row>
    <row r="501">
      <c r="A501" t="inlineStr">
        <is>
          <t>S0149</t>
        </is>
      </c>
      <c r="B501" t="inlineStr">
        <is>
          <t>BR</t>
        </is>
      </c>
      <c r="C501" s="11" t="n">
        <v>45958</v>
      </c>
      <c r="D501" s="11" t="n">
        <v>45973</v>
      </c>
      <c r="E501" t="n">
        <v>3</v>
      </c>
      <c r="F501" t="n">
        <v>66</v>
      </c>
      <c r="G501">
        <f>IF(AND(D501&gt;=DATE(2025,7,1),D501&lt;=DATE(2026,6,30)),1,0)</f>
        <v>1</v>
      </c>
    </row>
    <row r="502">
      <c r="A502" t="inlineStr">
        <is>
          <t>S0149</t>
        </is>
      </c>
      <c r="B502" t="inlineStr">
        <is>
          <t>FP</t>
        </is>
      </c>
      <c r="C502" s="11" t="n">
        <v>45958</v>
      </c>
      <c r="D502" s="11" t="n">
        <v>45973</v>
      </c>
      <c r="E502" t="n">
        <v>3</v>
      </c>
      <c r="F502" t="n">
        <v>45</v>
      </c>
      <c r="G502">
        <f>IF(AND(D502&gt;=DATE(2025,7,1),D502&lt;=DATE(2026,6,30)),1,0)</f>
        <v>1</v>
      </c>
    </row>
    <row r="503">
      <c r="A503" t="inlineStr">
        <is>
          <t>S0150</t>
        </is>
      </c>
      <c r="B503" t="inlineStr">
        <is>
          <t>BR</t>
        </is>
      </c>
      <c r="C503" s="11" t="n">
        <v>45816</v>
      </c>
      <c r="D503" s="11" t="n">
        <v>45842</v>
      </c>
      <c r="E503" t="n">
        <v>4</v>
      </c>
      <c r="F503" t="n">
        <v>40</v>
      </c>
      <c r="G503">
        <f>IF(AND(D503&gt;=DATE(2025,7,1),D503&lt;=DATE(2026,6,30)),1,0)</f>
        <v>1</v>
      </c>
    </row>
    <row r="504">
      <c r="A504" t="inlineStr">
        <is>
          <t>S0150</t>
        </is>
      </c>
      <c r="B504" t="inlineStr">
        <is>
          <t>FP</t>
        </is>
      </c>
      <c r="C504" s="11" t="n">
        <v>45816</v>
      </c>
      <c r="D504" s="11" t="n">
        <v>45842</v>
      </c>
      <c r="E504" t="n">
        <v>4</v>
      </c>
      <c r="F504" t="n">
        <v>92</v>
      </c>
      <c r="G504">
        <f>IF(AND(D504&gt;=DATE(2025,7,1),D504&lt;=DATE(2026,6,30)),1,0)</f>
        <v>1</v>
      </c>
    </row>
    <row r="505">
      <c r="A505" t="inlineStr">
        <is>
          <t>S0151</t>
        </is>
      </c>
      <c r="B505" t="inlineStr">
        <is>
          <t>FP</t>
        </is>
      </c>
      <c r="C505" s="11" t="n">
        <v>46062</v>
      </c>
      <c r="D505" s="11" t="n">
        <v>46090</v>
      </c>
      <c r="E505" t="n">
        <v>4</v>
      </c>
      <c r="F505" t="n">
        <v>348</v>
      </c>
      <c r="G505">
        <f>IF(AND(D505&gt;=DATE(2025,7,1),D505&lt;=DATE(2026,6,30)),1,0)</f>
        <v>1</v>
      </c>
    </row>
    <row r="506">
      <c r="A506" t="inlineStr">
        <is>
          <t>S0151</t>
        </is>
      </c>
      <c r="B506" t="inlineStr">
        <is>
          <t>FP</t>
        </is>
      </c>
      <c r="C506" s="11" t="n">
        <v>46090</v>
      </c>
      <c r="D506" s="11" t="n">
        <v>46116</v>
      </c>
      <c r="E506" t="n">
        <v>4</v>
      </c>
      <c r="F506" t="n">
        <v>348</v>
      </c>
      <c r="G506">
        <f>IF(AND(D506&gt;=DATE(2025,7,1),D506&lt;=DATE(2026,6,30)),1,0)</f>
        <v>1</v>
      </c>
    </row>
    <row r="507">
      <c r="A507" t="inlineStr">
        <is>
          <t>S0152</t>
        </is>
      </c>
      <c r="B507" t="inlineStr">
        <is>
          <t>BR</t>
        </is>
      </c>
      <c r="C507" s="11" t="n">
        <v>46171</v>
      </c>
      <c r="D507" s="11" t="n">
        <v>46193</v>
      </c>
      <c r="E507" t="n">
        <v>4</v>
      </c>
      <c r="F507" t="n">
        <v>84</v>
      </c>
      <c r="G507">
        <f>IF(AND(D507&gt;=DATE(2025,7,1),D507&lt;=DATE(2026,6,30)),1,0)</f>
        <v>1</v>
      </c>
    </row>
    <row r="508">
      <c r="A508" t="inlineStr">
        <is>
          <t>S0152</t>
        </is>
      </c>
      <c r="B508" t="inlineStr">
        <is>
          <t>FP</t>
        </is>
      </c>
      <c r="C508" s="11" t="n">
        <v>46171</v>
      </c>
      <c r="D508" s="11" t="n">
        <v>46193</v>
      </c>
      <c r="E508" t="n">
        <v>4</v>
      </c>
      <c r="F508" t="n">
        <v>508</v>
      </c>
      <c r="G508">
        <f>IF(AND(D508&gt;=DATE(2025,7,1),D508&lt;=DATE(2026,6,30)),1,0)</f>
        <v>1</v>
      </c>
    </row>
    <row r="509">
      <c r="A509" t="inlineStr">
        <is>
          <t>S0153</t>
        </is>
      </c>
      <c r="B509" t="inlineStr">
        <is>
          <t>FP</t>
        </is>
      </c>
      <c r="C509" s="11" t="n">
        <v>45975</v>
      </c>
      <c r="D509" s="11" t="n">
        <v>46003</v>
      </c>
      <c r="E509" t="n">
        <v>4</v>
      </c>
      <c r="F509" t="n">
        <v>160</v>
      </c>
      <c r="G509">
        <f>IF(AND(D509&gt;=DATE(2025,7,1),D509&lt;=DATE(2026,6,30)),1,0)</f>
        <v>1</v>
      </c>
    </row>
    <row r="510">
      <c r="A510" t="inlineStr">
        <is>
          <t>S0153</t>
        </is>
      </c>
      <c r="B510" t="inlineStr">
        <is>
          <t>FP</t>
        </is>
      </c>
      <c r="C510" s="11" t="n">
        <v>46003</v>
      </c>
      <c r="D510" s="11" t="n">
        <v>46019</v>
      </c>
      <c r="E510" t="n">
        <v>3</v>
      </c>
      <c r="F510" t="n">
        <v>120</v>
      </c>
      <c r="G510">
        <f>IF(AND(D510&gt;=DATE(2025,7,1),D510&lt;=DATE(2026,6,30)),1,0)</f>
        <v>1</v>
      </c>
    </row>
    <row r="511">
      <c r="A511" t="inlineStr">
        <is>
          <t>S0154</t>
        </is>
      </c>
      <c r="B511" t="inlineStr">
        <is>
          <t>FP</t>
        </is>
      </c>
      <c r="C511" s="11" t="n">
        <v>45834</v>
      </c>
      <c r="D511" s="11" t="n">
        <v>45862</v>
      </c>
      <c r="E511" t="n">
        <v>4</v>
      </c>
      <c r="F511" t="n">
        <v>182</v>
      </c>
      <c r="G511">
        <f>IF(AND(D511&gt;=DATE(2025,7,1),D511&lt;=DATE(2026,6,30)),1,0)</f>
        <v>1</v>
      </c>
    </row>
    <row r="512">
      <c r="A512" t="inlineStr">
        <is>
          <t>S0154</t>
        </is>
      </c>
      <c r="B512" t="inlineStr">
        <is>
          <t>FP</t>
        </is>
      </c>
      <c r="C512" s="11" t="n">
        <v>45862</v>
      </c>
      <c r="D512" s="11" t="n">
        <v>45879</v>
      </c>
      <c r="E512" t="n">
        <v>3</v>
      </c>
      <c r="F512" t="n">
        <v>102</v>
      </c>
      <c r="G512">
        <f>IF(AND(D512&gt;=DATE(2025,7,1),D512&lt;=DATE(2026,6,30)),1,0)</f>
        <v>1</v>
      </c>
    </row>
    <row r="513">
      <c r="A513" t="inlineStr">
        <is>
          <t>S0155</t>
        </is>
      </c>
      <c r="B513" t="inlineStr">
        <is>
          <t>FP</t>
        </is>
      </c>
      <c r="C513" s="11" t="n">
        <v>46106</v>
      </c>
      <c r="D513" s="11" t="n">
        <v>46113</v>
      </c>
      <c r="E513" t="n">
        <v>1</v>
      </c>
      <c r="F513" t="n">
        <v>42</v>
      </c>
      <c r="G513">
        <f>IF(AND(D513&gt;=DATE(2025,7,1),D513&lt;=DATE(2026,6,30)),1,0)</f>
        <v>1</v>
      </c>
    </row>
    <row r="514">
      <c r="A514" t="inlineStr">
        <is>
          <t>S0156</t>
        </is>
      </c>
      <c r="B514" t="inlineStr">
        <is>
          <t>FP</t>
        </is>
      </c>
      <c r="C514" s="11" t="n">
        <v>45855</v>
      </c>
      <c r="D514" s="11" t="n">
        <v>45864</v>
      </c>
      <c r="E514" t="n">
        <v>2</v>
      </c>
      <c r="F514" t="n">
        <v>282</v>
      </c>
      <c r="G514">
        <f>IF(AND(D514&gt;=DATE(2025,7,1),D514&lt;=DATE(2026,6,30)),1,0)</f>
        <v>1</v>
      </c>
    </row>
    <row r="515">
      <c r="A515" t="inlineStr">
        <is>
          <t>S0157</t>
        </is>
      </c>
      <c r="B515" t="inlineStr">
        <is>
          <t>FP</t>
        </is>
      </c>
      <c r="C515" s="11" t="n">
        <v>46004</v>
      </c>
      <c r="D515" s="11" t="n">
        <v>46032</v>
      </c>
      <c r="E515" t="n">
        <v>4</v>
      </c>
      <c r="F515" t="n">
        <v>580</v>
      </c>
      <c r="G515">
        <f>IF(AND(D515&gt;=DATE(2025,7,1),D515&lt;=DATE(2026,6,30)),1,0)</f>
        <v>1</v>
      </c>
    </row>
    <row r="516">
      <c r="A516" t="inlineStr">
        <is>
          <t>S0157</t>
        </is>
      </c>
      <c r="B516" t="inlineStr">
        <is>
          <t>FP</t>
        </is>
      </c>
      <c r="C516" s="11" t="n">
        <v>46032</v>
      </c>
      <c r="D516" s="11" t="n">
        <v>46060</v>
      </c>
      <c r="E516" t="n">
        <v>4</v>
      </c>
      <c r="F516" t="n">
        <v>580</v>
      </c>
      <c r="G516">
        <f>IF(AND(D516&gt;=DATE(2025,7,1),D516&lt;=DATE(2026,6,30)),1,0)</f>
        <v>1</v>
      </c>
    </row>
    <row r="517">
      <c r="A517" t="inlineStr">
        <is>
          <t>S0157</t>
        </is>
      </c>
      <c r="B517" t="inlineStr">
        <is>
          <t>FP</t>
        </is>
      </c>
      <c r="C517" s="11" t="n">
        <v>46060</v>
      </c>
      <c r="D517" s="11" t="n">
        <v>46088</v>
      </c>
      <c r="E517" t="n">
        <v>4</v>
      </c>
      <c r="F517" t="n">
        <v>580</v>
      </c>
      <c r="G517">
        <f>IF(AND(D517&gt;=DATE(2025,7,1),D517&lt;=DATE(2026,6,30)),1,0)</f>
        <v>1</v>
      </c>
    </row>
    <row r="518">
      <c r="A518" t="inlineStr">
        <is>
          <t>S0157</t>
        </is>
      </c>
      <c r="B518" t="inlineStr">
        <is>
          <t>FP</t>
        </is>
      </c>
      <c r="C518" s="11" t="n">
        <v>46088</v>
      </c>
      <c r="D518" s="11" t="n">
        <v>46116</v>
      </c>
      <c r="E518" t="n">
        <v>4</v>
      </c>
      <c r="F518" t="n">
        <v>580</v>
      </c>
      <c r="G518">
        <f>IF(AND(D518&gt;=DATE(2025,7,1),D518&lt;=DATE(2026,6,30)),1,0)</f>
        <v>1</v>
      </c>
    </row>
    <row r="519">
      <c r="A519" t="inlineStr">
        <is>
          <t>S0157</t>
        </is>
      </c>
      <c r="B519" t="inlineStr">
        <is>
          <t>FP</t>
        </is>
      </c>
      <c r="C519" s="11" t="n">
        <v>46116</v>
      </c>
      <c r="D519" s="11" t="n">
        <v>46144</v>
      </c>
      <c r="E519" t="n">
        <v>4</v>
      </c>
      <c r="F519" t="n">
        <v>580</v>
      </c>
      <c r="G519">
        <f>IF(AND(D519&gt;=DATE(2025,7,1),D519&lt;=DATE(2026,6,30)),1,0)</f>
        <v>1</v>
      </c>
    </row>
    <row r="520">
      <c r="A520" t="inlineStr">
        <is>
          <t>S0157</t>
        </is>
      </c>
      <c r="B520" t="inlineStr">
        <is>
          <t>FP</t>
        </is>
      </c>
      <c r="C520" s="11" t="n">
        <v>46144</v>
      </c>
      <c r="D520" s="11" t="n">
        <v>46145</v>
      </c>
      <c r="E520" t="n">
        <v>1</v>
      </c>
      <c r="F520" t="n">
        <v>145</v>
      </c>
      <c r="G520">
        <f>IF(AND(D520&gt;=DATE(2025,7,1),D520&lt;=DATE(2026,6,30)),1,0)</f>
        <v>1</v>
      </c>
    </row>
    <row r="521">
      <c r="A521" t="inlineStr">
        <is>
          <t>S0158</t>
        </is>
      </c>
      <c r="B521" t="inlineStr">
        <is>
          <t>BR</t>
        </is>
      </c>
      <c r="C521" s="11" t="n">
        <v>46044</v>
      </c>
      <c r="D521" s="11" t="n">
        <v>46072</v>
      </c>
      <c r="E521" t="n">
        <v>4</v>
      </c>
      <c r="F521" t="n">
        <v>92</v>
      </c>
      <c r="G521">
        <f>IF(AND(D521&gt;=DATE(2025,7,1),D521&lt;=DATE(2026,6,30)),1,0)</f>
        <v>1</v>
      </c>
    </row>
    <row r="522">
      <c r="A522" t="inlineStr">
        <is>
          <t>S0158</t>
        </is>
      </c>
      <c r="B522" t="inlineStr">
        <is>
          <t>BR</t>
        </is>
      </c>
      <c r="C522" s="11" t="n">
        <v>46072</v>
      </c>
      <c r="D522" s="11" t="n">
        <v>46100</v>
      </c>
      <c r="E522" t="n">
        <v>4</v>
      </c>
      <c r="F522" t="n">
        <v>92</v>
      </c>
      <c r="G522">
        <f>IF(AND(D522&gt;=DATE(2025,7,1),D522&lt;=DATE(2026,6,30)),1,0)</f>
        <v>1</v>
      </c>
    </row>
    <row r="523">
      <c r="A523" t="inlineStr">
        <is>
          <t>S0158</t>
        </is>
      </c>
      <c r="B523" t="inlineStr">
        <is>
          <t>BR</t>
        </is>
      </c>
      <c r="C523" s="11" t="n">
        <v>46100</v>
      </c>
      <c r="D523" s="11" t="n">
        <v>46128</v>
      </c>
      <c r="E523" t="n">
        <v>4</v>
      </c>
      <c r="F523" t="n">
        <v>92</v>
      </c>
      <c r="G523">
        <f>IF(AND(D523&gt;=DATE(2025,7,1),D523&lt;=DATE(2026,6,30)),1,0)</f>
        <v>1</v>
      </c>
    </row>
    <row r="524">
      <c r="A524" t="inlineStr">
        <is>
          <t>S0158</t>
        </is>
      </c>
      <c r="B524" t="inlineStr">
        <is>
          <t>BR</t>
        </is>
      </c>
      <c r="C524" s="11" t="n">
        <v>46128</v>
      </c>
      <c r="D524" s="11" t="n">
        <v>46156</v>
      </c>
      <c r="E524" t="n">
        <v>4</v>
      </c>
      <c r="F524" t="n">
        <v>92</v>
      </c>
      <c r="G524">
        <f>IF(AND(D524&gt;=DATE(2025,7,1),D524&lt;=DATE(2026,6,30)),1,0)</f>
        <v>1</v>
      </c>
    </row>
    <row r="525">
      <c r="A525" t="inlineStr">
        <is>
          <t>S0158</t>
        </is>
      </c>
      <c r="B525" t="inlineStr">
        <is>
          <t>BR</t>
        </is>
      </c>
      <c r="C525" s="11" t="n">
        <v>46156</v>
      </c>
      <c r="D525" s="11" t="n">
        <v>46184</v>
      </c>
      <c r="E525" t="n">
        <v>4</v>
      </c>
      <c r="F525" t="n">
        <v>92</v>
      </c>
      <c r="G525">
        <f>IF(AND(D525&gt;=DATE(2025,7,1),D525&lt;=DATE(2026,6,30)),1,0)</f>
        <v>1</v>
      </c>
    </row>
    <row r="526">
      <c r="A526" t="inlineStr">
        <is>
          <t>S0158</t>
        </is>
      </c>
      <c r="B526" t="inlineStr">
        <is>
          <t>FP</t>
        </is>
      </c>
      <c r="C526" s="11" t="n">
        <v>46044</v>
      </c>
      <c r="D526" s="11" t="n">
        <v>46072</v>
      </c>
      <c r="E526" t="n">
        <v>4</v>
      </c>
      <c r="F526" t="n">
        <v>84</v>
      </c>
      <c r="G526">
        <f>IF(AND(D526&gt;=DATE(2025,7,1),D526&lt;=DATE(2026,6,30)),1,0)</f>
        <v>1</v>
      </c>
    </row>
    <row r="527">
      <c r="A527" t="inlineStr">
        <is>
          <t>S0158</t>
        </is>
      </c>
      <c r="B527" t="inlineStr">
        <is>
          <t>FP</t>
        </is>
      </c>
      <c r="C527" s="11" t="n">
        <v>46072</v>
      </c>
      <c r="D527" s="11" t="n">
        <v>46100</v>
      </c>
      <c r="E527" t="n">
        <v>4</v>
      </c>
      <c r="F527" t="n">
        <v>84</v>
      </c>
      <c r="G527">
        <f>IF(AND(D527&gt;=DATE(2025,7,1),D527&lt;=DATE(2026,6,30)),1,0)</f>
        <v>1</v>
      </c>
    </row>
    <row r="528">
      <c r="A528" t="inlineStr">
        <is>
          <t>S0158</t>
        </is>
      </c>
      <c r="B528" t="inlineStr">
        <is>
          <t>FP</t>
        </is>
      </c>
      <c r="C528" s="11" t="n">
        <v>46100</v>
      </c>
      <c r="D528" s="11" t="n">
        <v>46128</v>
      </c>
      <c r="E528" t="n">
        <v>4</v>
      </c>
      <c r="F528" t="n">
        <v>92</v>
      </c>
      <c r="G528">
        <f>IF(AND(D528&gt;=DATE(2025,7,1),D528&lt;=DATE(2026,6,30)),1,0)</f>
        <v>1</v>
      </c>
    </row>
    <row r="529">
      <c r="A529" t="inlineStr">
        <is>
          <t>S0158</t>
        </is>
      </c>
      <c r="B529" t="inlineStr">
        <is>
          <t>FP</t>
        </is>
      </c>
      <c r="C529" s="11" t="n">
        <v>46128</v>
      </c>
      <c r="D529" s="11" t="n">
        <v>46156</v>
      </c>
      <c r="E529" t="n">
        <v>4</v>
      </c>
      <c r="F529" t="n">
        <v>116</v>
      </c>
      <c r="G529">
        <f>IF(AND(D529&gt;=DATE(2025,7,1),D529&lt;=DATE(2026,6,30)),1,0)</f>
        <v>1</v>
      </c>
    </row>
    <row r="530">
      <c r="A530" t="inlineStr">
        <is>
          <t>S0158</t>
        </is>
      </c>
      <c r="B530" t="inlineStr">
        <is>
          <t>FP</t>
        </is>
      </c>
      <c r="C530" s="11" t="n">
        <v>46156</v>
      </c>
      <c r="D530" s="11" t="n">
        <v>46184</v>
      </c>
      <c r="E530" t="n">
        <v>4</v>
      </c>
      <c r="F530" t="n">
        <v>116</v>
      </c>
      <c r="G530">
        <f>IF(AND(D530&gt;=DATE(2025,7,1),D530&lt;=DATE(2026,6,30)),1,0)</f>
        <v>1</v>
      </c>
    </row>
    <row r="531">
      <c r="A531" t="inlineStr">
        <is>
          <t>S0159</t>
        </is>
      </c>
      <c r="B531" t="inlineStr">
        <is>
          <t>FP</t>
        </is>
      </c>
      <c r="C531" s="11" t="n">
        <v>45973</v>
      </c>
      <c r="D531" s="11" t="n">
        <v>46001</v>
      </c>
      <c r="E531" t="n">
        <v>4</v>
      </c>
      <c r="F531" t="n">
        <v>148</v>
      </c>
      <c r="G531">
        <f>IF(AND(D531&gt;=DATE(2025,7,1),D531&lt;=DATE(2026,6,30)),1,0)</f>
        <v>1</v>
      </c>
    </row>
    <row r="532">
      <c r="A532" t="inlineStr">
        <is>
          <t>S0159</t>
        </is>
      </c>
      <c r="B532" t="inlineStr">
        <is>
          <t>FP</t>
        </is>
      </c>
      <c r="C532" s="11" t="n">
        <v>46001</v>
      </c>
      <c r="D532" s="11" t="n">
        <v>46029</v>
      </c>
      <c r="E532" t="n">
        <v>4</v>
      </c>
      <c r="F532" t="n">
        <v>244</v>
      </c>
      <c r="G532">
        <f>IF(AND(D532&gt;=DATE(2025,7,1),D532&lt;=DATE(2026,6,30)),1,0)</f>
        <v>1</v>
      </c>
    </row>
    <row r="533">
      <c r="A533" t="inlineStr">
        <is>
          <t>S0159</t>
        </is>
      </c>
      <c r="B533" t="inlineStr">
        <is>
          <t>FP</t>
        </is>
      </c>
      <c r="C533" s="11" t="n">
        <v>46029</v>
      </c>
      <c r="D533" s="11" t="n">
        <v>46045</v>
      </c>
      <c r="E533" t="n">
        <v>3</v>
      </c>
      <c r="F533" t="n">
        <v>135</v>
      </c>
      <c r="G533">
        <f>IF(AND(D533&gt;=DATE(2025,7,1),D533&lt;=DATE(2026,6,30)),1,0)</f>
        <v>1</v>
      </c>
    </row>
    <row r="534">
      <c r="A534" t="inlineStr">
        <is>
          <t>S0160</t>
        </is>
      </c>
      <c r="B534" t="inlineStr">
        <is>
          <t>FP</t>
        </is>
      </c>
      <c r="C534" s="11" t="n">
        <v>45928</v>
      </c>
      <c r="D534" s="11" t="n">
        <v>45956</v>
      </c>
      <c r="E534" t="n">
        <v>4</v>
      </c>
      <c r="F534" t="n">
        <v>364</v>
      </c>
      <c r="G534">
        <f>IF(AND(D534&gt;=DATE(2025,7,1),D534&lt;=DATE(2026,6,30)),1,0)</f>
        <v>1</v>
      </c>
    </row>
    <row r="535">
      <c r="A535" t="inlineStr">
        <is>
          <t>S0160</t>
        </is>
      </c>
      <c r="B535" t="inlineStr">
        <is>
          <t>FP</t>
        </is>
      </c>
      <c r="C535" s="11" t="n">
        <v>45956</v>
      </c>
      <c r="D535" s="11" t="n">
        <v>45984</v>
      </c>
      <c r="E535" t="n">
        <v>4</v>
      </c>
      <c r="F535" t="n">
        <v>364</v>
      </c>
      <c r="G535">
        <f>IF(AND(D535&gt;=DATE(2025,7,1),D535&lt;=DATE(2026,6,30)),1,0)</f>
        <v>1</v>
      </c>
    </row>
    <row r="536">
      <c r="A536" t="inlineStr">
        <is>
          <t>S0160</t>
        </is>
      </c>
      <c r="B536" t="inlineStr">
        <is>
          <t>FP</t>
        </is>
      </c>
      <c r="C536" s="11" t="n">
        <v>45984</v>
      </c>
      <c r="D536" s="11" t="n">
        <v>46012</v>
      </c>
      <c r="E536" t="n">
        <v>4</v>
      </c>
      <c r="F536" t="n">
        <v>364</v>
      </c>
      <c r="G536">
        <f>IF(AND(D536&gt;=DATE(2025,7,1),D536&lt;=DATE(2026,6,30)),1,0)</f>
        <v>1</v>
      </c>
    </row>
    <row r="537">
      <c r="A537" t="inlineStr">
        <is>
          <t>S0160</t>
        </is>
      </c>
      <c r="B537" t="inlineStr">
        <is>
          <t>FP</t>
        </is>
      </c>
      <c r="C537" s="11" t="n">
        <v>46012</v>
      </c>
      <c r="D537" s="11" t="n">
        <v>46040</v>
      </c>
      <c r="E537" t="n">
        <v>4</v>
      </c>
      <c r="F537" t="n">
        <v>364</v>
      </c>
      <c r="G537">
        <f>IF(AND(D537&gt;=DATE(2025,7,1),D537&lt;=DATE(2026,6,30)),1,0)</f>
        <v>1</v>
      </c>
    </row>
    <row r="538">
      <c r="A538" t="inlineStr">
        <is>
          <t>S0160</t>
        </is>
      </c>
      <c r="B538" t="inlineStr">
        <is>
          <t>FP</t>
        </is>
      </c>
      <c r="C538" s="11" t="n">
        <v>46040</v>
      </c>
      <c r="D538" s="11" t="n">
        <v>46068</v>
      </c>
      <c r="E538" t="n">
        <v>4</v>
      </c>
      <c r="F538" t="n">
        <v>253</v>
      </c>
      <c r="G538">
        <f>IF(AND(D538&gt;=DATE(2025,7,1),D538&lt;=DATE(2026,6,30)),1,0)</f>
        <v>1</v>
      </c>
    </row>
    <row r="539">
      <c r="A539" t="inlineStr">
        <is>
          <t>S0160</t>
        </is>
      </c>
      <c r="B539" t="inlineStr">
        <is>
          <t>FP</t>
        </is>
      </c>
      <c r="C539" s="11" t="n">
        <v>46068</v>
      </c>
      <c r="D539" s="11" t="n">
        <v>46096</v>
      </c>
      <c r="E539" t="n">
        <v>4</v>
      </c>
      <c r="F539" t="n">
        <v>216</v>
      </c>
      <c r="G539">
        <f>IF(AND(D539&gt;=DATE(2025,7,1),D539&lt;=DATE(2026,6,30)),1,0)</f>
        <v>1</v>
      </c>
    </row>
    <row r="540">
      <c r="A540" t="inlineStr">
        <is>
          <t>S0160</t>
        </is>
      </c>
      <c r="B540" t="inlineStr">
        <is>
          <t>FP</t>
        </is>
      </c>
      <c r="C540" s="11" t="n">
        <v>46096</v>
      </c>
      <c r="D540" s="11" t="n">
        <v>46124</v>
      </c>
      <c r="E540" t="n">
        <v>4</v>
      </c>
      <c r="F540" t="n">
        <v>216</v>
      </c>
      <c r="G540">
        <f>IF(AND(D540&gt;=DATE(2025,7,1),D540&lt;=DATE(2026,6,30)),1,0)</f>
        <v>1</v>
      </c>
    </row>
    <row r="541">
      <c r="A541" t="inlineStr">
        <is>
          <t>S0160</t>
        </is>
      </c>
      <c r="B541" t="inlineStr">
        <is>
          <t>FP</t>
        </is>
      </c>
      <c r="C541" s="11" t="n">
        <v>46124</v>
      </c>
      <c r="D541" s="11" t="n">
        <v>46152</v>
      </c>
      <c r="E541" t="n">
        <v>4</v>
      </c>
      <c r="F541" t="n">
        <v>216</v>
      </c>
      <c r="G541">
        <f>IF(AND(D541&gt;=DATE(2025,7,1),D541&lt;=DATE(2026,6,30)),1,0)</f>
        <v>1</v>
      </c>
    </row>
    <row r="542">
      <c r="A542" t="inlineStr">
        <is>
          <t>S0160</t>
        </is>
      </c>
      <c r="B542" t="inlineStr">
        <is>
          <t>FP</t>
        </is>
      </c>
      <c r="C542" s="11" t="n">
        <v>46152</v>
      </c>
      <c r="D542" s="11" t="n">
        <v>46165</v>
      </c>
      <c r="E542" t="n">
        <v>2</v>
      </c>
      <c r="F542" t="n">
        <v>108</v>
      </c>
      <c r="G542">
        <f>IF(AND(D542&gt;=DATE(2025,7,1),D542&lt;=DATE(2026,6,30)),1,0)</f>
        <v>1</v>
      </c>
    </row>
    <row r="543">
      <c r="A543" t="inlineStr">
        <is>
          <t>S0161</t>
        </is>
      </c>
      <c r="B543" t="inlineStr">
        <is>
          <t>FP</t>
        </is>
      </c>
      <c r="C543" s="11" t="n">
        <v>45920</v>
      </c>
      <c r="D543" s="11" t="n">
        <v>45948</v>
      </c>
      <c r="E543" t="n">
        <v>4</v>
      </c>
      <c r="F543" t="n">
        <v>524</v>
      </c>
      <c r="G543">
        <f>IF(AND(D543&gt;=DATE(2025,7,1),D543&lt;=DATE(2026,6,30)),1,0)</f>
        <v>1</v>
      </c>
    </row>
    <row r="544">
      <c r="A544" t="inlineStr">
        <is>
          <t>S0161</t>
        </is>
      </c>
      <c r="B544" t="inlineStr">
        <is>
          <t>FP</t>
        </is>
      </c>
      <c r="C544" s="11" t="n">
        <v>45948</v>
      </c>
      <c r="D544" s="11" t="n">
        <v>45976</v>
      </c>
      <c r="E544" t="n">
        <v>4</v>
      </c>
      <c r="F544" t="n">
        <v>524</v>
      </c>
      <c r="G544">
        <f>IF(AND(D544&gt;=DATE(2025,7,1),D544&lt;=DATE(2026,6,30)),1,0)</f>
        <v>1</v>
      </c>
    </row>
    <row r="545">
      <c r="A545" t="inlineStr">
        <is>
          <t>S0161</t>
        </is>
      </c>
      <c r="B545" t="inlineStr">
        <is>
          <t>FP</t>
        </is>
      </c>
      <c r="C545" s="11" t="n">
        <v>45976</v>
      </c>
      <c r="D545" s="11" t="n">
        <v>45978</v>
      </c>
      <c r="E545" t="n">
        <v>1</v>
      </c>
      <c r="F545" t="n">
        <v>131</v>
      </c>
      <c r="G545">
        <f>IF(AND(D545&gt;=DATE(2025,7,1),D545&lt;=DATE(2026,6,30)),1,0)</f>
        <v>1</v>
      </c>
    </row>
    <row r="546">
      <c r="A546" t="inlineStr">
        <is>
          <t>S0162</t>
        </is>
      </c>
      <c r="B546" t="inlineStr">
        <is>
          <t>FP</t>
        </is>
      </c>
      <c r="C546" s="11" t="n">
        <v>46051</v>
      </c>
      <c r="D546" s="11" t="n">
        <v>46079</v>
      </c>
      <c r="E546" t="n">
        <v>4</v>
      </c>
      <c r="F546" t="n">
        <v>400</v>
      </c>
      <c r="G546">
        <f>IF(AND(D546&gt;=DATE(2025,7,1),D546&lt;=DATE(2026,6,30)),1,0)</f>
        <v>1</v>
      </c>
    </row>
    <row r="547">
      <c r="A547" t="inlineStr">
        <is>
          <t>S0162</t>
        </is>
      </c>
      <c r="B547" t="inlineStr">
        <is>
          <t>FP</t>
        </is>
      </c>
      <c r="C547" s="11" t="n">
        <v>46079</v>
      </c>
      <c r="D547" s="11" t="n">
        <v>46107</v>
      </c>
      <c r="E547" t="n">
        <v>4</v>
      </c>
      <c r="F547" t="n">
        <v>339</v>
      </c>
      <c r="G547">
        <f>IF(AND(D547&gt;=DATE(2025,7,1),D547&lt;=DATE(2026,6,30)),1,0)</f>
        <v>1</v>
      </c>
    </row>
    <row r="548">
      <c r="A548" t="inlineStr">
        <is>
          <t>S0162</t>
        </is>
      </c>
      <c r="B548" t="inlineStr">
        <is>
          <t>FP</t>
        </is>
      </c>
      <c r="C548" s="11" t="n">
        <v>46107</v>
      </c>
      <c r="D548" s="11" t="n">
        <v>46135</v>
      </c>
      <c r="E548" t="n">
        <v>4</v>
      </c>
      <c r="F548" t="n">
        <v>156</v>
      </c>
      <c r="G548">
        <f>IF(AND(D548&gt;=DATE(2025,7,1),D548&lt;=DATE(2026,6,30)),1,0)</f>
        <v>1</v>
      </c>
    </row>
    <row r="549">
      <c r="A549" t="inlineStr">
        <is>
          <t>S0162</t>
        </is>
      </c>
      <c r="B549" t="inlineStr">
        <is>
          <t>FP</t>
        </is>
      </c>
      <c r="C549" s="11" t="n">
        <v>46135</v>
      </c>
      <c r="D549" s="11" t="n">
        <v>46163</v>
      </c>
      <c r="E549" t="n">
        <v>4</v>
      </c>
      <c r="F549" t="n">
        <v>156</v>
      </c>
      <c r="G549">
        <f>IF(AND(D549&gt;=DATE(2025,7,1),D549&lt;=DATE(2026,6,30)),1,0)</f>
        <v>1</v>
      </c>
    </row>
    <row r="550">
      <c r="A550" t="inlineStr">
        <is>
          <t>S0162</t>
        </is>
      </c>
      <c r="B550" t="inlineStr">
        <is>
          <t>FP</t>
        </is>
      </c>
      <c r="C550" s="11" t="n">
        <v>46163</v>
      </c>
      <c r="D550" s="11" t="n">
        <v>46191</v>
      </c>
      <c r="E550" t="n">
        <v>4</v>
      </c>
      <c r="F550" t="n">
        <v>156</v>
      </c>
      <c r="G550">
        <f>IF(AND(D550&gt;=DATE(2025,7,1),D550&lt;=DATE(2026,6,30)),1,0)</f>
        <v>1</v>
      </c>
    </row>
    <row r="551">
      <c r="A551" t="inlineStr">
        <is>
          <t>S0163</t>
        </is>
      </c>
      <c r="B551" t="inlineStr">
        <is>
          <t>FP</t>
        </is>
      </c>
      <c r="C551" s="11" t="n">
        <v>45872</v>
      </c>
      <c r="D551" s="11" t="n">
        <v>45900</v>
      </c>
      <c r="E551" t="n">
        <v>4</v>
      </c>
      <c r="F551" t="n">
        <v>520</v>
      </c>
      <c r="G551">
        <f>IF(AND(D551&gt;=DATE(2025,7,1),D551&lt;=DATE(2026,6,30)),1,0)</f>
        <v>1</v>
      </c>
    </row>
    <row r="552">
      <c r="A552" t="inlineStr">
        <is>
          <t>S0163</t>
        </is>
      </c>
      <c r="B552" t="inlineStr">
        <is>
          <t>FP</t>
        </is>
      </c>
      <c r="C552" s="11" t="n">
        <v>45900</v>
      </c>
      <c r="D552" s="11" t="n">
        <v>45928</v>
      </c>
      <c r="E552" t="n">
        <v>4</v>
      </c>
      <c r="F552" t="n">
        <v>520</v>
      </c>
      <c r="G552">
        <f>IF(AND(D552&gt;=DATE(2025,7,1),D552&lt;=DATE(2026,6,30)),1,0)</f>
        <v>1</v>
      </c>
    </row>
    <row r="553">
      <c r="A553" t="inlineStr">
        <is>
          <t>S0163</t>
        </is>
      </c>
      <c r="B553" t="inlineStr">
        <is>
          <t>FP</t>
        </is>
      </c>
      <c r="C553" s="11" t="n">
        <v>45928</v>
      </c>
      <c r="D553" s="11" t="n">
        <v>45942</v>
      </c>
      <c r="E553" t="n">
        <v>2</v>
      </c>
      <c r="F553" t="n">
        <v>260</v>
      </c>
      <c r="G553">
        <f>IF(AND(D553&gt;=DATE(2025,7,1),D553&lt;=DATE(2026,6,30)),1,0)</f>
        <v>1</v>
      </c>
    </row>
    <row r="554">
      <c r="A554" t="inlineStr">
        <is>
          <t>S0164</t>
        </is>
      </c>
      <c r="B554" t="inlineStr">
        <is>
          <t>FP</t>
        </is>
      </c>
      <c r="C554" s="11" t="n">
        <v>46011</v>
      </c>
      <c r="D554" s="11" t="n">
        <v>46016</v>
      </c>
      <c r="E554" t="n">
        <v>1</v>
      </c>
      <c r="F554" t="n">
        <v>57</v>
      </c>
      <c r="G554">
        <f>IF(AND(D554&gt;=DATE(2025,7,1),D554&lt;=DATE(2026,6,30)),1,0)</f>
        <v>1</v>
      </c>
    </row>
    <row r="555">
      <c r="A555" t="inlineStr">
        <is>
          <t>S0165</t>
        </is>
      </c>
      <c r="B555" t="inlineStr">
        <is>
          <t>FP</t>
        </is>
      </c>
      <c r="C555" s="11" t="n">
        <v>45969</v>
      </c>
      <c r="D555" s="11" t="n">
        <v>45997</v>
      </c>
      <c r="E555" t="n">
        <v>4</v>
      </c>
      <c r="F555" t="n">
        <v>560</v>
      </c>
      <c r="G555">
        <f>IF(AND(D555&gt;=DATE(2025,7,1),D555&lt;=DATE(2026,6,30)),1,0)</f>
        <v>1</v>
      </c>
    </row>
    <row r="556">
      <c r="A556" t="inlineStr">
        <is>
          <t>S0165</t>
        </is>
      </c>
      <c r="B556" t="inlineStr">
        <is>
          <t>FP</t>
        </is>
      </c>
      <c r="C556" s="11" t="n">
        <v>45997</v>
      </c>
      <c r="D556" s="11" t="n">
        <v>46025</v>
      </c>
      <c r="E556" t="n">
        <v>4</v>
      </c>
      <c r="F556" t="n">
        <v>560</v>
      </c>
      <c r="G556">
        <f>IF(AND(D556&gt;=DATE(2025,7,1),D556&lt;=DATE(2026,6,30)),1,0)</f>
        <v>1</v>
      </c>
    </row>
    <row r="557">
      <c r="A557" t="inlineStr">
        <is>
          <t>S0165</t>
        </is>
      </c>
      <c r="B557" t="inlineStr">
        <is>
          <t>FP</t>
        </is>
      </c>
      <c r="C557" s="11" t="n">
        <v>46025</v>
      </c>
      <c r="D557" s="11" t="n">
        <v>46053</v>
      </c>
      <c r="E557" t="n">
        <v>4</v>
      </c>
      <c r="F557" t="n">
        <v>560</v>
      </c>
      <c r="G557">
        <f>IF(AND(D557&gt;=DATE(2025,7,1),D557&lt;=DATE(2026,6,30)),1,0)</f>
        <v>1</v>
      </c>
    </row>
    <row r="558">
      <c r="A558" t="inlineStr">
        <is>
          <t>S0165</t>
        </is>
      </c>
      <c r="B558" t="inlineStr">
        <is>
          <t>FP</t>
        </is>
      </c>
      <c r="C558" s="11" t="n">
        <v>46053</v>
      </c>
      <c r="D558" s="11" t="n">
        <v>46081</v>
      </c>
      <c r="E558" t="n">
        <v>4</v>
      </c>
      <c r="F558" t="n">
        <v>560</v>
      </c>
      <c r="G558">
        <f>IF(AND(D558&gt;=DATE(2025,7,1),D558&lt;=DATE(2026,6,30)),1,0)</f>
        <v>1</v>
      </c>
    </row>
    <row r="559">
      <c r="A559" t="inlineStr">
        <is>
          <t>S0165</t>
        </is>
      </c>
      <c r="B559" t="inlineStr">
        <is>
          <t>FP</t>
        </is>
      </c>
      <c r="C559" s="11" t="n">
        <v>46081</v>
      </c>
      <c r="D559" s="11" t="n">
        <v>46109</v>
      </c>
      <c r="E559" t="n">
        <v>4</v>
      </c>
      <c r="F559" t="n">
        <v>560</v>
      </c>
      <c r="G559">
        <f>IF(AND(D559&gt;=DATE(2025,7,1),D559&lt;=DATE(2026,6,30)),1,0)</f>
        <v>1</v>
      </c>
    </row>
    <row r="560">
      <c r="A560" t="inlineStr">
        <is>
          <t>S0165</t>
        </is>
      </c>
      <c r="B560" t="inlineStr">
        <is>
          <t>FP</t>
        </is>
      </c>
      <c r="C560" s="11" t="n">
        <v>46109</v>
      </c>
      <c r="D560" s="11" t="n">
        <v>46137</v>
      </c>
      <c r="E560" t="n">
        <v>4</v>
      </c>
      <c r="F560" t="n">
        <v>560</v>
      </c>
      <c r="G560">
        <f>IF(AND(D560&gt;=DATE(2025,7,1),D560&lt;=DATE(2026,6,30)),1,0)</f>
        <v>1</v>
      </c>
    </row>
    <row r="561">
      <c r="A561" t="inlineStr">
        <is>
          <t>S0165</t>
        </is>
      </c>
      <c r="B561" t="inlineStr">
        <is>
          <t>FP</t>
        </is>
      </c>
      <c r="C561" s="11" t="n">
        <v>46137</v>
      </c>
      <c r="D561" s="11" t="n">
        <v>46165</v>
      </c>
      <c r="E561" t="n">
        <v>4</v>
      </c>
      <c r="F561" t="n">
        <v>560</v>
      </c>
      <c r="G561">
        <f>IF(AND(D561&gt;=DATE(2025,7,1),D561&lt;=DATE(2026,6,30)),1,0)</f>
        <v>1</v>
      </c>
    </row>
    <row r="562">
      <c r="A562" t="inlineStr">
        <is>
          <t>S0165</t>
        </is>
      </c>
      <c r="B562" t="inlineStr">
        <is>
          <t>FP</t>
        </is>
      </c>
      <c r="C562" s="11" t="n">
        <v>46165</v>
      </c>
      <c r="D562" s="11" t="n">
        <v>46193</v>
      </c>
      <c r="E562" t="n">
        <v>4</v>
      </c>
      <c r="F562" t="n">
        <v>560</v>
      </c>
      <c r="G562">
        <f>IF(AND(D562&gt;=DATE(2025,7,1),D562&lt;=DATE(2026,6,30)),1,0)</f>
        <v>1</v>
      </c>
    </row>
    <row r="563">
      <c r="A563" t="inlineStr">
        <is>
          <t>S0166</t>
        </is>
      </c>
      <c r="B563" t="inlineStr">
        <is>
          <t>FP</t>
        </is>
      </c>
      <c r="C563" s="11" t="n">
        <v>46120</v>
      </c>
      <c r="D563" s="11" t="n">
        <v>46148</v>
      </c>
      <c r="E563" t="n">
        <v>4</v>
      </c>
      <c r="F563" t="n">
        <v>316</v>
      </c>
      <c r="G563">
        <f>IF(AND(D563&gt;=DATE(2025,7,1),D563&lt;=DATE(2026,6,30)),1,0)</f>
        <v>1</v>
      </c>
    </row>
    <row r="564">
      <c r="A564" t="inlineStr">
        <is>
          <t>S0166</t>
        </is>
      </c>
      <c r="B564" t="inlineStr">
        <is>
          <t>FP</t>
        </is>
      </c>
      <c r="C564" s="11" t="n">
        <v>46148</v>
      </c>
      <c r="D564" s="11" t="n">
        <v>46176</v>
      </c>
      <c r="E564" t="n">
        <v>4</v>
      </c>
      <c r="F564" t="n">
        <v>316</v>
      </c>
      <c r="G564">
        <f>IF(AND(D564&gt;=DATE(2025,7,1),D564&lt;=DATE(2026,6,30)),1,0)</f>
        <v>1</v>
      </c>
    </row>
    <row r="565">
      <c r="A565" t="inlineStr">
        <is>
          <t>S0167</t>
        </is>
      </c>
      <c r="B565" t="inlineStr">
        <is>
          <t>BR</t>
        </is>
      </c>
      <c r="C565" s="11" t="n">
        <v>46026</v>
      </c>
      <c r="D565" s="11" t="n">
        <v>46034</v>
      </c>
      <c r="E565" t="n">
        <v>2</v>
      </c>
      <c r="F565" t="n">
        <v>34</v>
      </c>
      <c r="G565">
        <f>IF(AND(D565&gt;=DATE(2025,7,1),D565&lt;=DATE(2026,6,30)),1,0)</f>
        <v>1</v>
      </c>
    </row>
    <row r="566">
      <c r="A566" t="inlineStr">
        <is>
          <t>S0167</t>
        </is>
      </c>
      <c r="B566" t="inlineStr">
        <is>
          <t>FP</t>
        </is>
      </c>
      <c r="C566" s="11" t="n">
        <v>46026</v>
      </c>
      <c r="D566" s="11" t="n">
        <v>46034</v>
      </c>
      <c r="E566" t="n">
        <v>2</v>
      </c>
      <c r="F566" t="n">
        <v>214</v>
      </c>
      <c r="G566">
        <f>IF(AND(D566&gt;=DATE(2025,7,1),D566&lt;=DATE(2026,6,30)),1,0)</f>
        <v>1</v>
      </c>
    </row>
    <row r="567">
      <c r="A567" t="inlineStr">
        <is>
          <t>S0168</t>
        </is>
      </c>
      <c r="B567" t="inlineStr">
        <is>
          <t>FP</t>
        </is>
      </c>
      <c r="C567" s="11" t="n">
        <v>46151</v>
      </c>
      <c r="D567" s="11" t="n">
        <v>46179</v>
      </c>
      <c r="E567" t="n">
        <v>4</v>
      </c>
      <c r="F567" t="n">
        <v>508</v>
      </c>
      <c r="G567">
        <f>IF(AND(D567&gt;=DATE(2025,7,1),D567&lt;=DATE(2026,6,30)),1,0)</f>
        <v>1</v>
      </c>
    </row>
    <row r="568">
      <c r="A568" t="inlineStr">
        <is>
          <t>S0169</t>
        </is>
      </c>
      <c r="B568" t="inlineStr">
        <is>
          <t>BR</t>
        </is>
      </c>
      <c r="C568" s="11" t="n">
        <v>46055</v>
      </c>
      <c r="D568" s="11" t="n">
        <v>46083</v>
      </c>
      <c r="E568" t="n">
        <v>4</v>
      </c>
      <c r="F568" t="n">
        <v>64</v>
      </c>
      <c r="G568">
        <f>IF(AND(D568&gt;=DATE(2025,7,1),D568&lt;=DATE(2026,6,30)),1,0)</f>
        <v>1</v>
      </c>
    </row>
    <row r="569">
      <c r="A569" t="inlineStr">
        <is>
          <t>S0169</t>
        </is>
      </c>
      <c r="B569" t="inlineStr">
        <is>
          <t>BR</t>
        </is>
      </c>
      <c r="C569" s="11" t="n">
        <v>46083</v>
      </c>
      <c r="D569" s="11" t="n">
        <v>46111</v>
      </c>
      <c r="E569" t="n">
        <v>4</v>
      </c>
      <c r="F569" t="n">
        <v>64</v>
      </c>
      <c r="G569">
        <f>IF(AND(D569&gt;=DATE(2025,7,1),D569&lt;=DATE(2026,6,30)),1,0)</f>
        <v>1</v>
      </c>
    </row>
    <row r="570">
      <c r="A570" t="inlineStr">
        <is>
          <t>S0169</t>
        </is>
      </c>
      <c r="B570" t="inlineStr">
        <is>
          <t>BR</t>
        </is>
      </c>
      <c r="C570" s="11" t="n">
        <v>46111</v>
      </c>
      <c r="D570" s="11" t="n">
        <v>46139</v>
      </c>
      <c r="E570" t="n">
        <v>4</v>
      </c>
      <c r="F570" t="n">
        <v>64</v>
      </c>
      <c r="G570">
        <f>IF(AND(D570&gt;=DATE(2025,7,1),D570&lt;=DATE(2026,6,30)),1,0)</f>
        <v>1</v>
      </c>
    </row>
    <row r="571">
      <c r="A571" t="inlineStr">
        <is>
          <t>S0169</t>
        </is>
      </c>
      <c r="B571" t="inlineStr">
        <is>
          <t>BR</t>
        </is>
      </c>
      <c r="C571" s="11" t="n">
        <v>46139</v>
      </c>
      <c r="D571" s="11" t="n">
        <v>46167</v>
      </c>
      <c r="E571" t="n">
        <v>4</v>
      </c>
      <c r="F571" t="n">
        <v>64</v>
      </c>
      <c r="G571">
        <f>IF(AND(D571&gt;=DATE(2025,7,1),D571&lt;=DATE(2026,6,30)),1,0)</f>
        <v>1</v>
      </c>
    </row>
    <row r="572">
      <c r="A572" t="inlineStr">
        <is>
          <t>S0169</t>
        </is>
      </c>
      <c r="B572" t="inlineStr">
        <is>
          <t>BR</t>
        </is>
      </c>
      <c r="C572" s="11" t="n">
        <v>46167</v>
      </c>
      <c r="D572" s="11" t="n">
        <v>46195</v>
      </c>
      <c r="E572" t="n">
        <v>4</v>
      </c>
      <c r="F572" t="n">
        <v>64</v>
      </c>
      <c r="G572">
        <f>IF(AND(D572&gt;=DATE(2025,7,1),D572&lt;=DATE(2026,6,30)),1,0)</f>
        <v>1</v>
      </c>
    </row>
    <row r="573">
      <c r="A573" t="inlineStr">
        <is>
          <t>S0169</t>
        </is>
      </c>
      <c r="B573" t="inlineStr">
        <is>
          <t>FP</t>
        </is>
      </c>
      <c r="C573" s="11" t="n">
        <v>46055</v>
      </c>
      <c r="D573" s="11" t="n">
        <v>46083</v>
      </c>
      <c r="E573" t="n">
        <v>4</v>
      </c>
      <c r="F573" t="n">
        <v>116</v>
      </c>
      <c r="G573">
        <f>IF(AND(D573&gt;=DATE(2025,7,1),D573&lt;=DATE(2026,6,30)),1,0)</f>
        <v>1</v>
      </c>
    </row>
    <row r="574">
      <c r="A574" t="inlineStr">
        <is>
          <t>S0169</t>
        </is>
      </c>
      <c r="B574" t="inlineStr">
        <is>
          <t>FP</t>
        </is>
      </c>
      <c r="C574" s="11" t="n">
        <v>46083</v>
      </c>
      <c r="D574" s="11" t="n">
        <v>46111</v>
      </c>
      <c r="E574" t="n">
        <v>4</v>
      </c>
      <c r="F574" t="n">
        <v>116</v>
      </c>
      <c r="G574">
        <f>IF(AND(D574&gt;=DATE(2025,7,1),D574&lt;=DATE(2026,6,30)),1,0)</f>
        <v>1</v>
      </c>
    </row>
    <row r="575">
      <c r="A575" t="inlineStr">
        <is>
          <t>S0169</t>
        </is>
      </c>
      <c r="B575" t="inlineStr">
        <is>
          <t>FP</t>
        </is>
      </c>
      <c r="C575" s="11" t="n">
        <v>46111</v>
      </c>
      <c r="D575" s="11" t="n">
        <v>46139</v>
      </c>
      <c r="E575" t="n">
        <v>4</v>
      </c>
      <c r="F575" t="n">
        <v>116</v>
      </c>
      <c r="G575">
        <f>IF(AND(D575&gt;=DATE(2025,7,1),D575&lt;=DATE(2026,6,30)),1,0)</f>
        <v>1</v>
      </c>
    </row>
    <row r="576">
      <c r="A576" t="inlineStr">
        <is>
          <t>S0169</t>
        </is>
      </c>
      <c r="B576" t="inlineStr">
        <is>
          <t>FP</t>
        </is>
      </c>
      <c r="C576" s="11" t="n">
        <v>46139</v>
      </c>
      <c r="D576" s="11" t="n">
        <v>46167</v>
      </c>
      <c r="E576" t="n">
        <v>4</v>
      </c>
      <c r="F576" t="n">
        <v>116</v>
      </c>
      <c r="G576">
        <f>IF(AND(D576&gt;=DATE(2025,7,1),D576&lt;=DATE(2026,6,30)),1,0)</f>
        <v>1</v>
      </c>
    </row>
    <row r="577">
      <c r="A577" t="inlineStr">
        <is>
          <t>S0169</t>
        </is>
      </c>
      <c r="B577" t="inlineStr">
        <is>
          <t>FP</t>
        </is>
      </c>
      <c r="C577" s="11" t="n">
        <v>46167</v>
      </c>
      <c r="D577" s="11" t="n">
        <v>46195</v>
      </c>
      <c r="E577" t="n">
        <v>4</v>
      </c>
      <c r="F577" t="n">
        <v>116</v>
      </c>
      <c r="G577">
        <f>IF(AND(D577&gt;=DATE(2025,7,1),D577&lt;=DATE(2026,6,30)),1,0)</f>
        <v>1</v>
      </c>
    </row>
    <row r="578">
      <c r="A578" t="inlineStr">
        <is>
          <t>S0170</t>
        </is>
      </c>
      <c r="B578" t="inlineStr">
        <is>
          <t>FP</t>
        </is>
      </c>
      <c r="C578" s="11" t="n">
        <v>46096</v>
      </c>
      <c r="D578" s="11" t="n">
        <v>46112</v>
      </c>
      <c r="E578" t="n">
        <v>3</v>
      </c>
      <c r="F578" t="n">
        <v>138</v>
      </c>
      <c r="G578">
        <f>IF(AND(D578&gt;=DATE(2025,7,1),D578&lt;=DATE(2026,6,30)),1,0)</f>
        <v>1</v>
      </c>
    </row>
    <row r="579">
      <c r="A579" t="inlineStr">
        <is>
          <t>S0171</t>
        </is>
      </c>
      <c r="B579" t="inlineStr">
        <is>
          <t>BR</t>
        </is>
      </c>
      <c r="C579" s="11" t="n">
        <v>46163</v>
      </c>
      <c r="D579" s="11" t="n">
        <v>46191</v>
      </c>
      <c r="E579" t="n">
        <v>4</v>
      </c>
      <c r="F579" t="n">
        <v>60</v>
      </c>
      <c r="G579">
        <f>IF(AND(D579&gt;=DATE(2025,7,1),D579&lt;=DATE(2026,6,30)),1,0)</f>
        <v>1</v>
      </c>
    </row>
    <row r="580">
      <c r="A580" t="inlineStr">
        <is>
          <t>S0171</t>
        </is>
      </c>
      <c r="B580" t="inlineStr">
        <is>
          <t>FP</t>
        </is>
      </c>
      <c r="C580" s="11" t="n">
        <v>46163</v>
      </c>
      <c r="D580" s="11" t="n">
        <v>46191</v>
      </c>
      <c r="E580" t="n">
        <v>4</v>
      </c>
      <c r="F580" t="n">
        <v>328</v>
      </c>
      <c r="G580">
        <f>IF(AND(D580&gt;=DATE(2025,7,1),D580&lt;=DATE(2026,6,30)),1,0)</f>
        <v>1</v>
      </c>
    </row>
    <row r="581">
      <c r="A581" t="inlineStr">
        <is>
          <t>S0172</t>
        </is>
      </c>
      <c r="B581" t="inlineStr">
        <is>
          <t>FP</t>
        </is>
      </c>
      <c r="C581" s="11" t="n">
        <v>45865</v>
      </c>
      <c r="D581" s="11" t="n">
        <v>45893</v>
      </c>
      <c r="E581" t="n">
        <v>4</v>
      </c>
      <c r="F581" t="n">
        <v>92</v>
      </c>
      <c r="G581">
        <f>IF(AND(D581&gt;=DATE(2025,7,1),D581&lt;=DATE(2026,6,30)),1,0)</f>
        <v>1</v>
      </c>
    </row>
    <row r="582">
      <c r="A582" t="inlineStr">
        <is>
          <t>S0172</t>
        </is>
      </c>
      <c r="B582" t="inlineStr">
        <is>
          <t>FP</t>
        </is>
      </c>
      <c r="C582" s="11" t="n">
        <v>45893</v>
      </c>
      <c r="D582" s="11" t="n">
        <v>45921</v>
      </c>
      <c r="E582" t="n">
        <v>4</v>
      </c>
      <c r="F582" t="n">
        <v>92</v>
      </c>
      <c r="G582">
        <f>IF(AND(D582&gt;=DATE(2025,7,1),D582&lt;=DATE(2026,6,30)),1,0)</f>
        <v>1</v>
      </c>
    </row>
    <row r="583">
      <c r="A583" t="inlineStr">
        <is>
          <t>S0172</t>
        </is>
      </c>
      <c r="B583" t="inlineStr">
        <is>
          <t>FP</t>
        </is>
      </c>
      <c r="C583" s="11" t="n">
        <v>45921</v>
      </c>
      <c r="D583" s="11" t="n">
        <v>45923</v>
      </c>
      <c r="E583" t="n">
        <v>1</v>
      </c>
      <c r="F583" t="n">
        <v>23</v>
      </c>
      <c r="G583">
        <f>IF(AND(D583&gt;=DATE(2025,7,1),D583&lt;=DATE(2026,6,30)),1,0)</f>
        <v>1</v>
      </c>
    </row>
    <row r="584">
      <c r="A584" t="inlineStr">
        <is>
          <t>S0173</t>
        </is>
      </c>
      <c r="B584" t="inlineStr">
        <is>
          <t>FP</t>
        </is>
      </c>
      <c r="C584" s="11" t="n">
        <v>46169</v>
      </c>
      <c r="D584" s="11" t="n">
        <v>46197</v>
      </c>
      <c r="E584" t="n">
        <v>4</v>
      </c>
      <c r="F584" t="n">
        <v>596</v>
      </c>
      <c r="G584">
        <f>IF(AND(D584&gt;=DATE(2025,7,1),D584&lt;=DATE(2026,6,30)),1,0)</f>
        <v>1</v>
      </c>
    </row>
    <row r="585">
      <c r="A585" t="inlineStr">
        <is>
          <t>S0174</t>
        </is>
      </c>
      <c r="B585" t="inlineStr">
        <is>
          <t>FP</t>
        </is>
      </c>
      <c r="C585" s="11" t="n">
        <v>45994</v>
      </c>
      <c r="D585" s="11" t="n">
        <v>46002</v>
      </c>
      <c r="E585" t="n">
        <v>2</v>
      </c>
      <c r="F585" t="n">
        <v>232</v>
      </c>
      <c r="G585">
        <f>IF(AND(D585&gt;=DATE(2025,7,1),D585&lt;=DATE(2026,6,30)),1,0)</f>
        <v>1</v>
      </c>
    </row>
    <row r="586">
      <c r="A586" t="inlineStr">
        <is>
          <t>S0175</t>
        </is>
      </c>
      <c r="B586" t="inlineStr">
        <is>
          <t>FP</t>
        </is>
      </c>
      <c r="C586" s="11" t="n">
        <v>46150</v>
      </c>
      <c r="D586" s="11" t="n">
        <v>46178</v>
      </c>
      <c r="E586" t="n">
        <v>4</v>
      </c>
      <c r="F586" t="n">
        <v>516</v>
      </c>
      <c r="G586">
        <f>IF(AND(D586&gt;=DATE(2025,7,1),D586&lt;=DATE(2026,6,30)),1,0)</f>
        <v>1</v>
      </c>
    </row>
    <row r="587">
      <c r="A587" t="inlineStr">
        <is>
          <t>S0175</t>
        </is>
      </c>
      <c r="B587" t="inlineStr">
        <is>
          <t>FP</t>
        </is>
      </c>
      <c r="C587" s="11" t="n">
        <v>46178</v>
      </c>
      <c r="D587" s="11" t="n">
        <v>46179</v>
      </c>
      <c r="E587" t="n">
        <v>1</v>
      </c>
      <c r="F587" t="n">
        <v>129</v>
      </c>
      <c r="G587">
        <f>IF(AND(D587&gt;=DATE(2025,7,1),D587&lt;=DATE(2026,6,30)),1,0)</f>
        <v>1</v>
      </c>
    </row>
    <row r="588">
      <c r="A588" t="inlineStr">
        <is>
          <t>S0176</t>
        </is>
      </c>
      <c r="B588" t="inlineStr">
        <is>
          <t>FP</t>
        </is>
      </c>
      <c r="C588" s="11" t="n">
        <v>46175</v>
      </c>
      <c r="D588" s="11" t="n">
        <v>46203</v>
      </c>
      <c r="E588" t="n">
        <v>4</v>
      </c>
      <c r="F588" t="n">
        <v>316</v>
      </c>
      <c r="G588">
        <f>IF(AND(D588&gt;=DATE(2025,7,1),D588&lt;=DATE(2026,6,30)),1,0)</f>
        <v>1</v>
      </c>
    </row>
    <row r="589">
      <c r="A589" t="inlineStr">
        <is>
          <t>S0179</t>
        </is>
      </c>
      <c r="B589" t="inlineStr">
        <is>
          <t>BR</t>
        </is>
      </c>
      <c r="C589" s="11" t="n">
        <v>45959</v>
      </c>
      <c r="D589" s="11" t="n">
        <v>45987</v>
      </c>
      <c r="E589" t="n">
        <v>4</v>
      </c>
      <c r="F589" t="n">
        <v>36</v>
      </c>
      <c r="G589">
        <f>IF(AND(D589&gt;=DATE(2025,7,1),D589&lt;=DATE(2026,6,30)),1,0)</f>
        <v>1</v>
      </c>
    </row>
    <row r="590">
      <c r="A590" t="inlineStr">
        <is>
          <t>S0179</t>
        </is>
      </c>
      <c r="B590" t="inlineStr">
        <is>
          <t>BR</t>
        </is>
      </c>
      <c r="C590" s="11" t="n">
        <v>45987</v>
      </c>
      <c r="D590" s="11" t="n">
        <v>46015</v>
      </c>
      <c r="E590" t="n">
        <v>4</v>
      </c>
      <c r="F590" t="n">
        <v>36</v>
      </c>
      <c r="G590">
        <f>IF(AND(D590&gt;=DATE(2025,7,1),D590&lt;=DATE(2026,6,30)),1,0)</f>
        <v>1</v>
      </c>
    </row>
    <row r="591">
      <c r="A591" t="inlineStr">
        <is>
          <t>S0179</t>
        </is>
      </c>
      <c r="B591" t="inlineStr">
        <is>
          <t>BR</t>
        </is>
      </c>
      <c r="C591" s="11" t="n">
        <v>46015</v>
      </c>
      <c r="D591" s="11" t="n">
        <v>46043</v>
      </c>
      <c r="E591" t="n">
        <v>4</v>
      </c>
      <c r="F591" t="n">
        <v>36</v>
      </c>
      <c r="G591">
        <f>IF(AND(D591&gt;=DATE(2025,7,1),D591&lt;=DATE(2026,6,30)),1,0)</f>
        <v>1</v>
      </c>
    </row>
    <row r="592">
      <c r="A592" t="inlineStr">
        <is>
          <t>S0179</t>
        </is>
      </c>
      <c r="B592" t="inlineStr">
        <is>
          <t>BR</t>
        </is>
      </c>
      <c r="C592" s="11" t="n">
        <v>46043</v>
      </c>
      <c r="D592" s="11" t="n">
        <v>46071</v>
      </c>
      <c r="E592" t="n">
        <v>4</v>
      </c>
      <c r="F592" t="n">
        <v>36</v>
      </c>
      <c r="G592">
        <f>IF(AND(D592&gt;=DATE(2025,7,1),D592&lt;=DATE(2026,6,30)),1,0)</f>
        <v>1</v>
      </c>
    </row>
    <row r="593">
      <c r="A593" t="inlineStr">
        <is>
          <t>S0179</t>
        </is>
      </c>
      <c r="B593" t="inlineStr">
        <is>
          <t>BR</t>
        </is>
      </c>
      <c r="C593" s="11" t="n">
        <v>46071</v>
      </c>
      <c r="D593" s="11" t="n">
        <v>46099</v>
      </c>
      <c r="E593" t="n">
        <v>4</v>
      </c>
      <c r="F593" t="n">
        <v>36</v>
      </c>
      <c r="G593">
        <f>IF(AND(D593&gt;=DATE(2025,7,1),D593&lt;=DATE(2026,6,30)),1,0)</f>
        <v>1</v>
      </c>
    </row>
    <row r="594">
      <c r="A594" t="inlineStr">
        <is>
          <t>S0179</t>
        </is>
      </c>
      <c r="B594" t="inlineStr">
        <is>
          <t>BR</t>
        </is>
      </c>
      <c r="C594" s="11" t="n">
        <v>46099</v>
      </c>
      <c r="D594" s="11" t="n">
        <v>46101</v>
      </c>
      <c r="E594" t="n">
        <v>1</v>
      </c>
      <c r="F594" t="n">
        <v>9</v>
      </c>
      <c r="G594">
        <f>IF(AND(D594&gt;=DATE(2025,7,1),D594&lt;=DATE(2026,6,30)),1,0)</f>
        <v>1</v>
      </c>
    </row>
    <row r="595">
      <c r="A595" t="inlineStr">
        <is>
          <t>S0179</t>
        </is>
      </c>
      <c r="B595" t="inlineStr">
        <is>
          <t>FP</t>
        </is>
      </c>
      <c r="C595" s="11" t="n">
        <v>45959</v>
      </c>
      <c r="D595" s="11" t="n">
        <v>45987</v>
      </c>
      <c r="E595" t="n">
        <v>4</v>
      </c>
      <c r="F595" t="n">
        <v>460</v>
      </c>
      <c r="G595">
        <f>IF(AND(D595&gt;=DATE(2025,7,1),D595&lt;=DATE(2026,6,30)),1,0)</f>
        <v>1</v>
      </c>
    </row>
    <row r="596">
      <c r="A596" t="inlineStr">
        <is>
          <t>S0179</t>
        </is>
      </c>
      <c r="B596" t="inlineStr">
        <is>
          <t>FP</t>
        </is>
      </c>
      <c r="C596" s="11" t="n">
        <v>45987</v>
      </c>
      <c r="D596" s="11" t="n">
        <v>46015</v>
      </c>
      <c r="E596" t="n">
        <v>4</v>
      </c>
      <c r="F596" t="n">
        <v>460</v>
      </c>
      <c r="G596">
        <f>IF(AND(D596&gt;=DATE(2025,7,1),D596&lt;=DATE(2026,6,30)),1,0)</f>
        <v>1</v>
      </c>
    </row>
    <row r="597">
      <c r="A597" t="inlineStr">
        <is>
          <t>S0179</t>
        </is>
      </c>
      <c r="B597" t="inlineStr">
        <is>
          <t>FP</t>
        </is>
      </c>
      <c r="C597" s="11" t="n">
        <v>46015</v>
      </c>
      <c r="D597" s="11" t="n">
        <v>46043</v>
      </c>
      <c r="E597" t="n">
        <v>4</v>
      </c>
      <c r="F597" t="n">
        <v>460</v>
      </c>
      <c r="G597">
        <f>IF(AND(D597&gt;=DATE(2025,7,1),D597&lt;=DATE(2026,6,30)),1,0)</f>
        <v>1</v>
      </c>
    </row>
    <row r="598">
      <c r="A598" t="inlineStr">
        <is>
          <t>S0179</t>
        </is>
      </c>
      <c r="B598" t="inlineStr">
        <is>
          <t>FP</t>
        </is>
      </c>
      <c r="C598" s="11" t="n">
        <v>46043</v>
      </c>
      <c r="D598" s="11" t="n">
        <v>46071</v>
      </c>
      <c r="E598" t="n">
        <v>4</v>
      </c>
      <c r="F598" t="n">
        <v>396</v>
      </c>
      <c r="G598">
        <f>IF(AND(D598&gt;=DATE(2025,7,1),D598&lt;=DATE(2026,6,30)),1,0)</f>
        <v>1</v>
      </c>
    </row>
    <row r="599">
      <c r="A599" t="inlineStr">
        <is>
          <t>S0179</t>
        </is>
      </c>
      <c r="B599" t="inlineStr">
        <is>
          <t>FP</t>
        </is>
      </c>
      <c r="C599" s="11" t="n">
        <v>46071</v>
      </c>
      <c r="D599" s="11" t="n">
        <v>46099</v>
      </c>
      <c r="E599" t="n">
        <v>4</v>
      </c>
      <c r="F599" t="n">
        <v>204</v>
      </c>
      <c r="G599">
        <f>IF(AND(D599&gt;=DATE(2025,7,1),D599&lt;=DATE(2026,6,30)),1,0)</f>
        <v>1</v>
      </c>
    </row>
    <row r="600">
      <c r="A600" t="inlineStr">
        <is>
          <t>S0179</t>
        </is>
      </c>
      <c r="B600" t="inlineStr">
        <is>
          <t>FP</t>
        </is>
      </c>
      <c r="C600" s="11" t="n">
        <v>46099</v>
      </c>
      <c r="D600" s="11" t="n">
        <v>46101</v>
      </c>
      <c r="E600" t="n">
        <v>1</v>
      </c>
      <c r="F600" t="n">
        <v>51</v>
      </c>
      <c r="G600">
        <f>IF(AND(D600&gt;=DATE(2025,7,1),D600&lt;=DATE(2026,6,30)),1,0)</f>
        <v>1</v>
      </c>
    </row>
    <row r="601">
      <c r="A601" t="inlineStr">
        <is>
          <t>S0180</t>
        </is>
      </c>
      <c r="B601" t="inlineStr">
        <is>
          <t>BR</t>
        </is>
      </c>
      <c r="C601" s="11" t="n">
        <v>45969</v>
      </c>
      <c r="D601" s="11" t="n">
        <v>45997</v>
      </c>
      <c r="E601" t="n">
        <v>4</v>
      </c>
      <c r="F601" t="n">
        <v>64</v>
      </c>
      <c r="G601">
        <f>IF(AND(D601&gt;=DATE(2025,7,1),D601&lt;=DATE(2026,6,30)),1,0)</f>
        <v>1</v>
      </c>
    </row>
    <row r="602">
      <c r="A602" t="inlineStr">
        <is>
          <t>S0180</t>
        </is>
      </c>
      <c r="B602" t="inlineStr">
        <is>
          <t>BR</t>
        </is>
      </c>
      <c r="C602" s="11" t="n">
        <v>45997</v>
      </c>
      <c r="D602" s="11" t="n">
        <v>46024</v>
      </c>
      <c r="E602" t="n">
        <v>4</v>
      </c>
      <c r="F602" t="n">
        <v>64</v>
      </c>
      <c r="G602">
        <f>IF(AND(D602&gt;=DATE(2025,7,1),D602&lt;=DATE(2026,6,30)),1,0)</f>
        <v>1</v>
      </c>
    </row>
    <row r="603">
      <c r="A603" t="inlineStr">
        <is>
          <t>S0180</t>
        </is>
      </c>
      <c r="B603" t="inlineStr">
        <is>
          <t>FP</t>
        </is>
      </c>
      <c r="C603" s="11" t="n">
        <v>45969</v>
      </c>
      <c r="D603" s="11" t="n">
        <v>45997</v>
      </c>
      <c r="E603" t="n">
        <v>4</v>
      </c>
      <c r="F603" t="n">
        <v>136</v>
      </c>
      <c r="G603">
        <f>IF(AND(D603&gt;=DATE(2025,7,1),D603&lt;=DATE(2026,6,30)),1,0)</f>
        <v>1</v>
      </c>
    </row>
    <row r="604">
      <c r="A604" t="inlineStr">
        <is>
          <t>S0180</t>
        </is>
      </c>
      <c r="B604" t="inlineStr">
        <is>
          <t>FP</t>
        </is>
      </c>
      <c r="C604" s="11" t="n">
        <v>45997</v>
      </c>
      <c r="D604" s="11" t="n">
        <v>46024</v>
      </c>
      <c r="E604" t="n">
        <v>4</v>
      </c>
      <c r="F604" t="n">
        <v>136</v>
      </c>
      <c r="G604">
        <f>IF(AND(D604&gt;=DATE(2025,7,1),D604&lt;=DATE(2026,6,30)),1,0)</f>
        <v>1</v>
      </c>
    </row>
    <row r="605">
      <c r="A605" t="inlineStr">
        <is>
          <t>S0181</t>
        </is>
      </c>
      <c r="B605" t="inlineStr">
        <is>
          <t>FP</t>
        </is>
      </c>
      <c r="C605" s="11" t="n">
        <v>45929</v>
      </c>
      <c r="D605" s="11" t="n">
        <v>45957</v>
      </c>
      <c r="E605" t="n">
        <v>4</v>
      </c>
      <c r="F605" t="n">
        <v>488</v>
      </c>
      <c r="G605">
        <f>IF(AND(D605&gt;=DATE(2025,7,1),D605&lt;=DATE(2026,6,30)),1,0)</f>
        <v>1</v>
      </c>
    </row>
    <row r="606">
      <c r="A606" t="inlineStr">
        <is>
          <t>S0181</t>
        </is>
      </c>
      <c r="B606" t="inlineStr">
        <is>
          <t>FP</t>
        </is>
      </c>
      <c r="C606" s="11" t="n">
        <v>45957</v>
      </c>
      <c r="D606" s="11" t="n">
        <v>45985</v>
      </c>
      <c r="E606" t="n">
        <v>4</v>
      </c>
      <c r="F606" t="n">
        <v>488</v>
      </c>
      <c r="G606">
        <f>IF(AND(D606&gt;=DATE(2025,7,1),D606&lt;=DATE(2026,6,30)),1,0)</f>
        <v>1</v>
      </c>
    </row>
    <row r="607">
      <c r="A607" t="inlineStr">
        <is>
          <t>S0181</t>
        </is>
      </c>
      <c r="B607" t="inlineStr">
        <is>
          <t>FP</t>
        </is>
      </c>
      <c r="C607" s="11" t="n">
        <v>45985</v>
      </c>
      <c r="D607" s="11" t="n">
        <v>45989</v>
      </c>
      <c r="E607" t="n">
        <v>1</v>
      </c>
      <c r="F607" t="n">
        <v>122</v>
      </c>
      <c r="G607">
        <f>IF(AND(D607&gt;=DATE(2025,7,1),D607&lt;=DATE(2026,6,30)),1,0)</f>
        <v>1</v>
      </c>
    </row>
    <row r="608">
      <c r="A608" t="inlineStr">
        <is>
          <t>S0182</t>
        </is>
      </c>
      <c r="B608" t="inlineStr">
        <is>
          <t>FP</t>
        </is>
      </c>
      <c r="C608" s="11" t="n">
        <v>46035</v>
      </c>
      <c r="D608" s="11" t="n">
        <v>46063</v>
      </c>
      <c r="E608" t="n">
        <v>4</v>
      </c>
      <c r="F608" t="n">
        <v>444</v>
      </c>
      <c r="G608">
        <f>IF(AND(D608&gt;=DATE(2025,7,1),D608&lt;=DATE(2026,6,30)),1,0)</f>
        <v>1</v>
      </c>
    </row>
    <row r="609">
      <c r="A609" t="inlineStr">
        <is>
          <t>S0182</t>
        </is>
      </c>
      <c r="B609" t="inlineStr">
        <is>
          <t>FP</t>
        </is>
      </c>
      <c r="C609" s="11" t="n">
        <v>46063</v>
      </c>
      <c r="D609" s="11" t="n">
        <v>46091</v>
      </c>
      <c r="E609" t="n">
        <v>4</v>
      </c>
      <c r="F609" t="n">
        <v>444</v>
      </c>
      <c r="G609">
        <f>IF(AND(D609&gt;=DATE(2025,7,1),D609&lt;=DATE(2026,6,30)),1,0)</f>
        <v>1</v>
      </c>
    </row>
    <row r="610">
      <c r="A610" t="inlineStr">
        <is>
          <t>S0182</t>
        </is>
      </c>
      <c r="B610" t="inlineStr">
        <is>
          <t>FP</t>
        </is>
      </c>
      <c r="C610" s="11" t="n">
        <v>46091</v>
      </c>
      <c r="D610" s="11" t="n">
        <v>46119</v>
      </c>
      <c r="E610" t="n">
        <v>4</v>
      </c>
      <c r="F610" t="n">
        <v>444</v>
      </c>
      <c r="G610">
        <f>IF(AND(D610&gt;=DATE(2025,7,1),D610&lt;=DATE(2026,6,30)),1,0)</f>
        <v>1</v>
      </c>
    </row>
    <row r="611">
      <c r="A611" t="inlineStr">
        <is>
          <t>S0182</t>
        </is>
      </c>
      <c r="B611" t="inlineStr">
        <is>
          <t>FP</t>
        </is>
      </c>
      <c r="C611" s="11" t="n">
        <v>46119</v>
      </c>
      <c r="D611" s="11" t="n">
        <v>46147</v>
      </c>
      <c r="E611" t="n">
        <v>4</v>
      </c>
      <c r="F611" t="n">
        <v>444</v>
      </c>
      <c r="G611">
        <f>IF(AND(D611&gt;=DATE(2025,7,1),D611&lt;=DATE(2026,6,30)),1,0)</f>
        <v>1</v>
      </c>
    </row>
    <row r="612">
      <c r="A612" t="inlineStr">
        <is>
          <t>S0182</t>
        </is>
      </c>
      <c r="B612" t="inlineStr">
        <is>
          <t>FP</t>
        </is>
      </c>
      <c r="C612" s="11" t="n">
        <v>46147</v>
      </c>
      <c r="D612" s="11" t="n">
        <v>46175</v>
      </c>
      <c r="E612" t="n">
        <v>4</v>
      </c>
      <c r="F612" t="n">
        <v>444</v>
      </c>
      <c r="G612">
        <f>IF(AND(D612&gt;=DATE(2025,7,1),D612&lt;=DATE(2026,6,30)),1,0)</f>
        <v>1</v>
      </c>
    </row>
    <row r="613">
      <c r="A613" t="inlineStr">
        <is>
          <t>S0182</t>
        </is>
      </c>
      <c r="B613" t="inlineStr">
        <is>
          <t>FP</t>
        </is>
      </c>
      <c r="C613" s="11" t="n">
        <v>46175</v>
      </c>
      <c r="D613" s="11" t="n">
        <v>46203</v>
      </c>
      <c r="E613" t="n">
        <v>4</v>
      </c>
      <c r="F613" t="n">
        <v>444</v>
      </c>
      <c r="G613">
        <f>IF(AND(D613&gt;=DATE(2025,7,1),D613&lt;=DATE(2026,6,30)),1,0)</f>
        <v>1</v>
      </c>
    </row>
    <row r="614">
      <c r="A614" t="inlineStr">
        <is>
          <t>S0183</t>
        </is>
      </c>
      <c r="B614" t="inlineStr">
        <is>
          <t>FP</t>
        </is>
      </c>
      <c r="C614" s="11" t="n">
        <v>45907</v>
      </c>
      <c r="D614" s="11" t="n">
        <v>45935</v>
      </c>
      <c r="E614" t="n">
        <v>4</v>
      </c>
      <c r="F614" t="n">
        <v>312</v>
      </c>
      <c r="G614">
        <f>IF(AND(D614&gt;=DATE(2025,7,1),D614&lt;=DATE(2026,6,30)),1,0)</f>
        <v>1</v>
      </c>
    </row>
    <row r="615">
      <c r="A615" t="inlineStr">
        <is>
          <t>S0183</t>
        </is>
      </c>
      <c r="B615" t="inlineStr">
        <is>
          <t>FP</t>
        </is>
      </c>
      <c r="C615" s="11" t="n">
        <v>45935</v>
      </c>
      <c r="D615" s="11" t="n">
        <v>45937</v>
      </c>
      <c r="E615" t="n">
        <v>1</v>
      </c>
      <c r="F615" t="n">
        <v>78</v>
      </c>
      <c r="G615">
        <f>IF(AND(D615&gt;=DATE(2025,7,1),D615&lt;=DATE(2026,6,30)),1,0)</f>
        <v>1</v>
      </c>
    </row>
    <row r="616">
      <c r="A616" t="inlineStr">
        <is>
          <t>S0184</t>
        </is>
      </c>
      <c r="B616" t="inlineStr">
        <is>
          <t>FP</t>
        </is>
      </c>
      <c r="C616" s="11" t="n">
        <v>45855</v>
      </c>
      <c r="D616" s="11" t="n">
        <v>45883</v>
      </c>
      <c r="E616" t="n">
        <v>4</v>
      </c>
      <c r="F616" t="n">
        <v>176</v>
      </c>
      <c r="G616">
        <f>IF(AND(D616&gt;=DATE(2025,7,1),D616&lt;=DATE(2026,6,30)),1,0)</f>
        <v>1</v>
      </c>
    </row>
    <row r="617">
      <c r="A617" t="inlineStr">
        <is>
          <t>S0184</t>
        </is>
      </c>
      <c r="B617" t="inlineStr">
        <is>
          <t>FP</t>
        </is>
      </c>
      <c r="C617" s="11" t="n">
        <v>45883</v>
      </c>
      <c r="D617" s="11" t="n">
        <v>45887</v>
      </c>
      <c r="E617" t="n">
        <v>1</v>
      </c>
      <c r="F617" t="n">
        <v>44</v>
      </c>
      <c r="G617">
        <f>IF(AND(D617&gt;=DATE(2025,7,1),D617&lt;=DATE(2026,6,30)),1,0)</f>
        <v>1</v>
      </c>
    </row>
    <row r="618">
      <c r="A618" t="inlineStr">
        <is>
          <t>S0185</t>
        </is>
      </c>
      <c r="B618" t="inlineStr">
        <is>
          <t>FP</t>
        </is>
      </c>
      <c r="C618" s="11" t="n">
        <v>45867</v>
      </c>
      <c r="D618" s="11" t="n">
        <v>45895</v>
      </c>
      <c r="E618" t="n">
        <v>4</v>
      </c>
      <c r="F618" t="n">
        <v>216</v>
      </c>
      <c r="G618">
        <f>IF(AND(D618&gt;=DATE(2025,7,1),D618&lt;=DATE(2026,6,30)),1,0)</f>
        <v>1</v>
      </c>
    </row>
    <row r="619">
      <c r="A619" t="inlineStr">
        <is>
          <t>S0185</t>
        </is>
      </c>
      <c r="B619" t="inlineStr">
        <is>
          <t>FP</t>
        </is>
      </c>
      <c r="C619" s="11" t="n">
        <v>45895</v>
      </c>
      <c r="D619" s="11" t="n">
        <v>45896</v>
      </c>
      <c r="E619" t="n">
        <v>1</v>
      </c>
      <c r="F619" t="n">
        <v>54</v>
      </c>
      <c r="G619">
        <f>IF(AND(D619&gt;=DATE(2025,7,1),D619&lt;=DATE(2026,6,30)),1,0)</f>
        <v>1</v>
      </c>
    </row>
    <row r="620">
      <c r="A620" t="inlineStr">
        <is>
          <t>S0186</t>
        </is>
      </c>
      <c r="B620" t="inlineStr">
        <is>
          <t>FP</t>
        </is>
      </c>
      <c r="C620" s="11" t="n">
        <v>45828</v>
      </c>
      <c r="D620" s="11" t="n">
        <v>45856</v>
      </c>
      <c r="E620" t="n">
        <v>4</v>
      </c>
      <c r="F620" t="n">
        <v>568</v>
      </c>
      <c r="G620">
        <f>IF(AND(D620&gt;=DATE(2025,7,1),D620&lt;=DATE(2026,6,30)),1,0)</f>
        <v>1</v>
      </c>
    </row>
    <row r="621">
      <c r="A621" t="inlineStr">
        <is>
          <t>S0186</t>
        </is>
      </c>
      <c r="B621" t="inlineStr">
        <is>
          <t>FP</t>
        </is>
      </c>
      <c r="C621" s="11" t="n">
        <v>45856</v>
      </c>
      <c r="D621" s="11" t="n">
        <v>45857</v>
      </c>
      <c r="E621" t="n">
        <v>1</v>
      </c>
      <c r="F621" t="n">
        <v>142</v>
      </c>
      <c r="G621">
        <f>IF(AND(D621&gt;=DATE(2025,7,1),D621&lt;=DATE(2026,6,30)),1,0)</f>
        <v>1</v>
      </c>
    </row>
    <row r="622">
      <c r="A622" t="inlineStr">
        <is>
          <t>S0187</t>
        </is>
      </c>
      <c r="B622" t="inlineStr">
        <is>
          <t>FP</t>
        </is>
      </c>
      <c r="C622" s="11" t="n">
        <v>46021</v>
      </c>
      <c r="D622" s="11" t="n">
        <v>46049</v>
      </c>
      <c r="E622" t="n">
        <v>4</v>
      </c>
      <c r="F622" t="n">
        <v>480</v>
      </c>
      <c r="G622">
        <f>IF(AND(D622&gt;=DATE(2025,7,1),D622&lt;=DATE(2026,6,30)),1,0)</f>
        <v>1</v>
      </c>
    </row>
    <row r="623">
      <c r="A623" t="inlineStr">
        <is>
          <t>S0187</t>
        </is>
      </c>
      <c r="B623" t="inlineStr">
        <is>
          <t>FP</t>
        </is>
      </c>
      <c r="C623" s="11" t="n">
        <v>46049</v>
      </c>
      <c r="D623" s="11" t="n">
        <v>46077</v>
      </c>
      <c r="E623" t="n">
        <v>4</v>
      </c>
      <c r="F623" t="n">
        <v>480</v>
      </c>
      <c r="G623">
        <f>IF(AND(D623&gt;=DATE(2025,7,1),D623&lt;=DATE(2026,6,30)),1,0)</f>
        <v>1</v>
      </c>
    </row>
    <row r="624">
      <c r="A624" t="inlineStr">
        <is>
          <t>S0187</t>
        </is>
      </c>
      <c r="B624" t="inlineStr">
        <is>
          <t>FP</t>
        </is>
      </c>
      <c r="C624" s="11" t="n">
        <v>46077</v>
      </c>
      <c r="D624" s="11" t="n">
        <v>46105</v>
      </c>
      <c r="E624" t="n">
        <v>4</v>
      </c>
      <c r="F624" t="n">
        <v>480</v>
      </c>
      <c r="G624">
        <f>IF(AND(D624&gt;=DATE(2025,7,1),D624&lt;=DATE(2026,6,30)),1,0)</f>
        <v>1</v>
      </c>
    </row>
    <row r="625">
      <c r="A625" t="inlineStr">
        <is>
          <t>S0187</t>
        </is>
      </c>
      <c r="B625" t="inlineStr">
        <is>
          <t>FP</t>
        </is>
      </c>
      <c r="C625" s="11" t="n">
        <v>46105</v>
      </c>
      <c r="D625" s="11" t="n">
        <v>46133</v>
      </c>
      <c r="E625" t="n">
        <v>4</v>
      </c>
      <c r="F625" t="n">
        <v>480</v>
      </c>
      <c r="G625">
        <f>IF(AND(D625&gt;=DATE(2025,7,1),D625&lt;=DATE(2026,6,30)),1,0)</f>
        <v>1</v>
      </c>
    </row>
    <row r="626">
      <c r="A626" t="inlineStr">
        <is>
          <t>S0187</t>
        </is>
      </c>
      <c r="B626" t="inlineStr">
        <is>
          <t>FP</t>
        </is>
      </c>
      <c r="C626" s="11" t="n">
        <v>46133</v>
      </c>
      <c r="D626" s="11" t="n">
        <v>46161</v>
      </c>
      <c r="E626" t="n">
        <v>4</v>
      </c>
      <c r="F626" t="n">
        <v>480</v>
      </c>
      <c r="G626">
        <f>IF(AND(D626&gt;=DATE(2025,7,1),D626&lt;=DATE(2026,6,30)),1,0)</f>
        <v>1</v>
      </c>
    </row>
    <row r="627">
      <c r="A627" t="inlineStr">
        <is>
          <t>S0187</t>
        </is>
      </c>
      <c r="B627" t="inlineStr">
        <is>
          <t>FP</t>
        </is>
      </c>
      <c r="C627" s="11" t="n">
        <v>46161</v>
      </c>
      <c r="D627" s="11" t="n">
        <v>46189</v>
      </c>
      <c r="E627" t="n">
        <v>4</v>
      </c>
      <c r="F627" t="n">
        <v>480</v>
      </c>
      <c r="G627">
        <f>IF(AND(D627&gt;=DATE(2025,7,1),D627&lt;=DATE(2026,6,30)),1,0)</f>
        <v>1</v>
      </c>
    </row>
    <row r="628">
      <c r="A628" t="inlineStr">
        <is>
          <t>S0188</t>
        </is>
      </c>
      <c r="B628" t="inlineStr">
        <is>
          <t>FP</t>
        </is>
      </c>
      <c r="C628" s="11" t="n">
        <v>45858</v>
      </c>
      <c r="D628" s="11" t="n">
        <v>45886</v>
      </c>
      <c r="E628" t="n">
        <v>4</v>
      </c>
      <c r="F628" t="n">
        <v>96</v>
      </c>
      <c r="G628">
        <f>IF(AND(D628&gt;=DATE(2025,7,1),D628&lt;=DATE(2026,6,30)),1,0)</f>
        <v>1</v>
      </c>
    </row>
    <row r="629">
      <c r="A629" t="inlineStr">
        <is>
          <t>S0188</t>
        </is>
      </c>
      <c r="B629" t="inlineStr">
        <is>
          <t>FP</t>
        </is>
      </c>
      <c r="C629" s="11" t="n">
        <v>45886</v>
      </c>
      <c r="D629" s="11" t="n">
        <v>45899</v>
      </c>
      <c r="E629" t="n">
        <v>2</v>
      </c>
      <c r="F629" t="n">
        <v>48</v>
      </c>
      <c r="G629">
        <f>IF(AND(D629&gt;=DATE(2025,7,1),D629&lt;=DATE(2026,6,30)),1,0)</f>
        <v>1</v>
      </c>
    </row>
    <row r="630">
      <c r="A630" t="inlineStr">
        <is>
          <t>S0189</t>
        </is>
      </c>
      <c r="B630" t="inlineStr">
        <is>
          <t>FP</t>
        </is>
      </c>
      <c r="C630" s="11" t="n">
        <v>45812</v>
      </c>
      <c r="D630" s="11" t="n">
        <v>45840</v>
      </c>
      <c r="E630" t="n">
        <v>4</v>
      </c>
      <c r="F630" t="n">
        <v>24</v>
      </c>
      <c r="G630">
        <f>IF(AND(D630&gt;=DATE(2025,7,1),D630&lt;=DATE(2026,6,30)),1,0)</f>
        <v>1</v>
      </c>
    </row>
    <row r="631">
      <c r="A631" t="inlineStr">
        <is>
          <t>S0189</t>
        </is>
      </c>
      <c r="B631" t="inlineStr">
        <is>
          <t>FP</t>
        </is>
      </c>
      <c r="C631" s="11" t="n">
        <v>45840</v>
      </c>
      <c r="D631" s="11" t="n">
        <v>45868</v>
      </c>
      <c r="E631" t="n">
        <v>4</v>
      </c>
      <c r="F631" t="n">
        <v>24</v>
      </c>
      <c r="G631">
        <f>IF(AND(D631&gt;=DATE(2025,7,1),D631&lt;=DATE(2026,6,30)),1,0)</f>
        <v>1</v>
      </c>
    </row>
    <row r="632">
      <c r="A632" t="inlineStr">
        <is>
          <t>S0189</t>
        </is>
      </c>
      <c r="B632" t="inlineStr">
        <is>
          <t>FP</t>
        </is>
      </c>
      <c r="C632" s="11" t="n">
        <v>45868</v>
      </c>
      <c r="D632" s="11" t="n">
        <v>45896</v>
      </c>
      <c r="E632" t="n">
        <v>4</v>
      </c>
      <c r="F632" t="n">
        <v>24</v>
      </c>
      <c r="G632">
        <f>IF(AND(D632&gt;=DATE(2025,7,1),D632&lt;=DATE(2026,6,30)),1,0)</f>
        <v>1</v>
      </c>
    </row>
    <row r="633">
      <c r="A633" t="inlineStr">
        <is>
          <t>S0189</t>
        </is>
      </c>
      <c r="B633" t="inlineStr">
        <is>
          <t>FP</t>
        </is>
      </c>
      <c r="C633" s="11" t="n">
        <v>45896</v>
      </c>
      <c r="D633" s="11" t="n">
        <v>45924</v>
      </c>
      <c r="E633" t="n">
        <v>4</v>
      </c>
      <c r="F633" t="n">
        <v>24</v>
      </c>
      <c r="G633">
        <f>IF(AND(D633&gt;=DATE(2025,7,1),D633&lt;=DATE(2026,6,30)),1,0)</f>
        <v>1</v>
      </c>
    </row>
    <row r="634">
      <c r="A634" t="inlineStr">
        <is>
          <t>S0189</t>
        </is>
      </c>
      <c r="B634" t="inlineStr">
        <is>
          <t>FP</t>
        </is>
      </c>
      <c r="C634" s="11" t="n">
        <v>45924</v>
      </c>
      <c r="D634" s="11" t="n">
        <v>45952</v>
      </c>
      <c r="E634" t="n">
        <v>4</v>
      </c>
      <c r="F634" t="n">
        <v>24</v>
      </c>
      <c r="G634">
        <f>IF(AND(D634&gt;=DATE(2025,7,1),D634&lt;=DATE(2026,6,30)),1,0)</f>
        <v>1</v>
      </c>
    </row>
    <row r="635">
      <c r="A635" t="inlineStr">
        <is>
          <t>S0189</t>
        </is>
      </c>
      <c r="B635" t="inlineStr">
        <is>
          <t>FP</t>
        </is>
      </c>
      <c r="C635" s="11" t="n">
        <v>45952</v>
      </c>
      <c r="D635" s="11" t="n">
        <v>45980</v>
      </c>
      <c r="E635" t="n">
        <v>4</v>
      </c>
      <c r="F635" t="n">
        <v>24</v>
      </c>
      <c r="G635">
        <f>IF(AND(D635&gt;=DATE(2025,7,1),D635&lt;=DATE(2026,6,30)),1,0)</f>
        <v>1</v>
      </c>
    </row>
    <row r="636">
      <c r="A636" t="inlineStr">
        <is>
          <t>S0189</t>
        </is>
      </c>
      <c r="B636" t="inlineStr">
        <is>
          <t>FP</t>
        </is>
      </c>
      <c r="C636" s="11" t="n">
        <v>45980</v>
      </c>
      <c r="D636" s="11" t="n">
        <v>46008</v>
      </c>
      <c r="E636" t="n">
        <v>4</v>
      </c>
      <c r="F636" t="n">
        <v>24</v>
      </c>
      <c r="G636">
        <f>IF(AND(D636&gt;=DATE(2025,7,1),D636&lt;=DATE(2026,6,30)),1,0)</f>
        <v>1</v>
      </c>
    </row>
    <row r="637">
      <c r="A637" t="inlineStr">
        <is>
          <t>S0189</t>
        </is>
      </c>
      <c r="B637" t="inlineStr">
        <is>
          <t>FP</t>
        </is>
      </c>
      <c r="C637" s="11" t="n">
        <v>46008</v>
      </c>
      <c r="D637" s="11" t="n">
        <v>46036</v>
      </c>
      <c r="E637" t="n">
        <v>4</v>
      </c>
      <c r="F637" t="n">
        <v>24</v>
      </c>
      <c r="G637">
        <f>IF(AND(D637&gt;=DATE(2025,7,1),D637&lt;=DATE(2026,6,30)),1,0)</f>
        <v>1</v>
      </c>
    </row>
    <row r="638">
      <c r="A638" t="inlineStr">
        <is>
          <t>S0189</t>
        </is>
      </c>
      <c r="B638" t="inlineStr">
        <is>
          <t>FP</t>
        </is>
      </c>
      <c r="C638" s="11" t="n">
        <v>46036</v>
      </c>
      <c r="D638" s="11" t="n">
        <v>46064</v>
      </c>
      <c r="E638" t="n">
        <v>4</v>
      </c>
      <c r="F638" t="n">
        <v>24</v>
      </c>
      <c r="G638">
        <f>IF(AND(D638&gt;=DATE(2025,7,1),D638&lt;=DATE(2026,6,30)),1,0)</f>
        <v>1</v>
      </c>
    </row>
    <row r="639">
      <c r="A639" t="inlineStr">
        <is>
          <t>S0189</t>
        </is>
      </c>
      <c r="B639" t="inlineStr">
        <is>
          <t>FP</t>
        </is>
      </c>
      <c r="C639" s="11" t="n">
        <v>46064</v>
      </c>
      <c r="D639" s="11" t="n">
        <v>46092</v>
      </c>
      <c r="E639" t="n">
        <v>4</v>
      </c>
      <c r="F639" t="n">
        <v>24</v>
      </c>
      <c r="G639">
        <f>IF(AND(D639&gt;=DATE(2025,7,1),D639&lt;=DATE(2026,6,30)),1,0)</f>
        <v>1</v>
      </c>
    </row>
    <row r="640">
      <c r="A640" t="inlineStr">
        <is>
          <t>S0189</t>
        </is>
      </c>
      <c r="B640" t="inlineStr">
        <is>
          <t>FP</t>
        </is>
      </c>
      <c r="C640" s="11" t="n">
        <v>46092</v>
      </c>
      <c r="D640" s="11" t="n">
        <v>46120</v>
      </c>
      <c r="E640" t="n">
        <v>4</v>
      </c>
      <c r="F640" t="n">
        <v>24</v>
      </c>
      <c r="G640">
        <f>IF(AND(D640&gt;=DATE(2025,7,1),D640&lt;=DATE(2026,6,30)),1,0)</f>
        <v>1</v>
      </c>
    </row>
    <row r="641">
      <c r="A641" t="inlineStr">
        <is>
          <t>S0189</t>
        </is>
      </c>
      <c r="B641" t="inlineStr">
        <is>
          <t>FP</t>
        </is>
      </c>
      <c r="C641" s="11" t="n">
        <v>46120</v>
      </c>
      <c r="D641" s="11" t="n">
        <v>46148</v>
      </c>
      <c r="E641" t="n">
        <v>4</v>
      </c>
      <c r="F641" t="n">
        <v>24</v>
      </c>
      <c r="G641">
        <f>IF(AND(D641&gt;=DATE(2025,7,1),D641&lt;=DATE(2026,6,30)),1,0)</f>
        <v>1</v>
      </c>
    </row>
    <row r="642">
      <c r="A642" t="inlineStr">
        <is>
          <t>S0189</t>
        </is>
      </c>
      <c r="B642" t="inlineStr">
        <is>
          <t>FP</t>
        </is>
      </c>
      <c r="C642" s="11" t="n">
        <v>46148</v>
      </c>
      <c r="D642" s="11" t="n">
        <v>46176</v>
      </c>
      <c r="E642" t="n">
        <v>4</v>
      </c>
      <c r="F642" t="n">
        <v>24</v>
      </c>
      <c r="G642">
        <f>IF(AND(D642&gt;=DATE(2025,7,1),D642&lt;=DATE(2026,6,30)),1,0)</f>
        <v>1</v>
      </c>
    </row>
    <row r="643">
      <c r="A643" t="inlineStr">
        <is>
          <t>S0191</t>
        </is>
      </c>
      <c r="B643" t="inlineStr">
        <is>
          <t>FP</t>
        </is>
      </c>
      <c r="C643" s="11" t="n">
        <v>45830</v>
      </c>
      <c r="D643" s="11" t="n">
        <v>45841</v>
      </c>
      <c r="E643" t="n">
        <v>2</v>
      </c>
      <c r="F643" t="n">
        <v>228</v>
      </c>
      <c r="G643">
        <f>IF(AND(D643&gt;=DATE(2025,7,1),D643&lt;=DATE(2026,6,30)),1,0)</f>
        <v>1</v>
      </c>
    </row>
    <row r="644">
      <c r="A644" t="inlineStr">
        <is>
          <t>S0192</t>
        </is>
      </c>
      <c r="B644" t="inlineStr">
        <is>
          <t>FP</t>
        </is>
      </c>
      <c r="C644" s="11" t="n">
        <v>45974</v>
      </c>
      <c r="D644" s="11" t="n">
        <v>45982</v>
      </c>
      <c r="E644" t="n">
        <v>2</v>
      </c>
      <c r="F644" t="n">
        <v>298</v>
      </c>
      <c r="G644">
        <f>IF(AND(D644&gt;=DATE(2025,7,1),D644&lt;=DATE(2026,6,30)),1,0)</f>
        <v>1</v>
      </c>
    </row>
    <row r="645">
      <c r="A645" t="inlineStr">
        <is>
          <t>S0193</t>
        </is>
      </c>
      <c r="B645" t="inlineStr">
        <is>
          <t>FP</t>
        </is>
      </c>
      <c r="C645" s="11" t="n">
        <v>46045</v>
      </c>
      <c r="D645" s="11" t="n">
        <v>46060</v>
      </c>
      <c r="E645" t="n">
        <v>3</v>
      </c>
      <c r="F645" t="n">
        <v>219</v>
      </c>
      <c r="G645">
        <f>IF(AND(D645&gt;=DATE(2025,7,1),D645&lt;=DATE(2026,6,30)),1,0)</f>
        <v>1</v>
      </c>
    </row>
    <row r="646">
      <c r="A646" t="inlineStr">
        <is>
          <t>S0194</t>
        </is>
      </c>
      <c r="B646" t="inlineStr">
        <is>
          <t>FP</t>
        </is>
      </c>
      <c r="C646" s="11" t="n">
        <v>45991</v>
      </c>
      <c r="D646" s="11" t="n">
        <v>46006</v>
      </c>
      <c r="E646" t="n">
        <v>3</v>
      </c>
      <c r="F646" t="n">
        <v>198</v>
      </c>
      <c r="G646">
        <f>IF(AND(D646&gt;=DATE(2025,7,1),D646&lt;=DATE(2026,6,30)),1,0)</f>
        <v>1</v>
      </c>
    </row>
    <row r="647">
      <c r="A647" t="inlineStr">
        <is>
          <t>S0195</t>
        </is>
      </c>
      <c r="B647" t="inlineStr">
        <is>
          <t>FP</t>
        </is>
      </c>
      <c r="C647" s="11" t="n">
        <v>45969</v>
      </c>
      <c r="D647" s="11" t="n">
        <v>45997</v>
      </c>
      <c r="E647" t="n">
        <v>4</v>
      </c>
      <c r="F647" t="n">
        <v>64</v>
      </c>
      <c r="G647">
        <f>IF(AND(D647&gt;=DATE(2025,7,1),D647&lt;=DATE(2026,6,30)),1,0)</f>
        <v>1</v>
      </c>
    </row>
    <row r="648">
      <c r="A648" t="inlineStr">
        <is>
          <t>S0195</t>
        </is>
      </c>
      <c r="B648" t="inlineStr">
        <is>
          <t>FP</t>
        </is>
      </c>
      <c r="C648" s="11" t="n">
        <v>45997</v>
      </c>
      <c r="D648" s="11" t="n">
        <v>46025</v>
      </c>
      <c r="E648" t="n">
        <v>4</v>
      </c>
      <c r="F648" t="n">
        <v>64</v>
      </c>
      <c r="G648">
        <f>IF(AND(D648&gt;=DATE(2025,7,1),D648&lt;=DATE(2026,6,30)),1,0)</f>
        <v>1</v>
      </c>
    </row>
    <row r="649">
      <c r="A649" t="inlineStr">
        <is>
          <t>S0195</t>
        </is>
      </c>
      <c r="B649" t="inlineStr">
        <is>
          <t>FP</t>
        </is>
      </c>
      <c r="C649" s="11" t="n">
        <v>46025</v>
      </c>
      <c r="D649" s="11" t="n">
        <v>46053</v>
      </c>
      <c r="E649" t="n">
        <v>4</v>
      </c>
      <c r="F649" t="n">
        <v>104</v>
      </c>
      <c r="G649">
        <f>IF(AND(D649&gt;=DATE(2025,7,1),D649&lt;=DATE(2026,6,30)),1,0)</f>
        <v>1</v>
      </c>
    </row>
    <row r="650">
      <c r="A650" t="inlineStr">
        <is>
          <t>S0195</t>
        </is>
      </c>
      <c r="B650" t="inlineStr">
        <is>
          <t>FP</t>
        </is>
      </c>
      <c r="C650" s="11" t="n">
        <v>46053</v>
      </c>
      <c r="D650" s="11" t="n">
        <v>46055</v>
      </c>
      <c r="E650" t="n">
        <v>1</v>
      </c>
      <c r="F650" t="n">
        <v>26</v>
      </c>
      <c r="G650">
        <f>IF(AND(D650&gt;=DATE(2025,7,1),D650&lt;=DATE(2026,6,30)),1,0)</f>
        <v>1</v>
      </c>
    </row>
    <row r="651">
      <c r="A651" t="inlineStr">
        <is>
          <t>S0196</t>
        </is>
      </c>
      <c r="B651" t="inlineStr">
        <is>
          <t>FP</t>
        </is>
      </c>
      <c r="C651" s="11" t="n">
        <v>45984</v>
      </c>
      <c r="D651" s="11" t="n">
        <v>46012</v>
      </c>
      <c r="E651" t="n">
        <v>4</v>
      </c>
      <c r="F651" t="n">
        <v>488</v>
      </c>
      <c r="G651">
        <f>IF(AND(D651&gt;=DATE(2025,7,1),D651&lt;=DATE(2026,6,30)),1,0)</f>
        <v>1</v>
      </c>
    </row>
    <row r="652">
      <c r="A652" t="inlineStr">
        <is>
          <t>S0196</t>
        </is>
      </c>
      <c r="B652" t="inlineStr">
        <is>
          <t>FP</t>
        </is>
      </c>
      <c r="C652" s="11" t="n">
        <v>46012</v>
      </c>
      <c r="D652" s="11" t="n">
        <v>46040</v>
      </c>
      <c r="E652" t="n">
        <v>4</v>
      </c>
      <c r="F652" t="n">
        <v>488</v>
      </c>
      <c r="G652">
        <f>IF(AND(D652&gt;=DATE(2025,7,1),D652&lt;=DATE(2026,6,30)),1,0)</f>
        <v>1</v>
      </c>
    </row>
    <row r="653">
      <c r="A653" t="inlineStr">
        <is>
          <t>S0196</t>
        </is>
      </c>
      <c r="B653" t="inlineStr">
        <is>
          <t>FP</t>
        </is>
      </c>
      <c r="C653" s="11" t="n">
        <v>46040</v>
      </c>
      <c r="D653" s="11" t="n">
        <v>46068</v>
      </c>
      <c r="E653" t="n">
        <v>4</v>
      </c>
      <c r="F653" t="n">
        <v>488</v>
      </c>
      <c r="G653">
        <f>IF(AND(D653&gt;=DATE(2025,7,1),D653&lt;=DATE(2026,6,30)),1,0)</f>
        <v>1</v>
      </c>
    </row>
    <row r="654">
      <c r="A654" t="inlineStr">
        <is>
          <t>S0196</t>
        </is>
      </c>
      <c r="B654" t="inlineStr">
        <is>
          <t>FP</t>
        </is>
      </c>
      <c r="C654" s="11" t="n">
        <v>46068</v>
      </c>
      <c r="D654" s="11" t="n">
        <v>46096</v>
      </c>
      <c r="E654" t="n">
        <v>4</v>
      </c>
      <c r="F654" t="n">
        <v>488</v>
      </c>
      <c r="G654">
        <f>IF(AND(D654&gt;=DATE(2025,7,1),D654&lt;=DATE(2026,6,30)),1,0)</f>
        <v>1</v>
      </c>
    </row>
    <row r="655">
      <c r="A655" t="inlineStr">
        <is>
          <t>S0197</t>
        </is>
      </c>
      <c r="B655" t="inlineStr">
        <is>
          <t>BR</t>
        </is>
      </c>
      <c r="C655" s="11" t="n">
        <v>46007</v>
      </c>
      <c r="D655" s="11" t="n">
        <v>46035</v>
      </c>
      <c r="E655" t="n">
        <v>4</v>
      </c>
      <c r="F655" t="n">
        <v>16</v>
      </c>
      <c r="G655">
        <f>IF(AND(D655&gt;=DATE(2025,7,1),D655&lt;=DATE(2026,6,30)),1,0)</f>
        <v>1</v>
      </c>
    </row>
    <row r="656">
      <c r="A656" t="inlineStr">
        <is>
          <t>S0197</t>
        </is>
      </c>
      <c r="B656" t="inlineStr">
        <is>
          <t>BR</t>
        </is>
      </c>
      <c r="C656" s="11" t="n">
        <v>46035</v>
      </c>
      <c r="D656" s="11" t="n">
        <v>46063</v>
      </c>
      <c r="E656" t="n">
        <v>4</v>
      </c>
      <c r="F656" t="n">
        <v>16</v>
      </c>
      <c r="G656">
        <f>IF(AND(D656&gt;=DATE(2025,7,1),D656&lt;=DATE(2026,6,30)),1,0)</f>
        <v>1</v>
      </c>
    </row>
    <row r="657">
      <c r="A657" t="inlineStr">
        <is>
          <t>S0197</t>
        </is>
      </c>
      <c r="B657" t="inlineStr">
        <is>
          <t>BR</t>
        </is>
      </c>
      <c r="C657" s="11" t="n">
        <v>46063</v>
      </c>
      <c r="D657" s="11" t="n">
        <v>46080</v>
      </c>
      <c r="E657" t="n">
        <v>3</v>
      </c>
      <c r="F657" t="n">
        <v>12</v>
      </c>
      <c r="G657">
        <f>IF(AND(D657&gt;=DATE(2025,7,1),D657&lt;=DATE(2026,6,30)),1,0)</f>
        <v>1</v>
      </c>
    </row>
    <row r="658">
      <c r="A658" t="inlineStr">
        <is>
          <t>S0197</t>
        </is>
      </c>
      <c r="B658" t="inlineStr">
        <is>
          <t>FP</t>
        </is>
      </c>
      <c r="C658" s="11" t="n">
        <v>46007</v>
      </c>
      <c r="D658" s="11" t="n">
        <v>46035</v>
      </c>
      <c r="E658" t="n">
        <v>4</v>
      </c>
      <c r="F658" t="n">
        <v>296</v>
      </c>
      <c r="G658">
        <f>IF(AND(D658&gt;=DATE(2025,7,1),D658&lt;=DATE(2026,6,30)),1,0)</f>
        <v>1</v>
      </c>
    </row>
    <row r="659">
      <c r="A659" t="inlineStr">
        <is>
          <t>S0197</t>
        </is>
      </c>
      <c r="B659" t="inlineStr">
        <is>
          <t>FP</t>
        </is>
      </c>
      <c r="C659" s="11" t="n">
        <v>46035</v>
      </c>
      <c r="D659" s="11" t="n">
        <v>46063</v>
      </c>
      <c r="E659" t="n">
        <v>4</v>
      </c>
      <c r="F659" t="n">
        <v>410</v>
      </c>
      <c r="G659">
        <f>IF(AND(D659&gt;=DATE(2025,7,1),D659&lt;=DATE(2026,6,30)),1,0)</f>
        <v>1</v>
      </c>
    </row>
    <row r="660">
      <c r="A660" t="inlineStr">
        <is>
          <t>S0197</t>
        </is>
      </c>
      <c r="B660" t="inlineStr">
        <is>
          <t>FP</t>
        </is>
      </c>
      <c r="C660" s="11" t="n">
        <v>46063</v>
      </c>
      <c r="D660" s="11" t="n">
        <v>46080</v>
      </c>
      <c r="E660" t="n">
        <v>3</v>
      </c>
      <c r="F660" t="n">
        <v>336</v>
      </c>
      <c r="G660">
        <f>IF(AND(D660&gt;=DATE(2025,7,1),D660&lt;=DATE(2026,6,30)),1,0)</f>
        <v>1</v>
      </c>
    </row>
    <row r="661">
      <c r="A661" t="inlineStr">
        <is>
          <t>S0199</t>
        </is>
      </c>
      <c r="B661" t="inlineStr">
        <is>
          <t>FP</t>
        </is>
      </c>
      <c r="C661" s="11" t="n">
        <v>45942</v>
      </c>
      <c r="D661" s="11" t="n">
        <v>45967</v>
      </c>
      <c r="E661" t="n">
        <v>4</v>
      </c>
      <c r="F661" t="n">
        <v>88</v>
      </c>
      <c r="G661">
        <f>IF(AND(D661&gt;=DATE(2025,7,1),D661&lt;=DATE(2026,6,30)),1,0)</f>
        <v>1</v>
      </c>
    </row>
    <row r="662">
      <c r="A662" t="inlineStr">
        <is>
          <t>S0200</t>
        </is>
      </c>
      <c r="B662" t="inlineStr">
        <is>
          <t>FP</t>
        </is>
      </c>
      <c r="C662" s="11" t="n">
        <v>46001</v>
      </c>
      <c r="D662" s="11" t="n">
        <v>46029</v>
      </c>
      <c r="E662" t="n">
        <v>4</v>
      </c>
      <c r="F662" t="n">
        <v>464</v>
      </c>
      <c r="G662">
        <f>IF(AND(D662&gt;=DATE(2025,7,1),D662&lt;=DATE(2026,6,30)),1,0)</f>
        <v>1</v>
      </c>
    </row>
    <row r="663">
      <c r="A663" t="inlineStr">
        <is>
          <t>S0200</t>
        </is>
      </c>
      <c r="B663" t="inlineStr">
        <is>
          <t>FP</t>
        </is>
      </c>
      <c r="C663" s="11" t="n">
        <v>46029</v>
      </c>
      <c r="D663" s="11" t="n">
        <v>46057</v>
      </c>
      <c r="E663" t="n">
        <v>4</v>
      </c>
      <c r="F663" t="n">
        <v>464</v>
      </c>
      <c r="G663">
        <f>IF(AND(D663&gt;=DATE(2025,7,1),D663&lt;=DATE(2026,6,30)),1,0)</f>
        <v>1</v>
      </c>
    </row>
    <row r="664">
      <c r="A664" t="inlineStr">
        <is>
          <t>S0200</t>
        </is>
      </c>
      <c r="B664" t="inlineStr">
        <is>
          <t>FP</t>
        </is>
      </c>
      <c r="C664" s="11" t="n">
        <v>46057</v>
      </c>
      <c r="D664" s="11" t="n">
        <v>46085</v>
      </c>
      <c r="E664" t="n">
        <v>4</v>
      </c>
      <c r="F664" t="n">
        <v>464</v>
      </c>
      <c r="G664">
        <f>IF(AND(D664&gt;=DATE(2025,7,1),D664&lt;=DATE(2026,6,30)),1,0)</f>
        <v>1</v>
      </c>
    </row>
    <row r="665">
      <c r="A665" t="inlineStr">
        <is>
          <t>S0200</t>
        </is>
      </c>
      <c r="B665" t="inlineStr">
        <is>
          <t>FP</t>
        </is>
      </c>
      <c r="C665" s="11" t="n">
        <v>46085</v>
      </c>
      <c r="D665" s="11" t="n">
        <v>46113</v>
      </c>
      <c r="E665" t="n">
        <v>4</v>
      </c>
      <c r="F665" t="n">
        <v>464</v>
      </c>
      <c r="G665">
        <f>IF(AND(D665&gt;=DATE(2025,7,1),D665&lt;=DATE(2026,6,30)),1,0)</f>
        <v>1</v>
      </c>
    </row>
    <row r="666">
      <c r="A666" t="inlineStr">
        <is>
          <t>S0200</t>
        </is>
      </c>
      <c r="B666" t="inlineStr">
        <is>
          <t>FP</t>
        </is>
      </c>
      <c r="C666" s="11" t="n">
        <v>46113</v>
      </c>
      <c r="D666" s="11" t="n">
        <v>46141</v>
      </c>
      <c r="E666" t="n">
        <v>4</v>
      </c>
      <c r="F666" t="n">
        <v>464</v>
      </c>
      <c r="G666">
        <f>IF(AND(D666&gt;=DATE(2025,7,1),D666&lt;=DATE(2026,6,30)),1,0)</f>
        <v>1</v>
      </c>
    </row>
    <row r="667">
      <c r="A667" t="inlineStr">
        <is>
          <t>S0200</t>
        </is>
      </c>
      <c r="B667" t="inlineStr">
        <is>
          <t>FP</t>
        </is>
      </c>
      <c r="C667" s="11" t="n">
        <v>46141</v>
      </c>
      <c r="D667" s="11" t="n">
        <v>46169</v>
      </c>
      <c r="E667" t="n">
        <v>4</v>
      </c>
      <c r="F667" t="n">
        <v>464</v>
      </c>
      <c r="G667">
        <f>IF(AND(D667&gt;=DATE(2025,7,1),D667&lt;=DATE(2026,6,30)),1,0)</f>
        <v>1</v>
      </c>
    </row>
    <row r="668">
      <c r="A668" t="inlineStr">
        <is>
          <t>S0200</t>
        </is>
      </c>
      <c r="B668" t="inlineStr">
        <is>
          <t>FP</t>
        </is>
      </c>
      <c r="C668" s="11" t="n">
        <v>46169</v>
      </c>
      <c r="D668" s="11" t="n">
        <v>46186</v>
      </c>
      <c r="E668" t="n">
        <v>3</v>
      </c>
      <c r="F668" t="n">
        <v>348</v>
      </c>
      <c r="G668">
        <f>IF(AND(D668&gt;=DATE(2025,7,1),D668&lt;=DATE(2026,6,30)),1,0)</f>
        <v>1</v>
      </c>
    </row>
    <row r="669">
      <c r="A669" t="inlineStr">
        <is>
          <t>S0201</t>
        </is>
      </c>
      <c r="B669" t="inlineStr">
        <is>
          <t>FP</t>
        </is>
      </c>
      <c r="C669" s="11" t="n">
        <v>45904</v>
      </c>
      <c r="D669" s="11" t="n">
        <v>45911</v>
      </c>
      <c r="E669" t="n">
        <v>1</v>
      </c>
      <c r="F669" t="n">
        <v>22</v>
      </c>
      <c r="G669">
        <f>IF(AND(D669&gt;=DATE(2025,7,1),D669&lt;=DATE(2026,6,30)),1,0)</f>
        <v>1</v>
      </c>
    </row>
    <row r="670">
      <c r="A670" t="inlineStr">
        <is>
          <t>S0202</t>
        </is>
      </c>
      <c r="B670" t="inlineStr">
        <is>
          <t>BR</t>
        </is>
      </c>
      <c r="C670" s="11" t="n">
        <v>46049</v>
      </c>
      <c r="D670" s="11" t="n">
        <v>46077</v>
      </c>
      <c r="E670" t="n">
        <v>4</v>
      </c>
      <c r="F670" t="n">
        <v>72</v>
      </c>
      <c r="G670">
        <f>IF(AND(D670&gt;=DATE(2025,7,1),D670&lt;=DATE(2026,6,30)),1,0)</f>
        <v>1</v>
      </c>
    </row>
    <row r="671">
      <c r="A671" t="inlineStr">
        <is>
          <t>S0202</t>
        </is>
      </c>
      <c r="B671" t="inlineStr">
        <is>
          <t>BR</t>
        </is>
      </c>
      <c r="C671" s="11" t="n">
        <v>46077</v>
      </c>
      <c r="D671" s="11" t="n">
        <v>46105</v>
      </c>
      <c r="E671" t="n">
        <v>4</v>
      </c>
      <c r="F671" t="n">
        <v>72</v>
      </c>
      <c r="G671">
        <f>IF(AND(D671&gt;=DATE(2025,7,1),D671&lt;=DATE(2026,6,30)),1,0)</f>
        <v>1</v>
      </c>
    </row>
    <row r="672">
      <c r="A672" t="inlineStr">
        <is>
          <t>S0202</t>
        </is>
      </c>
      <c r="B672" t="inlineStr">
        <is>
          <t>BR</t>
        </is>
      </c>
      <c r="C672" s="11" t="n">
        <v>46105</v>
      </c>
      <c r="D672" s="11" t="n">
        <v>46133</v>
      </c>
      <c r="E672" t="n">
        <v>4</v>
      </c>
      <c r="F672" t="n">
        <v>72</v>
      </c>
      <c r="G672">
        <f>IF(AND(D672&gt;=DATE(2025,7,1),D672&lt;=DATE(2026,6,30)),1,0)</f>
        <v>1</v>
      </c>
    </row>
    <row r="673">
      <c r="A673" t="inlineStr">
        <is>
          <t>S0202</t>
        </is>
      </c>
      <c r="B673" t="inlineStr">
        <is>
          <t>BR</t>
        </is>
      </c>
      <c r="C673" s="11" t="n">
        <v>46133</v>
      </c>
      <c r="D673" s="11" t="n">
        <v>46161</v>
      </c>
      <c r="E673" t="n">
        <v>4</v>
      </c>
      <c r="F673" t="n">
        <v>72</v>
      </c>
      <c r="G673">
        <f>IF(AND(D673&gt;=DATE(2025,7,1),D673&lt;=DATE(2026,6,30)),1,0)</f>
        <v>1</v>
      </c>
    </row>
    <row r="674">
      <c r="A674" t="inlineStr">
        <is>
          <t>S0202</t>
        </is>
      </c>
      <c r="B674" t="inlineStr">
        <is>
          <t>FP</t>
        </is>
      </c>
      <c r="C674" s="11" t="n">
        <v>46049</v>
      </c>
      <c r="D674" s="11" t="n">
        <v>46077</v>
      </c>
      <c r="E674" t="n">
        <v>4</v>
      </c>
      <c r="F674" t="n">
        <v>168</v>
      </c>
      <c r="G674">
        <f>IF(AND(D674&gt;=DATE(2025,7,1),D674&lt;=DATE(2026,6,30)),1,0)</f>
        <v>1</v>
      </c>
    </row>
    <row r="675">
      <c r="A675" t="inlineStr">
        <is>
          <t>S0202</t>
        </is>
      </c>
      <c r="B675" t="inlineStr">
        <is>
          <t>FP</t>
        </is>
      </c>
      <c r="C675" s="11" t="n">
        <v>46077</v>
      </c>
      <c r="D675" s="11" t="n">
        <v>46105</v>
      </c>
      <c r="E675" t="n">
        <v>4</v>
      </c>
      <c r="F675" t="n">
        <v>168</v>
      </c>
      <c r="G675">
        <f>IF(AND(D675&gt;=DATE(2025,7,1),D675&lt;=DATE(2026,6,30)),1,0)</f>
        <v>1</v>
      </c>
    </row>
    <row r="676">
      <c r="A676" t="inlineStr">
        <is>
          <t>S0202</t>
        </is>
      </c>
      <c r="B676" t="inlineStr">
        <is>
          <t>FP</t>
        </is>
      </c>
      <c r="C676" s="11" t="n">
        <v>46105</v>
      </c>
      <c r="D676" s="11" t="n">
        <v>46133</v>
      </c>
      <c r="E676" t="n">
        <v>4</v>
      </c>
      <c r="F676" t="n">
        <v>168</v>
      </c>
      <c r="G676">
        <f>IF(AND(D676&gt;=DATE(2025,7,1),D676&lt;=DATE(2026,6,30)),1,0)</f>
        <v>1</v>
      </c>
    </row>
    <row r="677">
      <c r="A677" t="inlineStr">
        <is>
          <t>S0202</t>
        </is>
      </c>
      <c r="B677" t="inlineStr">
        <is>
          <t>FP</t>
        </is>
      </c>
      <c r="C677" s="11" t="n">
        <v>46133</v>
      </c>
      <c r="D677" s="11" t="n">
        <v>46161</v>
      </c>
      <c r="E677" t="n">
        <v>4</v>
      </c>
      <c r="F677" t="n">
        <v>168</v>
      </c>
      <c r="G677">
        <f>IF(AND(D677&gt;=DATE(2025,7,1),D677&lt;=DATE(2026,6,30)),1,0)</f>
        <v>1</v>
      </c>
    </row>
    <row r="678">
      <c r="A678" t="inlineStr">
        <is>
          <t>S0203</t>
        </is>
      </c>
      <c r="B678" t="inlineStr">
        <is>
          <t>BR</t>
        </is>
      </c>
      <c r="C678" s="11" t="n">
        <v>46083</v>
      </c>
      <c r="D678" s="11" t="n">
        <v>46111</v>
      </c>
      <c r="E678" t="n">
        <v>4</v>
      </c>
      <c r="F678" t="n">
        <v>24</v>
      </c>
      <c r="G678">
        <f>IF(AND(D678&gt;=DATE(2025,7,1),D678&lt;=DATE(2026,6,30)),1,0)</f>
        <v>1</v>
      </c>
    </row>
    <row r="679">
      <c r="A679" t="inlineStr">
        <is>
          <t>S0203</t>
        </is>
      </c>
      <c r="B679" t="inlineStr">
        <is>
          <t>BR</t>
        </is>
      </c>
      <c r="C679" s="11" t="n">
        <v>46111</v>
      </c>
      <c r="D679" s="11" t="n">
        <v>46139</v>
      </c>
      <c r="E679" t="n">
        <v>4</v>
      </c>
      <c r="F679" t="n">
        <v>24</v>
      </c>
      <c r="G679">
        <f>IF(AND(D679&gt;=DATE(2025,7,1),D679&lt;=DATE(2026,6,30)),1,0)</f>
        <v>1</v>
      </c>
    </row>
    <row r="680">
      <c r="A680" t="inlineStr">
        <is>
          <t>S0203</t>
        </is>
      </c>
      <c r="B680" t="inlineStr">
        <is>
          <t>BR</t>
        </is>
      </c>
      <c r="C680" s="11" t="n">
        <v>46139</v>
      </c>
      <c r="D680" s="11" t="n">
        <v>46151</v>
      </c>
      <c r="E680" t="n">
        <v>2</v>
      </c>
      <c r="F680" t="n">
        <v>12</v>
      </c>
      <c r="G680">
        <f>IF(AND(D680&gt;=DATE(2025,7,1),D680&lt;=DATE(2026,6,30)),1,0)</f>
        <v>1</v>
      </c>
    </row>
    <row r="681">
      <c r="A681" t="inlineStr">
        <is>
          <t>S0203</t>
        </is>
      </c>
      <c r="B681" t="inlineStr">
        <is>
          <t>FP</t>
        </is>
      </c>
      <c r="C681" s="11" t="n">
        <v>46083</v>
      </c>
      <c r="D681" s="11" t="n">
        <v>46111</v>
      </c>
      <c r="E681" t="n">
        <v>4</v>
      </c>
      <c r="F681" t="n">
        <v>112</v>
      </c>
      <c r="G681">
        <f>IF(AND(D681&gt;=DATE(2025,7,1),D681&lt;=DATE(2026,6,30)),1,0)</f>
        <v>1</v>
      </c>
    </row>
    <row r="682">
      <c r="A682" t="inlineStr">
        <is>
          <t>S0203</t>
        </is>
      </c>
      <c r="B682" t="inlineStr">
        <is>
          <t>FP</t>
        </is>
      </c>
      <c r="C682" s="11" t="n">
        <v>46111</v>
      </c>
      <c r="D682" s="11" t="n">
        <v>46139</v>
      </c>
      <c r="E682" t="n">
        <v>4</v>
      </c>
      <c r="F682" t="n">
        <v>112</v>
      </c>
      <c r="G682">
        <f>IF(AND(D682&gt;=DATE(2025,7,1),D682&lt;=DATE(2026,6,30)),1,0)</f>
        <v>1</v>
      </c>
    </row>
    <row r="683">
      <c r="A683" t="inlineStr">
        <is>
          <t>S0203</t>
        </is>
      </c>
      <c r="B683" t="inlineStr">
        <is>
          <t>FP</t>
        </is>
      </c>
      <c r="C683" s="11" t="n">
        <v>46139</v>
      </c>
      <c r="D683" s="11" t="n">
        <v>46151</v>
      </c>
      <c r="E683" t="n">
        <v>2</v>
      </c>
      <c r="F683" t="n">
        <v>56</v>
      </c>
      <c r="G683">
        <f>IF(AND(D683&gt;=DATE(2025,7,1),D683&lt;=DATE(2026,6,30)),1,0)</f>
        <v>1</v>
      </c>
    </row>
    <row r="684">
      <c r="A684" t="inlineStr">
        <is>
          <t>S0204</t>
        </is>
      </c>
      <c r="B684" t="inlineStr">
        <is>
          <t>FP</t>
        </is>
      </c>
      <c r="C684" s="11" t="n">
        <v>46105</v>
      </c>
      <c r="D684" s="11" t="n">
        <v>46133</v>
      </c>
      <c r="E684" t="n">
        <v>4</v>
      </c>
      <c r="F684" t="n">
        <v>592</v>
      </c>
      <c r="G684">
        <f>IF(AND(D684&gt;=DATE(2025,7,1),D684&lt;=DATE(2026,6,30)),1,0)</f>
        <v>1</v>
      </c>
    </row>
    <row r="685">
      <c r="A685" t="inlineStr">
        <is>
          <t>S0204</t>
        </is>
      </c>
      <c r="B685" t="inlineStr">
        <is>
          <t>FP</t>
        </is>
      </c>
      <c r="C685" s="11" t="n">
        <v>46133</v>
      </c>
      <c r="D685" s="11" t="n">
        <v>46135</v>
      </c>
      <c r="E685" t="n">
        <v>1</v>
      </c>
      <c r="F685" t="n">
        <v>148</v>
      </c>
      <c r="G685">
        <f>IF(AND(D685&gt;=DATE(2025,7,1),D685&lt;=DATE(2026,6,30)),1,0)</f>
        <v>1</v>
      </c>
    </row>
    <row r="686">
      <c r="A686" t="inlineStr">
        <is>
          <t>S0205</t>
        </is>
      </c>
      <c r="B686" t="inlineStr">
        <is>
          <t>FP</t>
        </is>
      </c>
      <c r="C686" s="11" t="n">
        <v>45930</v>
      </c>
      <c r="D686" s="11" t="n">
        <v>45958</v>
      </c>
      <c r="E686" t="n">
        <v>4</v>
      </c>
      <c r="F686" t="n">
        <v>308</v>
      </c>
      <c r="G686">
        <f>IF(AND(D686&gt;=DATE(2025,7,1),D686&lt;=DATE(2026,6,30)),1,0)</f>
        <v>1</v>
      </c>
    </row>
    <row r="687">
      <c r="A687" t="inlineStr">
        <is>
          <t>S0205</t>
        </is>
      </c>
      <c r="B687" t="inlineStr">
        <is>
          <t>FP</t>
        </is>
      </c>
      <c r="C687" s="11" t="n">
        <v>45958</v>
      </c>
      <c r="D687" s="11" t="n">
        <v>45986</v>
      </c>
      <c r="E687" t="n">
        <v>4</v>
      </c>
      <c r="F687" t="n">
        <v>308</v>
      </c>
      <c r="G687">
        <f>IF(AND(D687&gt;=DATE(2025,7,1),D687&lt;=DATE(2026,6,30)),1,0)</f>
        <v>1</v>
      </c>
    </row>
    <row r="688">
      <c r="A688" t="inlineStr">
        <is>
          <t>S0205</t>
        </is>
      </c>
      <c r="B688" t="inlineStr">
        <is>
          <t>FP</t>
        </is>
      </c>
      <c r="C688" s="11" t="n">
        <v>45986</v>
      </c>
      <c r="D688" s="11" t="n">
        <v>46014</v>
      </c>
      <c r="E688" t="n">
        <v>4</v>
      </c>
      <c r="F688" t="n">
        <v>308</v>
      </c>
      <c r="G688">
        <f>IF(AND(D688&gt;=DATE(2025,7,1),D688&lt;=DATE(2026,6,30)),1,0)</f>
        <v>1</v>
      </c>
    </row>
    <row r="689">
      <c r="A689" t="inlineStr">
        <is>
          <t>S0205</t>
        </is>
      </c>
      <c r="B689" t="inlineStr">
        <is>
          <t>FP</t>
        </is>
      </c>
      <c r="C689" s="11" t="n">
        <v>46014</v>
      </c>
      <c r="D689" s="11" t="n">
        <v>46042</v>
      </c>
      <c r="E689" t="n">
        <v>4</v>
      </c>
      <c r="F689" t="n">
        <v>356</v>
      </c>
      <c r="G689">
        <f>IF(AND(D689&gt;=DATE(2025,7,1),D689&lt;=DATE(2026,6,30)),1,0)</f>
        <v>1</v>
      </c>
    </row>
    <row r="690">
      <c r="A690" t="inlineStr">
        <is>
          <t>S0205</t>
        </is>
      </c>
      <c r="B690" t="inlineStr">
        <is>
          <t>FP</t>
        </is>
      </c>
      <c r="C690" s="11" t="n">
        <v>46042</v>
      </c>
      <c r="D690" s="11" t="n">
        <v>46070</v>
      </c>
      <c r="E690" t="n">
        <v>4</v>
      </c>
      <c r="F690" t="n">
        <v>372</v>
      </c>
      <c r="G690">
        <f>IF(AND(D690&gt;=DATE(2025,7,1),D690&lt;=DATE(2026,6,30)),1,0)</f>
        <v>1</v>
      </c>
    </row>
    <row r="691">
      <c r="A691" t="inlineStr">
        <is>
          <t>S0205</t>
        </is>
      </c>
      <c r="B691" t="inlineStr">
        <is>
          <t>FP</t>
        </is>
      </c>
      <c r="C691" s="11" t="n">
        <v>46070</v>
      </c>
      <c r="D691" s="11" t="n">
        <v>46098</v>
      </c>
      <c r="E691" t="n">
        <v>4</v>
      </c>
      <c r="F691" t="n">
        <v>372</v>
      </c>
      <c r="G691">
        <f>IF(AND(D691&gt;=DATE(2025,7,1),D691&lt;=DATE(2026,6,30)),1,0)</f>
        <v>1</v>
      </c>
    </row>
    <row r="692">
      <c r="A692" t="inlineStr">
        <is>
          <t>S0205</t>
        </is>
      </c>
      <c r="B692" t="inlineStr">
        <is>
          <t>FP</t>
        </is>
      </c>
      <c r="C692" s="11" t="n">
        <v>46098</v>
      </c>
      <c r="D692" s="11" t="n">
        <v>46111</v>
      </c>
      <c r="E692" t="n">
        <v>2</v>
      </c>
      <c r="F692" t="n">
        <v>186</v>
      </c>
      <c r="G692">
        <f>IF(AND(D692&gt;=DATE(2025,7,1),D692&lt;=DATE(2026,6,30)),1,0)</f>
        <v>1</v>
      </c>
    </row>
    <row r="693">
      <c r="A693" t="inlineStr">
        <is>
          <t>S0206</t>
        </is>
      </c>
      <c r="B693" t="inlineStr">
        <is>
          <t>FP</t>
        </is>
      </c>
      <c r="C693" s="11" t="n">
        <v>46062</v>
      </c>
      <c r="D693" s="11" t="n">
        <v>46084</v>
      </c>
      <c r="E693" t="n">
        <v>4</v>
      </c>
      <c r="F693" t="n">
        <v>356</v>
      </c>
      <c r="G693">
        <f>IF(AND(D693&gt;=DATE(2025,7,1),D693&lt;=DATE(2026,6,30)),1,0)</f>
        <v>1</v>
      </c>
    </row>
    <row r="694">
      <c r="A694" t="inlineStr">
        <is>
          <t>S0207</t>
        </is>
      </c>
      <c r="B694" t="inlineStr">
        <is>
          <t>FP</t>
        </is>
      </c>
      <c r="C694" s="11" t="n">
        <v>45833</v>
      </c>
      <c r="D694" s="11" t="n">
        <v>45861</v>
      </c>
      <c r="E694" t="n">
        <v>4</v>
      </c>
      <c r="F694" t="n">
        <v>392</v>
      </c>
      <c r="G694">
        <f>IF(AND(D694&gt;=DATE(2025,7,1),D694&lt;=DATE(2026,6,30)),1,0)</f>
        <v>1</v>
      </c>
    </row>
    <row r="695">
      <c r="A695" t="inlineStr">
        <is>
          <t>S0207</t>
        </is>
      </c>
      <c r="B695" t="inlineStr">
        <is>
          <t>FP</t>
        </is>
      </c>
      <c r="C695" s="11" t="n">
        <v>45861</v>
      </c>
      <c r="D695" s="11" t="n">
        <v>45865</v>
      </c>
      <c r="E695" t="n">
        <v>1</v>
      </c>
      <c r="F695" t="n">
        <v>98</v>
      </c>
      <c r="G695">
        <f>IF(AND(D695&gt;=DATE(2025,7,1),D695&lt;=DATE(2026,6,30)),1,0)</f>
        <v>1</v>
      </c>
    </row>
    <row r="696">
      <c r="A696" t="inlineStr">
        <is>
          <t>S0208</t>
        </is>
      </c>
      <c r="B696" t="inlineStr">
        <is>
          <t>FP</t>
        </is>
      </c>
      <c r="C696" s="11" t="n">
        <v>46063</v>
      </c>
      <c r="D696" s="11" t="n">
        <v>46091</v>
      </c>
      <c r="E696" t="n">
        <v>4</v>
      </c>
      <c r="F696" t="n">
        <v>288</v>
      </c>
      <c r="G696">
        <f>IF(AND(D696&gt;=DATE(2025,7,1),D696&lt;=DATE(2026,6,30)),1,0)</f>
        <v>1</v>
      </c>
    </row>
    <row r="697">
      <c r="A697" t="inlineStr">
        <is>
          <t>S0208</t>
        </is>
      </c>
      <c r="B697" t="inlineStr">
        <is>
          <t>FP</t>
        </is>
      </c>
      <c r="C697" s="11" t="n">
        <v>46091</v>
      </c>
      <c r="D697" s="11" t="n">
        <v>46119</v>
      </c>
      <c r="E697" t="n">
        <v>4</v>
      </c>
      <c r="F697" t="n">
        <v>288</v>
      </c>
      <c r="G697">
        <f>IF(AND(D697&gt;=DATE(2025,7,1),D697&lt;=DATE(2026,6,30)),1,0)</f>
        <v>1</v>
      </c>
    </row>
    <row r="698">
      <c r="A698" t="inlineStr">
        <is>
          <t>S0208</t>
        </is>
      </c>
      <c r="B698" t="inlineStr">
        <is>
          <t>FP</t>
        </is>
      </c>
      <c r="C698" s="11" t="n">
        <v>46119</v>
      </c>
      <c r="D698" s="11" t="n">
        <v>46123</v>
      </c>
      <c r="E698" t="n">
        <v>1</v>
      </c>
      <c r="F698" t="n">
        <v>72</v>
      </c>
      <c r="G698">
        <f>IF(AND(D698&gt;=DATE(2025,7,1),D698&lt;=DATE(2026,6,30)),1,0)</f>
        <v>1</v>
      </c>
    </row>
    <row r="699">
      <c r="A699" t="inlineStr">
        <is>
          <t>S0209</t>
        </is>
      </c>
      <c r="B699" t="inlineStr">
        <is>
          <t>BR</t>
        </is>
      </c>
      <c r="C699" s="11" t="n">
        <v>46147</v>
      </c>
      <c r="D699" s="11" t="n">
        <v>46175</v>
      </c>
      <c r="E699" t="n">
        <v>4</v>
      </c>
      <c r="F699" t="n">
        <v>60</v>
      </c>
      <c r="G699">
        <f>IF(AND(D699&gt;=DATE(2025,7,1),D699&lt;=DATE(2026,6,30)),1,0)</f>
        <v>1</v>
      </c>
    </row>
    <row r="700">
      <c r="A700" t="inlineStr">
        <is>
          <t>S0209</t>
        </is>
      </c>
      <c r="B700" t="inlineStr">
        <is>
          <t>BR</t>
        </is>
      </c>
      <c r="C700" s="11" t="n">
        <v>46175</v>
      </c>
      <c r="D700" s="11" t="n">
        <v>46178</v>
      </c>
      <c r="E700" t="n">
        <v>1</v>
      </c>
      <c r="F700" t="n">
        <v>15</v>
      </c>
      <c r="G700">
        <f>IF(AND(D700&gt;=DATE(2025,7,1),D700&lt;=DATE(2026,6,30)),1,0)</f>
        <v>1</v>
      </c>
    </row>
    <row r="701">
      <c r="A701" t="inlineStr">
        <is>
          <t>S0209</t>
        </is>
      </c>
      <c r="B701" t="inlineStr">
        <is>
          <t>FP</t>
        </is>
      </c>
      <c r="C701" s="11" t="n">
        <v>46147</v>
      </c>
      <c r="D701" s="11" t="n">
        <v>46175</v>
      </c>
      <c r="E701" t="n">
        <v>4</v>
      </c>
      <c r="F701" t="n">
        <v>400</v>
      </c>
      <c r="G701">
        <f>IF(AND(D701&gt;=DATE(2025,7,1),D701&lt;=DATE(2026,6,30)),1,0)</f>
        <v>1</v>
      </c>
    </row>
    <row r="702">
      <c r="A702" t="inlineStr">
        <is>
          <t>S0209</t>
        </is>
      </c>
      <c r="B702" t="inlineStr">
        <is>
          <t>FP</t>
        </is>
      </c>
      <c r="C702" s="11" t="n">
        <v>46175</v>
      </c>
      <c r="D702" s="11" t="n">
        <v>46178</v>
      </c>
      <c r="E702" t="n">
        <v>1</v>
      </c>
      <c r="F702" t="n">
        <v>100</v>
      </c>
      <c r="G702">
        <f>IF(AND(D702&gt;=DATE(2025,7,1),D702&lt;=DATE(2026,6,30)),1,0)</f>
        <v>1</v>
      </c>
    </row>
    <row r="703">
      <c r="A703" t="inlineStr">
        <is>
          <t>S0210</t>
        </is>
      </c>
      <c r="B703" t="inlineStr">
        <is>
          <t>FP</t>
        </is>
      </c>
      <c r="C703" s="11" t="n">
        <v>45818</v>
      </c>
      <c r="D703" s="11" t="n">
        <v>45844</v>
      </c>
      <c r="E703" t="n">
        <v>4</v>
      </c>
      <c r="F703" t="n">
        <v>196</v>
      </c>
      <c r="G703">
        <f>IF(AND(D703&gt;=DATE(2025,7,1),D703&lt;=DATE(2026,6,30)),1,0)</f>
        <v>1</v>
      </c>
    </row>
    <row r="704">
      <c r="A704" t="inlineStr">
        <is>
          <t>S0211</t>
        </is>
      </c>
      <c r="B704" t="inlineStr">
        <is>
          <t>BR</t>
        </is>
      </c>
      <c r="C704" s="11" t="n">
        <v>45997</v>
      </c>
      <c r="D704" s="11" t="n">
        <v>46025</v>
      </c>
      <c r="E704" t="n">
        <v>4</v>
      </c>
      <c r="F704" t="n">
        <v>84</v>
      </c>
      <c r="G704">
        <f>IF(AND(D704&gt;=DATE(2025,7,1),D704&lt;=DATE(2026,6,30)),1,0)</f>
        <v>1</v>
      </c>
    </row>
    <row r="705">
      <c r="A705" t="inlineStr">
        <is>
          <t>S0211</t>
        </is>
      </c>
      <c r="B705" t="inlineStr">
        <is>
          <t>BR</t>
        </is>
      </c>
      <c r="C705" s="11" t="n">
        <v>46025</v>
      </c>
      <c r="D705" s="11" t="n">
        <v>46027</v>
      </c>
      <c r="E705" t="n">
        <v>1</v>
      </c>
      <c r="F705" t="n">
        <v>21</v>
      </c>
      <c r="G705">
        <f>IF(AND(D705&gt;=DATE(2025,7,1),D705&lt;=DATE(2026,6,30)),1,0)</f>
        <v>1</v>
      </c>
    </row>
    <row r="706">
      <c r="A706" t="inlineStr">
        <is>
          <t>S0211</t>
        </is>
      </c>
      <c r="B706" t="inlineStr">
        <is>
          <t>FP</t>
        </is>
      </c>
      <c r="C706" s="11" t="n">
        <v>45997</v>
      </c>
      <c r="D706" s="11" t="n">
        <v>46025</v>
      </c>
      <c r="E706" t="n">
        <v>4</v>
      </c>
      <c r="F706" t="n">
        <v>100</v>
      </c>
      <c r="G706">
        <f>IF(AND(D706&gt;=DATE(2025,7,1),D706&lt;=DATE(2026,6,30)),1,0)</f>
        <v>1</v>
      </c>
    </row>
    <row r="707">
      <c r="A707" t="inlineStr">
        <is>
          <t>S0211</t>
        </is>
      </c>
      <c r="B707" t="inlineStr">
        <is>
          <t>FP</t>
        </is>
      </c>
      <c r="C707" s="11" t="n">
        <v>46025</v>
      </c>
      <c r="D707" s="11" t="n">
        <v>46027</v>
      </c>
      <c r="E707" t="n">
        <v>1</v>
      </c>
      <c r="F707" t="n">
        <v>25</v>
      </c>
      <c r="G707">
        <f>IF(AND(D707&gt;=DATE(2025,7,1),D707&lt;=DATE(2026,6,30)),1,0)</f>
        <v>1</v>
      </c>
    </row>
    <row r="708">
      <c r="A708" t="inlineStr">
        <is>
          <t>S0212</t>
        </is>
      </c>
      <c r="B708" t="inlineStr">
        <is>
          <t>BR</t>
        </is>
      </c>
      <c r="C708" s="11" t="n">
        <v>45969</v>
      </c>
      <c r="D708" s="11" t="n">
        <v>45992</v>
      </c>
      <c r="E708" t="n">
        <v>4</v>
      </c>
      <c r="F708" t="n">
        <v>24</v>
      </c>
      <c r="G708">
        <f>IF(AND(D708&gt;=DATE(2025,7,1),D708&lt;=DATE(2026,6,30)),1,0)</f>
        <v>1</v>
      </c>
    </row>
    <row r="709">
      <c r="A709" t="inlineStr">
        <is>
          <t>S0212</t>
        </is>
      </c>
      <c r="B709" t="inlineStr">
        <is>
          <t>FP</t>
        </is>
      </c>
      <c r="C709" s="11" t="n">
        <v>45969</v>
      </c>
      <c r="D709" s="11" t="n">
        <v>45992</v>
      </c>
      <c r="E709" t="n">
        <v>4</v>
      </c>
      <c r="F709" t="n">
        <v>372</v>
      </c>
      <c r="G709">
        <f>IF(AND(D709&gt;=DATE(2025,7,1),D709&lt;=DATE(2026,6,30)),1,0)</f>
        <v>1</v>
      </c>
    </row>
    <row r="710">
      <c r="A710" t="inlineStr">
        <is>
          <t>S0213</t>
        </is>
      </c>
      <c r="B710" t="inlineStr">
        <is>
          <t>FP</t>
        </is>
      </c>
      <c r="C710" s="11" t="n">
        <v>45829</v>
      </c>
      <c r="D710" s="11" t="n">
        <v>45857</v>
      </c>
      <c r="E710" t="n">
        <v>4</v>
      </c>
      <c r="F710" t="n">
        <v>24</v>
      </c>
      <c r="G710">
        <f>IF(AND(D710&gt;=DATE(2025,7,1),D710&lt;=DATE(2026,6,30)),1,0)</f>
        <v>1</v>
      </c>
    </row>
    <row r="711">
      <c r="A711" t="inlineStr">
        <is>
          <t>S0213</t>
        </is>
      </c>
      <c r="B711" t="inlineStr">
        <is>
          <t>FP</t>
        </is>
      </c>
      <c r="C711" s="11" t="n">
        <v>45857</v>
      </c>
      <c r="D711" s="11" t="n">
        <v>45885</v>
      </c>
      <c r="E711" t="n">
        <v>4</v>
      </c>
      <c r="F711" t="n">
        <v>24</v>
      </c>
      <c r="G711">
        <f>IF(AND(D711&gt;=DATE(2025,7,1),D711&lt;=DATE(2026,6,30)),1,0)</f>
        <v>1</v>
      </c>
    </row>
    <row r="712">
      <c r="A712" t="inlineStr">
        <is>
          <t>S0213</t>
        </is>
      </c>
      <c r="B712" t="inlineStr">
        <is>
          <t>FP</t>
        </is>
      </c>
      <c r="C712" s="11" t="n">
        <v>45885</v>
      </c>
      <c r="D712" s="11" t="n">
        <v>45913</v>
      </c>
      <c r="E712" t="n">
        <v>4</v>
      </c>
      <c r="F712" t="n">
        <v>24</v>
      </c>
      <c r="G712">
        <f>IF(AND(D712&gt;=DATE(2025,7,1),D712&lt;=DATE(2026,6,30)),1,0)</f>
        <v>1</v>
      </c>
    </row>
    <row r="713">
      <c r="A713" t="inlineStr">
        <is>
          <t>S0213</t>
        </is>
      </c>
      <c r="B713" t="inlineStr">
        <is>
          <t>FP</t>
        </is>
      </c>
      <c r="C713" s="11" t="n">
        <v>45913</v>
      </c>
      <c r="D713" s="11" t="n">
        <v>45941</v>
      </c>
      <c r="E713" t="n">
        <v>4</v>
      </c>
      <c r="F713" t="n">
        <v>24</v>
      </c>
      <c r="G713">
        <f>IF(AND(D713&gt;=DATE(2025,7,1),D713&lt;=DATE(2026,6,30)),1,0)</f>
        <v>1</v>
      </c>
    </row>
    <row r="714">
      <c r="A714" t="inlineStr">
        <is>
          <t>S0213</t>
        </is>
      </c>
      <c r="B714" t="inlineStr">
        <is>
          <t>FP</t>
        </is>
      </c>
      <c r="C714" s="11" t="n">
        <v>45941</v>
      </c>
      <c r="D714" s="11" t="n">
        <v>45969</v>
      </c>
      <c r="E714" t="n">
        <v>4</v>
      </c>
      <c r="F714" t="n">
        <v>24</v>
      </c>
      <c r="G714">
        <f>IF(AND(D714&gt;=DATE(2025,7,1),D714&lt;=DATE(2026,6,30)),1,0)</f>
        <v>1</v>
      </c>
    </row>
    <row r="715">
      <c r="A715" t="inlineStr">
        <is>
          <t>S0213</t>
        </is>
      </c>
      <c r="B715" t="inlineStr">
        <is>
          <t>FP</t>
        </is>
      </c>
      <c r="C715" s="11" t="n">
        <v>45969</v>
      </c>
      <c r="D715" s="11" t="n">
        <v>45997</v>
      </c>
      <c r="E715" t="n">
        <v>4</v>
      </c>
      <c r="F715" t="n">
        <v>24</v>
      </c>
      <c r="G715">
        <f>IF(AND(D715&gt;=DATE(2025,7,1),D715&lt;=DATE(2026,6,30)),1,0)</f>
        <v>1</v>
      </c>
    </row>
    <row r="716">
      <c r="A716" t="inlineStr">
        <is>
          <t>S0213</t>
        </is>
      </c>
      <c r="B716" t="inlineStr">
        <is>
          <t>FP</t>
        </is>
      </c>
      <c r="C716" s="11" t="n">
        <v>45997</v>
      </c>
      <c r="D716" s="11" t="n">
        <v>46025</v>
      </c>
      <c r="E716" t="n">
        <v>4</v>
      </c>
      <c r="F716" t="n">
        <v>24</v>
      </c>
      <c r="G716">
        <f>IF(AND(D716&gt;=DATE(2025,7,1),D716&lt;=DATE(2026,6,30)),1,0)</f>
        <v>1</v>
      </c>
    </row>
    <row r="717">
      <c r="A717" t="inlineStr">
        <is>
          <t>S0213</t>
        </is>
      </c>
      <c r="B717" t="inlineStr">
        <is>
          <t>FP</t>
        </is>
      </c>
      <c r="C717" s="11" t="n">
        <v>46025</v>
      </c>
      <c r="D717" s="11" t="n">
        <v>46053</v>
      </c>
      <c r="E717" t="n">
        <v>4</v>
      </c>
      <c r="F717" t="n">
        <v>24</v>
      </c>
      <c r="G717">
        <f>IF(AND(D717&gt;=DATE(2025,7,1),D717&lt;=DATE(2026,6,30)),1,0)</f>
        <v>1</v>
      </c>
    </row>
    <row r="718">
      <c r="A718" t="inlineStr">
        <is>
          <t>S0213</t>
        </is>
      </c>
      <c r="B718" t="inlineStr">
        <is>
          <t>FP</t>
        </is>
      </c>
      <c r="C718" s="11" t="n">
        <v>46053</v>
      </c>
      <c r="D718" s="11" t="n">
        <v>46081</v>
      </c>
      <c r="E718" t="n">
        <v>4</v>
      </c>
      <c r="F718" t="n">
        <v>24</v>
      </c>
      <c r="G718">
        <f>IF(AND(D718&gt;=DATE(2025,7,1),D718&lt;=DATE(2026,6,30)),1,0)</f>
        <v>1</v>
      </c>
    </row>
    <row r="719">
      <c r="A719" t="inlineStr">
        <is>
          <t>S0213</t>
        </is>
      </c>
      <c r="B719" t="inlineStr">
        <is>
          <t>FP</t>
        </is>
      </c>
      <c r="C719" s="11" t="n">
        <v>46081</v>
      </c>
      <c r="D719" s="11" t="n">
        <v>46109</v>
      </c>
      <c r="E719" t="n">
        <v>4</v>
      </c>
      <c r="F719" t="n">
        <v>24</v>
      </c>
      <c r="G719">
        <f>IF(AND(D719&gt;=DATE(2025,7,1),D719&lt;=DATE(2026,6,30)),1,0)</f>
        <v>1</v>
      </c>
    </row>
    <row r="720">
      <c r="A720" t="inlineStr">
        <is>
          <t>S0213</t>
        </is>
      </c>
      <c r="B720" t="inlineStr">
        <is>
          <t>FP</t>
        </is>
      </c>
      <c r="C720" s="11" t="n">
        <v>46109</v>
      </c>
      <c r="D720" s="11" t="n">
        <v>46137</v>
      </c>
      <c r="E720" t="n">
        <v>4</v>
      </c>
      <c r="F720" t="n">
        <v>24</v>
      </c>
      <c r="G720">
        <f>IF(AND(D720&gt;=DATE(2025,7,1),D720&lt;=DATE(2026,6,30)),1,0)</f>
        <v>1</v>
      </c>
    </row>
    <row r="721">
      <c r="A721" t="inlineStr">
        <is>
          <t>S0213</t>
        </is>
      </c>
      <c r="B721" t="inlineStr">
        <is>
          <t>FP</t>
        </is>
      </c>
      <c r="C721" s="11" t="n">
        <v>46137</v>
      </c>
      <c r="D721" s="11" t="n">
        <v>46165</v>
      </c>
      <c r="E721" t="n">
        <v>4</v>
      </c>
      <c r="F721" t="n">
        <v>24</v>
      </c>
      <c r="G721">
        <f>IF(AND(D721&gt;=DATE(2025,7,1),D721&lt;=DATE(2026,6,30)),1,0)</f>
        <v>1</v>
      </c>
    </row>
    <row r="722">
      <c r="A722" t="inlineStr">
        <is>
          <t>S0213</t>
        </is>
      </c>
      <c r="B722" t="inlineStr">
        <is>
          <t>FP</t>
        </is>
      </c>
      <c r="C722" s="11" t="n">
        <v>46165</v>
      </c>
      <c r="D722" s="11" t="n">
        <v>46193</v>
      </c>
      <c r="E722" t="n">
        <v>4</v>
      </c>
      <c r="F722" t="n">
        <v>24</v>
      </c>
      <c r="G722">
        <f>IF(AND(D722&gt;=DATE(2025,7,1),D722&lt;=DATE(2026,6,30)),1,0)</f>
        <v>1</v>
      </c>
    </row>
    <row r="723">
      <c r="A723" t="inlineStr">
        <is>
          <t>S0214</t>
        </is>
      </c>
      <c r="B723" t="inlineStr">
        <is>
          <t>FP</t>
        </is>
      </c>
      <c r="C723" s="11" t="n">
        <v>45908</v>
      </c>
      <c r="D723" s="11" t="n">
        <v>45936</v>
      </c>
      <c r="E723" t="n">
        <v>4</v>
      </c>
      <c r="F723" t="n">
        <v>588</v>
      </c>
      <c r="G723">
        <f>IF(AND(D723&gt;=DATE(2025,7,1),D723&lt;=DATE(2026,6,30)),1,0)</f>
        <v>1</v>
      </c>
    </row>
    <row r="724">
      <c r="A724" t="inlineStr">
        <is>
          <t>S0214</t>
        </is>
      </c>
      <c r="B724" t="inlineStr">
        <is>
          <t>FP</t>
        </is>
      </c>
      <c r="C724" s="11" t="n">
        <v>45936</v>
      </c>
      <c r="D724" s="11" t="n">
        <v>45952</v>
      </c>
      <c r="E724" t="n">
        <v>3</v>
      </c>
      <c r="F724" t="n">
        <v>441</v>
      </c>
      <c r="G724">
        <f>IF(AND(D724&gt;=DATE(2025,7,1),D724&lt;=DATE(2026,6,30)),1,0)</f>
        <v>1</v>
      </c>
    </row>
    <row r="725">
      <c r="A725" t="inlineStr">
        <is>
          <t>S0215</t>
        </is>
      </c>
      <c r="B725" t="inlineStr">
        <is>
          <t>BR</t>
        </is>
      </c>
      <c r="C725" s="11" t="n">
        <v>45851</v>
      </c>
      <c r="D725" s="11" t="n">
        <v>45879</v>
      </c>
      <c r="E725" t="n">
        <v>4</v>
      </c>
      <c r="F725" t="n">
        <v>72</v>
      </c>
      <c r="G725">
        <f>IF(AND(D725&gt;=DATE(2025,7,1),D725&lt;=DATE(2026,6,30)),1,0)</f>
        <v>1</v>
      </c>
    </row>
    <row r="726">
      <c r="A726" t="inlineStr">
        <is>
          <t>S0215</t>
        </is>
      </c>
      <c r="B726" t="inlineStr">
        <is>
          <t>BR</t>
        </is>
      </c>
      <c r="C726" s="11" t="n">
        <v>45879</v>
      </c>
      <c r="D726" s="11" t="n">
        <v>45907</v>
      </c>
      <c r="E726" t="n">
        <v>4</v>
      </c>
      <c r="F726" t="n">
        <v>72</v>
      </c>
      <c r="G726">
        <f>IF(AND(D726&gt;=DATE(2025,7,1),D726&lt;=DATE(2026,6,30)),1,0)</f>
        <v>1</v>
      </c>
    </row>
    <row r="727">
      <c r="A727" t="inlineStr">
        <is>
          <t>S0215</t>
        </is>
      </c>
      <c r="B727" t="inlineStr">
        <is>
          <t>BR</t>
        </is>
      </c>
      <c r="C727" s="11" t="n">
        <v>45907</v>
      </c>
      <c r="D727" s="11" t="n">
        <v>45935</v>
      </c>
      <c r="E727" t="n">
        <v>4</v>
      </c>
      <c r="F727" t="n">
        <v>72</v>
      </c>
      <c r="G727">
        <f>IF(AND(D727&gt;=DATE(2025,7,1),D727&lt;=DATE(2026,6,30)),1,0)</f>
        <v>1</v>
      </c>
    </row>
    <row r="728">
      <c r="A728" t="inlineStr">
        <is>
          <t>S0215</t>
        </is>
      </c>
      <c r="B728" t="inlineStr">
        <is>
          <t>BR</t>
        </is>
      </c>
      <c r="C728" s="11" t="n">
        <v>45935</v>
      </c>
      <c r="D728" s="11" t="n">
        <v>45963</v>
      </c>
      <c r="E728" t="n">
        <v>4</v>
      </c>
      <c r="F728" t="n">
        <v>72</v>
      </c>
      <c r="G728">
        <f>IF(AND(D728&gt;=DATE(2025,7,1),D728&lt;=DATE(2026,6,30)),1,0)</f>
        <v>1</v>
      </c>
    </row>
    <row r="729">
      <c r="A729" t="inlineStr">
        <is>
          <t>S0215</t>
        </is>
      </c>
      <c r="B729" t="inlineStr">
        <is>
          <t>BR</t>
        </is>
      </c>
      <c r="C729" s="11" t="n">
        <v>45963</v>
      </c>
      <c r="D729" s="11" t="n">
        <v>45991</v>
      </c>
      <c r="E729" t="n">
        <v>4</v>
      </c>
      <c r="F729" t="n">
        <v>72</v>
      </c>
      <c r="G729">
        <f>IF(AND(D729&gt;=DATE(2025,7,1),D729&lt;=DATE(2026,6,30)),1,0)</f>
        <v>1</v>
      </c>
    </row>
    <row r="730">
      <c r="A730" t="inlineStr">
        <is>
          <t>S0215</t>
        </is>
      </c>
      <c r="B730" t="inlineStr">
        <is>
          <t>BR</t>
        </is>
      </c>
      <c r="C730" s="11" t="n">
        <v>45991</v>
      </c>
      <c r="D730" s="11" t="n">
        <v>46019</v>
      </c>
      <c r="E730" t="n">
        <v>4</v>
      </c>
      <c r="F730" t="n">
        <v>72</v>
      </c>
      <c r="G730">
        <f>IF(AND(D730&gt;=DATE(2025,7,1),D730&lt;=DATE(2026,6,30)),1,0)</f>
        <v>1</v>
      </c>
    </row>
    <row r="731">
      <c r="A731" t="inlineStr">
        <is>
          <t>S0215</t>
        </is>
      </c>
      <c r="B731" t="inlineStr">
        <is>
          <t>BR</t>
        </is>
      </c>
      <c r="C731" s="11" t="n">
        <v>46019</v>
      </c>
      <c r="D731" s="11" t="n">
        <v>46033</v>
      </c>
      <c r="E731" t="n">
        <v>2</v>
      </c>
      <c r="F731" t="n">
        <v>36</v>
      </c>
      <c r="G731">
        <f>IF(AND(D731&gt;=DATE(2025,7,1),D731&lt;=DATE(2026,6,30)),1,0)</f>
        <v>1</v>
      </c>
    </row>
    <row r="732">
      <c r="A732" t="inlineStr">
        <is>
          <t>S0215</t>
        </is>
      </c>
      <c r="B732" t="inlineStr">
        <is>
          <t>FP</t>
        </is>
      </c>
      <c r="C732" s="11" t="n">
        <v>45851</v>
      </c>
      <c r="D732" s="11" t="n">
        <v>45879</v>
      </c>
      <c r="E732" t="n">
        <v>4</v>
      </c>
      <c r="F732" t="n">
        <v>364</v>
      </c>
      <c r="G732">
        <f>IF(AND(D732&gt;=DATE(2025,7,1),D732&lt;=DATE(2026,6,30)),1,0)</f>
        <v>1</v>
      </c>
    </row>
    <row r="733">
      <c r="A733" t="inlineStr">
        <is>
          <t>S0215</t>
        </is>
      </c>
      <c r="B733" t="inlineStr">
        <is>
          <t>FP</t>
        </is>
      </c>
      <c r="C733" s="11" t="n">
        <v>45879</v>
      </c>
      <c r="D733" s="11" t="n">
        <v>45907</v>
      </c>
      <c r="E733" t="n">
        <v>4</v>
      </c>
      <c r="F733" t="n">
        <v>364</v>
      </c>
      <c r="G733">
        <f>IF(AND(D733&gt;=DATE(2025,7,1),D733&lt;=DATE(2026,6,30)),1,0)</f>
        <v>1</v>
      </c>
    </row>
    <row r="734">
      <c r="A734" t="inlineStr">
        <is>
          <t>S0215</t>
        </is>
      </c>
      <c r="B734" t="inlineStr">
        <is>
          <t>FP</t>
        </is>
      </c>
      <c r="C734" s="11" t="n">
        <v>45907</v>
      </c>
      <c r="D734" s="11" t="n">
        <v>45935</v>
      </c>
      <c r="E734" t="n">
        <v>4</v>
      </c>
      <c r="F734" t="n">
        <v>364</v>
      </c>
      <c r="G734">
        <f>IF(AND(D734&gt;=DATE(2025,7,1),D734&lt;=DATE(2026,6,30)),1,0)</f>
        <v>1</v>
      </c>
    </row>
    <row r="735">
      <c r="A735" t="inlineStr">
        <is>
          <t>S0215</t>
        </is>
      </c>
      <c r="B735" t="inlineStr">
        <is>
          <t>FP</t>
        </is>
      </c>
      <c r="C735" s="11" t="n">
        <v>45935</v>
      </c>
      <c r="D735" s="11" t="n">
        <v>45963</v>
      </c>
      <c r="E735" t="n">
        <v>4</v>
      </c>
      <c r="F735" t="n">
        <v>364</v>
      </c>
      <c r="G735">
        <f>IF(AND(D735&gt;=DATE(2025,7,1),D735&lt;=DATE(2026,6,30)),1,0)</f>
        <v>1</v>
      </c>
    </row>
    <row r="736">
      <c r="A736" t="inlineStr">
        <is>
          <t>S0215</t>
        </is>
      </c>
      <c r="B736" t="inlineStr">
        <is>
          <t>FP</t>
        </is>
      </c>
      <c r="C736" s="11" t="n">
        <v>45963</v>
      </c>
      <c r="D736" s="11" t="n">
        <v>45991</v>
      </c>
      <c r="E736" t="n">
        <v>4</v>
      </c>
      <c r="F736" t="n">
        <v>364</v>
      </c>
      <c r="G736">
        <f>IF(AND(D736&gt;=DATE(2025,7,1),D736&lt;=DATE(2026,6,30)),1,0)</f>
        <v>1</v>
      </c>
    </row>
    <row r="737">
      <c r="A737" t="inlineStr">
        <is>
          <t>S0215</t>
        </is>
      </c>
      <c r="B737" t="inlineStr">
        <is>
          <t>FP</t>
        </is>
      </c>
      <c r="C737" s="11" t="n">
        <v>45991</v>
      </c>
      <c r="D737" s="11" t="n">
        <v>46019</v>
      </c>
      <c r="E737" t="n">
        <v>4</v>
      </c>
      <c r="F737" t="n">
        <v>364</v>
      </c>
      <c r="G737">
        <f>IF(AND(D737&gt;=DATE(2025,7,1),D737&lt;=DATE(2026,6,30)),1,0)</f>
        <v>1</v>
      </c>
    </row>
    <row r="738">
      <c r="A738" t="inlineStr">
        <is>
          <t>S0215</t>
        </is>
      </c>
      <c r="B738" t="inlineStr">
        <is>
          <t>FP</t>
        </is>
      </c>
      <c r="C738" s="11" t="n">
        <v>46019</v>
      </c>
      <c r="D738" s="11" t="n">
        <v>46033</v>
      </c>
      <c r="E738" t="n">
        <v>2</v>
      </c>
      <c r="F738" t="n">
        <v>182</v>
      </c>
      <c r="G738">
        <f>IF(AND(D738&gt;=DATE(2025,7,1),D738&lt;=DATE(2026,6,30)),1,0)</f>
        <v>1</v>
      </c>
    </row>
    <row r="739">
      <c r="A739" t="inlineStr">
        <is>
          <t>S0216</t>
        </is>
      </c>
      <c r="B739" t="inlineStr">
        <is>
          <t>FP</t>
        </is>
      </c>
      <c r="C739" s="11" t="n">
        <v>45818</v>
      </c>
      <c r="D739" s="11" t="n">
        <v>45846</v>
      </c>
      <c r="E739" t="n">
        <v>4</v>
      </c>
      <c r="F739" t="n">
        <v>408</v>
      </c>
      <c r="G739">
        <f>IF(AND(D739&gt;=DATE(2025,7,1),D739&lt;=DATE(2026,6,30)),1,0)</f>
        <v>1</v>
      </c>
    </row>
    <row r="740">
      <c r="A740" t="inlineStr">
        <is>
          <t>S0216</t>
        </is>
      </c>
      <c r="B740" t="inlineStr">
        <is>
          <t>FP</t>
        </is>
      </c>
      <c r="C740" s="11" t="n">
        <v>45846</v>
      </c>
      <c r="D740" s="11" t="n">
        <v>45874</v>
      </c>
      <c r="E740" t="n">
        <v>4</v>
      </c>
      <c r="F740" t="n">
        <v>408</v>
      </c>
      <c r="G740">
        <f>IF(AND(D740&gt;=DATE(2025,7,1),D740&lt;=DATE(2026,6,30)),1,0)</f>
        <v>1</v>
      </c>
    </row>
    <row r="741">
      <c r="A741" t="inlineStr">
        <is>
          <t>S0216</t>
        </is>
      </c>
      <c r="B741" t="inlineStr">
        <is>
          <t>FP</t>
        </is>
      </c>
      <c r="C741" s="11" t="n">
        <v>45874</v>
      </c>
      <c r="D741" s="11" t="n">
        <v>45902</v>
      </c>
      <c r="E741" t="n">
        <v>4</v>
      </c>
      <c r="F741" t="n">
        <v>408</v>
      </c>
      <c r="G741">
        <f>IF(AND(D741&gt;=DATE(2025,7,1),D741&lt;=DATE(2026,6,30)),1,0)</f>
        <v>1</v>
      </c>
    </row>
    <row r="742">
      <c r="A742" t="inlineStr">
        <is>
          <t>S0216</t>
        </is>
      </c>
      <c r="B742" t="inlineStr">
        <is>
          <t>FP</t>
        </is>
      </c>
      <c r="C742" s="11" t="n">
        <v>45902</v>
      </c>
      <c r="D742" s="11" t="n">
        <v>45930</v>
      </c>
      <c r="E742" t="n">
        <v>4</v>
      </c>
      <c r="F742" t="n">
        <v>408</v>
      </c>
      <c r="G742">
        <f>IF(AND(D742&gt;=DATE(2025,7,1),D742&lt;=DATE(2026,6,30)),1,0)</f>
        <v>1</v>
      </c>
    </row>
    <row r="743">
      <c r="A743" t="inlineStr">
        <is>
          <t>S0216</t>
        </is>
      </c>
      <c r="B743" t="inlineStr">
        <is>
          <t>FP</t>
        </is>
      </c>
      <c r="C743" s="11" t="n">
        <v>45930</v>
      </c>
      <c r="D743" s="11" t="n">
        <v>45958</v>
      </c>
      <c r="E743" t="n">
        <v>4</v>
      </c>
      <c r="F743" t="n">
        <v>408</v>
      </c>
      <c r="G743">
        <f>IF(AND(D743&gt;=DATE(2025,7,1),D743&lt;=DATE(2026,6,30)),1,0)</f>
        <v>1</v>
      </c>
    </row>
    <row r="744">
      <c r="A744" t="inlineStr">
        <is>
          <t>S0216</t>
        </is>
      </c>
      <c r="B744" t="inlineStr">
        <is>
          <t>FP</t>
        </is>
      </c>
      <c r="C744" s="11" t="n">
        <v>45958</v>
      </c>
      <c r="D744" s="11" t="n">
        <v>45975</v>
      </c>
      <c r="E744" t="n">
        <v>3</v>
      </c>
      <c r="F744" t="n">
        <v>306</v>
      </c>
      <c r="G744">
        <f>IF(AND(D744&gt;=DATE(2025,7,1),D744&lt;=DATE(2026,6,30)),1,0)</f>
        <v>1</v>
      </c>
    </row>
    <row r="745">
      <c r="A745" t="inlineStr">
        <is>
          <t>S0217</t>
        </is>
      </c>
      <c r="B745" t="inlineStr">
        <is>
          <t>FP</t>
        </is>
      </c>
      <c r="C745" s="11" t="n">
        <v>46046</v>
      </c>
      <c r="D745" s="11" t="n">
        <v>46074</v>
      </c>
      <c r="E745" t="n">
        <v>4</v>
      </c>
      <c r="F745" t="n">
        <v>512</v>
      </c>
      <c r="G745">
        <f>IF(AND(D745&gt;=DATE(2025,7,1),D745&lt;=DATE(2026,6,30)),1,0)</f>
        <v>1</v>
      </c>
    </row>
    <row r="746">
      <c r="A746" t="inlineStr">
        <is>
          <t>S0217</t>
        </is>
      </c>
      <c r="B746" t="inlineStr">
        <is>
          <t>FP</t>
        </is>
      </c>
      <c r="C746" s="11" t="n">
        <v>46074</v>
      </c>
      <c r="D746" s="11" t="n">
        <v>46075</v>
      </c>
      <c r="E746" t="n">
        <v>1</v>
      </c>
      <c r="F746" t="n">
        <v>128</v>
      </c>
      <c r="G746">
        <f>IF(AND(D746&gt;=DATE(2025,7,1),D746&lt;=DATE(2026,6,30)),1,0)</f>
        <v>1</v>
      </c>
    </row>
    <row r="747">
      <c r="A747" t="inlineStr">
        <is>
          <t>S0218</t>
        </is>
      </c>
      <c r="B747" t="inlineStr">
        <is>
          <t>BR</t>
        </is>
      </c>
      <c r="C747" s="11" t="n">
        <v>45927</v>
      </c>
      <c r="D747" s="11" t="n">
        <v>45955</v>
      </c>
      <c r="E747" t="n">
        <v>4</v>
      </c>
      <c r="F747" t="n">
        <v>52</v>
      </c>
      <c r="G747">
        <f>IF(AND(D747&gt;=DATE(2025,7,1),D747&lt;=DATE(2026,6,30)),1,0)</f>
        <v>1</v>
      </c>
    </row>
    <row r="748">
      <c r="A748" t="inlineStr">
        <is>
          <t>S0218</t>
        </is>
      </c>
      <c r="B748" t="inlineStr">
        <is>
          <t>FP</t>
        </is>
      </c>
      <c r="C748" s="11" t="n">
        <v>45927</v>
      </c>
      <c r="D748" s="11" t="n">
        <v>45955</v>
      </c>
      <c r="E748" t="n">
        <v>4</v>
      </c>
      <c r="F748" t="n">
        <v>476</v>
      </c>
      <c r="G748">
        <f>IF(AND(D748&gt;=DATE(2025,7,1),D748&lt;=DATE(2026,6,30)),1,0)</f>
        <v>1</v>
      </c>
    </row>
    <row r="749">
      <c r="A749" t="inlineStr">
        <is>
          <t>S0220</t>
        </is>
      </c>
      <c r="B749" t="inlineStr">
        <is>
          <t>FP</t>
        </is>
      </c>
      <c r="C749" s="11" t="n">
        <v>45979</v>
      </c>
      <c r="D749" s="11" t="n">
        <v>46007</v>
      </c>
      <c r="E749" t="n">
        <v>4</v>
      </c>
      <c r="F749" t="n">
        <v>456</v>
      </c>
      <c r="G749">
        <f>IF(AND(D749&gt;=DATE(2025,7,1),D749&lt;=DATE(2026,6,30)),1,0)</f>
        <v>1</v>
      </c>
    </row>
    <row r="750">
      <c r="A750" t="inlineStr">
        <is>
          <t>S0220</t>
        </is>
      </c>
      <c r="B750" t="inlineStr">
        <is>
          <t>FP</t>
        </is>
      </c>
      <c r="C750" s="11" t="n">
        <v>46007</v>
      </c>
      <c r="D750" s="11" t="n">
        <v>46035</v>
      </c>
      <c r="E750" t="n">
        <v>4</v>
      </c>
      <c r="F750" t="n">
        <v>456</v>
      </c>
      <c r="G750">
        <f>IF(AND(D750&gt;=DATE(2025,7,1),D750&lt;=DATE(2026,6,30)),1,0)</f>
        <v>1</v>
      </c>
    </row>
    <row r="751">
      <c r="A751" t="inlineStr">
        <is>
          <t>S0220</t>
        </is>
      </c>
      <c r="B751" t="inlineStr">
        <is>
          <t>FP</t>
        </is>
      </c>
      <c r="C751" s="11" t="n">
        <v>46035</v>
      </c>
      <c r="D751" s="11" t="n">
        <v>46063</v>
      </c>
      <c r="E751" t="n">
        <v>4</v>
      </c>
      <c r="F751" t="n">
        <v>456</v>
      </c>
      <c r="G751">
        <f>IF(AND(D751&gt;=DATE(2025,7,1),D751&lt;=DATE(2026,6,30)),1,0)</f>
        <v>1</v>
      </c>
    </row>
    <row r="752">
      <c r="A752" t="inlineStr">
        <is>
          <t>S0220</t>
        </is>
      </c>
      <c r="B752" t="inlineStr">
        <is>
          <t>FP</t>
        </is>
      </c>
      <c r="C752" s="11" t="n">
        <v>46063</v>
      </c>
      <c r="D752" s="11" t="n">
        <v>46091</v>
      </c>
      <c r="E752" t="n">
        <v>4</v>
      </c>
      <c r="F752" t="n">
        <v>456</v>
      </c>
      <c r="G752">
        <f>IF(AND(D752&gt;=DATE(2025,7,1),D752&lt;=DATE(2026,6,30)),1,0)</f>
        <v>1</v>
      </c>
    </row>
    <row r="753">
      <c r="A753" t="inlineStr">
        <is>
          <t>S0220</t>
        </is>
      </c>
      <c r="B753" t="inlineStr">
        <is>
          <t>FP</t>
        </is>
      </c>
      <c r="C753" s="11" t="n">
        <v>46091</v>
      </c>
      <c r="D753" s="11" t="n">
        <v>46119</v>
      </c>
      <c r="E753" t="n">
        <v>4</v>
      </c>
      <c r="F753" t="n">
        <v>456</v>
      </c>
      <c r="G753">
        <f>IF(AND(D753&gt;=DATE(2025,7,1),D753&lt;=DATE(2026,6,30)),1,0)</f>
        <v>1</v>
      </c>
    </row>
    <row r="754">
      <c r="A754" t="inlineStr">
        <is>
          <t>S0220</t>
        </is>
      </c>
      <c r="B754" t="inlineStr">
        <is>
          <t>FP</t>
        </is>
      </c>
      <c r="C754" s="11" t="n">
        <v>46119</v>
      </c>
      <c r="D754" s="11" t="n">
        <v>46147</v>
      </c>
      <c r="E754" t="n">
        <v>4</v>
      </c>
      <c r="F754" t="n">
        <v>456</v>
      </c>
      <c r="G754">
        <f>IF(AND(D754&gt;=DATE(2025,7,1),D754&lt;=DATE(2026,6,30)),1,0)</f>
        <v>1</v>
      </c>
    </row>
    <row r="755">
      <c r="A755" t="inlineStr">
        <is>
          <t>S0220</t>
        </is>
      </c>
      <c r="B755" t="inlineStr">
        <is>
          <t>FP</t>
        </is>
      </c>
      <c r="C755" s="11" t="n">
        <v>46147</v>
      </c>
      <c r="D755" s="11" t="n">
        <v>46164</v>
      </c>
      <c r="E755" t="n">
        <v>3</v>
      </c>
      <c r="F755" t="n">
        <v>342</v>
      </c>
      <c r="G755">
        <f>IF(AND(D755&gt;=DATE(2025,7,1),D755&lt;=DATE(2026,6,30)),1,0)</f>
        <v>1</v>
      </c>
    </row>
    <row r="756">
      <c r="A756" t="inlineStr">
        <is>
          <t>S0221</t>
        </is>
      </c>
      <c r="B756" t="inlineStr">
        <is>
          <t>FP</t>
        </is>
      </c>
      <c r="C756" s="11" t="n">
        <v>46144</v>
      </c>
      <c r="D756" s="11" t="n">
        <v>46172</v>
      </c>
      <c r="E756" t="n">
        <v>4</v>
      </c>
      <c r="F756" t="n">
        <v>168</v>
      </c>
      <c r="G756">
        <f>IF(AND(D756&gt;=DATE(2025,7,1),D756&lt;=DATE(2026,6,30)),1,0)</f>
        <v>1</v>
      </c>
    </row>
    <row r="757">
      <c r="A757" t="inlineStr">
        <is>
          <t>S0221</t>
        </is>
      </c>
      <c r="B757" t="inlineStr">
        <is>
          <t>FP</t>
        </is>
      </c>
      <c r="C757" s="11" t="n">
        <v>46172</v>
      </c>
      <c r="D757" s="11" t="n">
        <v>46200</v>
      </c>
      <c r="E757" t="n">
        <v>4</v>
      </c>
      <c r="F757" t="n">
        <v>168</v>
      </c>
      <c r="G757">
        <f>IF(AND(D757&gt;=DATE(2025,7,1),D757&lt;=DATE(2026,6,30)),1,0)</f>
        <v>1</v>
      </c>
    </row>
    <row r="758">
      <c r="A758" t="inlineStr">
        <is>
          <t>S0222</t>
        </is>
      </c>
      <c r="B758" t="inlineStr">
        <is>
          <t>FP</t>
        </is>
      </c>
      <c r="C758" s="11" t="n">
        <v>45959</v>
      </c>
      <c r="D758" s="11" t="n">
        <v>45987</v>
      </c>
      <c r="E758" t="n">
        <v>4</v>
      </c>
      <c r="F758" t="n">
        <v>488</v>
      </c>
      <c r="G758">
        <f>IF(AND(D758&gt;=DATE(2025,7,1),D758&lt;=DATE(2026,6,30)),1,0)</f>
        <v>1</v>
      </c>
    </row>
    <row r="759">
      <c r="A759" t="inlineStr">
        <is>
          <t>S0222</t>
        </is>
      </c>
      <c r="B759" t="inlineStr">
        <is>
          <t>FP</t>
        </is>
      </c>
      <c r="C759" s="11" t="n">
        <v>45987</v>
      </c>
      <c r="D759" s="11" t="n">
        <v>46015</v>
      </c>
      <c r="E759" t="n">
        <v>4</v>
      </c>
      <c r="F759" t="n">
        <v>488</v>
      </c>
      <c r="G759">
        <f>IF(AND(D759&gt;=DATE(2025,7,1),D759&lt;=DATE(2026,6,30)),1,0)</f>
        <v>1</v>
      </c>
    </row>
    <row r="760">
      <c r="A760" t="inlineStr">
        <is>
          <t>S0223</t>
        </is>
      </c>
      <c r="B760" t="inlineStr">
        <is>
          <t>FP</t>
        </is>
      </c>
      <c r="C760" s="11" t="n">
        <v>45976</v>
      </c>
      <c r="D760" s="11" t="n">
        <v>46004</v>
      </c>
      <c r="E760" t="n">
        <v>4</v>
      </c>
      <c r="F760" t="n">
        <v>100</v>
      </c>
      <c r="G760">
        <f>IF(AND(D760&gt;=DATE(2025,7,1),D760&lt;=DATE(2026,6,30)),1,0)</f>
        <v>1</v>
      </c>
    </row>
    <row r="761">
      <c r="A761" t="inlineStr">
        <is>
          <t>S0223</t>
        </is>
      </c>
      <c r="B761" t="inlineStr">
        <is>
          <t>FP</t>
        </is>
      </c>
      <c r="C761" s="11" t="n">
        <v>46004</v>
      </c>
      <c r="D761" s="11" t="n">
        <v>46032</v>
      </c>
      <c r="E761" t="n">
        <v>4</v>
      </c>
      <c r="F761" t="n">
        <v>100</v>
      </c>
      <c r="G761">
        <f>IF(AND(D761&gt;=DATE(2025,7,1),D761&lt;=DATE(2026,6,30)),1,0)</f>
        <v>1</v>
      </c>
    </row>
    <row r="762">
      <c r="A762" t="inlineStr">
        <is>
          <t>S0223</t>
        </is>
      </c>
      <c r="B762" t="inlineStr">
        <is>
          <t>FP</t>
        </is>
      </c>
      <c r="C762" s="11" t="n">
        <v>46032</v>
      </c>
      <c r="D762" s="11" t="n">
        <v>46033</v>
      </c>
      <c r="E762" t="n">
        <v>1</v>
      </c>
      <c r="F762" t="n">
        <v>25</v>
      </c>
      <c r="G762">
        <f>IF(AND(D762&gt;=DATE(2025,7,1),D762&lt;=DATE(2026,6,30)),1,0)</f>
        <v>1</v>
      </c>
    </row>
    <row r="763">
      <c r="A763" t="inlineStr">
        <is>
          <t>S0224</t>
        </is>
      </c>
      <c r="B763" t="inlineStr">
        <is>
          <t>FP</t>
        </is>
      </c>
      <c r="C763" s="11" t="n">
        <v>46028</v>
      </c>
      <c r="D763" s="11" t="n">
        <v>46033</v>
      </c>
      <c r="E763" t="n">
        <v>1</v>
      </c>
      <c r="F763" t="n">
        <v>155</v>
      </c>
      <c r="G763">
        <f>IF(AND(D763&gt;=DATE(2025,7,1),D763&lt;=DATE(2026,6,30)),1,0)</f>
        <v>1</v>
      </c>
    </row>
    <row r="764">
      <c r="A764" t="inlineStr">
        <is>
          <t>S0225</t>
        </is>
      </c>
      <c r="B764" t="inlineStr">
        <is>
          <t>BR</t>
        </is>
      </c>
      <c r="C764" s="11" t="n">
        <v>46093</v>
      </c>
      <c r="D764" s="11" t="n">
        <v>46118</v>
      </c>
      <c r="E764" t="n">
        <v>4</v>
      </c>
      <c r="F764" t="n">
        <v>64</v>
      </c>
      <c r="G764">
        <f>IF(AND(D764&gt;=DATE(2025,7,1),D764&lt;=DATE(2026,6,30)),1,0)</f>
        <v>1</v>
      </c>
    </row>
    <row r="765">
      <c r="A765" t="inlineStr">
        <is>
          <t>S0225</t>
        </is>
      </c>
      <c r="B765" t="inlineStr">
        <is>
          <t>FP</t>
        </is>
      </c>
      <c r="C765" s="11" t="n">
        <v>46093</v>
      </c>
      <c r="D765" s="11" t="n">
        <v>46118</v>
      </c>
      <c r="E765" t="n">
        <v>4</v>
      </c>
      <c r="F765" t="n">
        <v>336</v>
      </c>
      <c r="G765">
        <f>IF(AND(D765&gt;=DATE(2025,7,1),D765&lt;=DATE(2026,6,30)),1,0)</f>
        <v>1</v>
      </c>
    </row>
    <row r="766">
      <c r="A766" t="inlineStr">
        <is>
          <t>S0226</t>
        </is>
      </c>
      <c r="B766" t="inlineStr">
        <is>
          <t>FP</t>
        </is>
      </c>
      <c r="C766" s="11" t="n">
        <v>46171</v>
      </c>
      <c r="D766" s="11" t="n">
        <v>46178</v>
      </c>
      <c r="E766" t="n">
        <v>1</v>
      </c>
      <c r="F766" t="n">
        <v>109</v>
      </c>
      <c r="G766">
        <f>IF(AND(D766&gt;=DATE(2025,7,1),D766&lt;=DATE(2026,6,30)),1,0)</f>
        <v>1</v>
      </c>
    </row>
    <row r="767">
      <c r="A767" t="inlineStr">
        <is>
          <t>S0227</t>
        </is>
      </c>
      <c r="B767" t="inlineStr">
        <is>
          <t>FP</t>
        </is>
      </c>
      <c r="C767" s="11" t="n">
        <v>45837</v>
      </c>
      <c r="D767" s="11" t="n">
        <v>45865</v>
      </c>
      <c r="E767" t="n">
        <v>4</v>
      </c>
      <c r="F767" t="n">
        <v>248</v>
      </c>
      <c r="G767">
        <f>IF(AND(D767&gt;=DATE(2025,7,1),D767&lt;=DATE(2026,6,30)),1,0)</f>
        <v>1</v>
      </c>
    </row>
    <row r="768">
      <c r="A768" t="inlineStr">
        <is>
          <t>S0227</t>
        </is>
      </c>
      <c r="B768" t="inlineStr">
        <is>
          <t>FP</t>
        </is>
      </c>
      <c r="C768" s="11" t="n">
        <v>45865</v>
      </c>
      <c r="D768" s="11" t="n">
        <v>45878</v>
      </c>
      <c r="E768" t="n">
        <v>2</v>
      </c>
      <c r="F768" t="n">
        <v>124</v>
      </c>
      <c r="G768">
        <f>IF(AND(D768&gt;=DATE(2025,7,1),D768&lt;=DATE(2026,6,30)),1,0)</f>
        <v>1</v>
      </c>
    </row>
    <row r="769">
      <c r="A769" t="inlineStr">
        <is>
          <t>S0228</t>
        </is>
      </c>
      <c r="B769" t="inlineStr">
        <is>
          <t>BR</t>
        </is>
      </c>
      <c r="C769" s="11" t="n">
        <v>46075</v>
      </c>
      <c r="D769" s="11" t="n">
        <v>46103</v>
      </c>
      <c r="E769" t="n">
        <v>4</v>
      </c>
      <c r="F769" t="n">
        <v>48</v>
      </c>
      <c r="G769">
        <f>IF(AND(D769&gt;=DATE(2025,7,1),D769&lt;=DATE(2026,6,30)),1,0)</f>
        <v>1</v>
      </c>
    </row>
    <row r="770">
      <c r="A770" t="inlineStr">
        <is>
          <t>S0228</t>
        </is>
      </c>
      <c r="B770" t="inlineStr">
        <is>
          <t>BR</t>
        </is>
      </c>
      <c r="C770" s="11" t="n">
        <v>46103</v>
      </c>
      <c r="D770" s="11" t="n">
        <v>46131</v>
      </c>
      <c r="E770" t="n">
        <v>4</v>
      </c>
      <c r="F770" t="n">
        <v>48</v>
      </c>
      <c r="G770">
        <f>IF(AND(D770&gt;=DATE(2025,7,1),D770&lt;=DATE(2026,6,30)),1,0)</f>
        <v>1</v>
      </c>
    </row>
    <row r="771">
      <c r="A771" t="inlineStr">
        <is>
          <t>S0228</t>
        </is>
      </c>
      <c r="B771" t="inlineStr">
        <is>
          <t>BR</t>
        </is>
      </c>
      <c r="C771" s="11" t="n">
        <v>46131</v>
      </c>
      <c r="D771" s="11" t="n">
        <v>46146</v>
      </c>
      <c r="E771" t="n">
        <v>3</v>
      </c>
      <c r="F771" t="n">
        <v>36</v>
      </c>
      <c r="G771">
        <f>IF(AND(D771&gt;=DATE(2025,7,1),D771&lt;=DATE(2026,6,30)),1,0)</f>
        <v>1</v>
      </c>
    </row>
    <row r="772">
      <c r="A772" t="inlineStr">
        <is>
          <t>S0228</t>
        </is>
      </c>
      <c r="B772" t="inlineStr">
        <is>
          <t>FP</t>
        </is>
      </c>
      <c r="C772" s="11" t="n">
        <v>46075</v>
      </c>
      <c r="D772" s="11" t="n">
        <v>46103</v>
      </c>
      <c r="E772" t="n">
        <v>4</v>
      </c>
      <c r="F772" t="n">
        <v>616</v>
      </c>
      <c r="G772">
        <f>IF(AND(D772&gt;=DATE(2025,7,1),D772&lt;=DATE(2026,6,30)),1,0)</f>
        <v>1</v>
      </c>
    </row>
    <row r="773">
      <c r="A773" t="inlineStr">
        <is>
          <t>S0228</t>
        </is>
      </c>
      <c r="B773" t="inlineStr">
        <is>
          <t>FP</t>
        </is>
      </c>
      <c r="C773" s="11" t="n">
        <v>46103</v>
      </c>
      <c r="D773" s="11" t="n">
        <v>46131</v>
      </c>
      <c r="E773" t="n">
        <v>4</v>
      </c>
      <c r="F773" t="n">
        <v>616</v>
      </c>
      <c r="G773">
        <f>IF(AND(D773&gt;=DATE(2025,7,1),D773&lt;=DATE(2026,6,30)),1,0)</f>
        <v>1</v>
      </c>
    </row>
    <row r="774">
      <c r="A774" t="inlineStr">
        <is>
          <t>S0228</t>
        </is>
      </c>
      <c r="B774" t="inlineStr">
        <is>
          <t>FP</t>
        </is>
      </c>
      <c r="C774" s="11" t="n">
        <v>46131</v>
      </c>
      <c r="D774" s="11" t="n">
        <v>46146</v>
      </c>
      <c r="E774" t="n">
        <v>3</v>
      </c>
      <c r="F774" t="n">
        <v>462</v>
      </c>
      <c r="G774">
        <f>IF(AND(D774&gt;=DATE(2025,7,1),D774&lt;=DATE(2026,6,30)),1,0)</f>
        <v>1</v>
      </c>
    </row>
    <row r="775">
      <c r="A775" t="inlineStr">
        <is>
          <t>S0229</t>
        </is>
      </c>
      <c r="B775" t="inlineStr">
        <is>
          <t>FP</t>
        </is>
      </c>
      <c r="C775" s="11" t="n">
        <v>46071</v>
      </c>
      <c r="D775" s="11" t="n">
        <v>46079</v>
      </c>
      <c r="E775" t="n">
        <v>2</v>
      </c>
      <c r="F775" t="n">
        <v>80</v>
      </c>
      <c r="G775">
        <f>IF(AND(D775&gt;=DATE(2025,7,1),D775&lt;=DATE(2026,6,30)),1,0)</f>
        <v>1</v>
      </c>
    </row>
    <row r="776">
      <c r="A776" t="inlineStr">
        <is>
          <t>S0230</t>
        </is>
      </c>
      <c r="B776" t="inlineStr">
        <is>
          <t>FP</t>
        </is>
      </c>
      <c r="C776" s="11" t="n">
        <v>46109</v>
      </c>
      <c r="D776" s="11" t="n">
        <v>46119</v>
      </c>
      <c r="E776" t="n">
        <v>2</v>
      </c>
      <c r="F776" t="n">
        <v>150</v>
      </c>
      <c r="G776">
        <f>IF(AND(D776&gt;=DATE(2025,7,1),D776&lt;=DATE(2026,6,30)),1,0)</f>
        <v>1</v>
      </c>
    </row>
    <row r="777">
      <c r="A777" t="inlineStr">
        <is>
          <t>S0231</t>
        </is>
      </c>
      <c r="B777" t="inlineStr">
        <is>
          <t>FP</t>
        </is>
      </c>
      <c r="C777" s="11" t="n">
        <v>45907</v>
      </c>
      <c r="D777" s="11" t="n">
        <v>45935</v>
      </c>
      <c r="E777" t="n">
        <v>4</v>
      </c>
      <c r="F777" t="n">
        <v>500</v>
      </c>
      <c r="G777">
        <f>IF(AND(D777&gt;=DATE(2025,7,1),D777&lt;=DATE(2026,6,30)),1,0)</f>
        <v>1</v>
      </c>
    </row>
    <row r="778">
      <c r="A778" t="inlineStr">
        <is>
          <t>S0231</t>
        </is>
      </c>
      <c r="B778" t="inlineStr">
        <is>
          <t>FP</t>
        </is>
      </c>
      <c r="C778" s="11" t="n">
        <v>45935</v>
      </c>
      <c r="D778" s="11" t="n">
        <v>45963</v>
      </c>
      <c r="E778" t="n">
        <v>4</v>
      </c>
      <c r="F778" t="n">
        <v>500</v>
      </c>
      <c r="G778">
        <f>IF(AND(D778&gt;=DATE(2025,7,1),D778&lt;=DATE(2026,6,30)),1,0)</f>
        <v>1</v>
      </c>
    </row>
    <row r="779">
      <c r="A779" t="inlineStr">
        <is>
          <t>S0231</t>
        </is>
      </c>
      <c r="B779" t="inlineStr">
        <is>
          <t>FP</t>
        </is>
      </c>
      <c r="C779" s="11" t="n">
        <v>45963</v>
      </c>
      <c r="D779" s="11" t="n">
        <v>45991</v>
      </c>
      <c r="E779" t="n">
        <v>4</v>
      </c>
      <c r="F779" t="n">
        <v>500</v>
      </c>
      <c r="G779">
        <f>IF(AND(D779&gt;=DATE(2025,7,1),D779&lt;=DATE(2026,6,30)),1,0)</f>
        <v>1</v>
      </c>
    </row>
    <row r="780">
      <c r="A780" t="inlineStr">
        <is>
          <t>S0231</t>
        </is>
      </c>
      <c r="B780" t="inlineStr">
        <is>
          <t>FP</t>
        </is>
      </c>
      <c r="C780" s="11" t="n">
        <v>45991</v>
      </c>
      <c r="D780" s="11" t="n">
        <v>46019</v>
      </c>
      <c r="E780" t="n">
        <v>4</v>
      </c>
      <c r="F780" t="n">
        <v>500</v>
      </c>
      <c r="G780">
        <f>IF(AND(D780&gt;=DATE(2025,7,1),D780&lt;=DATE(2026,6,30)),1,0)</f>
        <v>1</v>
      </c>
    </row>
    <row r="781">
      <c r="A781" t="inlineStr">
        <is>
          <t>S0231</t>
        </is>
      </c>
      <c r="B781" t="inlineStr">
        <is>
          <t>FP</t>
        </is>
      </c>
      <c r="C781" s="11" t="n">
        <v>46019</v>
      </c>
      <c r="D781" s="11" t="n">
        <v>46047</v>
      </c>
      <c r="E781" t="n">
        <v>4</v>
      </c>
      <c r="F781" t="n">
        <v>500</v>
      </c>
      <c r="G781">
        <f>IF(AND(D781&gt;=DATE(2025,7,1),D781&lt;=DATE(2026,6,30)),1,0)</f>
        <v>1</v>
      </c>
    </row>
    <row r="782">
      <c r="A782" t="inlineStr">
        <is>
          <t>S0231</t>
        </is>
      </c>
      <c r="B782" t="inlineStr">
        <is>
          <t>FP</t>
        </is>
      </c>
      <c r="C782" s="11" t="n">
        <v>46047</v>
      </c>
      <c r="D782" s="11" t="n">
        <v>46075</v>
      </c>
      <c r="E782" t="n">
        <v>4</v>
      </c>
      <c r="F782" t="n">
        <v>500</v>
      </c>
      <c r="G782">
        <f>IF(AND(D782&gt;=DATE(2025,7,1),D782&lt;=DATE(2026,6,30)),1,0)</f>
        <v>1</v>
      </c>
    </row>
    <row r="783">
      <c r="A783" t="inlineStr">
        <is>
          <t>S0231</t>
        </is>
      </c>
      <c r="B783" t="inlineStr">
        <is>
          <t>FP</t>
        </is>
      </c>
      <c r="C783" s="11" t="n">
        <v>46075</v>
      </c>
      <c r="D783" s="11" t="n">
        <v>46103</v>
      </c>
      <c r="E783" t="n">
        <v>4</v>
      </c>
      <c r="F783" t="n">
        <v>500</v>
      </c>
      <c r="G783">
        <f>IF(AND(D783&gt;=DATE(2025,7,1),D783&lt;=DATE(2026,6,30)),1,0)</f>
        <v>1</v>
      </c>
    </row>
    <row r="784">
      <c r="A784" t="inlineStr">
        <is>
          <t>S0231</t>
        </is>
      </c>
      <c r="B784" t="inlineStr">
        <is>
          <t>FP</t>
        </is>
      </c>
      <c r="C784" s="11" t="n">
        <v>46103</v>
      </c>
      <c r="D784" s="11" t="n">
        <v>46131</v>
      </c>
      <c r="E784" t="n">
        <v>4</v>
      </c>
      <c r="F784" t="n">
        <v>500</v>
      </c>
      <c r="G784">
        <f>IF(AND(D784&gt;=DATE(2025,7,1),D784&lt;=DATE(2026,6,30)),1,0)</f>
        <v>1</v>
      </c>
    </row>
    <row r="785">
      <c r="A785" t="inlineStr">
        <is>
          <t>S0231</t>
        </is>
      </c>
      <c r="B785" t="inlineStr">
        <is>
          <t>FP</t>
        </is>
      </c>
      <c r="C785" s="11" t="n">
        <v>46131</v>
      </c>
      <c r="D785" s="11" t="n">
        <v>46148</v>
      </c>
      <c r="E785" t="n">
        <v>3</v>
      </c>
      <c r="F785" t="n">
        <v>375</v>
      </c>
      <c r="G785">
        <f>IF(AND(D785&gt;=DATE(2025,7,1),D785&lt;=DATE(2026,6,30)),1,0)</f>
        <v>1</v>
      </c>
    </row>
    <row r="786">
      <c r="A786" t="inlineStr">
        <is>
          <t>S0232</t>
        </is>
      </c>
      <c r="B786" t="inlineStr">
        <is>
          <t>FP</t>
        </is>
      </c>
      <c r="C786" s="11" t="n">
        <v>45888</v>
      </c>
      <c r="D786" s="11" t="n">
        <v>45916</v>
      </c>
      <c r="E786" t="n">
        <v>4</v>
      </c>
      <c r="F786" t="n">
        <v>372</v>
      </c>
      <c r="G786">
        <f>IF(AND(D786&gt;=DATE(2025,7,1),D786&lt;=DATE(2026,6,30)),1,0)</f>
        <v>1</v>
      </c>
    </row>
    <row r="787">
      <c r="A787" t="inlineStr">
        <is>
          <t>S0232</t>
        </is>
      </c>
      <c r="B787" t="inlineStr">
        <is>
          <t>FP</t>
        </is>
      </c>
      <c r="C787" s="11" t="n">
        <v>45916</v>
      </c>
      <c r="D787" s="11" t="n">
        <v>45944</v>
      </c>
      <c r="E787" t="n">
        <v>4</v>
      </c>
      <c r="F787" t="n">
        <v>372</v>
      </c>
      <c r="G787">
        <f>IF(AND(D787&gt;=DATE(2025,7,1),D787&lt;=DATE(2026,6,30)),1,0)</f>
        <v>1</v>
      </c>
    </row>
    <row r="788">
      <c r="A788" t="inlineStr">
        <is>
          <t>S0232</t>
        </is>
      </c>
      <c r="B788" t="inlineStr">
        <is>
          <t>FP</t>
        </is>
      </c>
      <c r="C788" s="11" t="n">
        <v>45944</v>
      </c>
      <c r="D788" s="11" t="n">
        <v>45972</v>
      </c>
      <c r="E788" t="n">
        <v>4</v>
      </c>
      <c r="F788" t="n">
        <v>372</v>
      </c>
      <c r="G788">
        <f>IF(AND(D788&gt;=DATE(2025,7,1),D788&lt;=DATE(2026,6,30)),1,0)</f>
        <v>1</v>
      </c>
    </row>
    <row r="789">
      <c r="A789" t="inlineStr">
        <is>
          <t>S0232</t>
        </is>
      </c>
      <c r="B789" t="inlineStr">
        <is>
          <t>FP</t>
        </is>
      </c>
      <c r="C789" s="11" t="n">
        <v>45972</v>
      </c>
      <c r="D789" s="11" t="n">
        <v>46000</v>
      </c>
      <c r="E789" t="n">
        <v>4</v>
      </c>
      <c r="F789" t="n">
        <v>172</v>
      </c>
      <c r="G789">
        <f>IF(AND(D789&gt;=DATE(2025,7,1),D789&lt;=DATE(2026,6,30)),1,0)</f>
        <v>1</v>
      </c>
    </row>
    <row r="790">
      <c r="A790" t="inlineStr">
        <is>
          <t>S0232</t>
        </is>
      </c>
      <c r="B790" t="inlineStr">
        <is>
          <t>FP</t>
        </is>
      </c>
      <c r="C790" s="11" t="n">
        <v>46000</v>
      </c>
      <c r="D790" s="11" t="n">
        <v>46004</v>
      </c>
      <c r="E790" t="n">
        <v>1</v>
      </c>
      <c r="F790" t="n">
        <v>43</v>
      </c>
      <c r="G790">
        <f>IF(AND(D790&gt;=DATE(2025,7,1),D790&lt;=DATE(2026,6,30)),1,0)</f>
        <v>1</v>
      </c>
    </row>
    <row r="791">
      <c r="A791" t="inlineStr">
        <is>
          <t>S0233</t>
        </is>
      </c>
      <c r="B791" t="inlineStr">
        <is>
          <t>ST</t>
        </is>
      </c>
      <c r="C791" s="11" t="n">
        <v>45939</v>
      </c>
      <c r="D791" s="11" t="n">
        <v>45967</v>
      </c>
      <c r="E791" t="n">
        <v>4</v>
      </c>
      <c r="F791" t="n">
        <v>8</v>
      </c>
      <c r="G791">
        <f>IF(AND(D791&gt;=DATE(2025,7,1),D791&lt;=DATE(2026,6,30)),1,0)</f>
        <v>1</v>
      </c>
    </row>
    <row r="792">
      <c r="A792" t="inlineStr">
        <is>
          <t>S0233</t>
        </is>
      </c>
      <c r="B792" t="inlineStr">
        <is>
          <t>ST</t>
        </is>
      </c>
      <c r="C792" s="11" t="n">
        <v>45967</v>
      </c>
      <c r="D792" s="11" t="n">
        <v>45995</v>
      </c>
      <c r="E792" t="n">
        <v>4</v>
      </c>
      <c r="F792" t="n">
        <v>8</v>
      </c>
      <c r="G792">
        <f>IF(AND(D792&gt;=DATE(2025,7,1),D792&lt;=DATE(2026,6,30)),1,0)</f>
        <v>1</v>
      </c>
    </row>
    <row r="793">
      <c r="A793" t="inlineStr">
        <is>
          <t>S0233</t>
        </is>
      </c>
      <c r="B793" t="inlineStr">
        <is>
          <t>ST</t>
        </is>
      </c>
      <c r="C793" s="11" t="n">
        <v>45995</v>
      </c>
      <c r="D793" s="11" t="n">
        <v>46023</v>
      </c>
      <c r="E793" t="n">
        <v>4</v>
      </c>
      <c r="F793" t="n">
        <v>8</v>
      </c>
      <c r="G793">
        <f>IF(AND(D793&gt;=DATE(2025,7,1),D793&lt;=DATE(2026,6,30)),1,0)</f>
        <v>1</v>
      </c>
    </row>
    <row r="794">
      <c r="A794" t="inlineStr">
        <is>
          <t>S0233</t>
        </is>
      </c>
      <c r="B794" t="inlineStr">
        <is>
          <t>ST</t>
        </is>
      </c>
      <c r="C794" s="11" t="n">
        <v>46023</v>
      </c>
      <c r="D794" s="11" t="n">
        <v>46051</v>
      </c>
      <c r="E794" t="n">
        <v>4</v>
      </c>
      <c r="F794" t="n">
        <v>8</v>
      </c>
      <c r="G794">
        <f>IF(AND(D794&gt;=DATE(2025,7,1),D794&lt;=DATE(2026,6,30)),1,0)</f>
        <v>1</v>
      </c>
    </row>
    <row r="795">
      <c r="A795" t="inlineStr">
        <is>
          <t>S0233</t>
        </is>
      </c>
      <c r="B795" t="inlineStr">
        <is>
          <t>ST</t>
        </is>
      </c>
      <c r="C795" s="11" t="n">
        <v>46051</v>
      </c>
      <c r="D795" s="11" t="n">
        <v>46052</v>
      </c>
      <c r="E795" t="n">
        <v>1</v>
      </c>
      <c r="F795" t="n">
        <v>2</v>
      </c>
      <c r="G795">
        <f>IF(AND(D795&gt;=DATE(2025,7,1),D795&lt;=DATE(2026,6,30)),1,0)</f>
        <v>1</v>
      </c>
    </row>
    <row r="796">
      <c r="A796" t="inlineStr">
        <is>
          <t>S0234</t>
        </is>
      </c>
      <c r="B796" t="inlineStr">
        <is>
          <t>ST</t>
        </is>
      </c>
      <c r="C796" s="11" t="n">
        <v>45943</v>
      </c>
      <c r="D796" s="11" t="n">
        <v>45971</v>
      </c>
      <c r="E796" t="n">
        <v>4</v>
      </c>
      <c r="F796" t="n">
        <v>4</v>
      </c>
      <c r="G796">
        <f>IF(AND(D796&gt;=DATE(2025,7,1),D796&lt;=DATE(2026,6,30)),1,0)</f>
        <v>1</v>
      </c>
    </row>
    <row r="797">
      <c r="A797" t="inlineStr">
        <is>
          <t>S0234</t>
        </is>
      </c>
      <c r="B797" t="inlineStr">
        <is>
          <t>ST</t>
        </is>
      </c>
      <c r="C797" s="11" t="n">
        <v>45971</v>
      </c>
      <c r="D797" s="11" t="n">
        <v>45972</v>
      </c>
      <c r="E797" t="n">
        <v>1</v>
      </c>
      <c r="F797" t="n">
        <v>1</v>
      </c>
      <c r="G797">
        <f>IF(AND(D797&gt;=DATE(2025,7,1),D797&lt;=DATE(2026,6,30)),1,0)</f>
        <v>1</v>
      </c>
    </row>
    <row r="798">
      <c r="A798" t="inlineStr">
        <is>
          <t>S0235</t>
        </is>
      </c>
      <c r="B798" t="inlineStr">
        <is>
          <t>ST</t>
        </is>
      </c>
      <c r="C798" s="11" t="n">
        <v>45883</v>
      </c>
      <c r="D798" s="11" t="n">
        <v>45898</v>
      </c>
      <c r="E798" t="n">
        <v>3</v>
      </c>
      <c r="F798" t="n">
        <v>9</v>
      </c>
      <c r="G798">
        <f>IF(AND(D798&gt;=DATE(2025,7,1),D798&lt;=DATE(2026,6,30)),1,0)</f>
        <v>1</v>
      </c>
    </row>
    <row r="799">
      <c r="A799" t="inlineStr">
        <is>
          <t>S0236</t>
        </is>
      </c>
      <c r="B799" t="inlineStr">
        <is>
          <t>ST</t>
        </is>
      </c>
      <c r="C799" s="11" t="n">
        <v>45967</v>
      </c>
      <c r="D799" s="11" t="n">
        <v>45989</v>
      </c>
      <c r="E799" t="n">
        <v>4</v>
      </c>
      <c r="F799" t="n">
        <v>8</v>
      </c>
      <c r="G799">
        <f>IF(AND(D799&gt;=DATE(2025,7,1),D799&lt;=DATE(2026,6,30)),1,0)</f>
        <v>1</v>
      </c>
    </row>
    <row r="800">
      <c r="A800" t="inlineStr">
        <is>
          <t>S0237</t>
        </is>
      </c>
      <c r="B800" t="inlineStr">
        <is>
          <t>ST</t>
        </is>
      </c>
      <c r="C800" s="11" t="n">
        <v>46031</v>
      </c>
      <c r="D800" s="11" t="n">
        <v>46059</v>
      </c>
      <c r="E800" t="n">
        <v>4</v>
      </c>
      <c r="F800" t="n">
        <v>4</v>
      </c>
      <c r="G800">
        <f>IF(AND(D800&gt;=DATE(2025,7,1),D800&lt;=DATE(2026,6,30)),1,0)</f>
        <v>1</v>
      </c>
    </row>
    <row r="801">
      <c r="A801" t="inlineStr">
        <is>
          <t>S0237</t>
        </is>
      </c>
      <c r="B801" t="inlineStr">
        <is>
          <t>ST</t>
        </is>
      </c>
      <c r="C801" s="11" t="n">
        <v>46059</v>
      </c>
      <c r="D801" s="11" t="n">
        <v>46087</v>
      </c>
      <c r="E801" t="n">
        <v>4</v>
      </c>
      <c r="F801" t="n">
        <v>4</v>
      </c>
      <c r="G801">
        <f>IF(AND(D801&gt;=DATE(2025,7,1),D801&lt;=DATE(2026,6,30)),1,0)</f>
        <v>1</v>
      </c>
    </row>
    <row r="802">
      <c r="A802" t="inlineStr">
        <is>
          <t>S0237</t>
        </is>
      </c>
      <c r="B802" t="inlineStr">
        <is>
          <t>ST</t>
        </is>
      </c>
      <c r="C802" s="11" t="n">
        <v>46087</v>
      </c>
      <c r="D802" s="11" t="n">
        <v>46115</v>
      </c>
      <c r="E802" t="n">
        <v>4</v>
      </c>
      <c r="F802" t="n">
        <v>4</v>
      </c>
      <c r="G802">
        <f>IF(AND(D802&gt;=DATE(2025,7,1),D802&lt;=DATE(2026,6,30)),1,0)</f>
        <v>1</v>
      </c>
    </row>
    <row r="803">
      <c r="A803" t="inlineStr">
        <is>
          <t>S0237</t>
        </is>
      </c>
      <c r="B803" t="inlineStr">
        <is>
          <t>ST</t>
        </is>
      </c>
      <c r="C803" s="11" t="n">
        <v>46115</v>
      </c>
      <c r="D803" s="11" t="n">
        <v>46116</v>
      </c>
      <c r="E803" t="n">
        <v>1</v>
      </c>
      <c r="F803" t="n">
        <v>1</v>
      </c>
      <c r="G803">
        <f>IF(AND(D803&gt;=DATE(2025,7,1),D803&lt;=DATE(2026,6,30)),1,0)</f>
        <v>1</v>
      </c>
    </row>
    <row r="804">
      <c r="A804" t="inlineStr">
        <is>
          <t>S0238</t>
        </is>
      </c>
      <c r="B804" t="inlineStr">
        <is>
          <t>ST</t>
        </is>
      </c>
      <c r="C804" s="11" t="n">
        <v>45883</v>
      </c>
      <c r="D804" s="11" t="n">
        <v>45911</v>
      </c>
      <c r="E804" t="n">
        <v>4</v>
      </c>
      <c r="F804" t="n">
        <v>4</v>
      </c>
      <c r="G804">
        <f>IF(AND(D804&gt;=DATE(2025,7,1),D804&lt;=DATE(2026,6,30)),1,0)</f>
        <v>1</v>
      </c>
    </row>
    <row r="805">
      <c r="A805" t="inlineStr">
        <is>
          <t>S0238</t>
        </is>
      </c>
      <c r="B805" t="inlineStr">
        <is>
          <t>ST</t>
        </is>
      </c>
      <c r="C805" s="11" t="n">
        <v>45911</v>
      </c>
      <c r="D805" s="11" t="n">
        <v>45926</v>
      </c>
      <c r="E805" t="n">
        <v>3</v>
      </c>
      <c r="F805" t="n">
        <v>3</v>
      </c>
      <c r="G805">
        <f>IF(AND(D805&gt;=DATE(2025,7,1),D805&lt;=DATE(2026,6,30)),1,0)</f>
        <v>1</v>
      </c>
    </row>
    <row r="806">
      <c r="A806" t="inlineStr">
        <is>
          <t>S0239</t>
        </is>
      </c>
      <c r="B806" t="inlineStr">
        <is>
          <t>ST</t>
        </is>
      </c>
      <c r="C806" s="11" t="n">
        <v>45837</v>
      </c>
      <c r="D806" s="11" t="n">
        <v>45865</v>
      </c>
      <c r="E806" t="n">
        <v>4</v>
      </c>
      <c r="F806" t="n">
        <v>4</v>
      </c>
      <c r="G806">
        <f>IF(AND(D806&gt;=DATE(2025,7,1),D806&lt;=DATE(2026,6,30)),1,0)</f>
        <v>1</v>
      </c>
    </row>
    <row r="807">
      <c r="A807" t="inlineStr">
        <is>
          <t>S0239</t>
        </is>
      </c>
      <c r="B807" t="inlineStr">
        <is>
          <t>ST</t>
        </is>
      </c>
      <c r="C807" s="11" t="n">
        <v>45865</v>
      </c>
      <c r="D807" s="11" t="n">
        <v>45880</v>
      </c>
      <c r="E807" t="n">
        <v>3</v>
      </c>
      <c r="F807" t="n">
        <v>3</v>
      </c>
      <c r="G807">
        <f>IF(AND(D807&gt;=DATE(2025,7,1),D807&lt;=DATE(2026,6,30)),1,0)</f>
        <v>1</v>
      </c>
    </row>
    <row r="808">
      <c r="A808" t="inlineStr">
        <is>
          <t>S0240</t>
        </is>
      </c>
      <c r="B808" t="inlineStr">
        <is>
          <t>ST</t>
        </is>
      </c>
      <c r="C808" s="11" t="n">
        <v>45936</v>
      </c>
      <c r="D808" s="11" t="n">
        <v>45964</v>
      </c>
      <c r="E808" t="n">
        <v>4</v>
      </c>
      <c r="F808" t="n">
        <v>4</v>
      </c>
      <c r="G808">
        <f>IF(AND(D808&gt;=DATE(2025,7,1),D808&lt;=DATE(2026,6,30)),1,0)</f>
        <v>1</v>
      </c>
    </row>
    <row r="809">
      <c r="A809" t="inlineStr">
        <is>
          <t>S0240</t>
        </is>
      </c>
      <c r="B809" t="inlineStr">
        <is>
          <t>ST</t>
        </is>
      </c>
      <c r="C809" s="11" t="n">
        <v>45964</v>
      </c>
      <c r="D809" s="11" t="n">
        <v>45992</v>
      </c>
      <c r="E809" t="n">
        <v>4</v>
      </c>
      <c r="F809" t="n">
        <v>4</v>
      </c>
      <c r="G809">
        <f>IF(AND(D809&gt;=DATE(2025,7,1),D809&lt;=DATE(2026,6,30)),1,0)</f>
        <v>1</v>
      </c>
    </row>
    <row r="810">
      <c r="A810" t="inlineStr">
        <is>
          <t>S0240</t>
        </is>
      </c>
      <c r="B810" t="inlineStr">
        <is>
          <t>ST</t>
        </is>
      </c>
      <c r="C810" s="11" t="n">
        <v>45992</v>
      </c>
      <c r="D810" s="11" t="n">
        <v>46020</v>
      </c>
      <c r="E810" t="n">
        <v>4</v>
      </c>
      <c r="F810" t="n">
        <v>4</v>
      </c>
      <c r="G810">
        <f>IF(AND(D810&gt;=DATE(2025,7,1),D810&lt;=DATE(2026,6,30)),1,0)</f>
        <v>1</v>
      </c>
    </row>
    <row r="811">
      <c r="A811" t="inlineStr">
        <is>
          <t>S0240</t>
        </is>
      </c>
      <c r="B811" t="inlineStr">
        <is>
          <t>ST</t>
        </is>
      </c>
      <c r="C811" s="11" t="n">
        <v>46020</v>
      </c>
      <c r="D811" s="11" t="n">
        <v>46048</v>
      </c>
      <c r="E811" t="n">
        <v>4</v>
      </c>
      <c r="F811" t="n">
        <v>4</v>
      </c>
      <c r="G811">
        <f>IF(AND(D811&gt;=DATE(2025,7,1),D811&lt;=DATE(2026,6,30)),1,0)</f>
        <v>1</v>
      </c>
    </row>
    <row r="812">
      <c r="A812" t="inlineStr">
        <is>
          <t>S0240</t>
        </is>
      </c>
      <c r="B812" t="inlineStr">
        <is>
          <t>ST</t>
        </is>
      </c>
      <c r="C812" s="11" t="n">
        <v>46048</v>
      </c>
      <c r="D812" s="11" t="n">
        <v>46049</v>
      </c>
      <c r="E812" t="n">
        <v>1</v>
      </c>
      <c r="F812" t="n">
        <v>1</v>
      </c>
      <c r="G812">
        <f>IF(AND(D812&gt;=DATE(2025,7,1),D812&lt;=DATE(2026,6,30)),1,0)</f>
        <v>1</v>
      </c>
    </row>
    <row r="813">
      <c r="A813" t="inlineStr">
        <is>
          <t>S0241</t>
        </is>
      </c>
      <c r="B813" t="inlineStr">
        <is>
          <t>ST</t>
        </is>
      </c>
      <c r="C813" s="11" t="n">
        <v>45838</v>
      </c>
      <c r="D813" s="11" t="n">
        <v>45853</v>
      </c>
      <c r="E813" t="n">
        <v>3</v>
      </c>
      <c r="F813" t="n">
        <v>6</v>
      </c>
      <c r="G813">
        <f>IF(AND(D813&gt;=DATE(2025,7,1),D813&lt;=DATE(2026,6,30)),1,0)</f>
        <v>1</v>
      </c>
    </row>
    <row r="814">
      <c r="A814" t="inlineStr">
        <is>
          <t>S0242</t>
        </is>
      </c>
      <c r="B814" t="inlineStr">
        <is>
          <t>ST</t>
        </is>
      </c>
      <c r="C814" s="11" t="n">
        <v>46088</v>
      </c>
      <c r="D814" s="11" t="n">
        <v>46103</v>
      </c>
      <c r="E814" t="n">
        <v>3</v>
      </c>
      <c r="F814" t="n">
        <v>12</v>
      </c>
      <c r="G814">
        <f>IF(AND(D814&gt;=DATE(2025,7,1),D814&lt;=DATE(2026,6,30)),1,0)</f>
        <v>1</v>
      </c>
    </row>
    <row r="815">
      <c r="A815" t="inlineStr">
        <is>
          <t>S0243</t>
        </is>
      </c>
      <c r="B815" t="inlineStr">
        <is>
          <t>ST</t>
        </is>
      </c>
      <c r="C815" s="11" t="n">
        <v>45998</v>
      </c>
      <c r="D815" s="11" t="n">
        <v>46026</v>
      </c>
      <c r="E815" t="n">
        <v>4</v>
      </c>
      <c r="F815" t="n">
        <v>8</v>
      </c>
      <c r="G815">
        <f>IF(AND(D815&gt;=DATE(2025,7,1),D815&lt;=DATE(2026,6,30)),1,0)</f>
        <v>1</v>
      </c>
    </row>
    <row r="816">
      <c r="A816" t="inlineStr">
        <is>
          <t>S0243</t>
        </is>
      </c>
      <c r="B816" t="inlineStr">
        <is>
          <t>ST</t>
        </is>
      </c>
      <c r="C816" s="11" t="n">
        <v>46026</v>
      </c>
      <c r="D816" s="11" t="n">
        <v>46041</v>
      </c>
      <c r="E816" t="n">
        <v>3</v>
      </c>
      <c r="F816" t="n">
        <v>6</v>
      </c>
      <c r="G816">
        <f>IF(AND(D816&gt;=DATE(2025,7,1),D816&lt;=DATE(2026,6,30)),1,0)</f>
        <v>1</v>
      </c>
    </row>
    <row r="817">
      <c r="A817" t="inlineStr">
        <is>
          <t>S0244</t>
        </is>
      </c>
      <c r="B817" t="inlineStr">
        <is>
          <t>ST</t>
        </is>
      </c>
      <c r="C817" s="11" t="n">
        <v>45838</v>
      </c>
      <c r="D817" s="11" t="n">
        <v>45866</v>
      </c>
      <c r="E817" t="n">
        <v>4</v>
      </c>
      <c r="F817" t="n">
        <v>4</v>
      </c>
      <c r="G817">
        <f>IF(AND(D817&gt;=DATE(2025,7,1),D817&lt;=DATE(2026,6,30)),1,0)</f>
        <v>1</v>
      </c>
    </row>
    <row r="818">
      <c r="A818" t="inlineStr">
        <is>
          <t>S0244</t>
        </is>
      </c>
      <c r="B818" t="inlineStr">
        <is>
          <t>ST</t>
        </is>
      </c>
      <c r="C818" s="11" t="n">
        <v>45866</v>
      </c>
      <c r="D818" s="11" t="n">
        <v>45881</v>
      </c>
      <c r="E818" t="n">
        <v>3</v>
      </c>
      <c r="F818" t="n">
        <v>3</v>
      </c>
      <c r="G818">
        <f>IF(AND(D818&gt;=DATE(2025,7,1),D818&lt;=DATE(2026,6,30)),1,0)</f>
        <v>1</v>
      </c>
    </row>
    <row r="819">
      <c r="A819" t="inlineStr">
        <is>
          <t>S0245</t>
        </is>
      </c>
      <c r="B819" t="inlineStr">
        <is>
          <t>ST</t>
        </is>
      </c>
      <c r="C819" s="11" t="n">
        <v>46049</v>
      </c>
      <c r="D819" s="11" t="n">
        <v>46077</v>
      </c>
      <c r="E819" t="n">
        <v>4</v>
      </c>
      <c r="F819" t="n">
        <v>16</v>
      </c>
      <c r="G819">
        <f>IF(AND(D819&gt;=DATE(2025,7,1),D819&lt;=DATE(2026,6,30)),1,0)</f>
        <v>1</v>
      </c>
    </row>
    <row r="820">
      <c r="A820" t="inlineStr">
        <is>
          <t>S0245</t>
        </is>
      </c>
      <c r="B820" t="inlineStr">
        <is>
          <t>ST</t>
        </is>
      </c>
      <c r="C820" s="11" t="n">
        <v>46077</v>
      </c>
      <c r="D820" s="11" t="n">
        <v>46105</v>
      </c>
      <c r="E820" t="n">
        <v>4</v>
      </c>
      <c r="F820" t="n">
        <v>16</v>
      </c>
      <c r="G820">
        <f>IF(AND(D820&gt;=DATE(2025,7,1),D820&lt;=DATE(2026,6,30)),1,0)</f>
        <v>1</v>
      </c>
    </row>
    <row r="821">
      <c r="A821" t="inlineStr">
        <is>
          <t>S0245</t>
        </is>
      </c>
      <c r="B821" t="inlineStr">
        <is>
          <t>ST</t>
        </is>
      </c>
      <c r="C821" s="11" t="n">
        <v>46105</v>
      </c>
      <c r="D821" s="11" t="n">
        <v>46106</v>
      </c>
      <c r="E821" t="n">
        <v>1</v>
      </c>
      <c r="F821" t="n">
        <v>4</v>
      </c>
      <c r="G821">
        <f>IF(AND(D821&gt;=DATE(2025,7,1),D821&lt;=DATE(2026,6,30)),1,0)</f>
        <v>1</v>
      </c>
    </row>
    <row r="822">
      <c r="A822" t="inlineStr">
        <is>
          <t>S0246</t>
        </is>
      </c>
      <c r="B822" t="inlineStr">
        <is>
          <t>ST</t>
        </is>
      </c>
      <c r="C822" s="11" t="n">
        <v>45996</v>
      </c>
      <c r="D822" s="11" t="n">
        <v>46024</v>
      </c>
      <c r="E822" t="n">
        <v>4</v>
      </c>
      <c r="F822" t="n">
        <v>16</v>
      </c>
      <c r="G822">
        <f>IF(AND(D822&gt;=DATE(2025,7,1),D822&lt;=DATE(2026,6,30)),1,0)</f>
        <v>1</v>
      </c>
    </row>
    <row r="823">
      <c r="A823" t="inlineStr">
        <is>
          <t>S0246</t>
        </is>
      </c>
      <c r="B823" t="inlineStr">
        <is>
          <t>ST</t>
        </is>
      </c>
      <c r="C823" s="11" t="n">
        <v>46024</v>
      </c>
      <c r="D823" s="11" t="n">
        <v>46039</v>
      </c>
      <c r="E823" t="n">
        <v>3</v>
      </c>
      <c r="F823" t="n">
        <v>12</v>
      </c>
      <c r="G823">
        <f>IF(AND(D823&gt;=DATE(2025,7,1),D823&lt;=DATE(2026,6,30)),1,0)</f>
        <v>1</v>
      </c>
    </row>
    <row r="824">
      <c r="A824" t="inlineStr">
        <is>
          <t>S0247</t>
        </is>
      </c>
      <c r="B824" t="inlineStr">
        <is>
          <t>ST</t>
        </is>
      </c>
      <c r="C824" s="11" t="n">
        <v>45862</v>
      </c>
      <c r="D824" s="11" t="n">
        <v>45890</v>
      </c>
      <c r="E824" t="n">
        <v>4</v>
      </c>
      <c r="F824" t="n">
        <v>8</v>
      </c>
      <c r="G824">
        <f>IF(AND(D824&gt;=DATE(2025,7,1),D824&lt;=DATE(2026,6,30)),1,0)</f>
        <v>1</v>
      </c>
    </row>
    <row r="825">
      <c r="A825" t="inlineStr">
        <is>
          <t>S0247</t>
        </is>
      </c>
      <c r="B825" t="inlineStr">
        <is>
          <t>ST</t>
        </is>
      </c>
      <c r="C825" s="11" t="n">
        <v>45890</v>
      </c>
      <c r="D825" s="11" t="n">
        <v>45918</v>
      </c>
      <c r="E825" t="n">
        <v>4</v>
      </c>
      <c r="F825" t="n">
        <v>8</v>
      </c>
      <c r="G825">
        <f>IF(AND(D825&gt;=DATE(2025,7,1),D825&lt;=DATE(2026,6,30)),1,0)</f>
        <v>1</v>
      </c>
    </row>
    <row r="826">
      <c r="A826" t="inlineStr">
        <is>
          <t>S0247</t>
        </is>
      </c>
      <c r="B826" t="inlineStr">
        <is>
          <t>ST</t>
        </is>
      </c>
      <c r="C826" s="11" t="n">
        <v>45918</v>
      </c>
      <c r="D826" s="11" t="n">
        <v>45946</v>
      </c>
      <c r="E826" t="n">
        <v>4</v>
      </c>
      <c r="F826" t="n">
        <v>8</v>
      </c>
      <c r="G826">
        <f>IF(AND(D826&gt;=DATE(2025,7,1),D826&lt;=DATE(2026,6,30)),1,0)</f>
        <v>1</v>
      </c>
    </row>
    <row r="827">
      <c r="A827" t="inlineStr">
        <is>
          <t>S0247</t>
        </is>
      </c>
      <c r="B827" t="inlineStr">
        <is>
          <t>ST</t>
        </is>
      </c>
      <c r="C827" s="11" t="n">
        <v>45946</v>
      </c>
      <c r="D827" s="11" t="n">
        <v>45974</v>
      </c>
      <c r="E827" t="n">
        <v>4</v>
      </c>
      <c r="F827" t="n">
        <v>8</v>
      </c>
      <c r="G827">
        <f>IF(AND(D827&gt;=DATE(2025,7,1),D827&lt;=DATE(2026,6,30)),1,0)</f>
        <v>1</v>
      </c>
    </row>
    <row r="828">
      <c r="A828" t="inlineStr">
        <is>
          <t>S0247</t>
        </is>
      </c>
      <c r="B828" t="inlineStr">
        <is>
          <t>ST</t>
        </is>
      </c>
      <c r="C828" s="11" t="n">
        <v>45974</v>
      </c>
      <c r="D828" s="11" t="n">
        <v>45975</v>
      </c>
      <c r="E828" t="n">
        <v>1</v>
      </c>
      <c r="F828" t="n">
        <v>2</v>
      </c>
      <c r="G828">
        <f>IF(AND(D828&gt;=DATE(2025,7,1),D828&lt;=DATE(2026,6,30)),1,0)</f>
        <v>1</v>
      </c>
    </row>
    <row r="829">
      <c r="A829" t="inlineStr">
        <is>
          <t>S0248</t>
        </is>
      </c>
      <c r="B829" t="inlineStr">
        <is>
          <t>ST</t>
        </is>
      </c>
      <c r="C829" s="11" t="n">
        <v>45850</v>
      </c>
      <c r="D829" s="11" t="n">
        <v>45878</v>
      </c>
      <c r="E829" t="n">
        <v>4</v>
      </c>
      <c r="F829" t="n">
        <v>8</v>
      </c>
      <c r="G829">
        <f>IF(AND(D829&gt;=DATE(2025,7,1),D829&lt;=DATE(2026,6,30)),1,0)</f>
        <v>1</v>
      </c>
    </row>
    <row r="830">
      <c r="A830" t="inlineStr">
        <is>
          <t>S0248</t>
        </is>
      </c>
      <c r="B830" t="inlineStr">
        <is>
          <t>ST</t>
        </is>
      </c>
      <c r="C830" s="11" t="n">
        <v>45878</v>
      </c>
      <c r="D830" s="11" t="n">
        <v>45906</v>
      </c>
      <c r="E830" t="n">
        <v>4</v>
      </c>
      <c r="F830" t="n">
        <v>8</v>
      </c>
      <c r="G830">
        <f>IF(AND(D830&gt;=DATE(2025,7,1),D830&lt;=DATE(2026,6,30)),1,0)</f>
        <v>1</v>
      </c>
    </row>
    <row r="831">
      <c r="A831" t="inlineStr">
        <is>
          <t>S0248</t>
        </is>
      </c>
      <c r="B831" t="inlineStr">
        <is>
          <t>ST</t>
        </is>
      </c>
      <c r="C831" s="11" t="n">
        <v>45906</v>
      </c>
      <c r="D831" s="11" t="n">
        <v>45907</v>
      </c>
      <c r="E831" t="n">
        <v>1</v>
      </c>
      <c r="F831" t="n">
        <v>2</v>
      </c>
      <c r="G831">
        <f>IF(AND(D831&gt;=DATE(2025,7,1),D831&lt;=DATE(2026,6,30)),1,0)</f>
        <v>1</v>
      </c>
    </row>
    <row r="832">
      <c r="A832" t="inlineStr">
        <is>
          <t>S0249</t>
        </is>
      </c>
      <c r="B832" t="inlineStr">
        <is>
          <t>ST</t>
        </is>
      </c>
      <c r="C832" s="11" t="n">
        <v>45905</v>
      </c>
      <c r="D832" s="11" t="n">
        <v>45927</v>
      </c>
      <c r="E832" t="n">
        <v>4</v>
      </c>
      <c r="F832" t="n">
        <v>4</v>
      </c>
      <c r="G832">
        <f>IF(AND(D832&gt;=DATE(2025,7,1),D832&lt;=DATE(2026,6,30)),1,0)</f>
        <v>1</v>
      </c>
    </row>
    <row r="833">
      <c r="A833" t="inlineStr">
        <is>
          <t>S0250</t>
        </is>
      </c>
      <c r="B833" t="inlineStr">
        <is>
          <t>ST</t>
        </is>
      </c>
      <c r="C833" s="11" t="n">
        <v>46143</v>
      </c>
      <c r="D833" s="11" t="n">
        <v>46158</v>
      </c>
      <c r="E833" t="n">
        <v>3</v>
      </c>
      <c r="F833" t="n">
        <v>3</v>
      </c>
      <c r="G833">
        <f>IF(AND(D833&gt;=DATE(2025,7,1),D833&lt;=DATE(2026,6,30)),1,0)</f>
        <v>1</v>
      </c>
    </row>
    <row r="834">
      <c r="A834" t="inlineStr">
        <is>
          <t>S0251</t>
        </is>
      </c>
      <c r="B834" t="inlineStr">
        <is>
          <t>ST</t>
        </is>
      </c>
      <c r="C834" s="11" t="n">
        <v>45996</v>
      </c>
      <c r="D834" s="11" t="n">
        <v>46024</v>
      </c>
      <c r="E834" t="n">
        <v>4</v>
      </c>
      <c r="F834" t="n">
        <v>4</v>
      </c>
      <c r="G834">
        <f>IF(AND(D834&gt;=DATE(2025,7,1),D834&lt;=DATE(2026,6,30)),1,0)</f>
        <v>1</v>
      </c>
    </row>
    <row r="835">
      <c r="A835" t="inlineStr">
        <is>
          <t>S0251</t>
        </is>
      </c>
      <c r="B835" t="inlineStr">
        <is>
          <t>ST</t>
        </is>
      </c>
      <c r="C835" s="11" t="n">
        <v>46024</v>
      </c>
      <c r="D835" s="11" t="n">
        <v>46052</v>
      </c>
      <c r="E835" t="n">
        <v>4</v>
      </c>
      <c r="F835" t="n">
        <v>4</v>
      </c>
      <c r="G835">
        <f>IF(AND(D835&gt;=DATE(2025,7,1),D835&lt;=DATE(2026,6,30)),1,0)</f>
        <v>1</v>
      </c>
    </row>
    <row r="836">
      <c r="A836" t="inlineStr">
        <is>
          <t>S0251</t>
        </is>
      </c>
      <c r="B836" t="inlineStr">
        <is>
          <t>ST</t>
        </is>
      </c>
      <c r="C836" s="11" t="n">
        <v>46052</v>
      </c>
      <c r="D836" s="11" t="n">
        <v>46080</v>
      </c>
      <c r="E836" t="n">
        <v>4</v>
      </c>
      <c r="F836" t="n">
        <v>4</v>
      </c>
      <c r="G836">
        <f>IF(AND(D836&gt;=DATE(2025,7,1),D836&lt;=DATE(2026,6,30)),1,0)</f>
        <v>1</v>
      </c>
    </row>
    <row r="837">
      <c r="A837" t="inlineStr">
        <is>
          <t>S0251</t>
        </is>
      </c>
      <c r="B837" t="inlineStr">
        <is>
          <t>ST</t>
        </is>
      </c>
      <c r="C837" s="11" t="n">
        <v>46080</v>
      </c>
      <c r="D837" s="11" t="n">
        <v>46108</v>
      </c>
      <c r="E837" t="n">
        <v>4</v>
      </c>
      <c r="F837" t="n">
        <v>4</v>
      </c>
      <c r="G837">
        <f>IF(AND(D837&gt;=DATE(2025,7,1),D837&lt;=DATE(2026,6,30)),1,0)</f>
        <v>1</v>
      </c>
    </row>
    <row r="838">
      <c r="A838" t="inlineStr">
        <is>
          <t>S0251</t>
        </is>
      </c>
      <c r="B838" t="inlineStr">
        <is>
          <t>ST</t>
        </is>
      </c>
      <c r="C838" s="11" t="n">
        <v>46108</v>
      </c>
      <c r="D838" s="11" t="n">
        <v>46109</v>
      </c>
      <c r="E838" t="n">
        <v>1</v>
      </c>
      <c r="F838" t="n">
        <v>1</v>
      </c>
      <c r="G838">
        <f>IF(AND(D838&gt;=DATE(2025,7,1),D838&lt;=DATE(2026,6,30)),1,0)</f>
        <v>1</v>
      </c>
    </row>
    <row r="839">
      <c r="A839" t="inlineStr">
        <is>
          <t>S0252</t>
        </is>
      </c>
      <c r="B839" t="inlineStr">
        <is>
          <t>ST</t>
        </is>
      </c>
      <c r="C839" s="11" t="n">
        <v>45850</v>
      </c>
      <c r="D839" s="11" t="n">
        <v>45865</v>
      </c>
      <c r="E839" t="n">
        <v>3</v>
      </c>
      <c r="F839" t="n">
        <v>9</v>
      </c>
      <c r="G839">
        <f>IF(AND(D839&gt;=DATE(2025,7,1),D839&lt;=DATE(2026,6,30)),1,0)</f>
        <v>1</v>
      </c>
    </row>
    <row r="840">
      <c r="A840" t="inlineStr">
        <is>
          <t>S0253</t>
        </is>
      </c>
      <c r="B840" t="inlineStr">
        <is>
          <t>ST</t>
        </is>
      </c>
      <c r="C840" s="11" t="n">
        <v>45886</v>
      </c>
      <c r="D840" s="11" t="n">
        <v>45914</v>
      </c>
      <c r="E840" t="n">
        <v>4</v>
      </c>
      <c r="F840" t="n">
        <v>12</v>
      </c>
      <c r="G840">
        <f>IF(AND(D840&gt;=DATE(2025,7,1),D840&lt;=DATE(2026,6,30)),1,0)</f>
        <v>1</v>
      </c>
    </row>
    <row r="841">
      <c r="A841" t="inlineStr">
        <is>
          <t>S0253</t>
        </is>
      </c>
      <c r="B841" t="inlineStr">
        <is>
          <t>ST</t>
        </is>
      </c>
      <c r="C841" s="11" t="n">
        <v>45914</v>
      </c>
      <c r="D841" s="11" t="n">
        <v>45929</v>
      </c>
      <c r="E841" t="n">
        <v>3</v>
      </c>
      <c r="F841" t="n">
        <v>9</v>
      </c>
      <c r="G841">
        <f>IF(AND(D841&gt;=DATE(2025,7,1),D841&lt;=DATE(2026,6,30)),1,0)</f>
        <v>1</v>
      </c>
    </row>
    <row r="842">
      <c r="A842" t="inlineStr">
        <is>
          <t>S0254</t>
        </is>
      </c>
      <c r="B842" t="inlineStr">
        <is>
          <t>ST</t>
        </is>
      </c>
      <c r="C842" s="11" t="n">
        <v>46123</v>
      </c>
      <c r="D842" s="11" t="n">
        <v>46151</v>
      </c>
      <c r="E842" t="n">
        <v>4</v>
      </c>
      <c r="F842" t="n">
        <v>8</v>
      </c>
      <c r="G842">
        <f>IF(AND(D842&gt;=DATE(2025,7,1),D842&lt;=DATE(2026,6,30)),1,0)</f>
        <v>1</v>
      </c>
    </row>
    <row r="843">
      <c r="A843" t="inlineStr">
        <is>
          <t>S0254</t>
        </is>
      </c>
      <c r="B843" t="inlineStr">
        <is>
          <t>ST</t>
        </is>
      </c>
      <c r="C843" s="11" t="n">
        <v>46151</v>
      </c>
      <c r="D843" s="11" t="n">
        <v>46166</v>
      </c>
      <c r="E843" t="n">
        <v>3</v>
      </c>
      <c r="F843" t="n">
        <v>6</v>
      </c>
      <c r="G843">
        <f>IF(AND(D843&gt;=DATE(2025,7,1),D843&lt;=DATE(2026,6,30)),1,0)</f>
        <v>1</v>
      </c>
    </row>
    <row r="844">
      <c r="A844" t="inlineStr">
        <is>
          <t>S0255</t>
        </is>
      </c>
      <c r="B844" t="inlineStr">
        <is>
          <t>ST</t>
        </is>
      </c>
      <c r="C844" s="11" t="n">
        <v>45984</v>
      </c>
      <c r="D844" s="11" t="n">
        <v>45999</v>
      </c>
      <c r="E844" t="n">
        <v>3</v>
      </c>
      <c r="F844" t="n">
        <v>9</v>
      </c>
      <c r="G844">
        <f>IF(AND(D844&gt;=DATE(2025,7,1),D844&lt;=DATE(2026,6,30)),1,0)</f>
        <v>1</v>
      </c>
    </row>
    <row r="845">
      <c r="A845" t="inlineStr">
        <is>
          <t>S0256</t>
        </is>
      </c>
      <c r="B845" t="inlineStr">
        <is>
          <t>ST</t>
        </is>
      </c>
      <c r="C845" s="11" t="n">
        <v>45853</v>
      </c>
      <c r="D845" s="11" t="n">
        <v>45881</v>
      </c>
      <c r="E845" t="n">
        <v>4</v>
      </c>
      <c r="F845" t="n">
        <v>8</v>
      </c>
      <c r="G845">
        <f>IF(AND(D845&gt;=DATE(2025,7,1),D845&lt;=DATE(2026,6,30)),1,0)</f>
        <v>1</v>
      </c>
    </row>
    <row r="846">
      <c r="A846" t="inlineStr">
        <is>
          <t>S0256</t>
        </is>
      </c>
      <c r="B846" t="inlineStr">
        <is>
          <t>ST</t>
        </is>
      </c>
      <c r="C846" s="11" t="n">
        <v>45881</v>
      </c>
      <c r="D846" s="11" t="n">
        <v>45896</v>
      </c>
      <c r="E846" t="n">
        <v>3</v>
      </c>
      <c r="F846" t="n">
        <v>6</v>
      </c>
      <c r="G846">
        <f>IF(AND(D846&gt;=DATE(2025,7,1),D846&lt;=DATE(2026,6,30)),1,0)</f>
        <v>1</v>
      </c>
    </row>
    <row r="847">
      <c r="A847" t="inlineStr">
        <is>
          <t>S0257</t>
        </is>
      </c>
      <c r="B847" t="inlineStr">
        <is>
          <t>ST</t>
        </is>
      </c>
      <c r="C847" s="11" t="n">
        <v>46127</v>
      </c>
      <c r="D847" s="11" t="n">
        <v>46135</v>
      </c>
      <c r="E847" t="n">
        <v>2</v>
      </c>
      <c r="F847" t="n">
        <v>12</v>
      </c>
      <c r="G847">
        <f>IF(AND(D847&gt;=DATE(2025,7,1),D847&lt;=DATE(2026,6,30)),1,0)</f>
        <v>1</v>
      </c>
    </row>
    <row r="848">
      <c r="A848" t="inlineStr">
        <is>
          <t>S0258</t>
        </is>
      </c>
      <c r="B848" t="inlineStr">
        <is>
          <t>ST</t>
        </is>
      </c>
      <c r="C848" s="11" t="n">
        <v>46059</v>
      </c>
      <c r="D848" s="11" t="n">
        <v>46087</v>
      </c>
      <c r="E848" t="n">
        <v>4</v>
      </c>
      <c r="F848" t="n">
        <v>8</v>
      </c>
      <c r="G848">
        <f>IF(AND(D848&gt;=DATE(2025,7,1),D848&lt;=DATE(2026,6,30)),1,0)</f>
        <v>1</v>
      </c>
    </row>
    <row r="849">
      <c r="A849" t="inlineStr">
        <is>
          <t>S0258</t>
        </is>
      </c>
      <c r="B849" t="inlineStr">
        <is>
          <t>ST</t>
        </is>
      </c>
      <c r="C849" s="11" t="n">
        <v>46087</v>
      </c>
      <c r="D849" s="11" t="n">
        <v>46115</v>
      </c>
      <c r="E849" t="n">
        <v>4</v>
      </c>
      <c r="F849" t="n">
        <v>8</v>
      </c>
      <c r="G849">
        <f>IF(AND(D849&gt;=DATE(2025,7,1),D849&lt;=DATE(2026,6,30)),1,0)</f>
        <v>1</v>
      </c>
    </row>
    <row r="850">
      <c r="A850" t="inlineStr">
        <is>
          <t>S0258</t>
        </is>
      </c>
      <c r="B850" t="inlineStr">
        <is>
          <t>ST</t>
        </is>
      </c>
      <c r="C850" s="11" t="n">
        <v>46115</v>
      </c>
      <c r="D850" s="11" t="n">
        <v>46143</v>
      </c>
      <c r="E850" t="n">
        <v>4</v>
      </c>
      <c r="F850" t="n">
        <v>8</v>
      </c>
      <c r="G850">
        <f>IF(AND(D850&gt;=DATE(2025,7,1),D850&lt;=DATE(2026,6,30)),1,0)</f>
        <v>1</v>
      </c>
    </row>
    <row r="851">
      <c r="A851" t="inlineStr">
        <is>
          <t>S0258</t>
        </is>
      </c>
      <c r="B851" t="inlineStr">
        <is>
          <t>ST</t>
        </is>
      </c>
      <c r="C851" s="11" t="n">
        <v>46143</v>
      </c>
      <c r="D851" s="11" t="n">
        <v>46144</v>
      </c>
      <c r="E851" t="n">
        <v>1</v>
      </c>
      <c r="F851" t="n">
        <v>2</v>
      </c>
      <c r="G851">
        <f>IF(AND(D851&gt;=DATE(2025,7,1),D851&lt;=DATE(2026,6,30)),1,0)</f>
        <v>1</v>
      </c>
    </row>
    <row r="852">
      <c r="A852" t="inlineStr">
        <is>
          <t>S0259</t>
        </is>
      </c>
      <c r="B852" t="inlineStr">
        <is>
          <t>ST</t>
        </is>
      </c>
      <c r="C852" s="11" t="n">
        <v>46160</v>
      </c>
      <c r="D852" s="11" t="n">
        <v>46168</v>
      </c>
      <c r="E852" t="n">
        <v>2</v>
      </c>
      <c r="F852" t="n">
        <v>6</v>
      </c>
      <c r="G852">
        <f>IF(AND(D852&gt;=DATE(2025,7,1),D852&lt;=DATE(2026,6,30)),1,0)</f>
        <v>1</v>
      </c>
    </row>
    <row r="853">
      <c r="A853" t="inlineStr">
        <is>
          <t>S0260</t>
        </is>
      </c>
      <c r="B853" t="inlineStr">
        <is>
          <t>ST</t>
        </is>
      </c>
      <c r="C853" s="11" t="n">
        <v>45995</v>
      </c>
      <c r="D853" s="11" t="n">
        <v>46017</v>
      </c>
      <c r="E853" t="n">
        <v>4</v>
      </c>
      <c r="F853" t="n">
        <v>4</v>
      </c>
      <c r="G853">
        <f>IF(AND(D853&gt;=DATE(2025,7,1),D853&lt;=DATE(2026,6,30)),1,0)</f>
        <v>1</v>
      </c>
    </row>
    <row r="854">
      <c r="A854" t="inlineStr">
        <is>
          <t>S0261</t>
        </is>
      </c>
      <c r="B854" t="inlineStr">
        <is>
          <t>ST</t>
        </is>
      </c>
      <c r="C854" s="11" t="n">
        <v>45901</v>
      </c>
      <c r="D854" s="11" t="n">
        <v>45929</v>
      </c>
      <c r="E854" t="n">
        <v>4</v>
      </c>
      <c r="F854" t="n">
        <v>16</v>
      </c>
      <c r="G854">
        <f>IF(AND(D854&gt;=DATE(2025,7,1),D854&lt;=DATE(2026,6,30)),1,0)</f>
        <v>1</v>
      </c>
    </row>
    <row r="855">
      <c r="A855" t="inlineStr">
        <is>
          <t>S0261</t>
        </is>
      </c>
      <c r="B855" t="inlineStr">
        <is>
          <t>ST</t>
        </is>
      </c>
      <c r="C855" s="11" t="n">
        <v>45929</v>
      </c>
      <c r="D855" s="11" t="n">
        <v>45957</v>
      </c>
      <c r="E855" t="n">
        <v>4</v>
      </c>
      <c r="F855" t="n">
        <v>16</v>
      </c>
      <c r="G855">
        <f>IF(AND(D855&gt;=DATE(2025,7,1),D855&lt;=DATE(2026,6,30)),1,0)</f>
        <v>1</v>
      </c>
    </row>
    <row r="856">
      <c r="A856" t="inlineStr">
        <is>
          <t>S0261</t>
        </is>
      </c>
      <c r="B856" t="inlineStr">
        <is>
          <t>ST</t>
        </is>
      </c>
      <c r="C856" s="11" t="n">
        <v>45957</v>
      </c>
      <c r="D856" s="11" t="n">
        <v>45958</v>
      </c>
      <c r="E856" t="n">
        <v>1</v>
      </c>
      <c r="F856" t="n">
        <v>4</v>
      </c>
      <c r="G856">
        <f>IF(AND(D856&gt;=DATE(2025,7,1),D856&lt;=DATE(2026,6,30)),1,0)</f>
        <v>1</v>
      </c>
    </row>
    <row r="857">
      <c r="A857" t="inlineStr">
        <is>
          <t>S0262</t>
        </is>
      </c>
      <c r="B857" t="inlineStr">
        <is>
          <t>ST</t>
        </is>
      </c>
      <c r="C857" s="11" t="n">
        <v>45886</v>
      </c>
      <c r="D857" s="11" t="n">
        <v>45914</v>
      </c>
      <c r="E857" t="n">
        <v>4</v>
      </c>
      <c r="F857" t="n">
        <v>8</v>
      </c>
      <c r="G857">
        <f>IF(AND(D857&gt;=DATE(2025,7,1),D857&lt;=DATE(2026,6,30)),1,0)</f>
        <v>1</v>
      </c>
    </row>
    <row r="858">
      <c r="A858" t="inlineStr">
        <is>
          <t>S0262</t>
        </is>
      </c>
      <c r="B858" t="inlineStr">
        <is>
          <t>ST</t>
        </is>
      </c>
      <c r="C858" s="11" t="n">
        <v>45914</v>
      </c>
      <c r="D858" s="11" t="n">
        <v>45942</v>
      </c>
      <c r="E858" t="n">
        <v>4</v>
      </c>
      <c r="F858" t="n">
        <v>8</v>
      </c>
      <c r="G858">
        <f>IF(AND(D858&gt;=DATE(2025,7,1),D858&lt;=DATE(2026,6,30)),1,0)</f>
        <v>1</v>
      </c>
    </row>
    <row r="859">
      <c r="A859" t="inlineStr">
        <is>
          <t>S0262</t>
        </is>
      </c>
      <c r="B859" t="inlineStr">
        <is>
          <t>ST</t>
        </is>
      </c>
      <c r="C859" s="11" t="n">
        <v>45942</v>
      </c>
      <c r="D859" s="11" t="n">
        <v>45943</v>
      </c>
      <c r="E859" t="n">
        <v>1</v>
      </c>
      <c r="F859" t="n">
        <v>2</v>
      </c>
      <c r="G859">
        <f>IF(AND(D859&gt;=DATE(2025,7,1),D859&lt;=DATE(2026,6,30)),1,0)</f>
        <v>1</v>
      </c>
    </row>
    <row r="860">
      <c r="A860" t="inlineStr">
        <is>
          <t>S0263</t>
        </is>
      </c>
      <c r="B860" t="inlineStr">
        <is>
          <t>ST</t>
        </is>
      </c>
      <c r="C860" s="11" t="n">
        <v>46004</v>
      </c>
      <c r="D860" s="11" t="n">
        <v>46032</v>
      </c>
      <c r="E860" t="n">
        <v>4</v>
      </c>
      <c r="F860" t="n">
        <v>12</v>
      </c>
      <c r="G860">
        <f>IF(AND(D860&gt;=DATE(2025,7,1),D860&lt;=DATE(2026,6,30)),1,0)</f>
        <v>1</v>
      </c>
    </row>
    <row r="861">
      <c r="A861" t="inlineStr">
        <is>
          <t>S0263</t>
        </is>
      </c>
      <c r="B861" t="inlineStr">
        <is>
          <t>ST</t>
        </is>
      </c>
      <c r="C861" s="11" t="n">
        <v>46032</v>
      </c>
      <c r="D861" s="11" t="n">
        <v>46060</v>
      </c>
      <c r="E861" t="n">
        <v>4</v>
      </c>
      <c r="F861" t="n">
        <v>12</v>
      </c>
      <c r="G861">
        <f>IF(AND(D861&gt;=DATE(2025,7,1),D861&lt;=DATE(2026,6,30)),1,0)</f>
        <v>1</v>
      </c>
    </row>
    <row r="862">
      <c r="A862" t="inlineStr">
        <is>
          <t>S0263</t>
        </is>
      </c>
      <c r="B862" t="inlineStr">
        <is>
          <t>ST</t>
        </is>
      </c>
      <c r="C862" s="11" t="n">
        <v>46060</v>
      </c>
      <c r="D862" s="11" t="n">
        <v>46088</v>
      </c>
      <c r="E862" t="n">
        <v>4</v>
      </c>
      <c r="F862" t="n">
        <v>12</v>
      </c>
      <c r="G862">
        <f>IF(AND(D862&gt;=DATE(2025,7,1),D862&lt;=DATE(2026,6,30)),1,0)</f>
        <v>1</v>
      </c>
    </row>
    <row r="863">
      <c r="A863" t="inlineStr">
        <is>
          <t>S0263</t>
        </is>
      </c>
      <c r="B863" t="inlineStr">
        <is>
          <t>ST</t>
        </is>
      </c>
      <c r="C863" s="11" t="n">
        <v>46088</v>
      </c>
      <c r="D863" s="11" t="n">
        <v>46089</v>
      </c>
      <c r="E863" t="n">
        <v>1</v>
      </c>
      <c r="F863" t="n">
        <v>3</v>
      </c>
      <c r="G863">
        <f>IF(AND(D863&gt;=DATE(2025,7,1),D863&lt;=DATE(2026,6,30)),1,0)</f>
        <v>1</v>
      </c>
    </row>
    <row r="864">
      <c r="A864" t="inlineStr">
        <is>
          <t>S0264</t>
        </is>
      </c>
      <c r="B864" t="inlineStr">
        <is>
          <t>ST</t>
        </is>
      </c>
      <c r="C864" s="11" t="n">
        <v>45945</v>
      </c>
      <c r="D864" s="11" t="n">
        <v>45953</v>
      </c>
      <c r="E864" t="n">
        <v>2</v>
      </c>
      <c r="F864" t="n">
        <v>12</v>
      </c>
      <c r="G864">
        <f>IF(AND(D864&gt;=DATE(2025,7,1),D864&lt;=DATE(2026,6,30)),1,0)</f>
        <v>1</v>
      </c>
    </row>
    <row r="865">
      <c r="A865" t="inlineStr">
        <is>
          <t>S0265</t>
        </is>
      </c>
      <c r="B865" t="inlineStr">
        <is>
          <t>ST</t>
        </is>
      </c>
      <c r="C865" s="11" t="n">
        <v>46014</v>
      </c>
      <c r="D865" s="11" t="n">
        <v>46042</v>
      </c>
      <c r="E865" t="n">
        <v>4</v>
      </c>
      <c r="F865" t="n">
        <v>4</v>
      </c>
      <c r="G865">
        <f>IF(AND(D865&gt;=DATE(2025,7,1),D865&lt;=DATE(2026,6,30)),1,0)</f>
        <v>1</v>
      </c>
    </row>
    <row r="866">
      <c r="A866" t="inlineStr">
        <is>
          <t>S0265</t>
        </is>
      </c>
      <c r="B866" t="inlineStr">
        <is>
          <t>ST</t>
        </is>
      </c>
      <c r="C866" s="11" t="n">
        <v>46042</v>
      </c>
      <c r="D866" s="11" t="n">
        <v>46070</v>
      </c>
      <c r="E866" t="n">
        <v>4</v>
      </c>
      <c r="F866" t="n">
        <v>4</v>
      </c>
      <c r="G866">
        <f>IF(AND(D866&gt;=DATE(2025,7,1),D866&lt;=DATE(2026,6,30)),1,0)</f>
        <v>1</v>
      </c>
    </row>
    <row r="867">
      <c r="A867" t="inlineStr">
        <is>
          <t>S0265</t>
        </is>
      </c>
      <c r="B867" t="inlineStr">
        <is>
          <t>ST</t>
        </is>
      </c>
      <c r="C867" s="11" t="n">
        <v>46070</v>
      </c>
      <c r="D867" s="11" t="n">
        <v>46098</v>
      </c>
      <c r="E867" t="n">
        <v>4</v>
      </c>
      <c r="F867" t="n">
        <v>4</v>
      </c>
      <c r="G867">
        <f>IF(AND(D867&gt;=DATE(2025,7,1),D867&lt;=DATE(2026,6,30)),1,0)</f>
        <v>1</v>
      </c>
    </row>
    <row r="868">
      <c r="A868" t="inlineStr">
        <is>
          <t>S0265</t>
        </is>
      </c>
      <c r="B868" t="inlineStr">
        <is>
          <t>ST</t>
        </is>
      </c>
      <c r="C868" s="11" t="n">
        <v>46098</v>
      </c>
      <c r="D868" s="11" t="n">
        <v>46126</v>
      </c>
      <c r="E868" t="n">
        <v>4</v>
      </c>
      <c r="F868" t="n">
        <v>4</v>
      </c>
      <c r="G868">
        <f>IF(AND(D868&gt;=DATE(2025,7,1),D868&lt;=DATE(2026,6,30)),1,0)</f>
        <v>1</v>
      </c>
    </row>
    <row r="869">
      <c r="A869" t="inlineStr">
        <is>
          <t>S0265</t>
        </is>
      </c>
      <c r="B869" t="inlineStr">
        <is>
          <t>ST</t>
        </is>
      </c>
      <c r="C869" s="11" t="n">
        <v>46126</v>
      </c>
      <c r="D869" s="11" t="n">
        <v>46127</v>
      </c>
      <c r="E869" t="n">
        <v>1</v>
      </c>
      <c r="F869" t="n">
        <v>1</v>
      </c>
      <c r="G869">
        <f>IF(AND(D869&gt;=DATE(2025,7,1),D869&lt;=DATE(2026,6,30)),1,0)</f>
        <v>1</v>
      </c>
    </row>
    <row r="870">
      <c r="A870" t="inlineStr">
        <is>
          <t>S0266</t>
        </is>
      </c>
      <c r="B870" t="inlineStr">
        <is>
          <t>ST</t>
        </is>
      </c>
      <c r="C870" s="11" t="n">
        <v>46105</v>
      </c>
      <c r="D870" s="11" t="n">
        <v>46133</v>
      </c>
      <c r="E870" t="n">
        <v>4</v>
      </c>
      <c r="F870" t="n">
        <v>16</v>
      </c>
      <c r="G870">
        <f>IF(AND(D870&gt;=DATE(2025,7,1),D870&lt;=DATE(2026,6,30)),1,0)</f>
        <v>1</v>
      </c>
    </row>
    <row r="871">
      <c r="A871" t="inlineStr">
        <is>
          <t>S0266</t>
        </is>
      </c>
      <c r="B871" t="inlineStr">
        <is>
          <t>ST</t>
        </is>
      </c>
      <c r="C871" s="11" t="n">
        <v>46133</v>
      </c>
      <c r="D871" s="11" t="n">
        <v>46161</v>
      </c>
      <c r="E871" t="n">
        <v>4</v>
      </c>
      <c r="F871" t="n">
        <v>16</v>
      </c>
      <c r="G871">
        <f>IF(AND(D871&gt;=DATE(2025,7,1),D871&lt;=DATE(2026,6,30)),1,0)</f>
        <v>1</v>
      </c>
    </row>
    <row r="872">
      <c r="A872" t="inlineStr">
        <is>
          <t>S0266</t>
        </is>
      </c>
      <c r="B872" t="inlineStr">
        <is>
          <t>ST</t>
        </is>
      </c>
      <c r="C872" s="11" t="n">
        <v>46161</v>
      </c>
      <c r="D872" s="11" t="n">
        <v>46189</v>
      </c>
      <c r="E872" t="n">
        <v>4</v>
      </c>
      <c r="F872" t="n">
        <v>16</v>
      </c>
      <c r="G872">
        <f>IF(AND(D872&gt;=DATE(2025,7,1),D872&lt;=DATE(2026,6,30)),1,0)</f>
        <v>1</v>
      </c>
    </row>
    <row r="873">
      <c r="A873" t="inlineStr">
        <is>
          <t>S0267</t>
        </is>
      </c>
      <c r="B873" t="inlineStr">
        <is>
          <t>ST</t>
        </is>
      </c>
      <c r="C873" s="11" t="n">
        <v>46139</v>
      </c>
      <c r="D873" s="11" t="n">
        <v>46167</v>
      </c>
      <c r="E873" t="n">
        <v>4</v>
      </c>
      <c r="F873" t="n">
        <v>8</v>
      </c>
      <c r="G873">
        <f>IF(AND(D873&gt;=DATE(2025,7,1),D873&lt;=DATE(2026,6,30)),1,0)</f>
        <v>1</v>
      </c>
    </row>
    <row r="874">
      <c r="A874" t="inlineStr">
        <is>
          <t>S0267</t>
        </is>
      </c>
      <c r="B874" t="inlineStr">
        <is>
          <t>ST</t>
        </is>
      </c>
      <c r="C874" s="11" t="n">
        <v>46167</v>
      </c>
      <c r="D874" s="11" t="n">
        <v>46195</v>
      </c>
      <c r="E874" t="n">
        <v>4</v>
      </c>
      <c r="F874" t="n">
        <v>8</v>
      </c>
      <c r="G874">
        <f>IF(AND(D874&gt;=DATE(2025,7,1),D874&lt;=DATE(2026,6,30)),1,0)</f>
        <v>1</v>
      </c>
    </row>
    <row r="875">
      <c r="A875" t="inlineStr">
        <is>
          <t>S0268</t>
        </is>
      </c>
      <c r="B875" t="inlineStr">
        <is>
          <t>ST</t>
        </is>
      </c>
      <c r="C875" s="11" t="n">
        <v>45880</v>
      </c>
      <c r="D875" s="11" t="n">
        <v>45908</v>
      </c>
      <c r="E875" t="n">
        <v>4</v>
      </c>
      <c r="F875" t="n">
        <v>24</v>
      </c>
      <c r="G875">
        <f>IF(AND(D875&gt;=DATE(2025,7,1),D875&lt;=DATE(2026,6,30)),1,0)</f>
        <v>1</v>
      </c>
    </row>
    <row r="876">
      <c r="A876" t="inlineStr">
        <is>
          <t>S0268</t>
        </is>
      </c>
      <c r="B876" t="inlineStr">
        <is>
          <t>ST</t>
        </is>
      </c>
      <c r="C876" s="11" t="n">
        <v>45908</v>
      </c>
      <c r="D876" s="11" t="n">
        <v>45936</v>
      </c>
      <c r="E876" t="n">
        <v>4</v>
      </c>
      <c r="F876" t="n">
        <v>24</v>
      </c>
      <c r="G876">
        <f>IF(AND(D876&gt;=DATE(2025,7,1),D876&lt;=DATE(2026,6,30)),1,0)</f>
        <v>1</v>
      </c>
    </row>
    <row r="877">
      <c r="A877" t="inlineStr">
        <is>
          <t>S0268</t>
        </is>
      </c>
      <c r="B877" t="inlineStr">
        <is>
          <t>ST</t>
        </is>
      </c>
      <c r="C877" s="11" t="n">
        <v>45936</v>
      </c>
      <c r="D877" s="11" t="n">
        <v>45964</v>
      </c>
      <c r="E877" t="n">
        <v>4</v>
      </c>
      <c r="F877" t="n">
        <v>24</v>
      </c>
      <c r="G877">
        <f>IF(AND(D877&gt;=DATE(2025,7,1),D877&lt;=DATE(2026,6,30)),1,0)</f>
        <v>1</v>
      </c>
    </row>
    <row r="878">
      <c r="A878" t="inlineStr">
        <is>
          <t>S0268</t>
        </is>
      </c>
      <c r="B878" t="inlineStr">
        <is>
          <t>ST</t>
        </is>
      </c>
      <c r="C878" s="11" t="n">
        <v>45964</v>
      </c>
      <c r="D878" s="11" t="n">
        <v>45965</v>
      </c>
      <c r="E878" t="n">
        <v>1</v>
      </c>
      <c r="F878" t="n">
        <v>6</v>
      </c>
      <c r="G878">
        <f>IF(AND(D878&gt;=DATE(2025,7,1),D878&lt;=DATE(2026,6,30)),1,0)</f>
        <v>1</v>
      </c>
    </row>
    <row r="879">
      <c r="A879" t="inlineStr">
        <is>
          <t>S0269</t>
        </is>
      </c>
      <c r="B879" t="inlineStr">
        <is>
          <t>ST</t>
        </is>
      </c>
      <c r="C879" s="11" t="n">
        <v>45893</v>
      </c>
      <c r="D879" s="11" t="n">
        <v>45901</v>
      </c>
      <c r="E879" t="n">
        <v>2</v>
      </c>
      <c r="F879" t="n">
        <v>8</v>
      </c>
      <c r="G879">
        <f>IF(AND(D879&gt;=DATE(2025,7,1),D879&lt;=DATE(2026,6,30)),1,0)</f>
        <v>1</v>
      </c>
    </row>
    <row r="880">
      <c r="A880" t="inlineStr">
        <is>
          <t>S0270</t>
        </is>
      </c>
      <c r="B880" t="inlineStr">
        <is>
          <t>ST</t>
        </is>
      </c>
      <c r="C880" s="11" t="n">
        <v>45993</v>
      </c>
      <c r="D880" s="11" t="n">
        <v>46021</v>
      </c>
      <c r="E880" t="n">
        <v>4</v>
      </c>
      <c r="F880" t="n">
        <v>24</v>
      </c>
      <c r="G880">
        <f>IF(AND(D880&gt;=DATE(2025,7,1),D880&lt;=DATE(2026,6,30)),1,0)</f>
        <v>1</v>
      </c>
    </row>
    <row r="881">
      <c r="A881" t="inlineStr">
        <is>
          <t>S0270</t>
        </is>
      </c>
      <c r="B881" t="inlineStr">
        <is>
          <t>ST</t>
        </is>
      </c>
      <c r="C881" s="11" t="n">
        <v>46021</v>
      </c>
      <c r="D881" s="11" t="n">
        <v>46022</v>
      </c>
      <c r="E881" t="n">
        <v>1</v>
      </c>
      <c r="F881" t="n">
        <v>6</v>
      </c>
      <c r="G881">
        <f>IF(AND(D881&gt;=DATE(2025,7,1),D881&lt;=DATE(2026,6,30)),1,0)</f>
        <v>1</v>
      </c>
    </row>
    <row r="882">
      <c r="A882" t="inlineStr">
        <is>
          <t>S0271</t>
        </is>
      </c>
      <c r="B882" t="inlineStr">
        <is>
          <t>ST</t>
        </is>
      </c>
      <c r="C882" s="11" t="n">
        <v>45849</v>
      </c>
      <c r="D882" s="11" t="n">
        <v>45877</v>
      </c>
      <c r="E882" t="n">
        <v>4</v>
      </c>
      <c r="F882" t="n">
        <v>16</v>
      </c>
      <c r="G882">
        <f>IF(AND(D882&gt;=DATE(2025,7,1),D882&lt;=DATE(2026,6,30)),1,0)</f>
        <v>1</v>
      </c>
    </row>
    <row r="883">
      <c r="A883" t="inlineStr">
        <is>
          <t>S0271</t>
        </is>
      </c>
      <c r="B883" t="inlineStr">
        <is>
          <t>ST</t>
        </is>
      </c>
      <c r="C883" s="11" t="n">
        <v>45877</v>
      </c>
      <c r="D883" s="11" t="n">
        <v>45905</v>
      </c>
      <c r="E883" t="n">
        <v>4</v>
      </c>
      <c r="F883" t="n">
        <v>16</v>
      </c>
      <c r="G883">
        <f>IF(AND(D883&gt;=DATE(2025,7,1),D883&lt;=DATE(2026,6,30)),1,0)</f>
        <v>1</v>
      </c>
    </row>
    <row r="884">
      <c r="A884" t="inlineStr">
        <is>
          <t>S0271</t>
        </is>
      </c>
      <c r="B884" t="inlineStr">
        <is>
          <t>ST</t>
        </is>
      </c>
      <c r="C884" s="11" t="n">
        <v>45905</v>
      </c>
      <c r="D884" s="11" t="n">
        <v>45933</v>
      </c>
      <c r="E884" t="n">
        <v>4</v>
      </c>
      <c r="F884" t="n">
        <v>16</v>
      </c>
      <c r="G884">
        <f>IF(AND(D884&gt;=DATE(2025,7,1),D884&lt;=DATE(2026,6,30)),1,0)</f>
        <v>1</v>
      </c>
    </row>
    <row r="885">
      <c r="A885" t="inlineStr">
        <is>
          <t>S0271</t>
        </is>
      </c>
      <c r="B885" t="inlineStr">
        <is>
          <t>ST</t>
        </is>
      </c>
      <c r="C885" s="11" t="n">
        <v>45933</v>
      </c>
      <c r="D885" s="11" t="n">
        <v>45934</v>
      </c>
      <c r="E885" t="n">
        <v>1</v>
      </c>
      <c r="F885" t="n">
        <v>4</v>
      </c>
      <c r="G885">
        <f>IF(AND(D885&gt;=DATE(2025,7,1),D885&lt;=DATE(2026,6,30)),1,0)</f>
        <v>1</v>
      </c>
    </row>
    <row r="886">
      <c r="A886" t="inlineStr">
        <is>
          <t>S0272</t>
        </is>
      </c>
      <c r="B886" t="inlineStr">
        <is>
          <t>ST</t>
        </is>
      </c>
      <c r="C886" s="11" t="n">
        <v>46026</v>
      </c>
      <c r="D886" s="11" t="n">
        <v>46048</v>
      </c>
      <c r="E886" t="n">
        <v>4</v>
      </c>
      <c r="F886" t="n">
        <v>4</v>
      </c>
      <c r="G886">
        <f>IF(AND(D886&gt;=DATE(2025,7,1),D886&lt;=DATE(2026,6,30)),1,0)</f>
        <v>1</v>
      </c>
    </row>
    <row r="887">
      <c r="A887" t="inlineStr">
        <is>
          <t>S0273</t>
        </is>
      </c>
      <c r="B887" t="inlineStr">
        <is>
          <t>ST</t>
        </is>
      </c>
      <c r="C887" s="11" t="n">
        <v>46147</v>
      </c>
      <c r="D887" s="11" t="n">
        <v>46175</v>
      </c>
      <c r="E887" t="n">
        <v>4</v>
      </c>
      <c r="F887" t="n">
        <v>8</v>
      </c>
      <c r="G887">
        <f>IF(AND(D887&gt;=DATE(2025,7,1),D887&lt;=DATE(2026,6,30)),1,0)</f>
        <v>1</v>
      </c>
    </row>
    <row r="888">
      <c r="A888" t="inlineStr">
        <is>
          <t>S0273</t>
        </is>
      </c>
      <c r="B888" t="inlineStr">
        <is>
          <t>ST</t>
        </is>
      </c>
      <c r="C888" s="11" t="n">
        <v>46175</v>
      </c>
      <c r="D888" s="11" t="n">
        <v>46190</v>
      </c>
      <c r="E888" t="n">
        <v>3</v>
      </c>
      <c r="F888" t="n">
        <v>6</v>
      </c>
      <c r="G888">
        <f>IF(AND(D888&gt;=DATE(2025,7,1),D888&lt;=DATE(2026,6,30)),1,0)</f>
        <v>1</v>
      </c>
    </row>
    <row r="889">
      <c r="A889" t="inlineStr">
        <is>
          <t>S0274</t>
        </is>
      </c>
      <c r="B889" t="inlineStr">
        <is>
          <t>ST</t>
        </is>
      </c>
      <c r="C889" s="11" t="n">
        <v>45920</v>
      </c>
      <c r="D889" s="11" t="n">
        <v>45948</v>
      </c>
      <c r="E889" t="n">
        <v>4</v>
      </c>
      <c r="F889" t="n">
        <v>4</v>
      </c>
      <c r="G889">
        <f>IF(AND(D889&gt;=DATE(2025,7,1),D889&lt;=DATE(2026,6,30)),1,0)</f>
        <v>1</v>
      </c>
    </row>
    <row r="890">
      <c r="A890" t="inlineStr">
        <is>
          <t>S0274</t>
        </is>
      </c>
      <c r="B890" t="inlineStr">
        <is>
          <t>ST</t>
        </is>
      </c>
      <c r="C890" s="11" t="n">
        <v>45948</v>
      </c>
      <c r="D890" s="11" t="n">
        <v>45976</v>
      </c>
      <c r="E890" t="n">
        <v>4</v>
      </c>
      <c r="F890" t="n">
        <v>4</v>
      </c>
      <c r="G890">
        <f>IF(AND(D890&gt;=DATE(2025,7,1),D890&lt;=DATE(2026,6,30)),1,0)</f>
        <v>1</v>
      </c>
    </row>
    <row r="891">
      <c r="A891" t="inlineStr">
        <is>
          <t>S0274</t>
        </is>
      </c>
      <c r="B891" t="inlineStr">
        <is>
          <t>ST</t>
        </is>
      </c>
      <c r="C891" s="11" t="n">
        <v>45976</v>
      </c>
      <c r="D891" s="11" t="n">
        <v>46004</v>
      </c>
      <c r="E891" t="n">
        <v>4</v>
      </c>
      <c r="F891" t="n">
        <v>4</v>
      </c>
      <c r="G891">
        <f>IF(AND(D891&gt;=DATE(2025,7,1),D891&lt;=DATE(2026,6,30)),1,0)</f>
        <v>1</v>
      </c>
    </row>
    <row r="892">
      <c r="A892" t="inlineStr">
        <is>
          <t>S0274</t>
        </is>
      </c>
      <c r="B892" t="inlineStr">
        <is>
          <t>ST</t>
        </is>
      </c>
      <c r="C892" s="11" t="n">
        <v>46004</v>
      </c>
      <c r="D892" s="11" t="n">
        <v>46032</v>
      </c>
      <c r="E892" t="n">
        <v>4</v>
      </c>
      <c r="F892" t="n">
        <v>4</v>
      </c>
      <c r="G892">
        <f>IF(AND(D892&gt;=DATE(2025,7,1),D892&lt;=DATE(2026,6,30)),1,0)</f>
        <v>1</v>
      </c>
    </row>
    <row r="893">
      <c r="A893" t="inlineStr">
        <is>
          <t>S0274</t>
        </is>
      </c>
      <c r="B893" t="inlineStr">
        <is>
          <t>ST</t>
        </is>
      </c>
      <c r="C893" s="11" t="n">
        <v>46032</v>
      </c>
      <c r="D893" s="11" t="n">
        <v>46033</v>
      </c>
      <c r="E893" t="n">
        <v>1</v>
      </c>
      <c r="F893" t="n">
        <v>1</v>
      </c>
      <c r="G893">
        <f>IF(AND(D893&gt;=DATE(2025,7,1),D893&lt;=DATE(2026,6,30)),1,0)</f>
        <v>1</v>
      </c>
    </row>
    <row r="894">
      <c r="A894" t="inlineStr">
        <is>
          <t>S0275</t>
        </is>
      </c>
      <c r="B894" t="inlineStr">
        <is>
          <t>ST</t>
        </is>
      </c>
      <c r="C894" s="11" t="n">
        <v>46029</v>
      </c>
      <c r="D894" s="11" t="n">
        <v>46057</v>
      </c>
      <c r="E894" t="n">
        <v>4</v>
      </c>
      <c r="F894" t="n">
        <v>16</v>
      </c>
      <c r="G894">
        <f>IF(AND(D894&gt;=DATE(2025,7,1),D894&lt;=DATE(2026,6,30)),1,0)</f>
        <v>1</v>
      </c>
    </row>
    <row r="895">
      <c r="A895" t="inlineStr">
        <is>
          <t>S0275</t>
        </is>
      </c>
      <c r="B895" t="inlineStr">
        <is>
          <t>ST</t>
        </is>
      </c>
      <c r="C895" s="11" t="n">
        <v>46057</v>
      </c>
      <c r="D895" s="11" t="n">
        <v>46072</v>
      </c>
      <c r="E895" t="n">
        <v>3</v>
      </c>
      <c r="F895" t="n">
        <v>12</v>
      </c>
      <c r="G895">
        <f>IF(AND(D895&gt;=DATE(2025,7,1),D895&lt;=DATE(2026,6,30)),1,0)</f>
        <v>1</v>
      </c>
    </row>
    <row r="896">
      <c r="A896" t="inlineStr">
        <is>
          <t>S0276</t>
        </is>
      </c>
      <c r="B896" t="inlineStr">
        <is>
          <t>ST</t>
        </is>
      </c>
      <c r="C896" s="11" t="n">
        <v>45982</v>
      </c>
      <c r="D896" s="11" t="n">
        <v>46010</v>
      </c>
      <c r="E896" t="n">
        <v>4</v>
      </c>
      <c r="F896" t="n">
        <v>8</v>
      </c>
      <c r="G896">
        <f>IF(AND(D896&gt;=DATE(2025,7,1),D896&lt;=DATE(2026,6,30)),1,0)</f>
        <v>1</v>
      </c>
    </row>
    <row r="897">
      <c r="A897" t="inlineStr">
        <is>
          <t>S0276</t>
        </is>
      </c>
      <c r="B897" t="inlineStr">
        <is>
          <t>ST</t>
        </is>
      </c>
      <c r="C897" s="11" t="n">
        <v>46010</v>
      </c>
      <c r="D897" s="11" t="n">
        <v>46025</v>
      </c>
      <c r="E897" t="n">
        <v>3</v>
      </c>
      <c r="F897" t="n">
        <v>6</v>
      </c>
      <c r="G897">
        <f>IF(AND(D897&gt;=DATE(2025,7,1),D897&lt;=DATE(2026,6,30)),1,0)</f>
        <v>1</v>
      </c>
    </row>
    <row r="898">
      <c r="A898" t="inlineStr">
        <is>
          <t>S0278</t>
        </is>
      </c>
      <c r="B898" t="inlineStr">
        <is>
          <t>ST</t>
        </is>
      </c>
      <c r="C898" s="11" t="n">
        <v>46006</v>
      </c>
      <c r="D898" s="11" t="n">
        <v>46034</v>
      </c>
      <c r="E898" t="n">
        <v>4</v>
      </c>
      <c r="F898" t="n">
        <v>8</v>
      </c>
      <c r="G898">
        <f>IF(AND(D898&gt;=DATE(2025,7,1),D898&lt;=DATE(2026,6,30)),1,0)</f>
        <v>1</v>
      </c>
    </row>
    <row r="899">
      <c r="A899" t="inlineStr">
        <is>
          <t>S0278</t>
        </is>
      </c>
      <c r="B899" t="inlineStr">
        <is>
          <t>ST</t>
        </is>
      </c>
      <c r="C899" s="11" t="n">
        <v>46034</v>
      </c>
      <c r="D899" s="11" t="n">
        <v>46062</v>
      </c>
      <c r="E899" t="n">
        <v>4</v>
      </c>
      <c r="F899" t="n">
        <v>8</v>
      </c>
      <c r="G899">
        <f>IF(AND(D899&gt;=DATE(2025,7,1),D899&lt;=DATE(2026,6,30)),1,0)</f>
        <v>1</v>
      </c>
    </row>
    <row r="900">
      <c r="A900" t="inlineStr">
        <is>
          <t>S0278</t>
        </is>
      </c>
      <c r="B900" t="inlineStr">
        <is>
          <t>ST</t>
        </is>
      </c>
      <c r="C900" s="11" t="n">
        <v>46062</v>
      </c>
      <c r="D900" s="11" t="n">
        <v>46090</v>
      </c>
      <c r="E900" t="n">
        <v>4</v>
      </c>
      <c r="F900" t="n">
        <v>8</v>
      </c>
      <c r="G900">
        <f>IF(AND(D900&gt;=DATE(2025,7,1),D900&lt;=DATE(2026,6,30)),1,0)</f>
        <v>1</v>
      </c>
    </row>
    <row r="901">
      <c r="A901" t="inlineStr">
        <is>
          <t>S0278</t>
        </is>
      </c>
      <c r="B901" t="inlineStr">
        <is>
          <t>ST</t>
        </is>
      </c>
      <c r="C901" s="11" t="n">
        <v>46090</v>
      </c>
      <c r="D901" s="11" t="n">
        <v>46118</v>
      </c>
      <c r="E901" t="n">
        <v>4</v>
      </c>
      <c r="F901" t="n">
        <v>8</v>
      </c>
      <c r="G901">
        <f>IF(AND(D901&gt;=DATE(2025,7,1),D901&lt;=DATE(2026,6,30)),1,0)</f>
        <v>1</v>
      </c>
    </row>
    <row r="902">
      <c r="A902" t="inlineStr">
        <is>
          <t>S0278</t>
        </is>
      </c>
      <c r="B902" t="inlineStr">
        <is>
          <t>ST</t>
        </is>
      </c>
      <c r="C902" s="11" t="n">
        <v>46118</v>
      </c>
      <c r="D902" s="11" t="n">
        <v>46119</v>
      </c>
      <c r="E902" t="n">
        <v>1</v>
      </c>
      <c r="F902" t="n">
        <v>2</v>
      </c>
      <c r="G902">
        <f>IF(AND(D902&gt;=DATE(2025,7,1),D902&lt;=DATE(2026,6,30)),1,0)</f>
        <v>1</v>
      </c>
    </row>
    <row r="903">
      <c r="A903" t="inlineStr">
        <is>
          <t>S0279</t>
        </is>
      </c>
      <c r="B903" t="inlineStr">
        <is>
          <t>ST</t>
        </is>
      </c>
      <c r="C903" s="11" t="n">
        <v>46028</v>
      </c>
      <c r="D903" s="11" t="n">
        <v>46056</v>
      </c>
      <c r="E903" t="n">
        <v>4</v>
      </c>
      <c r="F903" t="n">
        <v>8</v>
      </c>
      <c r="G903">
        <f>IF(AND(D903&gt;=DATE(2025,7,1),D903&lt;=DATE(2026,6,30)),1,0)</f>
        <v>1</v>
      </c>
    </row>
    <row r="904">
      <c r="A904" t="inlineStr">
        <is>
          <t>S0279</t>
        </is>
      </c>
      <c r="B904" t="inlineStr">
        <is>
          <t>ST</t>
        </is>
      </c>
      <c r="C904" s="11" t="n">
        <v>46056</v>
      </c>
      <c r="D904" s="11" t="n">
        <v>46084</v>
      </c>
      <c r="E904" t="n">
        <v>4</v>
      </c>
      <c r="F904" t="n">
        <v>8</v>
      </c>
      <c r="G904">
        <f>IF(AND(D904&gt;=DATE(2025,7,1),D904&lt;=DATE(2026,6,30)),1,0)</f>
        <v>1</v>
      </c>
    </row>
    <row r="905">
      <c r="A905" t="inlineStr">
        <is>
          <t>S0279</t>
        </is>
      </c>
      <c r="B905" t="inlineStr">
        <is>
          <t>ST</t>
        </is>
      </c>
      <c r="C905" s="11" t="n">
        <v>46084</v>
      </c>
      <c r="D905" s="11" t="n">
        <v>46112</v>
      </c>
      <c r="E905" t="n">
        <v>4</v>
      </c>
      <c r="F905" t="n">
        <v>8</v>
      </c>
      <c r="G905">
        <f>IF(AND(D905&gt;=DATE(2025,7,1),D905&lt;=DATE(2026,6,30)),1,0)</f>
        <v>1</v>
      </c>
    </row>
    <row r="906">
      <c r="A906" t="inlineStr">
        <is>
          <t>S0279</t>
        </is>
      </c>
      <c r="B906" t="inlineStr">
        <is>
          <t>ST</t>
        </is>
      </c>
      <c r="C906" s="11" t="n">
        <v>46112</v>
      </c>
      <c r="D906" s="11" t="n">
        <v>46113</v>
      </c>
      <c r="E906" t="n">
        <v>1</v>
      </c>
      <c r="F906" t="n">
        <v>2</v>
      </c>
      <c r="G906">
        <f>IF(AND(D906&gt;=DATE(2025,7,1),D906&lt;=DATE(2026,6,30)),1,0)</f>
        <v>1</v>
      </c>
    </row>
    <row r="907">
      <c r="A907" t="inlineStr">
        <is>
          <t>S0280</t>
        </is>
      </c>
      <c r="B907" t="inlineStr">
        <is>
          <t>ST</t>
        </is>
      </c>
      <c r="C907" s="11" t="n">
        <v>46075</v>
      </c>
      <c r="D907" s="11" t="n">
        <v>46103</v>
      </c>
      <c r="E907" t="n">
        <v>4</v>
      </c>
      <c r="F907" t="n">
        <v>8</v>
      </c>
      <c r="G907">
        <f>IF(AND(D907&gt;=DATE(2025,7,1),D907&lt;=DATE(2026,6,30)),1,0)</f>
        <v>1</v>
      </c>
    </row>
    <row r="908">
      <c r="A908" t="inlineStr">
        <is>
          <t>S0280</t>
        </is>
      </c>
      <c r="B908" t="inlineStr">
        <is>
          <t>ST</t>
        </is>
      </c>
      <c r="C908" s="11" t="n">
        <v>46103</v>
      </c>
      <c r="D908" s="11" t="n">
        <v>46104</v>
      </c>
      <c r="E908" t="n">
        <v>1</v>
      </c>
      <c r="F908" t="n">
        <v>2</v>
      </c>
      <c r="G908">
        <f>IF(AND(D908&gt;=DATE(2025,7,1),D908&lt;=DATE(2026,6,30)),1,0)</f>
        <v>1</v>
      </c>
    </row>
    <row r="909">
      <c r="A909" t="inlineStr">
        <is>
          <t>S0281</t>
        </is>
      </c>
      <c r="B909" t="inlineStr">
        <is>
          <t>ST</t>
        </is>
      </c>
      <c r="C909" s="11" t="n">
        <v>46148</v>
      </c>
      <c r="D909" s="11" t="n">
        <v>46170</v>
      </c>
      <c r="E909" t="n">
        <v>4</v>
      </c>
      <c r="F909" t="n">
        <v>8</v>
      </c>
      <c r="G909">
        <f>IF(AND(D909&gt;=DATE(2025,7,1),D909&lt;=DATE(2026,6,30)),1,0)</f>
        <v>1</v>
      </c>
    </row>
    <row r="910">
      <c r="A910" t="inlineStr">
        <is>
          <t>S0282</t>
        </is>
      </c>
      <c r="B910" t="inlineStr">
        <is>
          <t>ST</t>
        </is>
      </c>
      <c r="C910" s="11" t="n">
        <v>45947</v>
      </c>
      <c r="D910" s="11" t="n">
        <v>45975</v>
      </c>
      <c r="E910" t="n">
        <v>4</v>
      </c>
      <c r="F910" t="n">
        <v>4</v>
      </c>
      <c r="G910">
        <f>IF(AND(D910&gt;=DATE(2025,7,1),D910&lt;=DATE(2026,6,30)),1,0)</f>
        <v>1</v>
      </c>
    </row>
    <row r="911">
      <c r="A911" t="inlineStr">
        <is>
          <t>S0282</t>
        </is>
      </c>
      <c r="B911" t="inlineStr">
        <is>
          <t>ST</t>
        </is>
      </c>
      <c r="C911" s="11" t="n">
        <v>45975</v>
      </c>
      <c r="D911" s="11" t="n">
        <v>46003</v>
      </c>
      <c r="E911" t="n">
        <v>4</v>
      </c>
      <c r="F911" t="n">
        <v>4</v>
      </c>
      <c r="G911">
        <f>IF(AND(D911&gt;=DATE(2025,7,1),D911&lt;=DATE(2026,6,30)),1,0)</f>
        <v>1</v>
      </c>
    </row>
    <row r="912">
      <c r="A912" t="inlineStr">
        <is>
          <t>S0282</t>
        </is>
      </c>
      <c r="B912" t="inlineStr">
        <is>
          <t>ST</t>
        </is>
      </c>
      <c r="C912" s="11" t="n">
        <v>46003</v>
      </c>
      <c r="D912" s="11" t="n">
        <v>46031</v>
      </c>
      <c r="E912" t="n">
        <v>4</v>
      </c>
      <c r="F912" t="n">
        <v>4</v>
      </c>
      <c r="G912">
        <f>IF(AND(D912&gt;=DATE(2025,7,1),D912&lt;=DATE(2026,6,30)),1,0)</f>
        <v>1</v>
      </c>
    </row>
    <row r="913">
      <c r="A913" t="inlineStr">
        <is>
          <t>S0282</t>
        </is>
      </c>
      <c r="B913" t="inlineStr">
        <is>
          <t>ST</t>
        </is>
      </c>
      <c r="C913" s="11" t="n">
        <v>46031</v>
      </c>
      <c r="D913" s="11" t="n">
        <v>46032</v>
      </c>
      <c r="E913" t="n">
        <v>1</v>
      </c>
      <c r="F913" t="n">
        <v>1</v>
      </c>
      <c r="G913">
        <f>IF(AND(D913&gt;=DATE(2025,7,1),D913&lt;=DATE(2026,6,30)),1,0)</f>
        <v>1</v>
      </c>
    </row>
    <row r="914">
      <c r="A914" t="inlineStr">
        <is>
          <t>S0283</t>
        </is>
      </c>
      <c r="B914" t="inlineStr">
        <is>
          <t>ST</t>
        </is>
      </c>
      <c r="C914" s="11" t="n">
        <v>46156</v>
      </c>
      <c r="D914" s="11" t="n">
        <v>46184</v>
      </c>
      <c r="E914" t="n">
        <v>4</v>
      </c>
      <c r="F914" t="n">
        <v>8</v>
      </c>
      <c r="G914">
        <f>IF(AND(D914&gt;=DATE(2025,7,1),D914&lt;=DATE(2026,6,30)),1,0)</f>
        <v>1</v>
      </c>
    </row>
    <row r="915">
      <c r="A915" t="inlineStr">
        <is>
          <t>S0283</t>
        </is>
      </c>
      <c r="B915" t="inlineStr">
        <is>
          <t>ST</t>
        </is>
      </c>
      <c r="C915" s="11" t="n">
        <v>46184</v>
      </c>
      <c r="D915" s="11" t="n">
        <v>46199</v>
      </c>
      <c r="E915" t="n">
        <v>3</v>
      </c>
      <c r="F915" t="n">
        <v>6</v>
      </c>
      <c r="G915">
        <f>IF(AND(D915&gt;=DATE(2025,7,1),D915&lt;=DATE(2026,6,30)),1,0)</f>
        <v>1</v>
      </c>
    </row>
    <row r="916">
      <c r="A916" t="inlineStr">
        <is>
          <t>S0284</t>
        </is>
      </c>
      <c r="B916" t="inlineStr">
        <is>
          <t>ST</t>
        </is>
      </c>
      <c r="C916" s="11" t="n">
        <v>45952</v>
      </c>
      <c r="D916" s="11" t="n">
        <v>45967</v>
      </c>
      <c r="E916" t="n">
        <v>3</v>
      </c>
      <c r="F916" t="n">
        <v>18</v>
      </c>
      <c r="G916">
        <f>IF(AND(D916&gt;=DATE(2025,7,1),D916&lt;=DATE(2026,6,30)),1,0)</f>
        <v>1</v>
      </c>
    </row>
    <row r="917">
      <c r="A917" t="inlineStr">
        <is>
          <t>S0285</t>
        </is>
      </c>
      <c r="B917" t="inlineStr">
        <is>
          <t>ST</t>
        </is>
      </c>
      <c r="C917" s="11" t="n">
        <v>46103</v>
      </c>
      <c r="D917" s="11" t="n">
        <v>46118</v>
      </c>
      <c r="E917" t="n">
        <v>3</v>
      </c>
      <c r="F917" t="n">
        <v>3</v>
      </c>
      <c r="G917">
        <f>IF(AND(D917&gt;=DATE(2025,7,1),D917&lt;=DATE(2026,6,30)),1,0)</f>
        <v>1</v>
      </c>
    </row>
    <row r="918">
      <c r="A918" t="inlineStr">
        <is>
          <t>S0286</t>
        </is>
      </c>
      <c r="B918" t="inlineStr">
        <is>
          <t>ST</t>
        </is>
      </c>
      <c r="C918" s="11" t="n">
        <v>45860</v>
      </c>
      <c r="D918" s="11" t="n">
        <v>45888</v>
      </c>
      <c r="E918" t="n">
        <v>4</v>
      </c>
      <c r="F918" t="n">
        <v>8</v>
      </c>
      <c r="G918">
        <f>IF(AND(D918&gt;=DATE(2025,7,1),D918&lt;=DATE(2026,6,30)),1,0)</f>
        <v>1</v>
      </c>
    </row>
    <row r="919">
      <c r="A919" t="inlineStr">
        <is>
          <t>S0286</t>
        </is>
      </c>
      <c r="B919" t="inlineStr">
        <is>
          <t>ST</t>
        </is>
      </c>
      <c r="C919" s="11" t="n">
        <v>45888</v>
      </c>
      <c r="D919" s="11" t="n">
        <v>45889</v>
      </c>
      <c r="E919" t="n">
        <v>1</v>
      </c>
      <c r="F919" t="n">
        <v>2</v>
      </c>
      <c r="G919">
        <f>IF(AND(D919&gt;=DATE(2025,7,1),D919&lt;=DATE(2026,6,30)),1,0)</f>
        <v>1</v>
      </c>
    </row>
    <row r="920">
      <c r="A920" t="inlineStr">
        <is>
          <t>S0287</t>
        </is>
      </c>
      <c r="B920" t="inlineStr">
        <is>
          <t>ST</t>
        </is>
      </c>
      <c r="C920" s="11" t="n">
        <v>45952</v>
      </c>
      <c r="D920" s="11" t="n">
        <v>45960</v>
      </c>
      <c r="E920" t="n">
        <v>2</v>
      </c>
      <c r="F920" t="n">
        <v>4</v>
      </c>
      <c r="G920">
        <f>IF(AND(D920&gt;=DATE(2025,7,1),D920&lt;=DATE(2026,6,30)),1,0)</f>
        <v>1</v>
      </c>
    </row>
    <row r="921">
      <c r="A921" t="inlineStr">
        <is>
          <t>S0288</t>
        </is>
      </c>
      <c r="B921" t="inlineStr">
        <is>
          <t>ST</t>
        </is>
      </c>
      <c r="C921" s="11" t="n">
        <v>45879</v>
      </c>
      <c r="D921" s="11" t="n">
        <v>45907</v>
      </c>
      <c r="E921" t="n">
        <v>4</v>
      </c>
      <c r="F921" t="n">
        <v>12</v>
      </c>
      <c r="G921">
        <f>IF(AND(D921&gt;=DATE(2025,7,1),D921&lt;=DATE(2026,6,30)),1,0)</f>
        <v>1</v>
      </c>
    </row>
    <row r="922">
      <c r="A922" t="inlineStr">
        <is>
          <t>S0288</t>
        </is>
      </c>
      <c r="B922" t="inlineStr">
        <is>
          <t>ST</t>
        </is>
      </c>
      <c r="C922" s="11" t="n">
        <v>45907</v>
      </c>
      <c r="D922" s="11" t="n">
        <v>45908</v>
      </c>
      <c r="E922" t="n">
        <v>1</v>
      </c>
      <c r="F922" t="n">
        <v>3</v>
      </c>
      <c r="G922">
        <f>IF(AND(D922&gt;=DATE(2025,7,1),D922&lt;=DATE(2026,6,30)),1,0)</f>
        <v>1</v>
      </c>
    </row>
    <row r="923">
      <c r="A923" t="inlineStr">
        <is>
          <t>S0289</t>
        </is>
      </c>
      <c r="B923" t="inlineStr">
        <is>
          <t>ST</t>
        </is>
      </c>
      <c r="C923" s="11" t="n">
        <v>45829</v>
      </c>
      <c r="D923" s="11" t="n">
        <v>45851</v>
      </c>
      <c r="E923" t="n">
        <v>4</v>
      </c>
      <c r="F923" t="n">
        <v>4</v>
      </c>
      <c r="G923">
        <f>IF(AND(D923&gt;=DATE(2025,7,1),D923&lt;=DATE(2026,6,30)),1,0)</f>
        <v>1</v>
      </c>
    </row>
    <row r="924">
      <c r="A924" t="inlineStr">
        <is>
          <t>S0290</t>
        </is>
      </c>
      <c r="B924" t="inlineStr">
        <is>
          <t>ST</t>
        </is>
      </c>
      <c r="C924" s="11" t="n">
        <v>46114</v>
      </c>
      <c r="D924" s="11" t="n">
        <v>46142</v>
      </c>
      <c r="E924" t="n">
        <v>4</v>
      </c>
      <c r="F924" t="n">
        <v>16</v>
      </c>
      <c r="G924">
        <f>IF(AND(D924&gt;=DATE(2025,7,1),D924&lt;=DATE(2026,6,30)),1,0)</f>
        <v>1</v>
      </c>
    </row>
    <row r="925">
      <c r="A925" t="inlineStr">
        <is>
          <t>S0290</t>
        </is>
      </c>
      <c r="B925" t="inlineStr">
        <is>
          <t>ST</t>
        </is>
      </c>
      <c r="C925" s="11" t="n">
        <v>46142</v>
      </c>
      <c r="D925" s="11" t="n">
        <v>46170</v>
      </c>
      <c r="E925" t="n">
        <v>4</v>
      </c>
      <c r="F925" t="n">
        <v>16</v>
      </c>
      <c r="G925">
        <f>IF(AND(D925&gt;=DATE(2025,7,1),D925&lt;=DATE(2026,6,30)),1,0)</f>
        <v>1</v>
      </c>
    </row>
    <row r="926">
      <c r="A926" t="inlineStr">
        <is>
          <t>S0290</t>
        </is>
      </c>
      <c r="B926" t="inlineStr">
        <is>
          <t>ST</t>
        </is>
      </c>
      <c r="C926" s="11" t="n">
        <v>46170</v>
      </c>
      <c r="D926" s="11" t="n">
        <v>46171</v>
      </c>
      <c r="E926" t="n">
        <v>1</v>
      </c>
      <c r="F926" t="n">
        <v>4</v>
      </c>
      <c r="G926">
        <f>IF(AND(D926&gt;=DATE(2025,7,1),D926&lt;=DATE(2026,6,30)),1,0)</f>
        <v>1</v>
      </c>
    </row>
    <row r="927">
      <c r="A927" t="inlineStr">
        <is>
          <t>S0291</t>
        </is>
      </c>
      <c r="B927" t="inlineStr">
        <is>
          <t>ST</t>
        </is>
      </c>
      <c r="C927" s="11" t="n">
        <v>46168</v>
      </c>
      <c r="D927" s="11" t="n">
        <v>46176</v>
      </c>
      <c r="E927" t="n">
        <v>2</v>
      </c>
      <c r="F927" t="n">
        <v>4</v>
      </c>
      <c r="G927">
        <f>IF(AND(D927&gt;=DATE(2025,7,1),D927&lt;=DATE(2026,6,30)),1,0)</f>
        <v>1</v>
      </c>
    </row>
    <row r="928">
      <c r="A928" t="inlineStr">
        <is>
          <t>S0292</t>
        </is>
      </c>
      <c r="B928" t="inlineStr">
        <is>
          <t>ST</t>
        </is>
      </c>
      <c r="C928" s="11" t="n">
        <v>45981</v>
      </c>
      <c r="D928" s="11" t="n">
        <v>46009</v>
      </c>
      <c r="E928" t="n">
        <v>4</v>
      </c>
      <c r="F928" t="n">
        <v>4</v>
      </c>
      <c r="G928">
        <f>IF(AND(D928&gt;=DATE(2025,7,1),D928&lt;=DATE(2026,6,30)),1,0)</f>
        <v>1</v>
      </c>
    </row>
    <row r="929">
      <c r="A929" t="inlineStr">
        <is>
          <t>S0292</t>
        </is>
      </c>
      <c r="B929" t="inlineStr">
        <is>
          <t>ST</t>
        </is>
      </c>
      <c r="C929" s="11" t="n">
        <v>46009</v>
      </c>
      <c r="D929" s="11" t="n">
        <v>46024</v>
      </c>
      <c r="E929" t="n">
        <v>3</v>
      </c>
      <c r="F929" t="n">
        <v>3</v>
      </c>
      <c r="G929">
        <f>IF(AND(D929&gt;=DATE(2025,7,1),D929&lt;=DATE(2026,6,30)),1,0)</f>
        <v>1</v>
      </c>
    </row>
    <row r="930">
      <c r="A930" t="inlineStr">
        <is>
          <t>S0293</t>
        </is>
      </c>
      <c r="B930" t="inlineStr">
        <is>
          <t>ST</t>
        </is>
      </c>
      <c r="C930" s="11" t="n">
        <v>45975</v>
      </c>
      <c r="D930" s="11" t="n">
        <v>46003</v>
      </c>
      <c r="E930" t="n">
        <v>4</v>
      </c>
      <c r="F930" t="n">
        <v>24</v>
      </c>
      <c r="G930">
        <f>IF(AND(D930&gt;=DATE(2025,7,1),D930&lt;=DATE(2026,6,30)),1,0)</f>
        <v>1</v>
      </c>
    </row>
    <row r="931">
      <c r="A931" t="inlineStr">
        <is>
          <t>S0293</t>
        </is>
      </c>
      <c r="B931" t="inlineStr">
        <is>
          <t>ST</t>
        </is>
      </c>
      <c r="C931" s="11" t="n">
        <v>46003</v>
      </c>
      <c r="D931" s="11" t="n">
        <v>46004</v>
      </c>
      <c r="E931" t="n">
        <v>1</v>
      </c>
      <c r="F931" t="n">
        <v>6</v>
      </c>
      <c r="G931">
        <f>IF(AND(D931&gt;=DATE(2025,7,1),D931&lt;=DATE(2026,6,30)),1,0)</f>
        <v>1</v>
      </c>
    </row>
    <row r="932">
      <c r="A932" t="inlineStr">
        <is>
          <t>S0294</t>
        </is>
      </c>
      <c r="B932" t="inlineStr">
        <is>
          <t>ST</t>
        </is>
      </c>
      <c r="C932" s="11" t="n">
        <v>46054</v>
      </c>
      <c r="D932" s="11" t="n">
        <v>46082</v>
      </c>
      <c r="E932" t="n">
        <v>4</v>
      </c>
      <c r="F932" t="n">
        <v>16</v>
      </c>
      <c r="G932">
        <f>IF(AND(D932&gt;=DATE(2025,7,1),D932&lt;=DATE(2026,6,30)),1,0)</f>
        <v>1</v>
      </c>
    </row>
    <row r="933">
      <c r="A933" t="inlineStr">
        <is>
          <t>S0294</t>
        </is>
      </c>
      <c r="B933" t="inlineStr">
        <is>
          <t>ST</t>
        </is>
      </c>
      <c r="C933" s="11" t="n">
        <v>46082</v>
      </c>
      <c r="D933" s="11" t="n">
        <v>46097</v>
      </c>
      <c r="E933" t="n">
        <v>3</v>
      </c>
      <c r="F933" t="n">
        <v>12</v>
      </c>
      <c r="G933">
        <f>IF(AND(D933&gt;=DATE(2025,7,1),D933&lt;=DATE(2026,6,30)),1,0)</f>
        <v>1</v>
      </c>
    </row>
    <row r="934">
      <c r="A934" t="inlineStr">
        <is>
          <t>S0295</t>
        </is>
      </c>
      <c r="B934" t="inlineStr">
        <is>
          <t>ST</t>
        </is>
      </c>
      <c r="C934" s="11" t="n">
        <v>46178</v>
      </c>
      <c r="D934" s="11" t="n">
        <v>46186</v>
      </c>
      <c r="E934" t="n">
        <v>2</v>
      </c>
      <c r="F934" t="n">
        <v>4</v>
      </c>
      <c r="G934">
        <f>IF(AND(D934&gt;=DATE(2025,7,1),D934&lt;=DATE(2026,6,30)),1,0)</f>
        <v>1</v>
      </c>
    </row>
    <row r="935">
      <c r="A935" t="inlineStr">
        <is>
          <t>S0296</t>
        </is>
      </c>
      <c r="B935" t="inlineStr">
        <is>
          <t>ST</t>
        </is>
      </c>
      <c r="C935" s="11" t="n">
        <v>46113</v>
      </c>
      <c r="D935" s="11" t="n">
        <v>46141</v>
      </c>
      <c r="E935" t="n">
        <v>4</v>
      </c>
      <c r="F935" t="n">
        <v>8</v>
      </c>
      <c r="G935">
        <f>IF(AND(D935&gt;=DATE(2025,7,1),D935&lt;=DATE(2026,6,30)),1,0)</f>
        <v>1</v>
      </c>
    </row>
    <row r="936">
      <c r="A936" t="inlineStr">
        <is>
          <t>S0296</t>
        </is>
      </c>
      <c r="B936" t="inlineStr">
        <is>
          <t>ST</t>
        </is>
      </c>
      <c r="C936" s="11" t="n">
        <v>46141</v>
      </c>
      <c r="D936" s="11" t="n">
        <v>46142</v>
      </c>
      <c r="E936" t="n">
        <v>1</v>
      </c>
      <c r="F936" t="n">
        <v>2</v>
      </c>
      <c r="G936">
        <f>IF(AND(D936&gt;=DATE(2025,7,1),D936&lt;=DATE(2026,6,30)),1,0)</f>
        <v>1</v>
      </c>
    </row>
    <row r="937">
      <c r="A937" t="inlineStr">
        <is>
          <t>S0297</t>
        </is>
      </c>
      <c r="B937" t="inlineStr">
        <is>
          <t>TK</t>
        </is>
      </c>
      <c r="C937" s="11" t="n">
        <v>45939</v>
      </c>
      <c r="D937" s="11" t="n">
        <v>45947</v>
      </c>
      <c r="E937" t="n">
        <v>2</v>
      </c>
      <c r="F937" t="n">
        <v>6</v>
      </c>
      <c r="G937">
        <f>IF(AND(D937&gt;=DATE(2025,7,1),D937&lt;=DATE(2026,6,30)),1,0)</f>
        <v>1</v>
      </c>
    </row>
    <row r="938">
      <c r="A938" t="inlineStr">
        <is>
          <t>S0298</t>
        </is>
      </c>
      <c r="B938" t="inlineStr">
        <is>
          <t>TK</t>
        </is>
      </c>
      <c r="C938" s="11" t="n">
        <v>46002</v>
      </c>
      <c r="D938" s="11" t="n">
        <v>46030</v>
      </c>
      <c r="E938" t="n">
        <v>4</v>
      </c>
      <c r="F938" t="n">
        <v>8</v>
      </c>
      <c r="G938">
        <f>IF(AND(D938&gt;=DATE(2025,7,1),D938&lt;=DATE(2026,6,30)),1,0)</f>
        <v>1</v>
      </c>
    </row>
    <row r="939">
      <c r="A939" t="inlineStr">
        <is>
          <t>S0298</t>
        </is>
      </c>
      <c r="B939" t="inlineStr">
        <is>
          <t>TK</t>
        </is>
      </c>
      <c r="C939" s="11" t="n">
        <v>46030</v>
      </c>
      <c r="D939" s="11" t="n">
        <v>46045</v>
      </c>
      <c r="E939" t="n">
        <v>3</v>
      </c>
      <c r="F939" t="n">
        <v>6</v>
      </c>
      <c r="G939">
        <f>IF(AND(D939&gt;=DATE(2025,7,1),D939&lt;=DATE(2026,6,30)),1,0)</f>
        <v>1</v>
      </c>
    </row>
    <row r="940">
      <c r="A940" t="inlineStr">
        <is>
          <t>S0301</t>
        </is>
      </c>
      <c r="B940" t="inlineStr">
        <is>
          <t>TK</t>
        </is>
      </c>
      <c r="C940" s="11" t="n">
        <v>46129</v>
      </c>
      <c r="D940" s="11" t="n">
        <v>46151</v>
      </c>
      <c r="E940" t="n">
        <v>4</v>
      </c>
      <c r="F940" t="n">
        <v>4</v>
      </c>
      <c r="G940">
        <f>IF(AND(D940&gt;=DATE(2025,7,1),D940&lt;=DATE(2026,6,30)),1,0)</f>
        <v>1</v>
      </c>
    </row>
    <row r="941">
      <c r="A941" t="inlineStr">
        <is>
          <t>S0302</t>
        </is>
      </c>
      <c r="B941" t="inlineStr">
        <is>
          <t>TK</t>
        </is>
      </c>
      <c r="C941" s="11" t="n">
        <v>46058</v>
      </c>
      <c r="D941" s="11" t="n">
        <v>46086</v>
      </c>
      <c r="E941" t="n">
        <v>4</v>
      </c>
      <c r="F941" t="n">
        <v>8</v>
      </c>
      <c r="G941">
        <f>IF(AND(D941&gt;=DATE(2025,7,1),D941&lt;=DATE(2026,6,30)),1,0)</f>
        <v>1</v>
      </c>
    </row>
    <row r="942">
      <c r="A942" t="inlineStr">
        <is>
          <t>S0302</t>
        </is>
      </c>
      <c r="B942" t="inlineStr">
        <is>
          <t>TK</t>
        </is>
      </c>
      <c r="C942" s="11" t="n">
        <v>46086</v>
      </c>
      <c r="D942" s="11" t="n">
        <v>46087</v>
      </c>
      <c r="E942" t="n">
        <v>1</v>
      </c>
      <c r="F942" t="n">
        <v>2</v>
      </c>
      <c r="G942">
        <f>IF(AND(D942&gt;=DATE(2025,7,1),D942&lt;=DATE(2026,6,30)),1,0)</f>
        <v>1</v>
      </c>
    </row>
    <row r="943">
      <c r="A943" t="inlineStr">
        <is>
          <t>S0303</t>
        </is>
      </c>
      <c r="B943" t="inlineStr">
        <is>
          <t>TK</t>
        </is>
      </c>
      <c r="C943" s="11" t="n">
        <v>46105</v>
      </c>
      <c r="D943" s="11" t="n">
        <v>46133</v>
      </c>
      <c r="E943" t="n">
        <v>4</v>
      </c>
      <c r="F943" t="n">
        <v>12</v>
      </c>
      <c r="G943">
        <f>IF(AND(D943&gt;=DATE(2025,7,1),D943&lt;=DATE(2026,6,30)),1,0)</f>
        <v>1</v>
      </c>
    </row>
    <row r="944">
      <c r="A944" t="inlineStr">
        <is>
          <t>S0303</t>
        </is>
      </c>
      <c r="B944" t="inlineStr">
        <is>
          <t>TK</t>
        </is>
      </c>
      <c r="C944" s="11" t="n">
        <v>46133</v>
      </c>
      <c r="D944" s="11" t="n">
        <v>46134</v>
      </c>
      <c r="E944" t="n">
        <v>1</v>
      </c>
      <c r="F944" t="n">
        <v>3</v>
      </c>
      <c r="G944">
        <f>IF(AND(D944&gt;=DATE(2025,7,1),D944&lt;=DATE(2026,6,30)),1,0)</f>
        <v>1</v>
      </c>
    </row>
    <row r="945">
      <c r="A945" t="inlineStr">
        <is>
          <t>S0305</t>
        </is>
      </c>
      <c r="B945" t="inlineStr">
        <is>
          <t>TK</t>
        </is>
      </c>
      <c r="C945" s="11" t="n">
        <v>45990</v>
      </c>
      <c r="D945" s="11" t="n">
        <v>46005</v>
      </c>
      <c r="E945" t="n">
        <v>3</v>
      </c>
      <c r="F945" t="n">
        <v>6</v>
      </c>
      <c r="G945">
        <f>IF(AND(D945&gt;=DATE(2025,7,1),D945&lt;=DATE(2026,6,30)),1,0)</f>
        <v>1</v>
      </c>
    </row>
    <row r="946">
      <c r="A946" t="inlineStr">
        <is>
          <t>S0314</t>
        </is>
      </c>
      <c r="B946" t="inlineStr">
        <is>
          <t>TK</t>
        </is>
      </c>
      <c r="C946" s="11" t="n">
        <v>46018</v>
      </c>
      <c r="D946" s="11" t="n">
        <v>46046</v>
      </c>
      <c r="E946" t="n">
        <v>4</v>
      </c>
      <c r="F946" t="n">
        <v>4</v>
      </c>
      <c r="G946">
        <f>IF(AND(D946&gt;=DATE(2025,7,1),D946&lt;=DATE(2026,6,30)),1,0)</f>
        <v>1</v>
      </c>
    </row>
    <row r="947">
      <c r="A947" t="inlineStr">
        <is>
          <t>S0314</t>
        </is>
      </c>
      <c r="B947" t="inlineStr">
        <is>
          <t>TK</t>
        </is>
      </c>
      <c r="C947" s="11" t="n">
        <v>46046</v>
      </c>
      <c r="D947" s="11" t="n">
        <v>46047</v>
      </c>
      <c r="E947" t="n">
        <v>1</v>
      </c>
      <c r="F947" t="n">
        <v>1</v>
      </c>
      <c r="G947">
        <f>IF(AND(D947&gt;=DATE(2025,7,1),D947&lt;=DATE(2026,6,30)),1,0)</f>
        <v>1</v>
      </c>
    </row>
    <row r="948">
      <c r="A948" t="inlineStr">
        <is>
          <t>S0320</t>
        </is>
      </c>
      <c r="B948" t="inlineStr">
        <is>
          <t>TK</t>
        </is>
      </c>
      <c r="C948" s="11" t="n">
        <v>46175</v>
      </c>
      <c r="D948" s="11" t="n">
        <v>46203</v>
      </c>
      <c r="E948" t="n">
        <v>4</v>
      </c>
      <c r="F948" t="n">
        <v>4</v>
      </c>
      <c r="G948">
        <f>IF(AND(D948&gt;=DATE(2025,7,1),D948&lt;=DATE(2026,6,30)),1,0)</f>
        <v>1</v>
      </c>
    </row>
    <row r="949">
      <c r="A949" t="inlineStr">
        <is>
          <t>S0324</t>
        </is>
      </c>
      <c r="B949" t="inlineStr">
        <is>
          <t>TK</t>
        </is>
      </c>
      <c r="C949" s="11" t="n">
        <v>45910</v>
      </c>
      <c r="D949" s="11" t="n">
        <v>45932</v>
      </c>
      <c r="E949" t="n">
        <v>4</v>
      </c>
      <c r="F949" t="n">
        <v>8</v>
      </c>
      <c r="G949">
        <f>IF(AND(D949&gt;=DATE(2025,7,1),D949&lt;=DATE(2026,6,30)),1,0)</f>
        <v>1</v>
      </c>
    </row>
    <row r="950">
      <c r="A950" t="inlineStr">
        <is>
          <t>S0330</t>
        </is>
      </c>
      <c r="B950" t="inlineStr">
        <is>
          <t>TK</t>
        </is>
      </c>
      <c r="C950" s="11" t="n">
        <v>45893</v>
      </c>
      <c r="D950" s="11" t="n">
        <v>45915</v>
      </c>
      <c r="E950" t="n">
        <v>4</v>
      </c>
      <c r="F950" t="n">
        <v>8</v>
      </c>
      <c r="G950">
        <f>IF(AND(D950&gt;=DATE(2025,7,1),D950&lt;=DATE(2026,6,30)),1,0)</f>
        <v>1</v>
      </c>
    </row>
    <row r="951">
      <c r="A951" t="inlineStr">
        <is>
          <t>S0331</t>
        </is>
      </c>
      <c r="B951" t="inlineStr">
        <is>
          <t>TK</t>
        </is>
      </c>
      <c r="C951" s="11" t="n">
        <v>45971</v>
      </c>
      <c r="D951" s="11" t="n">
        <v>45993</v>
      </c>
      <c r="E951" t="n">
        <v>4</v>
      </c>
      <c r="F951" t="n">
        <v>4</v>
      </c>
      <c r="G951">
        <f>IF(AND(D951&gt;=DATE(2025,7,1),D951&lt;=DATE(2026,6,30)),1,0)</f>
        <v>1</v>
      </c>
    </row>
    <row r="952">
      <c r="A952" t="inlineStr">
        <is>
          <t>S0332</t>
        </is>
      </c>
      <c r="B952" t="inlineStr">
        <is>
          <t>TK</t>
        </is>
      </c>
      <c r="C952" s="11" t="n">
        <v>45984</v>
      </c>
      <c r="D952" s="11" t="n">
        <v>46012</v>
      </c>
      <c r="E952" t="n">
        <v>4</v>
      </c>
      <c r="F952" t="n">
        <v>12</v>
      </c>
      <c r="G952">
        <f>IF(AND(D952&gt;=DATE(2025,7,1),D952&lt;=DATE(2026,6,30)),1,0)</f>
        <v>1</v>
      </c>
    </row>
    <row r="953">
      <c r="A953" t="inlineStr">
        <is>
          <t>S0332</t>
        </is>
      </c>
      <c r="B953" t="inlineStr">
        <is>
          <t>TK</t>
        </is>
      </c>
      <c r="C953" s="11" t="n">
        <v>46012</v>
      </c>
      <c r="D953" s="11" t="n">
        <v>46020</v>
      </c>
      <c r="E953" t="n">
        <v>2</v>
      </c>
      <c r="F953" t="n">
        <v>6</v>
      </c>
      <c r="G953">
        <f>IF(AND(D953&gt;=DATE(2025,7,1),D953&lt;=DATE(2026,6,30)),1,0)</f>
        <v>1</v>
      </c>
    </row>
    <row r="954">
      <c r="A954" t="inlineStr">
        <is>
          <t>S0334</t>
        </is>
      </c>
      <c r="B954" t="inlineStr">
        <is>
          <t>TK</t>
        </is>
      </c>
      <c r="C954" s="11" t="n">
        <v>45851</v>
      </c>
      <c r="D954" s="11" t="n">
        <v>45879</v>
      </c>
      <c r="E954" t="n">
        <v>4</v>
      </c>
      <c r="F954" t="n">
        <v>8</v>
      </c>
      <c r="G954">
        <f>IF(AND(D954&gt;=DATE(2025,7,1),D954&lt;=DATE(2026,6,30)),1,0)</f>
        <v>1</v>
      </c>
    </row>
    <row r="955">
      <c r="A955" t="inlineStr">
        <is>
          <t>S0334</t>
        </is>
      </c>
      <c r="B955" t="inlineStr">
        <is>
          <t>TK</t>
        </is>
      </c>
      <c r="C955" s="11" t="n">
        <v>45879</v>
      </c>
      <c r="D955" s="11" t="n">
        <v>45887</v>
      </c>
      <c r="E955" t="n">
        <v>2</v>
      </c>
      <c r="F955" t="n">
        <v>4</v>
      </c>
      <c r="G955">
        <f>IF(AND(D955&gt;=DATE(2025,7,1),D955&lt;=DATE(2026,6,30)),1,0)</f>
        <v>1</v>
      </c>
    </row>
    <row r="956">
      <c r="A956" t="inlineStr">
        <is>
          <t>S0336</t>
        </is>
      </c>
      <c r="B956" t="inlineStr">
        <is>
          <t>TK</t>
        </is>
      </c>
      <c r="C956" s="11" t="n">
        <v>45974</v>
      </c>
      <c r="D956" s="11" t="n">
        <v>45982</v>
      </c>
      <c r="E956" t="n">
        <v>2</v>
      </c>
      <c r="F956" t="n">
        <v>2</v>
      </c>
      <c r="G956">
        <f>IF(AND(D956&gt;=DATE(2025,7,1),D956&lt;=DATE(2026,6,30)),1,0)</f>
        <v>1</v>
      </c>
    </row>
    <row r="957">
      <c r="A957" t="inlineStr">
        <is>
          <t>S0337</t>
        </is>
      </c>
      <c r="B957" t="inlineStr">
        <is>
          <t>TK</t>
        </is>
      </c>
      <c r="C957" s="11" t="n">
        <v>45935</v>
      </c>
      <c r="D957" s="11" t="n">
        <v>45963</v>
      </c>
      <c r="E957" t="n">
        <v>4</v>
      </c>
      <c r="F957" t="n">
        <v>8</v>
      </c>
      <c r="G957">
        <f>IF(AND(D957&gt;=DATE(2025,7,1),D957&lt;=DATE(2026,6,30)),1,0)</f>
        <v>1</v>
      </c>
    </row>
    <row r="958">
      <c r="A958" t="inlineStr">
        <is>
          <t>S0337</t>
        </is>
      </c>
      <c r="B958" t="inlineStr">
        <is>
          <t>TK</t>
        </is>
      </c>
      <c r="C958" s="11" t="n">
        <v>45963</v>
      </c>
      <c r="D958" s="11" t="n">
        <v>45971</v>
      </c>
      <c r="E958" t="n">
        <v>2</v>
      </c>
      <c r="F958" t="n">
        <v>4</v>
      </c>
      <c r="G958">
        <f>IF(AND(D958&gt;=DATE(2025,7,1),D958&lt;=DATE(2026,6,30)),1,0)</f>
        <v>1</v>
      </c>
    </row>
    <row r="959">
      <c r="A959" t="inlineStr">
        <is>
          <t>S0338</t>
        </is>
      </c>
      <c r="B959" t="inlineStr">
        <is>
          <t>TK</t>
        </is>
      </c>
      <c r="C959" s="11" t="n">
        <v>46081</v>
      </c>
      <c r="D959" s="11" t="n">
        <v>46096</v>
      </c>
      <c r="E959" t="n">
        <v>3</v>
      </c>
      <c r="F959" t="n">
        <v>3</v>
      </c>
      <c r="G959">
        <f>IF(AND(D959&gt;=DATE(2025,7,1),D959&lt;=DATE(2026,6,30)),1,0)</f>
        <v>1</v>
      </c>
    </row>
    <row r="960">
      <c r="A960" t="inlineStr">
        <is>
          <t>S0340</t>
        </is>
      </c>
      <c r="B960" t="inlineStr">
        <is>
          <t>TK</t>
        </is>
      </c>
      <c r="C960" s="11" t="n">
        <v>45946</v>
      </c>
      <c r="D960" s="11" t="n">
        <v>45974</v>
      </c>
      <c r="E960" t="n">
        <v>4</v>
      </c>
      <c r="F960" t="n">
        <v>12</v>
      </c>
      <c r="G960">
        <f>IF(AND(D960&gt;=DATE(2025,7,1),D960&lt;=DATE(2026,6,30)),1,0)</f>
        <v>1</v>
      </c>
    </row>
    <row r="961">
      <c r="A961" t="inlineStr">
        <is>
          <t>S0340</t>
        </is>
      </c>
      <c r="B961" t="inlineStr">
        <is>
          <t>TK</t>
        </is>
      </c>
      <c r="C961" s="11" t="n">
        <v>45974</v>
      </c>
      <c r="D961" s="11" t="n">
        <v>45975</v>
      </c>
      <c r="E961" t="n">
        <v>1</v>
      </c>
      <c r="F961" t="n">
        <v>3</v>
      </c>
      <c r="G961">
        <f>IF(AND(D961&gt;=DATE(2025,7,1),D961&lt;=DATE(2026,6,30)),1,0)</f>
        <v>1</v>
      </c>
    </row>
    <row r="962">
      <c r="A962" t="inlineStr">
        <is>
          <t>S0343</t>
        </is>
      </c>
      <c r="B962" t="inlineStr">
        <is>
          <t>TK</t>
        </is>
      </c>
      <c r="C962" s="11" t="n">
        <v>46036</v>
      </c>
      <c r="D962" s="11" t="n">
        <v>46044</v>
      </c>
      <c r="E962" t="n">
        <v>2</v>
      </c>
      <c r="F962" t="n">
        <v>6</v>
      </c>
      <c r="G962">
        <f>IF(AND(D962&gt;=DATE(2025,7,1),D962&lt;=DATE(2026,6,30)),1,0)</f>
        <v>1</v>
      </c>
    </row>
    <row r="963">
      <c r="A963" t="inlineStr">
        <is>
          <t>S0346</t>
        </is>
      </c>
      <c r="B963" t="inlineStr">
        <is>
          <t>TK</t>
        </is>
      </c>
      <c r="C963" s="11" t="n">
        <v>45934</v>
      </c>
      <c r="D963" s="11" t="n">
        <v>45962</v>
      </c>
      <c r="E963" t="n">
        <v>4</v>
      </c>
      <c r="F963" t="n">
        <v>4</v>
      </c>
      <c r="G963">
        <f>IF(AND(D963&gt;=DATE(2025,7,1),D963&lt;=DATE(2026,6,30)),1,0)</f>
        <v>1</v>
      </c>
    </row>
    <row r="964">
      <c r="A964" t="inlineStr">
        <is>
          <t>S0346</t>
        </is>
      </c>
      <c r="B964" t="inlineStr">
        <is>
          <t>TK</t>
        </is>
      </c>
      <c r="C964" s="11" t="n">
        <v>45962</v>
      </c>
      <c r="D964" s="11" t="n">
        <v>45970</v>
      </c>
      <c r="E964" t="n">
        <v>2</v>
      </c>
      <c r="F964" t="n">
        <v>2</v>
      </c>
      <c r="G964">
        <f>IF(AND(D964&gt;=DATE(2025,7,1),D964&lt;=DATE(2026,6,30)),1,0)</f>
        <v>1</v>
      </c>
    </row>
    <row r="965">
      <c r="A965" t="inlineStr">
        <is>
          <t>S0347</t>
        </is>
      </c>
      <c r="B965" t="inlineStr">
        <is>
          <t>TK</t>
        </is>
      </c>
      <c r="C965" s="11" t="n">
        <v>45870</v>
      </c>
      <c r="D965" s="11" t="n">
        <v>45885</v>
      </c>
      <c r="E965" t="n">
        <v>3</v>
      </c>
      <c r="F965" t="n">
        <v>3</v>
      </c>
      <c r="G965">
        <f>IF(AND(D965&gt;=DATE(2025,7,1),D965&lt;=DATE(2026,6,30)),1,0)</f>
        <v>1</v>
      </c>
    </row>
    <row r="966">
      <c r="A966" t="inlineStr">
        <is>
          <t>S0350</t>
        </is>
      </c>
      <c r="B966" t="inlineStr">
        <is>
          <t>TK</t>
        </is>
      </c>
      <c r="C966" s="11" t="n">
        <v>46173</v>
      </c>
      <c r="D966" s="11" t="n">
        <v>46181</v>
      </c>
      <c r="E966" t="n">
        <v>2</v>
      </c>
      <c r="F966" t="n">
        <v>6</v>
      </c>
      <c r="G966">
        <f>IF(AND(D966&gt;=DATE(2025,7,1),D966&lt;=DATE(2026,6,30)),1,0)</f>
        <v>1</v>
      </c>
    </row>
    <row r="967">
      <c r="A967" t="inlineStr">
        <is>
          <t>S0355</t>
        </is>
      </c>
      <c r="B967" t="inlineStr">
        <is>
          <t>TK</t>
        </is>
      </c>
      <c r="C967" s="11" t="n">
        <v>46121</v>
      </c>
      <c r="D967" s="11" t="n">
        <v>46129</v>
      </c>
      <c r="E967" t="n">
        <v>2</v>
      </c>
      <c r="F967" t="n">
        <v>2</v>
      </c>
      <c r="G967">
        <f>IF(AND(D967&gt;=DATE(2025,7,1),D967&lt;=DATE(2026,6,30)),1,0)</f>
        <v>1</v>
      </c>
    </row>
    <row r="968">
      <c r="A968" t="inlineStr">
        <is>
          <t>S0363</t>
        </is>
      </c>
      <c r="B968" t="inlineStr">
        <is>
          <t>TK</t>
        </is>
      </c>
      <c r="C968" s="11" t="n">
        <v>45885</v>
      </c>
      <c r="D968" s="11" t="n">
        <v>45913</v>
      </c>
      <c r="E968" t="n">
        <v>4</v>
      </c>
      <c r="F968" t="n">
        <v>12</v>
      </c>
      <c r="G968">
        <f>IF(AND(D968&gt;=DATE(2025,7,1),D968&lt;=DATE(2026,6,30)),1,0)</f>
        <v>1</v>
      </c>
    </row>
    <row r="969">
      <c r="A969" t="inlineStr">
        <is>
          <t>S0363</t>
        </is>
      </c>
      <c r="B969" t="inlineStr">
        <is>
          <t>TK</t>
        </is>
      </c>
      <c r="C969" s="11" t="n">
        <v>45913</v>
      </c>
      <c r="D969" s="11" t="n">
        <v>45928</v>
      </c>
      <c r="E969" t="n">
        <v>3</v>
      </c>
      <c r="F969" t="n">
        <v>9</v>
      </c>
      <c r="G969">
        <f>IF(AND(D969&gt;=DATE(2025,7,1),D969&lt;=DATE(2026,6,30)),1,0)</f>
        <v>1</v>
      </c>
    </row>
    <row r="970">
      <c r="A970" t="inlineStr">
        <is>
          <t>S0369</t>
        </is>
      </c>
      <c r="B970" t="inlineStr">
        <is>
          <t>TK</t>
        </is>
      </c>
      <c r="C970" s="11" t="n">
        <v>46190</v>
      </c>
      <c r="D970" s="11" t="n">
        <v>46198</v>
      </c>
      <c r="E970" t="n">
        <v>2</v>
      </c>
      <c r="F970" t="n">
        <v>4</v>
      </c>
      <c r="G970">
        <f>IF(AND(D970&gt;=DATE(2025,7,1),D970&lt;=DATE(2026,6,30)),1,0)</f>
        <v>1</v>
      </c>
    </row>
    <row r="971">
      <c r="A971" t="inlineStr">
        <is>
          <t>S0373</t>
        </is>
      </c>
      <c r="B971" t="inlineStr">
        <is>
          <t>TK</t>
        </is>
      </c>
      <c r="C971" s="11" t="n">
        <v>46118</v>
      </c>
      <c r="D971" s="11" t="n">
        <v>46146</v>
      </c>
      <c r="E971" t="n">
        <v>4</v>
      </c>
      <c r="F971" t="n">
        <v>8</v>
      </c>
      <c r="G971">
        <f>IF(AND(D971&gt;=DATE(2025,7,1),D971&lt;=DATE(2026,6,30)),1,0)</f>
        <v>1</v>
      </c>
    </row>
    <row r="972">
      <c r="A972" t="inlineStr">
        <is>
          <t>S0373</t>
        </is>
      </c>
      <c r="B972" t="inlineStr">
        <is>
          <t>TK</t>
        </is>
      </c>
      <c r="C972" s="11" t="n">
        <v>46146</v>
      </c>
      <c r="D972" s="11" t="n">
        <v>46154</v>
      </c>
      <c r="E972" t="n">
        <v>2</v>
      </c>
      <c r="F972" t="n">
        <v>4</v>
      </c>
      <c r="G972">
        <f>IF(AND(D972&gt;=DATE(2025,7,1),D972&lt;=DATE(2026,6,30)),1,0)</f>
        <v>1</v>
      </c>
    </row>
    <row r="973">
      <c r="A973" t="inlineStr">
        <is>
          <t>S0375</t>
        </is>
      </c>
      <c r="B973" t="inlineStr">
        <is>
          <t>TK</t>
        </is>
      </c>
      <c r="C973" s="11" t="n">
        <v>46008</v>
      </c>
      <c r="D973" s="11" t="n">
        <v>46023</v>
      </c>
      <c r="E973" t="n">
        <v>3</v>
      </c>
      <c r="F973" t="n">
        <v>3</v>
      </c>
      <c r="G973">
        <f>IF(AND(D973&gt;=DATE(2025,7,1),D973&lt;=DATE(2026,6,30)),1,0)</f>
        <v>1</v>
      </c>
    </row>
    <row r="974">
      <c r="A974" t="inlineStr">
        <is>
          <t>S0376</t>
        </is>
      </c>
      <c r="B974" t="inlineStr">
        <is>
          <t>TK</t>
        </is>
      </c>
      <c r="C974" s="11" t="n">
        <v>46107</v>
      </c>
      <c r="D974" s="11" t="n">
        <v>46115</v>
      </c>
      <c r="E974" t="n">
        <v>2</v>
      </c>
      <c r="F974" t="n">
        <v>2</v>
      </c>
      <c r="G974">
        <f>IF(AND(D974&gt;=DATE(2025,7,1),D974&lt;=DATE(2026,6,30)),1,0)</f>
        <v>1</v>
      </c>
    </row>
    <row r="975">
      <c r="A975" t="inlineStr">
        <is>
          <t>S0377</t>
        </is>
      </c>
      <c r="B975" t="inlineStr">
        <is>
          <t>TK</t>
        </is>
      </c>
      <c r="C975" s="11" t="n">
        <v>46138</v>
      </c>
      <c r="D975" s="11" t="n">
        <v>46166</v>
      </c>
      <c r="E975" t="n">
        <v>4</v>
      </c>
      <c r="F975" t="n">
        <v>8</v>
      </c>
      <c r="G975">
        <f>IF(AND(D975&gt;=DATE(2025,7,1),D975&lt;=DATE(2026,6,30)),1,0)</f>
        <v>1</v>
      </c>
    </row>
    <row r="976">
      <c r="A976" t="inlineStr">
        <is>
          <t>S0377</t>
        </is>
      </c>
      <c r="B976" t="inlineStr">
        <is>
          <t>TK</t>
        </is>
      </c>
      <c r="C976" s="11" t="n">
        <v>46166</v>
      </c>
      <c r="D976" s="11" t="n">
        <v>46167</v>
      </c>
      <c r="E976" t="n">
        <v>1</v>
      </c>
      <c r="F976" t="n">
        <v>2</v>
      </c>
      <c r="G976">
        <f>IF(AND(D976&gt;=DATE(2025,7,1),D976&lt;=DATE(2026,6,30)),1,0)</f>
        <v>1</v>
      </c>
    </row>
    <row r="977">
      <c r="A977" t="inlineStr">
        <is>
          <t>S0380</t>
        </is>
      </c>
      <c r="B977" t="inlineStr">
        <is>
          <t>TK</t>
        </is>
      </c>
      <c r="C977" s="11" t="n">
        <v>46181</v>
      </c>
      <c r="D977" s="11" t="n">
        <v>46189</v>
      </c>
      <c r="E977" t="n">
        <v>2</v>
      </c>
      <c r="F977" t="n">
        <v>6</v>
      </c>
      <c r="G977">
        <f>IF(AND(D977&gt;=DATE(2025,7,1),D977&lt;=DATE(2026,6,30)),1,0)</f>
        <v>1</v>
      </c>
    </row>
    <row r="978">
      <c r="A978" t="inlineStr">
        <is>
          <t>S0383</t>
        </is>
      </c>
      <c r="B978" t="inlineStr">
        <is>
          <t>TK</t>
        </is>
      </c>
      <c r="C978" s="11" t="n">
        <v>45876</v>
      </c>
      <c r="D978" s="11" t="n">
        <v>45904</v>
      </c>
      <c r="E978" t="n">
        <v>4</v>
      </c>
      <c r="F978" t="n">
        <v>4</v>
      </c>
      <c r="G978">
        <f>IF(AND(D978&gt;=DATE(2025,7,1),D978&lt;=DATE(2026,6,30)),1,0)</f>
        <v>1</v>
      </c>
    </row>
    <row r="979">
      <c r="A979" t="inlineStr">
        <is>
          <t>S0383</t>
        </is>
      </c>
      <c r="B979" t="inlineStr">
        <is>
          <t>TK</t>
        </is>
      </c>
      <c r="C979" s="11" t="n">
        <v>45904</v>
      </c>
      <c r="D979" s="11" t="n">
        <v>45912</v>
      </c>
      <c r="E979" t="n">
        <v>2</v>
      </c>
      <c r="F979" t="n">
        <v>2</v>
      </c>
      <c r="G979">
        <f>IF(AND(D979&gt;=DATE(2025,7,1),D979&lt;=DATE(2026,6,30)),1,0)</f>
        <v>1</v>
      </c>
    </row>
    <row r="980">
      <c r="A980" t="inlineStr">
        <is>
          <t>S0384</t>
        </is>
      </c>
      <c r="B980" t="inlineStr">
        <is>
          <t>TK</t>
        </is>
      </c>
      <c r="C980" s="11" t="n">
        <v>46172</v>
      </c>
      <c r="D980" s="11" t="n">
        <v>46200</v>
      </c>
      <c r="E980" t="n">
        <v>4</v>
      </c>
      <c r="F980" t="n">
        <v>12</v>
      </c>
      <c r="G980">
        <f>IF(AND(D980&gt;=DATE(2025,7,1),D980&lt;=DATE(2026,6,30)),1,0)</f>
        <v>1</v>
      </c>
    </row>
    <row r="981">
      <c r="A981" t="inlineStr">
        <is>
          <t>S0384</t>
        </is>
      </c>
      <c r="B981" t="inlineStr">
        <is>
          <t>TK</t>
        </is>
      </c>
      <c r="C981" s="11" t="n">
        <v>46200</v>
      </c>
      <c r="D981" s="11" t="n">
        <v>46201</v>
      </c>
      <c r="E981" t="n">
        <v>1</v>
      </c>
      <c r="F981" t="n">
        <v>3</v>
      </c>
      <c r="G981">
        <f>IF(AND(D981&gt;=DATE(2025,7,1),D981&lt;=DATE(2026,6,30)),1,0)</f>
        <v>1</v>
      </c>
    </row>
    <row r="982">
      <c r="A982" t="inlineStr">
        <is>
          <t>S0386</t>
        </is>
      </c>
      <c r="B982" t="inlineStr">
        <is>
          <t>TK</t>
        </is>
      </c>
      <c r="C982" s="11" t="n">
        <v>45967</v>
      </c>
      <c r="D982" s="11" t="n">
        <v>45995</v>
      </c>
      <c r="E982" t="n">
        <v>4</v>
      </c>
      <c r="F982" t="n">
        <v>4</v>
      </c>
      <c r="G982">
        <f>IF(AND(D982&gt;=DATE(2025,7,1),D982&lt;=DATE(2026,6,30)),1,0)</f>
        <v>1</v>
      </c>
    </row>
    <row r="983">
      <c r="A983" t="inlineStr">
        <is>
          <t>S0386</t>
        </is>
      </c>
      <c r="B983" t="inlineStr">
        <is>
          <t>TK</t>
        </is>
      </c>
      <c r="C983" s="11" t="n">
        <v>45995</v>
      </c>
      <c r="D983" s="11" t="n">
        <v>45996</v>
      </c>
      <c r="E983" t="n">
        <v>1</v>
      </c>
      <c r="F983" t="n">
        <v>1</v>
      </c>
      <c r="G983">
        <f>IF(AND(D983&gt;=DATE(2025,7,1),D983&lt;=DATE(2026,6,30)),1,0)</f>
        <v>1</v>
      </c>
    </row>
    <row r="984">
      <c r="A984" t="inlineStr">
        <is>
          <t>S0390</t>
        </is>
      </c>
      <c r="B984" t="inlineStr">
        <is>
          <t>TK</t>
        </is>
      </c>
      <c r="C984" s="11" t="n">
        <v>46034</v>
      </c>
      <c r="D984" s="11" t="n">
        <v>46056</v>
      </c>
      <c r="E984" t="n">
        <v>4</v>
      </c>
      <c r="F984" t="n">
        <v>8</v>
      </c>
      <c r="G984">
        <f>IF(AND(D984&gt;=DATE(2025,7,1),D984&lt;=DATE(2026,6,30)),1,0)</f>
        <v>1</v>
      </c>
    </row>
    <row r="985">
      <c r="A985" t="inlineStr">
        <is>
          <t>S0391</t>
        </is>
      </c>
      <c r="B985" t="inlineStr">
        <is>
          <t>TK</t>
        </is>
      </c>
      <c r="C985" s="11" t="n">
        <v>45842</v>
      </c>
      <c r="D985" s="11" t="n">
        <v>45870</v>
      </c>
      <c r="E985" t="n">
        <v>4</v>
      </c>
      <c r="F985" t="n">
        <v>12</v>
      </c>
      <c r="G985">
        <f>IF(AND(D985&gt;=DATE(2025,7,1),D985&lt;=DATE(2026,6,30)),1,0)</f>
        <v>1</v>
      </c>
    </row>
    <row r="986">
      <c r="A986" t="inlineStr">
        <is>
          <t>S0391</t>
        </is>
      </c>
      <c r="B986" t="inlineStr">
        <is>
          <t>TK</t>
        </is>
      </c>
      <c r="C986" s="11" t="n">
        <v>45870</v>
      </c>
      <c r="D986" s="11" t="n">
        <v>45885</v>
      </c>
      <c r="E986" t="n">
        <v>3</v>
      </c>
      <c r="F986" t="n">
        <v>9</v>
      </c>
      <c r="G986">
        <f>IF(AND(D986&gt;=DATE(2025,7,1),D986&lt;=DATE(2026,6,30)),1,0)</f>
        <v>1</v>
      </c>
    </row>
    <row r="987">
      <c r="A987" t="inlineStr">
        <is>
          <t>S0393</t>
        </is>
      </c>
      <c r="B987" t="inlineStr">
        <is>
          <t>TK</t>
        </is>
      </c>
      <c r="C987" s="11" t="n">
        <v>45931</v>
      </c>
      <c r="D987" s="11" t="n">
        <v>45953</v>
      </c>
      <c r="E987" t="n">
        <v>4</v>
      </c>
      <c r="F987" t="n">
        <v>4</v>
      </c>
      <c r="G987">
        <f>IF(AND(D987&gt;=DATE(2025,7,1),D987&lt;=DATE(2026,6,30)),1,0)</f>
        <v>1</v>
      </c>
    </row>
    <row r="988">
      <c r="A988" t="inlineStr">
        <is>
          <t>S0395</t>
        </is>
      </c>
      <c r="B988" t="inlineStr">
        <is>
          <t>TK</t>
        </is>
      </c>
      <c r="C988" s="11" t="n">
        <v>46145</v>
      </c>
      <c r="D988" s="11" t="n">
        <v>46160</v>
      </c>
      <c r="E988" t="n">
        <v>3</v>
      </c>
      <c r="F988" t="n">
        <v>3</v>
      </c>
      <c r="G988">
        <f>IF(AND(D988&gt;=DATE(2025,7,1),D988&lt;=DATE(2026,6,30)),1,0)</f>
        <v>1</v>
      </c>
    </row>
    <row r="989">
      <c r="A989" t="inlineStr">
        <is>
          <t>S0398</t>
        </is>
      </c>
      <c r="B989" t="inlineStr">
        <is>
          <t>TK</t>
        </is>
      </c>
      <c r="C989" s="11" t="n">
        <v>46057</v>
      </c>
      <c r="D989" s="11" t="n">
        <v>46072</v>
      </c>
      <c r="E989" t="n">
        <v>3</v>
      </c>
      <c r="F989" t="n">
        <v>6</v>
      </c>
      <c r="G989">
        <f>IF(AND(D989&gt;=DATE(2025,7,1),D989&lt;=DATE(2026,6,30)),1,0)</f>
        <v>1</v>
      </c>
    </row>
    <row r="990">
      <c r="A990" t="inlineStr">
        <is>
          <t>S0399</t>
        </is>
      </c>
      <c r="B990" t="inlineStr">
        <is>
          <t>TK</t>
        </is>
      </c>
      <c r="C990" s="11" t="n">
        <v>46021</v>
      </c>
      <c r="D990" s="11" t="n">
        <v>46049</v>
      </c>
      <c r="E990" t="n">
        <v>4</v>
      </c>
      <c r="F990" t="n">
        <v>12</v>
      </c>
      <c r="G990">
        <f>IF(AND(D990&gt;=DATE(2025,7,1),D990&lt;=DATE(2026,6,30)),1,0)</f>
        <v>1</v>
      </c>
    </row>
    <row r="991">
      <c r="A991" t="inlineStr">
        <is>
          <t>S0399</t>
        </is>
      </c>
      <c r="B991" t="inlineStr">
        <is>
          <t>TK</t>
        </is>
      </c>
      <c r="C991" s="11" t="n">
        <v>46049</v>
      </c>
      <c r="D991" s="11" t="n">
        <v>46064</v>
      </c>
      <c r="E991" t="n">
        <v>3</v>
      </c>
      <c r="F991" t="n">
        <v>9</v>
      </c>
      <c r="G991">
        <f>IF(AND(D991&gt;=DATE(2025,7,1),D991&lt;=DATE(2026,6,30)),1,0)</f>
        <v>1</v>
      </c>
    </row>
    <row r="992">
      <c r="A992" t="inlineStr">
        <is>
          <t>S0403</t>
        </is>
      </c>
      <c r="B992" t="inlineStr">
        <is>
          <t>TK</t>
        </is>
      </c>
      <c r="C992" s="11" t="n">
        <v>46114</v>
      </c>
      <c r="D992" s="11" t="n">
        <v>46142</v>
      </c>
      <c r="E992" t="n">
        <v>4</v>
      </c>
      <c r="F992" t="n">
        <v>8</v>
      </c>
      <c r="G992">
        <f>IF(AND(D992&gt;=DATE(2025,7,1),D992&lt;=DATE(2026,6,30)),1,0)</f>
        <v>1</v>
      </c>
    </row>
    <row r="993">
      <c r="A993" t="inlineStr">
        <is>
          <t>S0403</t>
        </is>
      </c>
      <c r="B993" t="inlineStr">
        <is>
          <t>TK</t>
        </is>
      </c>
      <c r="C993" s="11" t="n">
        <v>46142</v>
      </c>
      <c r="D993" s="11" t="n">
        <v>46143</v>
      </c>
      <c r="E993" t="n">
        <v>1</v>
      </c>
      <c r="F993" t="n">
        <v>2</v>
      </c>
      <c r="G993">
        <f>IF(AND(D993&gt;=DATE(2025,7,1),D993&lt;=DATE(2026,6,30)),1,0)</f>
        <v>1</v>
      </c>
    </row>
    <row r="994">
      <c r="A994" t="inlineStr">
        <is>
          <t>S0406</t>
        </is>
      </c>
      <c r="B994" t="inlineStr">
        <is>
          <t>TK</t>
        </is>
      </c>
      <c r="C994" s="11" t="n">
        <v>45925</v>
      </c>
      <c r="D994" s="11" t="n">
        <v>45940</v>
      </c>
      <c r="E994" t="n">
        <v>3</v>
      </c>
      <c r="F994" t="n">
        <v>6</v>
      </c>
      <c r="G994">
        <f>IF(AND(D994&gt;=DATE(2025,7,1),D994&lt;=DATE(2026,6,30)),1,0)</f>
        <v>1</v>
      </c>
    </row>
    <row r="995">
      <c r="A995" t="inlineStr">
        <is>
          <t>S0407</t>
        </is>
      </c>
      <c r="B995" t="inlineStr">
        <is>
          <t>TK</t>
        </is>
      </c>
      <c r="C995" s="11" t="n">
        <v>46116</v>
      </c>
      <c r="D995" s="11" t="n">
        <v>46124</v>
      </c>
      <c r="E995" t="n">
        <v>2</v>
      </c>
      <c r="F995" t="n">
        <v>2</v>
      </c>
      <c r="G995">
        <f>IF(AND(D995&gt;=DATE(2025,7,1),D995&lt;=DATE(2026,6,30)),1,0)</f>
        <v>1</v>
      </c>
    </row>
    <row r="996">
      <c r="A996" t="inlineStr">
        <is>
          <t>S0408</t>
        </is>
      </c>
      <c r="B996" t="inlineStr">
        <is>
          <t>TK</t>
        </is>
      </c>
      <c r="C996" s="11" t="n">
        <v>45975</v>
      </c>
      <c r="D996" s="11" t="n">
        <v>46003</v>
      </c>
      <c r="E996" t="n">
        <v>4</v>
      </c>
      <c r="F996" t="n">
        <v>12</v>
      </c>
      <c r="G996">
        <f>IF(AND(D996&gt;=DATE(2025,7,1),D996&lt;=DATE(2026,6,30)),1,0)</f>
        <v>1</v>
      </c>
    </row>
    <row r="997">
      <c r="A997" t="inlineStr">
        <is>
          <t>S0408</t>
        </is>
      </c>
      <c r="B997" t="inlineStr">
        <is>
          <t>TK</t>
        </is>
      </c>
      <c r="C997" s="11" t="n">
        <v>46003</v>
      </c>
      <c r="D997" s="11" t="n">
        <v>46004</v>
      </c>
      <c r="E997" t="n">
        <v>1</v>
      </c>
      <c r="F997" t="n">
        <v>3</v>
      </c>
      <c r="G997">
        <f>IF(AND(D997&gt;=DATE(2025,7,1),D997&lt;=DATE(2026,6,30)),1,0)</f>
        <v>1</v>
      </c>
    </row>
    <row r="998">
      <c r="A998" t="inlineStr">
        <is>
          <t>S0412</t>
        </is>
      </c>
      <c r="B998" t="inlineStr">
        <is>
          <t>TK</t>
        </is>
      </c>
      <c r="C998" s="11" t="n">
        <v>46122</v>
      </c>
      <c r="D998" s="11" t="n">
        <v>46150</v>
      </c>
      <c r="E998" t="n">
        <v>4</v>
      </c>
      <c r="F998" t="n">
        <v>4</v>
      </c>
      <c r="G998">
        <f>IF(AND(D998&gt;=DATE(2025,7,1),D998&lt;=DATE(2026,6,30)),1,0)</f>
        <v>1</v>
      </c>
    </row>
    <row r="999">
      <c r="A999" t="inlineStr">
        <is>
          <t>S0412</t>
        </is>
      </c>
      <c r="B999" t="inlineStr">
        <is>
          <t>TK</t>
        </is>
      </c>
      <c r="C999" s="11" t="n">
        <v>46150</v>
      </c>
      <c r="D999" s="11" t="n">
        <v>46165</v>
      </c>
      <c r="E999" t="n">
        <v>3</v>
      </c>
      <c r="F999" t="n">
        <v>3</v>
      </c>
      <c r="G999">
        <f>IF(AND(D999&gt;=DATE(2025,7,1),D999&lt;=DATE(2026,6,30)),1,0)</f>
        <v>1</v>
      </c>
    </row>
    <row r="1000">
      <c r="A1000" t="inlineStr">
        <is>
          <t>S0413</t>
        </is>
      </c>
      <c r="B1000" t="inlineStr">
        <is>
          <t>TK</t>
        </is>
      </c>
      <c r="C1000" s="11" t="n">
        <v>46009</v>
      </c>
      <c r="D1000" s="11" t="n">
        <v>46037</v>
      </c>
      <c r="E1000" t="n">
        <v>4</v>
      </c>
      <c r="F1000" t="n">
        <v>4</v>
      </c>
      <c r="G1000">
        <f>IF(AND(D1000&gt;=DATE(2025,7,1),D1000&lt;=DATE(2026,6,30)),1,0)</f>
        <v>1</v>
      </c>
    </row>
    <row r="1001">
      <c r="A1001" t="inlineStr">
        <is>
          <t>S0413</t>
        </is>
      </c>
      <c r="B1001" t="inlineStr">
        <is>
          <t>TK</t>
        </is>
      </c>
      <c r="C1001" s="11" t="n">
        <v>46037</v>
      </c>
      <c r="D1001" s="11" t="n">
        <v>46038</v>
      </c>
      <c r="E1001" t="n">
        <v>1</v>
      </c>
      <c r="F1001" t="n">
        <v>1</v>
      </c>
      <c r="G1001">
        <f>IF(AND(D1001&gt;=DATE(2025,7,1),D1001&lt;=DATE(2026,6,30)),1,0)</f>
        <v>1</v>
      </c>
    </row>
    <row r="1002">
      <c r="A1002" t="inlineStr">
        <is>
          <t>S0415</t>
        </is>
      </c>
      <c r="B1002" t="inlineStr">
        <is>
          <t>TK</t>
        </is>
      </c>
      <c r="C1002" s="11" t="n">
        <v>46108</v>
      </c>
      <c r="D1002" s="11" t="n">
        <v>46136</v>
      </c>
      <c r="E1002" t="n">
        <v>4</v>
      </c>
      <c r="F1002" t="n">
        <v>8</v>
      </c>
      <c r="G1002">
        <f>IF(AND(D1002&gt;=DATE(2025,7,1),D1002&lt;=DATE(2026,6,30)),1,0)</f>
        <v>1</v>
      </c>
    </row>
    <row r="1003">
      <c r="A1003" t="inlineStr">
        <is>
          <t>S0415</t>
        </is>
      </c>
      <c r="B1003" t="inlineStr">
        <is>
          <t>TK</t>
        </is>
      </c>
      <c r="C1003" s="11" t="n">
        <v>46136</v>
      </c>
      <c r="D1003" s="11" t="n">
        <v>46137</v>
      </c>
      <c r="E1003" t="n">
        <v>1</v>
      </c>
      <c r="F1003" t="n">
        <v>2</v>
      </c>
      <c r="G1003">
        <f>IF(AND(D1003&gt;=DATE(2025,7,1),D1003&lt;=DATE(2026,6,30)),1,0)</f>
        <v>1</v>
      </c>
    </row>
    <row r="1004">
      <c r="A1004" t="inlineStr">
        <is>
          <t>S0420</t>
        </is>
      </c>
      <c r="B1004" t="inlineStr">
        <is>
          <t>TK</t>
        </is>
      </c>
      <c r="C1004" s="11" t="n">
        <v>46183</v>
      </c>
      <c r="D1004" s="11" t="n">
        <v>46198</v>
      </c>
      <c r="E1004" t="n">
        <v>3</v>
      </c>
      <c r="F1004" t="n">
        <v>6</v>
      </c>
      <c r="G1004">
        <f>IF(AND(D1004&gt;=DATE(2025,7,1),D1004&lt;=DATE(2026,6,30)),1,0)</f>
        <v>1</v>
      </c>
    </row>
    <row r="1005">
      <c r="A1005" t="inlineStr">
        <is>
          <t>S0421</t>
        </is>
      </c>
      <c r="B1005" t="inlineStr">
        <is>
          <t>TK</t>
        </is>
      </c>
      <c r="C1005" s="11" t="n">
        <v>46016</v>
      </c>
      <c r="D1005" s="11" t="n">
        <v>46024</v>
      </c>
      <c r="E1005" t="n">
        <v>2</v>
      </c>
      <c r="F1005" t="n">
        <v>6</v>
      </c>
      <c r="G1005">
        <f>IF(AND(D1005&gt;=DATE(2025,7,1),D1005&lt;=DATE(2026,6,30)),1,0)</f>
        <v>1</v>
      </c>
    </row>
    <row r="1006">
      <c r="A1006" t="inlineStr">
        <is>
          <t>S0422</t>
        </is>
      </c>
      <c r="B1006" t="inlineStr">
        <is>
          <t>TK</t>
        </is>
      </c>
      <c r="C1006" s="11" t="n">
        <v>45878</v>
      </c>
      <c r="D1006" s="11" t="n">
        <v>45906</v>
      </c>
      <c r="E1006" t="n">
        <v>4</v>
      </c>
      <c r="F1006" t="n">
        <v>8</v>
      </c>
      <c r="G1006">
        <f>IF(AND(D1006&gt;=DATE(2025,7,1),D1006&lt;=DATE(2026,6,30)),1,0)</f>
        <v>1</v>
      </c>
    </row>
    <row r="1007">
      <c r="A1007" t="inlineStr">
        <is>
          <t>S0422</t>
        </is>
      </c>
      <c r="B1007" t="inlineStr">
        <is>
          <t>TK</t>
        </is>
      </c>
      <c r="C1007" s="11" t="n">
        <v>45906</v>
      </c>
      <c r="D1007" s="11" t="n">
        <v>45907</v>
      </c>
      <c r="E1007" t="n">
        <v>1</v>
      </c>
      <c r="F1007" t="n">
        <v>2</v>
      </c>
      <c r="G1007">
        <f>IF(AND(D1007&gt;=DATE(2025,7,1),D1007&lt;=DATE(2026,6,30)),1,0)</f>
        <v>1</v>
      </c>
    </row>
    <row r="1008">
      <c r="A1008" t="inlineStr">
        <is>
          <t>S0423</t>
        </is>
      </c>
      <c r="B1008" t="inlineStr">
        <is>
          <t>TK</t>
        </is>
      </c>
      <c r="C1008" s="11" t="n">
        <v>46148</v>
      </c>
      <c r="D1008" s="11" t="n">
        <v>46176</v>
      </c>
      <c r="E1008" t="n">
        <v>4</v>
      </c>
      <c r="F1008" t="n">
        <v>8</v>
      </c>
      <c r="G1008">
        <f>IF(AND(D1008&gt;=DATE(2025,7,1),D1008&lt;=DATE(2026,6,30)),1,0)</f>
        <v>1</v>
      </c>
    </row>
    <row r="1009">
      <c r="A1009" t="inlineStr">
        <is>
          <t>S0423</t>
        </is>
      </c>
      <c r="B1009" t="inlineStr">
        <is>
          <t>TK</t>
        </is>
      </c>
      <c r="C1009" s="11" t="n">
        <v>46176</v>
      </c>
      <c r="D1009" s="11" t="n">
        <v>46184</v>
      </c>
      <c r="E1009" t="n">
        <v>2</v>
      </c>
      <c r="F1009" t="n">
        <v>4</v>
      </c>
      <c r="G1009">
        <f>IF(AND(D1009&gt;=DATE(2025,7,1),D1009&lt;=DATE(2026,6,30)),1,0)</f>
        <v>1</v>
      </c>
    </row>
    <row r="1010">
      <c r="A1010" t="inlineStr">
        <is>
          <t>S0429</t>
        </is>
      </c>
      <c r="B1010" t="inlineStr">
        <is>
          <t>TK</t>
        </is>
      </c>
      <c r="C1010" s="11" t="n">
        <v>46133</v>
      </c>
      <c r="D1010" s="11" t="n">
        <v>46161</v>
      </c>
      <c r="E1010" t="n">
        <v>4</v>
      </c>
      <c r="F1010" t="n">
        <v>12</v>
      </c>
      <c r="G1010">
        <f>IF(AND(D1010&gt;=DATE(2025,7,1),D1010&lt;=DATE(2026,6,30)),1,0)</f>
        <v>1</v>
      </c>
    </row>
    <row r="1011">
      <c r="A1011" t="inlineStr">
        <is>
          <t>S0429</t>
        </is>
      </c>
      <c r="B1011" t="inlineStr">
        <is>
          <t>TK</t>
        </is>
      </c>
      <c r="C1011" s="11" t="n">
        <v>46161</v>
      </c>
      <c r="D1011" s="11" t="n">
        <v>46162</v>
      </c>
      <c r="E1011" t="n">
        <v>1</v>
      </c>
      <c r="F1011" t="n">
        <v>3</v>
      </c>
      <c r="G1011">
        <f>IF(AND(D1011&gt;=DATE(2025,7,1),D1011&lt;=DATE(2026,6,30)),1,0)</f>
        <v>1</v>
      </c>
    </row>
    <row r="1012">
      <c r="A1012" t="inlineStr">
        <is>
          <t>S0434</t>
        </is>
      </c>
      <c r="B1012" t="inlineStr">
        <is>
          <t>TK</t>
        </is>
      </c>
      <c r="C1012" s="11" t="n">
        <v>45941</v>
      </c>
      <c r="D1012" s="11" t="n">
        <v>45949</v>
      </c>
      <c r="E1012" t="n">
        <v>2</v>
      </c>
      <c r="F1012" t="n">
        <v>6</v>
      </c>
      <c r="G1012">
        <f>IF(AND(D1012&gt;=DATE(2025,7,1),D1012&lt;=DATE(2026,6,30)),1,0)</f>
        <v>1</v>
      </c>
    </row>
    <row r="1013">
      <c r="A1013" t="inlineStr">
        <is>
          <t>S0435</t>
        </is>
      </c>
      <c r="B1013" t="inlineStr">
        <is>
          <t>TK</t>
        </is>
      </c>
      <c r="C1013" s="11" t="n">
        <v>46037</v>
      </c>
      <c r="D1013" s="11" t="n">
        <v>46065</v>
      </c>
      <c r="E1013" t="n">
        <v>4</v>
      </c>
      <c r="F1013" t="n">
        <v>8</v>
      </c>
      <c r="G1013">
        <f>IF(AND(D1013&gt;=DATE(2025,7,1),D1013&lt;=DATE(2026,6,30)),1,0)</f>
        <v>1</v>
      </c>
    </row>
    <row r="1014">
      <c r="A1014" t="inlineStr">
        <is>
          <t>S0435</t>
        </is>
      </c>
      <c r="B1014" t="inlineStr">
        <is>
          <t>TK</t>
        </is>
      </c>
      <c r="C1014" s="11" t="n">
        <v>46065</v>
      </c>
      <c r="D1014" s="11" t="n">
        <v>46073</v>
      </c>
      <c r="E1014" t="n">
        <v>2</v>
      </c>
      <c r="F1014" t="n">
        <v>4</v>
      </c>
      <c r="G1014">
        <f>IF(AND(D1014&gt;=DATE(2025,7,1),D1014&lt;=DATE(2026,6,30)),1,0)</f>
        <v>1</v>
      </c>
    </row>
    <row r="1015">
      <c r="A1015" t="inlineStr">
        <is>
          <t>S0438</t>
        </is>
      </c>
      <c r="B1015" t="inlineStr">
        <is>
          <t>TK</t>
        </is>
      </c>
      <c r="C1015" s="11" t="n">
        <v>45888</v>
      </c>
      <c r="D1015" s="11" t="n">
        <v>45916</v>
      </c>
      <c r="E1015" t="n">
        <v>4</v>
      </c>
      <c r="F1015" t="n">
        <v>12</v>
      </c>
      <c r="G1015">
        <f>IF(AND(D1015&gt;=DATE(2025,7,1),D1015&lt;=DATE(2026,6,30)),1,0)</f>
        <v>1</v>
      </c>
    </row>
    <row r="1016">
      <c r="A1016" t="inlineStr">
        <is>
          <t>S0438</t>
        </is>
      </c>
      <c r="B1016" t="inlineStr">
        <is>
          <t>TK</t>
        </is>
      </c>
      <c r="C1016" s="11" t="n">
        <v>45916</v>
      </c>
      <c r="D1016" s="11" t="n">
        <v>45931</v>
      </c>
      <c r="E1016" t="n">
        <v>3</v>
      </c>
      <c r="F1016" t="n">
        <v>9</v>
      </c>
      <c r="G1016">
        <f>IF(AND(D1016&gt;=DATE(2025,7,1),D1016&lt;=DATE(2026,6,30)),1,0)</f>
        <v>1</v>
      </c>
    </row>
    <row r="1017">
      <c r="A1017" t="inlineStr">
        <is>
          <t>S0440</t>
        </is>
      </c>
      <c r="B1017" t="inlineStr">
        <is>
          <t>TK</t>
        </is>
      </c>
      <c r="C1017" s="11" t="n">
        <v>46108</v>
      </c>
      <c r="D1017" s="11" t="n">
        <v>46123</v>
      </c>
      <c r="E1017" t="n">
        <v>3</v>
      </c>
      <c r="F1017" t="n">
        <v>6</v>
      </c>
      <c r="G1017">
        <f>IF(AND(D1017&gt;=DATE(2025,7,1),D1017&lt;=DATE(2026,6,30)),1,0)</f>
        <v>1</v>
      </c>
    </row>
    <row r="1018">
      <c r="A1018" t="inlineStr">
        <is>
          <t>S0441</t>
        </is>
      </c>
      <c r="B1018" t="inlineStr">
        <is>
          <t>TK</t>
        </is>
      </c>
      <c r="C1018" s="11" t="n">
        <v>45882</v>
      </c>
      <c r="D1018" s="11" t="n">
        <v>45910</v>
      </c>
      <c r="E1018" t="n">
        <v>4</v>
      </c>
      <c r="F1018" t="n">
        <v>8</v>
      </c>
      <c r="G1018">
        <f>IF(AND(D1018&gt;=DATE(2025,7,1),D1018&lt;=DATE(2026,6,30)),1,0)</f>
        <v>1</v>
      </c>
    </row>
    <row r="1019">
      <c r="A1019" t="inlineStr">
        <is>
          <t>S0441</t>
        </is>
      </c>
      <c r="B1019" t="inlineStr">
        <is>
          <t>TK</t>
        </is>
      </c>
      <c r="C1019" s="11" t="n">
        <v>45910</v>
      </c>
      <c r="D1019" s="11" t="n">
        <v>45925</v>
      </c>
      <c r="E1019" t="n">
        <v>3</v>
      </c>
      <c r="F1019" t="n">
        <v>6</v>
      </c>
      <c r="G1019">
        <f>IF(AND(D1019&gt;=DATE(2025,7,1),D1019&lt;=DATE(2026,6,30)),1,0)</f>
        <v>1</v>
      </c>
    </row>
    <row r="1020">
      <c r="A1020" t="inlineStr">
        <is>
          <t>S0442</t>
        </is>
      </c>
      <c r="B1020" t="inlineStr">
        <is>
          <t>TK</t>
        </is>
      </c>
      <c r="C1020" s="11" t="n">
        <v>46131</v>
      </c>
      <c r="D1020" s="11" t="n">
        <v>46159</v>
      </c>
      <c r="E1020" t="n">
        <v>4</v>
      </c>
      <c r="F1020" t="n">
        <v>12</v>
      </c>
      <c r="G1020">
        <f>IF(AND(D1020&gt;=DATE(2025,7,1),D1020&lt;=DATE(2026,6,30)),1,0)</f>
        <v>1</v>
      </c>
    </row>
    <row r="1021">
      <c r="A1021" t="inlineStr">
        <is>
          <t>S0442</t>
        </is>
      </c>
      <c r="B1021" t="inlineStr">
        <is>
          <t>TK</t>
        </is>
      </c>
      <c r="C1021" s="11" t="n">
        <v>46159</v>
      </c>
      <c r="D1021" s="11" t="n">
        <v>46167</v>
      </c>
      <c r="E1021" t="n">
        <v>2</v>
      </c>
      <c r="F1021" t="n">
        <v>6</v>
      </c>
      <c r="G1021">
        <f>IF(AND(D1021&gt;=DATE(2025,7,1),D1021&lt;=DATE(2026,6,30)),1,0)</f>
        <v>1</v>
      </c>
    </row>
    <row r="1022">
      <c r="A1022" t="inlineStr">
        <is>
          <t>S0445</t>
        </is>
      </c>
      <c r="B1022" t="inlineStr">
        <is>
          <t>TK</t>
        </is>
      </c>
      <c r="C1022" s="11" t="n">
        <v>46037</v>
      </c>
      <c r="D1022" s="11" t="n">
        <v>46052</v>
      </c>
      <c r="E1022" t="n">
        <v>3</v>
      </c>
      <c r="F1022" t="n">
        <v>6</v>
      </c>
      <c r="G1022">
        <f>IF(AND(D1022&gt;=DATE(2025,7,1),D1022&lt;=DATE(2026,6,30)),1,0)</f>
        <v>1</v>
      </c>
    </row>
    <row r="1023">
      <c r="A1023" t="inlineStr">
        <is>
          <t>S0448</t>
        </is>
      </c>
      <c r="B1023" t="inlineStr">
        <is>
          <t>TK</t>
        </is>
      </c>
      <c r="C1023" s="11" t="n">
        <v>45883</v>
      </c>
      <c r="D1023" s="11" t="n">
        <v>45911</v>
      </c>
      <c r="E1023" t="n">
        <v>4</v>
      </c>
      <c r="F1023" t="n">
        <v>12</v>
      </c>
      <c r="G1023">
        <f>IF(AND(D1023&gt;=DATE(2025,7,1),D1023&lt;=DATE(2026,6,30)),1,0)</f>
        <v>1</v>
      </c>
    </row>
    <row r="1024">
      <c r="A1024" t="inlineStr">
        <is>
          <t>S0448</t>
        </is>
      </c>
      <c r="B1024" t="inlineStr">
        <is>
          <t>TK</t>
        </is>
      </c>
      <c r="C1024" s="11" t="n">
        <v>45911</v>
      </c>
      <c r="D1024" s="11" t="n">
        <v>45912</v>
      </c>
      <c r="E1024" t="n">
        <v>1</v>
      </c>
      <c r="F1024" t="n">
        <v>3</v>
      </c>
      <c r="G1024">
        <f>IF(AND(D1024&gt;=DATE(2025,7,1),D1024&lt;=DATE(2026,6,30)),1,0)</f>
        <v>1</v>
      </c>
    </row>
    <row r="1025">
      <c r="A1025" t="inlineStr">
        <is>
          <t>S0449</t>
        </is>
      </c>
      <c r="B1025" t="inlineStr">
        <is>
          <t>TK</t>
        </is>
      </c>
      <c r="C1025" s="11" t="n">
        <v>46070</v>
      </c>
      <c r="D1025" s="11" t="n">
        <v>46098</v>
      </c>
      <c r="E1025" t="n">
        <v>4</v>
      </c>
      <c r="F1025" t="n">
        <v>4</v>
      </c>
      <c r="G1025">
        <f>IF(AND(D1025&gt;=DATE(2025,7,1),D1025&lt;=DATE(2026,6,30)),1,0)</f>
        <v>1</v>
      </c>
    </row>
    <row r="1026">
      <c r="A1026" t="inlineStr">
        <is>
          <t>S0449</t>
        </is>
      </c>
      <c r="B1026" t="inlineStr">
        <is>
          <t>TK</t>
        </is>
      </c>
      <c r="C1026" s="11" t="n">
        <v>46098</v>
      </c>
      <c r="D1026" s="11" t="n">
        <v>46113</v>
      </c>
      <c r="E1026" t="n">
        <v>3</v>
      </c>
      <c r="F1026" t="n">
        <v>3</v>
      </c>
      <c r="G1026">
        <f>IF(AND(D1026&gt;=DATE(2025,7,1),D1026&lt;=DATE(2026,6,30)),1,0)</f>
        <v>1</v>
      </c>
    </row>
    <row r="1027">
      <c r="A1027" t="inlineStr">
        <is>
          <t>S0453</t>
        </is>
      </c>
      <c r="B1027" t="inlineStr">
        <is>
          <t>TK</t>
        </is>
      </c>
      <c r="C1027" s="11" t="n">
        <v>46049</v>
      </c>
      <c r="D1027" s="11" t="n">
        <v>46057</v>
      </c>
      <c r="E1027" t="n">
        <v>2</v>
      </c>
      <c r="F1027" t="n">
        <v>2</v>
      </c>
      <c r="G1027">
        <f>IF(AND(D1027&gt;=DATE(2025,7,1),D1027&lt;=DATE(2026,6,30)),1,0)</f>
        <v>1</v>
      </c>
    </row>
    <row r="1028">
      <c r="A1028" t="inlineStr">
        <is>
          <t>S0459</t>
        </is>
      </c>
      <c r="B1028" t="inlineStr">
        <is>
          <t>TK</t>
        </is>
      </c>
      <c r="C1028" s="11" t="n">
        <v>45848</v>
      </c>
      <c r="D1028" s="11" t="n">
        <v>45876</v>
      </c>
      <c r="E1028" t="n">
        <v>4</v>
      </c>
      <c r="F1028" t="n">
        <v>12</v>
      </c>
      <c r="G1028">
        <f>IF(AND(D1028&gt;=DATE(2025,7,1),D1028&lt;=DATE(2026,6,30)),1,0)</f>
        <v>1</v>
      </c>
    </row>
    <row r="1029">
      <c r="A1029" t="inlineStr">
        <is>
          <t>S0459</t>
        </is>
      </c>
      <c r="B1029" t="inlineStr">
        <is>
          <t>TK</t>
        </is>
      </c>
      <c r="C1029" s="11" t="n">
        <v>45876</v>
      </c>
      <c r="D1029" s="11" t="n">
        <v>45891</v>
      </c>
      <c r="E1029" t="n">
        <v>3</v>
      </c>
      <c r="F1029" t="n">
        <v>9</v>
      </c>
      <c r="G1029">
        <f>IF(AND(D1029&gt;=DATE(2025,7,1),D1029&lt;=DATE(2026,6,30)),1,0)</f>
        <v>1</v>
      </c>
    </row>
    <row r="1030">
      <c r="A1030" t="inlineStr">
        <is>
          <t>S0461</t>
        </is>
      </c>
      <c r="B1030" t="inlineStr">
        <is>
          <t>TK</t>
        </is>
      </c>
      <c r="C1030" s="11" t="n">
        <v>46009</v>
      </c>
      <c r="D1030" s="11" t="n">
        <v>46024</v>
      </c>
      <c r="E1030" t="n">
        <v>3</v>
      </c>
      <c r="F1030" t="n">
        <v>3</v>
      </c>
      <c r="G1030">
        <f>IF(AND(D1030&gt;=DATE(2025,7,1),D1030&lt;=DATE(2026,6,30)),1,0)</f>
        <v>1</v>
      </c>
    </row>
    <row r="1031">
      <c r="A1031" t="inlineStr">
        <is>
          <t>S0468</t>
        </is>
      </c>
      <c r="B1031" t="inlineStr">
        <is>
          <t>TK</t>
        </is>
      </c>
      <c r="C1031" s="11" t="n">
        <v>45856</v>
      </c>
      <c r="D1031" s="11" t="n">
        <v>45884</v>
      </c>
      <c r="E1031" t="n">
        <v>4</v>
      </c>
      <c r="F1031" t="n">
        <v>4</v>
      </c>
      <c r="G1031">
        <f>IF(AND(D1031&gt;=DATE(2025,7,1),D1031&lt;=DATE(2026,6,30)),1,0)</f>
        <v>1</v>
      </c>
    </row>
    <row r="1032">
      <c r="A1032" t="inlineStr">
        <is>
          <t>S0468</t>
        </is>
      </c>
      <c r="B1032" t="inlineStr">
        <is>
          <t>TK</t>
        </is>
      </c>
      <c r="C1032" s="11" t="n">
        <v>45884</v>
      </c>
      <c r="D1032" s="11" t="n">
        <v>45892</v>
      </c>
      <c r="E1032" t="n">
        <v>2</v>
      </c>
      <c r="F1032" t="n">
        <v>2</v>
      </c>
      <c r="G1032">
        <f>IF(AND(D1032&gt;=DATE(2025,7,1),D1032&lt;=DATE(2026,6,30)),1,0)</f>
        <v>1</v>
      </c>
    </row>
    <row r="1033">
      <c r="A1033" t="inlineStr">
        <is>
          <t>S0470</t>
        </is>
      </c>
      <c r="B1033" t="inlineStr">
        <is>
          <t>TK</t>
        </is>
      </c>
      <c r="C1033" s="11" t="n">
        <v>45897</v>
      </c>
      <c r="D1033" s="11" t="n">
        <v>45925</v>
      </c>
      <c r="E1033" t="n">
        <v>4</v>
      </c>
      <c r="F1033" t="n">
        <v>12</v>
      </c>
      <c r="G1033">
        <f>IF(AND(D1033&gt;=DATE(2025,7,1),D1033&lt;=DATE(2026,6,30)),1,0)</f>
        <v>1</v>
      </c>
    </row>
    <row r="1034">
      <c r="A1034" t="inlineStr">
        <is>
          <t>S0470</t>
        </is>
      </c>
      <c r="B1034" t="inlineStr">
        <is>
          <t>TK</t>
        </is>
      </c>
      <c r="C1034" s="11" t="n">
        <v>45925</v>
      </c>
      <c r="D1034" s="11" t="n">
        <v>45940</v>
      </c>
      <c r="E1034" t="n">
        <v>3</v>
      </c>
      <c r="F1034" t="n">
        <v>9</v>
      </c>
      <c r="G1034">
        <f>IF(AND(D1034&gt;=DATE(2025,7,1),D1034&lt;=DATE(2026,6,30)),1,0)</f>
        <v>1</v>
      </c>
    </row>
    <row r="1035">
      <c r="A1035" t="inlineStr">
        <is>
          <t>S0479</t>
        </is>
      </c>
      <c r="B1035" t="inlineStr">
        <is>
          <t>TK</t>
        </is>
      </c>
      <c r="C1035" s="11" t="n">
        <v>45861</v>
      </c>
      <c r="D1035" s="11" t="n">
        <v>45889</v>
      </c>
      <c r="E1035" t="n">
        <v>4</v>
      </c>
      <c r="F1035" t="n">
        <v>4</v>
      </c>
      <c r="G1035">
        <f>IF(AND(D1035&gt;=DATE(2025,7,1),D1035&lt;=DATE(2026,6,30)),1,0)</f>
        <v>1</v>
      </c>
    </row>
    <row r="1036">
      <c r="A1036" t="inlineStr">
        <is>
          <t>S0479</t>
        </is>
      </c>
      <c r="B1036" t="inlineStr">
        <is>
          <t>TK</t>
        </is>
      </c>
      <c r="C1036" s="11" t="n">
        <v>45889</v>
      </c>
      <c r="D1036" s="11" t="n">
        <v>45904</v>
      </c>
      <c r="E1036" t="n">
        <v>3</v>
      </c>
      <c r="F1036" t="n">
        <v>3</v>
      </c>
      <c r="G1036">
        <f>IF(AND(D1036&gt;=DATE(2025,7,1),D1036&lt;=DATE(2026,6,30)),1,0)</f>
        <v>1</v>
      </c>
    </row>
    <row r="1037">
      <c r="A1037" t="inlineStr">
        <is>
          <t>S0483</t>
        </is>
      </c>
      <c r="B1037" t="inlineStr">
        <is>
          <t>TK</t>
        </is>
      </c>
      <c r="C1037" s="11" t="n">
        <v>46103</v>
      </c>
      <c r="D1037" s="11" t="n">
        <v>46111</v>
      </c>
      <c r="E1037" t="n">
        <v>2</v>
      </c>
      <c r="F1037" t="n">
        <v>4</v>
      </c>
      <c r="G1037">
        <f>IF(AND(D1037&gt;=DATE(2025,7,1),D1037&lt;=DATE(2026,6,30)),1,0)</f>
        <v>1</v>
      </c>
    </row>
    <row r="1038">
      <c r="A1038" t="inlineStr">
        <is>
          <t>S0485</t>
        </is>
      </c>
      <c r="B1038" t="inlineStr">
        <is>
          <t>TK</t>
        </is>
      </c>
      <c r="C1038" s="11" t="n">
        <v>45910</v>
      </c>
      <c r="D1038" s="11" t="n">
        <v>45918</v>
      </c>
      <c r="E1038" t="n">
        <v>2</v>
      </c>
      <c r="F1038" t="n">
        <v>6</v>
      </c>
      <c r="G1038">
        <f>IF(AND(D1038&gt;=DATE(2025,7,1),D1038&lt;=DATE(2026,6,30)),1,0)</f>
        <v>1</v>
      </c>
    </row>
    <row r="1039">
      <c r="A1039" t="inlineStr">
        <is>
          <t>S0486</t>
        </is>
      </c>
      <c r="B1039" t="inlineStr">
        <is>
          <t>TK</t>
        </is>
      </c>
      <c r="C1039" s="11" t="n">
        <v>46020</v>
      </c>
      <c r="D1039" s="11" t="n">
        <v>46035</v>
      </c>
      <c r="E1039" t="n">
        <v>3</v>
      </c>
      <c r="F1039" t="n">
        <v>3</v>
      </c>
      <c r="G1039">
        <f>IF(AND(D1039&gt;=DATE(2025,7,1),D1039&lt;=DATE(2026,6,30)),1,0)</f>
        <v>1</v>
      </c>
    </row>
    <row r="1040">
      <c r="A1040" t="inlineStr">
        <is>
          <t>S0488</t>
        </is>
      </c>
      <c r="B1040" t="inlineStr">
        <is>
          <t>TK</t>
        </is>
      </c>
      <c r="C1040" s="11" t="n">
        <v>46012</v>
      </c>
      <c r="D1040" s="11" t="n">
        <v>46027</v>
      </c>
      <c r="E1040" t="n">
        <v>3</v>
      </c>
      <c r="F1040" t="n">
        <v>9</v>
      </c>
      <c r="G1040">
        <f>IF(AND(D1040&gt;=DATE(2025,7,1),D1040&lt;=DATE(2026,6,30)),1,0)</f>
        <v>1</v>
      </c>
    </row>
    <row r="1041">
      <c r="A1041" t="inlineStr">
        <is>
          <t>S0490</t>
        </is>
      </c>
      <c r="B1041" t="inlineStr">
        <is>
          <t>TK</t>
        </is>
      </c>
      <c r="C1041" s="11" t="n">
        <v>46169</v>
      </c>
      <c r="D1041" s="11" t="n">
        <v>46197</v>
      </c>
      <c r="E1041" t="n">
        <v>4</v>
      </c>
      <c r="F1041" t="n">
        <v>4</v>
      </c>
      <c r="G1041">
        <f>IF(AND(D1041&gt;=DATE(2025,7,1),D1041&lt;=DATE(2026,6,30)),1,0)</f>
        <v>1</v>
      </c>
    </row>
    <row r="1042">
      <c r="A1042" t="inlineStr">
        <is>
          <t>S0490</t>
        </is>
      </c>
      <c r="B1042" t="inlineStr">
        <is>
          <t>TK</t>
        </is>
      </c>
      <c r="C1042" s="11" t="n">
        <v>46197</v>
      </c>
      <c r="D1042" s="11" t="n">
        <v>46198</v>
      </c>
      <c r="E1042" t="n">
        <v>1</v>
      </c>
      <c r="F1042" t="n">
        <v>1</v>
      </c>
      <c r="G1042">
        <f>IF(AND(D1042&gt;=DATE(2025,7,1),D1042&lt;=DATE(2026,6,30)),1,0)</f>
        <v>1</v>
      </c>
    </row>
    <row r="1043">
      <c r="A1043" t="inlineStr">
        <is>
          <t>S0491</t>
        </is>
      </c>
      <c r="B1043" t="inlineStr">
        <is>
          <t>TK</t>
        </is>
      </c>
      <c r="C1043" s="11" t="n">
        <v>45876</v>
      </c>
      <c r="D1043" s="11" t="n">
        <v>45904</v>
      </c>
      <c r="E1043" t="n">
        <v>4</v>
      </c>
      <c r="F1043" t="n">
        <v>8</v>
      </c>
      <c r="G1043">
        <f>IF(AND(D1043&gt;=DATE(2025,7,1),D1043&lt;=DATE(2026,6,30)),1,0)</f>
        <v>1</v>
      </c>
    </row>
    <row r="1044">
      <c r="A1044" t="inlineStr">
        <is>
          <t>S0491</t>
        </is>
      </c>
      <c r="B1044" t="inlineStr">
        <is>
          <t>TK</t>
        </is>
      </c>
      <c r="C1044" s="11" t="n">
        <v>45904</v>
      </c>
      <c r="D1044" s="11" t="n">
        <v>45905</v>
      </c>
      <c r="E1044" t="n">
        <v>1</v>
      </c>
      <c r="F1044" t="n">
        <v>2</v>
      </c>
      <c r="G1044">
        <f>IF(AND(D1044&gt;=DATE(2025,7,1),D1044&lt;=DATE(2026,6,30)),1,0)</f>
        <v>1</v>
      </c>
    </row>
    <row r="1045">
      <c r="A1045" t="inlineStr">
        <is>
          <t>S0493</t>
        </is>
      </c>
      <c r="B1045" t="inlineStr">
        <is>
          <t>TK</t>
        </is>
      </c>
      <c r="C1045" s="11" t="n">
        <v>46048</v>
      </c>
      <c r="D1045" s="11" t="n">
        <v>46063</v>
      </c>
      <c r="E1045" t="n">
        <v>3</v>
      </c>
      <c r="F1045" t="n">
        <v>3</v>
      </c>
      <c r="G1045">
        <f>IF(AND(D1045&gt;=DATE(2025,7,1),D1045&lt;=DATE(2026,6,30)),1,0)</f>
        <v>1</v>
      </c>
    </row>
    <row r="1046">
      <c r="A1046" t="inlineStr">
        <is>
          <t>S0496</t>
        </is>
      </c>
      <c r="B1046" t="inlineStr">
        <is>
          <t>TK</t>
        </is>
      </c>
      <c r="C1046" s="11" t="n">
        <v>46032</v>
      </c>
      <c r="D1046" s="11" t="n">
        <v>46054</v>
      </c>
      <c r="E1046" t="n">
        <v>4</v>
      </c>
      <c r="F1046" t="n">
        <v>4</v>
      </c>
      <c r="G1046">
        <f>IF(AND(D1046&gt;=DATE(2025,7,1),D1046&lt;=DATE(2026,6,30)),1,0)</f>
        <v>1</v>
      </c>
    </row>
    <row r="1047">
      <c r="A1047" t="inlineStr">
        <is>
          <t>S0499</t>
        </is>
      </c>
      <c r="B1047" t="inlineStr">
        <is>
          <t>TK</t>
        </is>
      </c>
      <c r="C1047" s="11" t="n">
        <v>45947</v>
      </c>
      <c r="D1047" s="11" t="n">
        <v>45955</v>
      </c>
      <c r="E1047" t="n">
        <v>2</v>
      </c>
      <c r="F1047" t="n">
        <v>2</v>
      </c>
      <c r="G1047">
        <f>IF(AND(D1047&gt;=DATE(2025,7,1),D1047&lt;=DATE(2026,6,30)),1,0)</f>
        <v>1</v>
      </c>
    </row>
    <row r="1048">
      <c r="A1048" t="inlineStr">
        <is>
          <t>S0500</t>
        </is>
      </c>
      <c r="B1048" t="inlineStr">
        <is>
          <t>TK</t>
        </is>
      </c>
      <c r="C1048" s="11" t="n">
        <v>46137</v>
      </c>
      <c r="D1048" s="11" t="n">
        <v>46145</v>
      </c>
      <c r="E1048" t="n">
        <v>2</v>
      </c>
      <c r="F1048" t="n">
        <v>6</v>
      </c>
      <c r="G1048">
        <f>IF(AND(D1048&gt;=DATE(2025,7,1),D1048&lt;=DATE(2026,6,30)),1,0)</f>
        <v>1</v>
      </c>
    </row>
    <row r="1049">
      <c r="A1049" t="inlineStr">
        <is>
          <t>S0501</t>
        </is>
      </c>
      <c r="B1049" t="inlineStr">
        <is>
          <t>TK</t>
        </is>
      </c>
      <c r="C1049" s="11" t="n">
        <v>45999</v>
      </c>
      <c r="D1049" s="11" t="n">
        <v>46021</v>
      </c>
      <c r="E1049" t="n">
        <v>4</v>
      </c>
      <c r="F1049" t="n">
        <v>12</v>
      </c>
      <c r="G1049">
        <f>IF(AND(D1049&gt;=DATE(2025,7,1),D1049&lt;=DATE(2026,6,30)),1,0)</f>
        <v>1</v>
      </c>
    </row>
    <row r="1050">
      <c r="A1050" t="inlineStr">
        <is>
          <t>S0504</t>
        </is>
      </c>
      <c r="B1050" t="inlineStr">
        <is>
          <t>TK</t>
        </is>
      </c>
      <c r="C1050" s="11" t="n">
        <v>46091</v>
      </c>
      <c r="D1050" s="11" t="n">
        <v>46099</v>
      </c>
      <c r="E1050" t="n">
        <v>2</v>
      </c>
      <c r="F1050" t="n">
        <v>6</v>
      </c>
      <c r="G1050">
        <f>IF(AND(D1050&gt;=DATE(2025,7,1),D1050&lt;=DATE(2026,6,30)),1,0)</f>
        <v>1</v>
      </c>
    </row>
    <row r="1051">
      <c r="A1051" t="inlineStr">
        <is>
          <t>S0505</t>
        </is>
      </c>
      <c r="B1051" t="inlineStr">
        <is>
          <t>TK</t>
        </is>
      </c>
      <c r="C1051" s="11" t="n">
        <v>45904</v>
      </c>
      <c r="D1051" s="11" t="n">
        <v>45919</v>
      </c>
      <c r="E1051" t="n">
        <v>3</v>
      </c>
      <c r="F1051" t="n">
        <v>9</v>
      </c>
      <c r="G1051">
        <f>IF(AND(D1051&gt;=DATE(2025,7,1),D1051&lt;=DATE(2026,6,30)),1,0)</f>
        <v>1</v>
      </c>
    </row>
    <row r="1052">
      <c r="A1052" t="inlineStr">
        <is>
          <t>S0508</t>
        </is>
      </c>
      <c r="B1052" t="inlineStr">
        <is>
          <t>TK</t>
        </is>
      </c>
      <c r="C1052" s="11" t="n">
        <v>46121</v>
      </c>
      <c r="D1052" s="11" t="n">
        <v>46136</v>
      </c>
      <c r="E1052" t="n">
        <v>3</v>
      </c>
      <c r="F1052" t="n">
        <v>3</v>
      </c>
      <c r="G1052">
        <f>IF(AND(D1052&gt;=DATE(2025,7,1),D1052&lt;=DATE(2026,6,30)),1,0)</f>
        <v>1</v>
      </c>
    </row>
    <row r="1053">
      <c r="A1053" t="inlineStr">
        <is>
          <t>S0510</t>
        </is>
      </c>
      <c r="B1053" t="inlineStr">
        <is>
          <t>TK</t>
        </is>
      </c>
      <c r="C1053" s="11" t="n">
        <v>46168</v>
      </c>
      <c r="D1053" s="11" t="n">
        <v>46196</v>
      </c>
      <c r="E1053" t="n">
        <v>4</v>
      </c>
      <c r="F1053" t="n">
        <v>4</v>
      </c>
      <c r="G1053">
        <f>IF(AND(D1053&gt;=DATE(2025,7,1),D1053&lt;=DATE(2026,6,30)),1,0)</f>
        <v>1</v>
      </c>
    </row>
    <row r="1054">
      <c r="A1054" t="inlineStr">
        <is>
          <t>S0515</t>
        </is>
      </c>
      <c r="B1054" t="inlineStr">
        <is>
          <t>TK</t>
        </is>
      </c>
      <c r="C1054" s="11" t="n">
        <v>45906</v>
      </c>
      <c r="D1054" s="11" t="n">
        <v>45934</v>
      </c>
      <c r="E1054" t="n">
        <v>4</v>
      </c>
      <c r="F1054" t="n">
        <v>8</v>
      </c>
      <c r="G1054">
        <f>IF(AND(D1054&gt;=DATE(2025,7,1),D1054&lt;=DATE(2026,6,30)),1,0)</f>
        <v>1</v>
      </c>
    </row>
    <row r="1055">
      <c r="A1055" t="inlineStr">
        <is>
          <t>S0515</t>
        </is>
      </c>
      <c r="B1055" t="inlineStr">
        <is>
          <t>TK</t>
        </is>
      </c>
      <c r="C1055" s="11" t="n">
        <v>45934</v>
      </c>
      <c r="D1055" s="11" t="n">
        <v>45942</v>
      </c>
      <c r="E1055" t="n">
        <v>2</v>
      </c>
      <c r="F1055" t="n">
        <v>4</v>
      </c>
      <c r="G1055">
        <f>IF(AND(D1055&gt;=DATE(2025,7,1),D1055&lt;=DATE(2026,6,30)),1,0)</f>
        <v>1</v>
      </c>
    </row>
    <row r="1056">
      <c r="A1056" t="inlineStr">
        <is>
          <t>S0518</t>
        </is>
      </c>
      <c r="B1056" t="inlineStr">
        <is>
          <t>TK</t>
        </is>
      </c>
      <c r="C1056" s="11" t="n">
        <v>45914</v>
      </c>
      <c r="D1056" s="11" t="n">
        <v>45929</v>
      </c>
      <c r="E1056" t="n">
        <v>3</v>
      </c>
      <c r="F1056" t="n">
        <v>6</v>
      </c>
      <c r="G1056">
        <f>IF(AND(D1056&gt;=DATE(2025,7,1),D1056&lt;=DATE(2026,6,30)),1,0)</f>
        <v>1</v>
      </c>
    </row>
    <row r="1057">
      <c r="A1057" t="inlineStr">
        <is>
          <t>S0519</t>
        </is>
      </c>
      <c r="B1057" t="inlineStr">
        <is>
          <t>TK</t>
        </is>
      </c>
      <c r="C1057" s="11" t="n">
        <v>45874</v>
      </c>
      <c r="D1057" s="11" t="n">
        <v>45896</v>
      </c>
      <c r="E1057" t="n">
        <v>4</v>
      </c>
      <c r="F1057" t="n">
        <v>12</v>
      </c>
      <c r="G1057">
        <f>IF(AND(D1057&gt;=DATE(2025,7,1),D1057&lt;=DATE(2026,6,30)),1,0)</f>
        <v>1</v>
      </c>
    </row>
    <row r="1058">
      <c r="A1058" t="inlineStr">
        <is>
          <t>S0520</t>
        </is>
      </c>
      <c r="B1058" t="inlineStr">
        <is>
          <t>TK</t>
        </is>
      </c>
      <c r="C1058" s="11" t="n">
        <v>45923</v>
      </c>
      <c r="D1058" s="11" t="n">
        <v>45951</v>
      </c>
      <c r="E1058" t="n">
        <v>4</v>
      </c>
      <c r="F1058" t="n">
        <v>8</v>
      </c>
      <c r="G1058">
        <f>IF(AND(D1058&gt;=DATE(2025,7,1),D1058&lt;=DATE(2026,6,30)),1,0)</f>
        <v>1</v>
      </c>
    </row>
    <row r="1059">
      <c r="A1059" t="inlineStr">
        <is>
          <t>S0520</t>
        </is>
      </c>
      <c r="B1059" t="inlineStr">
        <is>
          <t>TK</t>
        </is>
      </c>
      <c r="C1059" s="11" t="n">
        <v>45951</v>
      </c>
      <c r="D1059" s="11" t="n">
        <v>45952</v>
      </c>
      <c r="E1059" t="n">
        <v>1</v>
      </c>
      <c r="F1059" t="n">
        <v>2</v>
      </c>
      <c r="G1059">
        <f>IF(AND(D1059&gt;=DATE(2025,7,1),D1059&lt;=DATE(2026,6,30)),1,0)</f>
        <v>1</v>
      </c>
    </row>
    <row r="1060">
      <c r="A1060" t="inlineStr">
        <is>
          <t>S0524</t>
        </is>
      </c>
      <c r="B1060" t="inlineStr">
        <is>
          <t>TK</t>
        </is>
      </c>
      <c r="C1060" s="11" t="n">
        <v>45959</v>
      </c>
      <c r="D1060" s="11" t="n">
        <v>45974</v>
      </c>
      <c r="E1060" t="n">
        <v>3</v>
      </c>
      <c r="F1060" t="n">
        <v>9</v>
      </c>
      <c r="G1060">
        <f>IF(AND(D1060&gt;=DATE(2025,7,1),D1060&lt;=DATE(2026,6,30)),1,0)</f>
        <v>1</v>
      </c>
    </row>
    <row r="1061">
      <c r="A1061" t="inlineStr">
        <is>
          <t>S0528</t>
        </is>
      </c>
      <c r="B1061" t="inlineStr">
        <is>
          <t>TK</t>
        </is>
      </c>
      <c r="C1061" s="11" t="n">
        <v>46047</v>
      </c>
      <c r="D1061" s="11" t="n">
        <v>46069</v>
      </c>
      <c r="E1061" t="n">
        <v>4</v>
      </c>
      <c r="F1061" t="n">
        <v>12</v>
      </c>
      <c r="G1061">
        <f>IF(AND(D1061&gt;=DATE(2025,7,1),D1061&lt;=DATE(2026,6,30)),1,0)</f>
        <v>1</v>
      </c>
    </row>
    <row r="1062">
      <c r="A1062" t="inlineStr">
        <is>
          <t>S0529</t>
        </is>
      </c>
      <c r="B1062" t="inlineStr">
        <is>
          <t>TK</t>
        </is>
      </c>
      <c r="C1062" s="11" t="n">
        <v>46044</v>
      </c>
      <c r="D1062" s="11" t="n">
        <v>46072</v>
      </c>
      <c r="E1062" t="n">
        <v>4</v>
      </c>
      <c r="F1062" t="n">
        <v>12</v>
      </c>
      <c r="G1062">
        <f>IF(AND(D1062&gt;=DATE(2025,7,1),D1062&lt;=DATE(2026,6,30)),1,0)</f>
        <v>1</v>
      </c>
    </row>
    <row r="1063">
      <c r="A1063" t="inlineStr">
        <is>
          <t>S0529</t>
        </is>
      </c>
      <c r="B1063" t="inlineStr">
        <is>
          <t>TK</t>
        </is>
      </c>
      <c r="C1063" s="11" t="n">
        <v>46072</v>
      </c>
      <c r="D1063" s="11" t="n">
        <v>46087</v>
      </c>
      <c r="E1063" t="n">
        <v>3</v>
      </c>
      <c r="F1063" t="n">
        <v>9</v>
      </c>
      <c r="G1063">
        <f>IF(AND(D1063&gt;=DATE(2025,7,1),D1063&lt;=DATE(2026,6,30)),1,0)</f>
        <v>1</v>
      </c>
    </row>
    <row r="1064">
      <c r="A1064" t="inlineStr">
        <is>
          <t>S0533</t>
        </is>
      </c>
      <c r="B1064" t="inlineStr">
        <is>
          <t>TK</t>
        </is>
      </c>
      <c r="C1064" s="11" t="n">
        <v>45910</v>
      </c>
      <c r="D1064" s="11" t="n">
        <v>45938</v>
      </c>
      <c r="E1064" t="n">
        <v>4</v>
      </c>
      <c r="F1064" t="n">
        <v>8</v>
      </c>
      <c r="G1064">
        <f>IF(AND(D1064&gt;=DATE(2025,7,1),D1064&lt;=DATE(2026,6,30)),1,0)</f>
        <v>1</v>
      </c>
    </row>
    <row r="1065">
      <c r="A1065" t="inlineStr">
        <is>
          <t>S0533</t>
        </is>
      </c>
      <c r="B1065" t="inlineStr">
        <is>
          <t>TK</t>
        </is>
      </c>
      <c r="C1065" s="11" t="n">
        <v>45938</v>
      </c>
      <c r="D1065" s="11" t="n">
        <v>45939</v>
      </c>
      <c r="E1065" t="n">
        <v>1</v>
      </c>
      <c r="F1065" t="n">
        <v>2</v>
      </c>
      <c r="G1065">
        <f>IF(AND(D1065&gt;=DATE(2025,7,1),D1065&lt;=DATE(2026,6,30)),1,0)</f>
        <v>1</v>
      </c>
    </row>
    <row r="1066">
      <c r="A1066" t="inlineStr">
        <is>
          <t>S0541</t>
        </is>
      </c>
      <c r="B1066" t="inlineStr">
        <is>
          <t>TK</t>
        </is>
      </c>
      <c r="C1066" s="11" t="n">
        <v>46141</v>
      </c>
      <c r="D1066" s="11" t="n">
        <v>46149</v>
      </c>
      <c r="E1066" t="n">
        <v>2</v>
      </c>
      <c r="F1066" t="n">
        <v>6</v>
      </c>
      <c r="G1066">
        <f>IF(AND(D1066&gt;=DATE(2025,7,1),D1066&lt;=DATE(2026,6,30)),1,0)</f>
        <v>1</v>
      </c>
    </row>
    <row r="1067">
      <c r="A1067" t="inlineStr">
        <is>
          <t>S0545</t>
        </is>
      </c>
      <c r="B1067" t="inlineStr">
        <is>
          <t>TK</t>
        </is>
      </c>
      <c r="C1067" s="11" t="n">
        <v>46012</v>
      </c>
      <c r="D1067" s="11" t="n">
        <v>46020</v>
      </c>
      <c r="E1067" t="n">
        <v>2</v>
      </c>
      <c r="F1067" t="n">
        <v>2</v>
      </c>
      <c r="G1067">
        <f>IF(AND(D1067&gt;=DATE(2025,7,1),D1067&lt;=DATE(2026,6,30)),1,0)</f>
        <v>1</v>
      </c>
    </row>
    <row r="1068">
      <c r="A1068" t="inlineStr">
        <is>
          <t>S0546</t>
        </is>
      </c>
      <c r="B1068" t="inlineStr">
        <is>
          <t>TK</t>
        </is>
      </c>
      <c r="C1068" s="11" t="n">
        <v>46020</v>
      </c>
      <c r="D1068" s="11" t="n">
        <v>46048</v>
      </c>
      <c r="E1068" t="n">
        <v>4</v>
      </c>
      <c r="F1068" t="n">
        <v>12</v>
      </c>
      <c r="G1068">
        <f>IF(AND(D1068&gt;=DATE(2025,7,1),D1068&lt;=DATE(2026,6,30)),1,0)</f>
        <v>1</v>
      </c>
    </row>
    <row r="1069">
      <c r="A1069" t="inlineStr">
        <is>
          <t>S0546</t>
        </is>
      </c>
      <c r="B1069" t="inlineStr">
        <is>
          <t>TK</t>
        </is>
      </c>
      <c r="C1069" s="11" t="n">
        <v>46048</v>
      </c>
      <c r="D1069" s="11" t="n">
        <v>46056</v>
      </c>
      <c r="E1069" t="n">
        <v>2</v>
      </c>
      <c r="F1069" t="n">
        <v>6</v>
      </c>
      <c r="G1069">
        <f>IF(AND(D1069&gt;=DATE(2025,7,1),D1069&lt;=DATE(2026,6,30)),1,0)</f>
        <v>1</v>
      </c>
    </row>
  </sheetData>
  <autoFilter ref="A4:G1069"/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45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6" customWidth="1" min="3" max="3"/>
    <col width="9" customWidth="1" min="4" max="4"/>
    <col width="11" customWidth="1" min="5" max="5"/>
    <col width="11" customWidth="1" min="6" max="6"/>
    <col width="9" customWidth="1" min="7" max="7"/>
    <col width="11" customWidth="1" min="8" max="8"/>
    <col width="11" customWidth="1" min="9" max="9"/>
    <col width="12" customWidth="1" min="10" max="10"/>
    <col width="12" customWidth="1" min="11" max="11"/>
    <col width="10" customWidth="1" min="12" max="12"/>
  </cols>
  <sheetData>
    <row r="1">
      <c r="A1" s="6" t="inlineStr">
        <is>
          <t>Hire billing check FY26: billable unit-weeks vs invoiced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Site</t>
        </is>
      </c>
      <c r="B4" s="7" t="inlineStr">
        <is>
          <t>Customer</t>
        </is>
      </c>
      <c r="C4" s="7" t="inlineStr">
        <is>
          <t>Asset</t>
        </is>
      </c>
      <c r="D4" s="7" t="inlineStr">
        <is>
          <t>Rate / unit-week</t>
        </is>
      </c>
      <c r="E4" s="7" t="inlineStr">
        <is>
          <t>Billable unit-weeks</t>
        </is>
      </c>
      <c r="F4" s="7" t="inlineStr">
        <is>
          <t>Invoiced unit-weeks</t>
        </is>
      </c>
      <c r="G4" s="7" t="inlineStr">
        <is>
          <t>Gap (units)</t>
        </is>
      </c>
      <c r="H4" s="7" t="inlineStr">
        <is>
          <t>Gap value</t>
        </is>
      </c>
      <c r="I4" s="7" t="inlineStr">
        <is>
          <t>Credits issued</t>
        </is>
      </c>
      <c r="J4" s="7" t="inlineStr">
        <is>
          <t>Accrued unit-weeks at 30 Jun</t>
        </is>
      </c>
      <c r="K4" s="7" t="inlineStr">
        <is>
          <t>Finding</t>
        </is>
      </c>
      <c r="L4" s="7" t="inlineStr">
        <is>
          <t>Open asset exception</t>
        </is>
      </c>
    </row>
    <row r="5">
      <c r="A5" t="inlineStr">
        <is>
          <t>S0001</t>
        </is>
      </c>
      <c r="B5" t="inlineStr">
        <is>
          <t>Northgate Building Group</t>
        </is>
      </c>
      <c r="C5" t="inlineStr">
        <is>
          <t>FP</t>
        </is>
      </c>
      <c r="D5" s="9" t="n">
        <v>4.5</v>
      </c>
      <c r="E5">
        <f>SUMIFS('Hire Cycles'!$F$5:$F$1069,'Hire Cycles'!$A$5:$A$1069,A5,'Hire Cycles'!$B$5:$B$1069,C5,'Hire Cycles'!$G$5:$G$1069,1)</f>
        <v>2552</v>
      </c>
      <c r="F5">
        <f>SUMIFS('Invoice Lines'!$J$5:$J$2542,'Invoice Lines'!$H$5:$H$2542,A5,'Invoice Lines'!$Q$5:$Q$2542,"HIRE-"&amp;C5,'Invoice Lines'!$M$5:$M$2542,1,'Invoice Lines'!$K$5:$K$2542,"&gt;0")</f>
        <v>2626</v>
      </c>
      <c r="G5">
        <f>E5-F5</f>
        <v>-74</v>
      </c>
      <c r="H5" s="9">
        <f>ROUND(G5*D5,2)</f>
        <v>-333</v>
      </c>
      <c r="I5" s="9">
        <f>SUMIFS('Invoice Lines'!$K$5:$K$2542,'Invoice Lines'!$H$5:$H$2542,A5,'Invoice Lines'!$Q$5:$Q$2542,"HIRE-"&amp;C5,'Invoice Lines'!$M$5:$M$2542,1,'Invoice Lines'!$K$5:$K$2542,"&lt;0")</f>
        <v>0</v>
      </c>
      <c r="J5" t="n">
        <v>0</v>
      </c>
      <c r="K5" t="str">
        <f>IF(G5&gt;0,"Under-billed",IF(G5&lt;0,"Over-billed","Agrees"))</f>
        <v>Over-billed</v>
      </c>
      <c r="L5" t="inlineStr"/>
    </row>
    <row r="6">
      <c r="A6" t="inlineStr">
        <is>
          <t>S0002</t>
        </is>
      </c>
      <c r="B6" t="inlineStr">
        <is>
          <t>Parkview Homes Pty Ltd</t>
        </is>
      </c>
      <c r="C6" t="inlineStr">
        <is>
          <t>BR</t>
        </is>
      </c>
      <c r="D6" s="9" t="n">
        <v>3.2</v>
      </c>
      <c r="E6">
        <f>SUMIFS('Hire Cycles'!$F$5:$F$1069,'Hire Cycles'!$A$5:$A$1069,A6,'Hire Cycles'!$B$5:$B$1069,C6,'Hire Cycles'!$G$5:$G$1069,1)</f>
        <v>0</v>
      </c>
      <c r="F6">
        <f>SUMIFS('Invoice Lines'!$J$5:$J$2542,'Invoice Lines'!$H$5:$H$2542,A6,'Invoice Lines'!$Q$5:$Q$2542,"HIRE-"&amp;C6,'Invoice Lines'!$M$5:$M$2542,1,'Invoice Lines'!$K$5:$K$2542,"&gt;0")</f>
        <v>0</v>
      </c>
      <c r="G6">
        <f>E6-F6</f>
        <v>0</v>
      </c>
      <c r="H6" s="9">
        <f>ROUND(G6*D6,2)</f>
        <v>0</v>
      </c>
      <c r="I6" s="9">
        <f>SUMIFS('Invoice Lines'!$K$5:$K$2542,'Invoice Lines'!$H$5:$H$2542,A6,'Invoice Lines'!$Q$5:$Q$2542,"HIRE-"&amp;C6,'Invoice Lines'!$M$5:$M$2542,1,'Invoice Lines'!$K$5:$K$2542,"&lt;0")</f>
        <v>0</v>
      </c>
      <c r="J6" t="n">
        <v>39</v>
      </c>
      <c r="K6" t="str">
        <f>IF(G6&gt;0,"Under-billed",IF(G6&lt;0,"Over-billed","Agrees"))</f>
        <v>Agrees</v>
      </c>
      <c r="L6" t="inlineStr"/>
    </row>
    <row r="7">
      <c r="A7" t="inlineStr">
        <is>
          <t>S0002</t>
        </is>
      </c>
      <c r="B7" t="inlineStr">
        <is>
          <t>Parkview Homes Pty Ltd</t>
        </is>
      </c>
      <c r="C7" t="inlineStr">
        <is>
          <t>FP</t>
        </is>
      </c>
      <c r="D7" s="9" t="n">
        <v>4.5</v>
      </c>
      <c r="E7">
        <f>SUMIFS('Hire Cycles'!$F$5:$F$1069,'Hire Cycles'!$A$5:$A$1069,A7,'Hire Cycles'!$B$5:$B$1069,C7,'Hire Cycles'!$G$5:$G$1069,1)</f>
        <v>0</v>
      </c>
      <c r="F7">
        <f>SUMIFS('Invoice Lines'!$J$5:$J$2542,'Invoice Lines'!$H$5:$H$2542,A7,'Invoice Lines'!$Q$5:$Q$2542,"HIRE-"&amp;C7,'Invoice Lines'!$M$5:$M$2542,1,'Invoice Lines'!$K$5:$K$2542,"&gt;0")</f>
        <v>0</v>
      </c>
      <c r="G7">
        <f>E7-F7</f>
        <v>0</v>
      </c>
      <c r="H7" s="9">
        <f>ROUND(G7*D7,2)</f>
        <v>0</v>
      </c>
      <c r="I7" s="9">
        <f>SUMIFS('Invoice Lines'!$K$5:$K$2542,'Invoice Lines'!$H$5:$H$2542,A7,'Invoice Lines'!$Q$5:$Q$2542,"HIRE-"&amp;C7,'Invoice Lines'!$M$5:$M$2542,1,'Invoice Lines'!$K$5:$K$2542,"&lt;0")</f>
        <v>0</v>
      </c>
      <c r="J7" t="n">
        <v>39</v>
      </c>
      <c r="K7" t="str">
        <f>IF(G7&gt;0,"Under-billed",IF(G7&lt;0,"Over-billed","Agrees"))</f>
        <v>Agrees</v>
      </c>
      <c r="L7" t="inlineStr"/>
    </row>
    <row r="8">
      <c r="A8" t="inlineStr">
        <is>
          <t>S0003</t>
        </is>
      </c>
      <c r="B8" t="inlineStr">
        <is>
          <t>Lakeside Constructions Pty Ltd</t>
        </is>
      </c>
      <c r="C8" t="inlineStr">
        <is>
          <t>FP</t>
        </is>
      </c>
      <c r="D8" s="9" t="n">
        <v>4.5</v>
      </c>
      <c r="E8">
        <f>SUMIFS('Hire Cycles'!$F$5:$F$1069,'Hire Cycles'!$A$5:$A$1069,A8,'Hire Cycles'!$B$5:$B$1069,C8,'Hire Cycles'!$G$5:$G$1069,1)</f>
        <v>1976</v>
      </c>
      <c r="F8">
        <f>SUMIFS('Invoice Lines'!$J$5:$J$2542,'Invoice Lines'!$H$5:$H$2542,A8,'Invoice Lines'!$Q$5:$Q$2542,"HIRE-"&amp;C8,'Invoice Lines'!$M$5:$M$2542,1,'Invoice Lines'!$K$5:$K$2542,"&gt;0")</f>
        <v>1976</v>
      </c>
      <c r="G8">
        <f>E8-F8</f>
        <v>0</v>
      </c>
      <c r="H8" s="9">
        <f>ROUND(G8*D8,2)</f>
        <v>0</v>
      </c>
      <c r="I8" s="9">
        <f>SUMIFS('Invoice Lines'!$K$5:$K$2542,'Invoice Lines'!$H$5:$H$2542,A8,'Invoice Lines'!$Q$5:$Q$2542,"HIRE-"&amp;C8,'Invoice Lines'!$M$5:$M$2542,1,'Invoice Lines'!$K$5:$K$2542,"&lt;0")</f>
        <v>0</v>
      </c>
      <c r="J8" t="n">
        <v>0</v>
      </c>
      <c r="K8" t="str">
        <f>IF(G8&gt;0,"Under-billed",IF(G8&lt;0,"Over-billed","Agrees"))</f>
        <v>Agrees</v>
      </c>
      <c r="L8" t="inlineStr"/>
    </row>
    <row r="9">
      <c r="A9" t="inlineStr">
        <is>
          <t>S0004</t>
        </is>
      </c>
      <c r="B9" t="inlineStr">
        <is>
          <t>Highpoint Projects</t>
        </is>
      </c>
      <c r="C9" t="inlineStr">
        <is>
          <t>FP</t>
        </is>
      </c>
      <c r="D9" s="9" t="n">
        <v>4.5</v>
      </c>
      <c r="E9">
        <f>SUMIFS('Hire Cycles'!$F$5:$F$1069,'Hire Cycles'!$A$5:$A$1069,A9,'Hire Cycles'!$B$5:$B$1069,C9,'Hire Cycles'!$G$5:$G$1069,1)</f>
        <v>1125</v>
      </c>
      <c r="F9">
        <f>SUMIFS('Invoice Lines'!$J$5:$J$2542,'Invoice Lines'!$H$5:$H$2542,A9,'Invoice Lines'!$Q$5:$Q$2542,"HIRE-"&amp;C9,'Invoice Lines'!$M$5:$M$2542,1,'Invoice Lines'!$K$5:$K$2542,"&gt;0")</f>
        <v>1000</v>
      </c>
      <c r="G9">
        <f>E9-F9</f>
        <v>125</v>
      </c>
      <c r="H9" s="9">
        <f>ROUND(G9*D9,2)</f>
        <v>562.5</v>
      </c>
      <c r="I9" s="9">
        <f>SUMIFS('Invoice Lines'!$K$5:$K$2542,'Invoice Lines'!$H$5:$H$2542,A9,'Invoice Lines'!$Q$5:$Q$2542,"HIRE-"&amp;C9,'Invoice Lines'!$M$5:$M$2542,1,'Invoice Lines'!$K$5:$K$2542,"&lt;0")</f>
        <v>0</v>
      </c>
      <c r="J9" t="n">
        <v>0</v>
      </c>
      <c r="K9" t="str">
        <f>IF(G9&gt;0,"Under-billed",IF(G9&lt;0,"Over-billed","Agrees"))</f>
        <v>Under-billed</v>
      </c>
      <c r="L9" t="inlineStr"/>
    </row>
    <row r="10">
      <c r="A10" t="inlineStr">
        <is>
          <t>S0005</t>
        </is>
      </c>
      <c r="B10" t="inlineStr">
        <is>
          <t>Bluegum Constructions</t>
        </is>
      </c>
      <c r="C10" t="inlineStr">
        <is>
          <t>FP</t>
        </is>
      </c>
      <c r="D10" s="9" t="n">
        <v>4.5</v>
      </c>
      <c r="E10">
        <f>SUMIFS('Hire Cycles'!$F$5:$F$1069,'Hire Cycles'!$A$5:$A$1069,A10,'Hire Cycles'!$B$5:$B$1069,C10,'Hire Cycles'!$G$5:$G$1069,1)</f>
        <v>424</v>
      </c>
      <c r="F10">
        <f>SUMIFS('Invoice Lines'!$J$5:$J$2542,'Invoice Lines'!$H$5:$H$2542,A10,'Invoice Lines'!$Q$5:$Q$2542,"HIRE-"&amp;C10,'Invoice Lines'!$M$5:$M$2542,1,'Invoice Lines'!$K$5:$K$2542,"&gt;0")</f>
        <v>424</v>
      </c>
      <c r="G10">
        <f>E10-F10</f>
        <v>0</v>
      </c>
      <c r="H10" s="9">
        <f>ROUND(G10*D10,2)</f>
        <v>0</v>
      </c>
      <c r="I10" s="9">
        <f>SUMIFS('Invoice Lines'!$K$5:$K$2542,'Invoice Lines'!$H$5:$H$2542,A10,'Invoice Lines'!$Q$5:$Q$2542,"HIRE-"&amp;C10,'Invoice Lines'!$M$5:$M$2542,1,'Invoice Lines'!$K$5:$K$2542,"&lt;0")</f>
        <v>0</v>
      </c>
      <c r="J10" t="n">
        <v>0</v>
      </c>
      <c r="K10" t="str">
        <f>IF(G10&gt;0,"Under-billed",IF(G10&lt;0,"Over-billed","Agrees"))</f>
        <v>Agrees</v>
      </c>
      <c r="L10" t="inlineStr"/>
    </row>
    <row r="11">
      <c r="A11" t="inlineStr">
        <is>
          <t>S0006</t>
        </is>
      </c>
      <c r="B11" t="inlineStr">
        <is>
          <t>Juniper Festivals</t>
        </is>
      </c>
      <c r="C11" t="inlineStr">
        <is>
          <t>FP</t>
        </is>
      </c>
      <c r="D11" s="9" t="n">
        <v>4.5</v>
      </c>
      <c r="E11">
        <f>SUMIFS('Hire Cycles'!$F$5:$F$1069,'Hire Cycles'!$A$5:$A$1069,A11,'Hire Cycles'!$B$5:$B$1069,C11,'Hire Cycles'!$G$5:$G$1069,1)</f>
        <v>372</v>
      </c>
      <c r="F11">
        <f>SUMIFS('Invoice Lines'!$J$5:$J$2542,'Invoice Lines'!$H$5:$H$2542,A11,'Invoice Lines'!$Q$5:$Q$2542,"HIRE-"&amp;C11,'Invoice Lines'!$M$5:$M$2542,1,'Invoice Lines'!$K$5:$K$2542,"&gt;0")</f>
        <v>372</v>
      </c>
      <c r="G11">
        <f>E11-F11</f>
        <v>0</v>
      </c>
      <c r="H11" s="9">
        <f>ROUND(G11*D11,2)</f>
        <v>0</v>
      </c>
      <c r="I11" s="9">
        <f>SUMIFS('Invoice Lines'!$K$5:$K$2542,'Invoice Lines'!$H$5:$H$2542,A11,'Invoice Lines'!$Q$5:$Q$2542,"HIRE-"&amp;C11,'Invoice Lines'!$M$5:$M$2542,1,'Invoice Lines'!$K$5:$K$2542,"&lt;0")</f>
        <v>0</v>
      </c>
      <c r="J11" t="n">
        <v>0</v>
      </c>
      <c r="K11" t="str">
        <f>IF(G11&gt;0,"Under-billed",IF(G11&lt;0,"Over-billed","Agrees"))</f>
        <v>Agrees</v>
      </c>
      <c r="L11" t="inlineStr"/>
    </row>
    <row r="12">
      <c r="A12" t="inlineStr">
        <is>
          <t>S0007</t>
        </is>
      </c>
      <c r="B12" t="inlineStr">
        <is>
          <t>Bluegum Developments</t>
        </is>
      </c>
      <c r="C12" t="inlineStr">
        <is>
          <t>FP</t>
        </is>
      </c>
      <c r="D12" s="9" t="n">
        <v>4.5</v>
      </c>
      <c r="E12">
        <f>SUMIFS('Hire Cycles'!$F$5:$F$1069,'Hire Cycles'!$A$5:$A$1069,A12,'Hire Cycles'!$B$5:$B$1069,C12,'Hire Cycles'!$G$5:$G$1069,1)</f>
        <v>1420</v>
      </c>
      <c r="F12">
        <f>SUMIFS('Invoice Lines'!$J$5:$J$2542,'Invoice Lines'!$H$5:$H$2542,A12,'Invoice Lines'!$Q$5:$Q$2542,"HIRE-"&amp;C12,'Invoice Lines'!$M$5:$M$2542,1,'Invoice Lines'!$K$5:$K$2542,"&gt;0")</f>
        <v>1420</v>
      </c>
      <c r="G12">
        <f>E12-F12</f>
        <v>0</v>
      </c>
      <c r="H12" s="9">
        <f>ROUND(G12*D12,2)</f>
        <v>0</v>
      </c>
      <c r="I12" s="9">
        <f>SUMIFS('Invoice Lines'!$K$5:$K$2542,'Invoice Lines'!$H$5:$H$2542,A12,'Invoice Lines'!$Q$5:$Q$2542,"HIRE-"&amp;C12,'Invoice Lines'!$M$5:$M$2542,1,'Invoice Lines'!$K$5:$K$2542,"&lt;0")</f>
        <v>0</v>
      </c>
      <c r="J12" t="n">
        <v>0</v>
      </c>
      <c r="K12" t="str">
        <f>IF(G12&gt;0,"Under-billed",IF(G12&lt;0,"Over-billed","Agrees"))</f>
        <v>Agrees</v>
      </c>
      <c r="L12" t="inlineStr"/>
    </row>
    <row r="13">
      <c r="A13" t="inlineStr">
        <is>
          <t>S0008</t>
        </is>
      </c>
      <c r="B13" t="inlineStr">
        <is>
          <t>Riverbend Homes Pty Ltd</t>
        </is>
      </c>
      <c r="C13" t="inlineStr">
        <is>
          <t>BR</t>
        </is>
      </c>
      <c r="D13" s="9" t="n">
        <v>3.2</v>
      </c>
      <c r="E13">
        <f>SUMIFS('Hire Cycles'!$F$5:$F$1069,'Hire Cycles'!$A$5:$A$1069,A13,'Hire Cycles'!$B$5:$B$1069,C13,'Hire Cycles'!$G$5:$G$1069,1)</f>
        <v>357</v>
      </c>
      <c r="F13">
        <f>SUMIFS('Invoice Lines'!$J$5:$J$2542,'Invoice Lines'!$H$5:$H$2542,A13,'Invoice Lines'!$Q$5:$Q$2542,"HIRE-"&amp;C13,'Invoice Lines'!$M$5:$M$2542,1,'Invoice Lines'!$K$5:$K$2542,"&gt;0")</f>
        <v>357</v>
      </c>
      <c r="G13">
        <f>E13-F13</f>
        <v>0</v>
      </c>
      <c r="H13" s="9">
        <f>ROUND(G13*D13,2)</f>
        <v>0</v>
      </c>
      <c r="I13" s="9">
        <f>SUMIFS('Invoice Lines'!$K$5:$K$2542,'Invoice Lines'!$H$5:$H$2542,A13,'Invoice Lines'!$Q$5:$Q$2542,"HIRE-"&amp;C13,'Invoice Lines'!$M$5:$M$2542,1,'Invoice Lines'!$K$5:$K$2542,"&lt;0")</f>
        <v>0</v>
      </c>
      <c r="J13" t="n">
        <v>0</v>
      </c>
      <c r="K13" t="str">
        <f>IF(G13&gt;0,"Under-billed",IF(G13&lt;0,"Over-billed","Agrees"))</f>
        <v>Agrees</v>
      </c>
      <c r="L13" t="inlineStr"/>
    </row>
    <row r="14">
      <c r="A14" t="inlineStr">
        <is>
          <t>S0008</t>
        </is>
      </c>
      <c r="B14" t="inlineStr">
        <is>
          <t>Riverbend Homes Pty Ltd</t>
        </is>
      </c>
      <c r="C14" t="inlineStr">
        <is>
          <t>FP</t>
        </is>
      </c>
      <c r="D14" s="9" t="n">
        <v>4.5</v>
      </c>
      <c r="E14">
        <f>SUMIFS('Hire Cycles'!$F$5:$F$1069,'Hire Cycles'!$A$5:$A$1069,A14,'Hire Cycles'!$B$5:$B$1069,C14,'Hire Cycles'!$G$5:$G$1069,1)</f>
        <v>1054</v>
      </c>
      <c r="F14">
        <f>SUMIFS('Invoice Lines'!$J$5:$J$2542,'Invoice Lines'!$H$5:$H$2542,A14,'Invoice Lines'!$Q$5:$Q$2542,"HIRE-"&amp;C14,'Invoice Lines'!$M$5:$M$2542,1,'Invoice Lines'!$K$5:$K$2542,"&gt;0")</f>
        <v>1054</v>
      </c>
      <c r="G14">
        <f>E14-F14</f>
        <v>0</v>
      </c>
      <c r="H14" s="9">
        <f>ROUND(G14*D14,2)</f>
        <v>0</v>
      </c>
      <c r="I14" s="9">
        <f>SUMIFS('Invoice Lines'!$K$5:$K$2542,'Invoice Lines'!$H$5:$H$2542,A14,'Invoice Lines'!$Q$5:$Q$2542,"HIRE-"&amp;C14,'Invoice Lines'!$M$5:$M$2542,1,'Invoice Lines'!$K$5:$K$2542,"&lt;0")</f>
        <v>0</v>
      </c>
      <c r="J14" t="n">
        <v>0</v>
      </c>
      <c r="K14" t="str">
        <f>IF(G14&gt;0,"Under-billed",IF(G14&lt;0,"Over-billed","Agrees"))</f>
        <v>Agrees</v>
      </c>
      <c r="L14" t="inlineStr"/>
    </row>
    <row r="15">
      <c r="A15" t="inlineStr">
        <is>
          <t>S0009</t>
        </is>
      </c>
      <c r="B15" t="inlineStr">
        <is>
          <t>Riverbend Homes Pty Ltd</t>
        </is>
      </c>
      <c r="C15" t="inlineStr">
        <is>
          <t>BR</t>
        </is>
      </c>
      <c r="D15" s="9" t="n">
        <v>3.2</v>
      </c>
      <c r="E15">
        <f>SUMIFS('Hire Cycles'!$F$5:$F$1069,'Hire Cycles'!$A$5:$A$1069,A15,'Hire Cycles'!$B$5:$B$1069,C15,'Hire Cycles'!$G$5:$G$1069,1)</f>
        <v>16</v>
      </c>
      <c r="F15">
        <f>SUMIFS('Invoice Lines'!$J$5:$J$2542,'Invoice Lines'!$H$5:$H$2542,A15,'Invoice Lines'!$Q$5:$Q$2542,"HIRE-"&amp;C15,'Invoice Lines'!$M$5:$M$2542,1,'Invoice Lines'!$K$5:$K$2542,"&gt;0")</f>
        <v>16</v>
      </c>
      <c r="G15">
        <f>E15-F15</f>
        <v>0</v>
      </c>
      <c r="H15" s="9">
        <f>ROUND(G15*D15,2)</f>
        <v>0</v>
      </c>
      <c r="I15" s="9">
        <f>SUMIFS('Invoice Lines'!$K$5:$K$2542,'Invoice Lines'!$H$5:$H$2542,A15,'Invoice Lines'!$Q$5:$Q$2542,"HIRE-"&amp;C15,'Invoice Lines'!$M$5:$M$2542,1,'Invoice Lines'!$K$5:$K$2542,"&lt;0")</f>
        <v>0</v>
      </c>
      <c r="J15" t="n">
        <v>8</v>
      </c>
      <c r="K15" t="str">
        <f>IF(G15&gt;0,"Under-billed",IF(G15&lt;0,"Over-billed","Agrees"))</f>
        <v>Agrees</v>
      </c>
      <c r="L15" t="inlineStr"/>
    </row>
    <row r="16">
      <c r="A16" t="inlineStr">
        <is>
          <t>S0009</t>
        </is>
      </c>
      <c r="B16" t="inlineStr">
        <is>
          <t>Riverbend Homes Pty Ltd</t>
        </is>
      </c>
      <c r="C16" t="inlineStr">
        <is>
          <t>FP</t>
        </is>
      </c>
      <c r="D16" s="9" t="n">
        <v>4.5</v>
      </c>
      <c r="E16">
        <f>SUMIFS('Hire Cycles'!$F$5:$F$1069,'Hire Cycles'!$A$5:$A$1069,A16,'Hire Cycles'!$B$5:$B$1069,C16,'Hire Cycles'!$G$5:$G$1069,1)</f>
        <v>172</v>
      </c>
      <c r="F16">
        <f>SUMIFS('Invoice Lines'!$J$5:$J$2542,'Invoice Lines'!$H$5:$H$2542,A16,'Invoice Lines'!$Q$5:$Q$2542,"HIRE-"&amp;C16,'Invoice Lines'!$M$5:$M$2542,1,'Invoice Lines'!$K$5:$K$2542,"&gt;0")</f>
        <v>172</v>
      </c>
      <c r="G16">
        <f>E16-F16</f>
        <v>0</v>
      </c>
      <c r="H16" s="9">
        <f>ROUND(G16*D16,2)</f>
        <v>0</v>
      </c>
      <c r="I16" s="9">
        <f>SUMIFS('Invoice Lines'!$K$5:$K$2542,'Invoice Lines'!$H$5:$H$2542,A16,'Invoice Lines'!$Q$5:$Q$2542,"HIRE-"&amp;C16,'Invoice Lines'!$M$5:$M$2542,1,'Invoice Lines'!$K$5:$K$2542,"&lt;0")</f>
        <v>0</v>
      </c>
      <c r="J16" t="n">
        <v>86</v>
      </c>
      <c r="K16" t="str">
        <f>IF(G16&gt;0,"Under-billed",IF(G16&lt;0,"Over-billed","Agrees"))</f>
        <v>Agrees</v>
      </c>
      <c r="L16" t="inlineStr"/>
    </row>
    <row r="17">
      <c r="A17" t="inlineStr">
        <is>
          <t>S0010</t>
        </is>
      </c>
      <c r="B17" t="inlineStr">
        <is>
          <t>Granite Projects Pty Ltd</t>
        </is>
      </c>
      <c r="C17" t="inlineStr">
        <is>
          <t>BR</t>
        </is>
      </c>
      <c r="D17" s="9" t="n">
        <v>3.2</v>
      </c>
      <c r="E17">
        <f>SUMIFS('Hire Cycles'!$F$5:$F$1069,'Hire Cycles'!$A$5:$A$1069,A17,'Hire Cycles'!$B$5:$B$1069,C17,'Hire Cycles'!$G$5:$G$1069,1)</f>
        <v>45</v>
      </c>
      <c r="F17">
        <f>SUMIFS('Invoice Lines'!$J$5:$J$2542,'Invoice Lines'!$H$5:$H$2542,A17,'Invoice Lines'!$Q$5:$Q$2542,"HIRE-"&amp;C17,'Invoice Lines'!$M$5:$M$2542,1,'Invoice Lines'!$K$5:$K$2542,"&gt;0")</f>
        <v>45</v>
      </c>
      <c r="G17">
        <f>E17-F17</f>
        <v>0</v>
      </c>
      <c r="H17" s="9">
        <f>ROUND(G17*D17,2)</f>
        <v>0</v>
      </c>
      <c r="I17" s="9">
        <f>SUMIFS('Invoice Lines'!$K$5:$K$2542,'Invoice Lines'!$H$5:$H$2542,A17,'Invoice Lines'!$Q$5:$Q$2542,"HIRE-"&amp;C17,'Invoice Lines'!$M$5:$M$2542,1,'Invoice Lines'!$K$5:$K$2542,"&lt;0")</f>
        <v>0</v>
      </c>
      <c r="J17" t="n">
        <v>0</v>
      </c>
      <c r="K17" t="str">
        <f>IF(G17&gt;0,"Under-billed",IF(G17&lt;0,"Over-billed","Agrees"))</f>
        <v>Agrees</v>
      </c>
      <c r="L17" t="inlineStr"/>
    </row>
    <row r="18">
      <c r="A18" t="inlineStr">
        <is>
          <t>S0010</t>
        </is>
      </c>
      <c r="B18" t="inlineStr">
        <is>
          <t>Granite Projects Pty Ltd</t>
        </is>
      </c>
      <c r="C18" t="inlineStr">
        <is>
          <t>FP</t>
        </is>
      </c>
      <c r="D18" s="9" t="n">
        <v>4.5</v>
      </c>
      <c r="E18">
        <f>SUMIFS('Hire Cycles'!$F$5:$F$1069,'Hire Cycles'!$A$5:$A$1069,A18,'Hire Cycles'!$B$5:$B$1069,C18,'Hire Cycles'!$G$5:$G$1069,1)</f>
        <v>80</v>
      </c>
      <c r="F18">
        <f>SUMIFS('Invoice Lines'!$J$5:$J$2542,'Invoice Lines'!$H$5:$H$2542,A18,'Invoice Lines'!$Q$5:$Q$2542,"HIRE-"&amp;C18,'Invoice Lines'!$M$5:$M$2542,1,'Invoice Lines'!$K$5:$K$2542,"&gt;0")</f>
        <v>80</v>
      </c>
      <c r="G18">
        <f>E18-F18</f>
        <v>0</v>
      </c>
      <c r="H18" s="9">
        <f>ROUND(G18*D18,2)</f>
        <v>0</v>
      </c>
      <c r="I18" s="9">
        <f>SUMIFS('Invoice Lines'!$K$5:$K$2542,'Invoice Lines'!$H$5:$H$2542,A18,'Invoice Lines'!$Q$5:$Q$2542,"HIRE-"&amp;C18,'Invoice Lines'!$M$5:$M$2542,1,'Invoice Lines'!$K$5:$K$2542,"&lt;0")</f>
        <v>0</v>
      </c>
      <c r="J18" t="n">
        <v>0</v>
      </c>
      <c r="K18" t="str">
        <f>IF(G18&gt;0,"Under-billed",IF(G18&lt;0,"Over-billed","Agrees"))</f>
        <v>Agrees</v>
      </c>
      <c r="L18" t="inlineStr"/>
    </row>
    <row r="19">
      <c r="A19" t="inlineStr">
        <is>
          <t>S0011</t>
        </is>
      </c>
      <c r="B19" t="inlineStr">
        <is>
          <t>Bluegum Building Group</t>
        </is>
      </c>
      <c r="C19" t="inlineStr">
        <is>
          <t>FP</t>
        </is>
      </c>
      <c r="D19" s="9" t="n">
        <v>4.5</v>
      </c>
      <c r="E19">
        <f>SUMIFS('Hire Cycles'!$F$5:$F$1069,'Hire Cycles'!$A$5:$A$1069,A19,'Hire Cycles'!$B$5:$B$1069,C19,'Hire Cycles'!$G$5:$G$1069,1)</f>
        <v>2496</v>
      </c>
      <c r="F19">
        <f>SUMIFS('Invoice Lines'!$J$5:$J$2542,'Invoice Lines'!$H$5:$H$2542,A19,'Invoice Lines'!$Q$5:$Q$2542,"HIRE-"&amp;C19,'Invoice Lines'!$M$5:$M$2542,1,'Invoice Lines'!$K$5:$K$2542,"&gt;0")</f>
        <v>2496</v>
      </c>
      <c r="G19">
        <f>E19-F19</f>
        <v>0</v>
      </c>
      <c r="H19" s="9">
        <f>ROUND(G19*D19,2)</f>
        <v>0</v>
      </c>
      <c r="I19" s="9">
        <f>SUMIFS('Invoice Lines'!$K$5:$K$2542,'Invoice Lines'!$H$5:$H$2542,A19,'Invoice Lines'!$Q$5:$Q$2542,"HIRE-"&amp;C19,'Invoice Lines'!$M$5:$M$2542,1,'Invoice Lines'!$K$5:$K$2542,"&lt;0")</f>
        <v>0</v>
      </c>
      <c r="J19" t="n">
        <v>0</v>
      </c>
      <c r="K19" t="str">
        <f>IF(G19&gt;0,"Under-billed",IF(G19&lt;0,"Over-billed","Agrees"))</f>
        <v>Agrees</v>
      </c>
      <c r="L19" t="inlineStr"/>
    </row>
    <row r="20">
      <c r="A20" t="inlineStr">
        <is>
          <t>S0012</t>
        </is>
      </c>
      <c r="B20" t="inlineStr">
        <is>
          <t>Bluegum Developments</t>
        </is>
      </c>
      <c r="C20" t="inlineStr">
        <is>
          <t>BR</t>
        </is>
      </c>
      <c r="D20" s="9" t="n">
        <v>3.2</v>
      </c>
      <c r="E20">
        <f>SUMIFS('Hire Cycles'!$F$5:$F$1069,'Hire Cycles'!$A$5:$A$1069,A20,'Hire Cycles'!$B$5:$B$1069,C20,'Hire Cycles'!$G$5:$G$1069,1)</f>
        <v>32</v>
      </c>
      <c r="F20">
        <f>SUMIFS('Invoice Lines'!$J$5:$J$2542,'Invoice Lines'!$H$5:$H$2542,A20,'Invoice Lines'!$Q$5:$Q$2542,"HIRE-"&amp;C20,'Invoice Lines'!$M$5:$M$2542,1,'Invoice Lines'!$K$5:$K$2542,"&gt;0")</f>
        <v>32</v>
      </c>
      <c r="G20">
        <f>E20-F20</f>
        <v>0</v>
      </c>
      <c r="H20" s="9">
        <f>ROUND(G20*D20,2)</f>
        <v>0</v>
      </c>
      <c r="I20" s="9">
        <f>SUMIFS('Invoice Lines'!$K$5:$K$2542,'Invoice Lines'!$H$5:$H$2542,A20,'Invoice Lines'!$Q$5:$Q$2542,"HIRE-"&amp;C20,'Invoice Lines'!$M$5:$M$2542,1,'Invoice Lines'!$K$5:$K$2542,"&lt;0")</f>
        <v>0</v>
      </c>
      <c r="J20" t="n">
        <v>16</v>
      </c>
      <c r="K20" t="str">
        <f>IF(G20&gt;0,"Under-billed",IF(G20&lt;0,"Over-billed","Agrees"))</f>
        <v>Agrees</v>
      </c>
      <c r="L20" t="inlineStr"/>
    </row>
    <row r="21">
      <c r="A21" t="inlineStr">
        <is>
          <t>S0012</t>
        </is>
      </c>
      <c r="B21" t="inlineStr">
        <is>
          <t>Bluegum Developments</t>
        </is>
      </c>
      <c r="C21" t="inlineStr">
        <is>
          <t>FP</t>
        </is>
      </c>
      <c r="D21" s="9" t="n">
        <v>4.5</v>
      </c>
      <c r="E21">
        <f>SUMIFS('Hire Cycles'!$F$5:$F$1069,'Hire Cycles'!$A$5:$A$1069,A21,'Hire Cycles'!$B$5:$B$1069,C21,'Hire Cycles'!$G$5:$G$1069,1)</f>
        <v>688</v>
      </c>
      <c r="F21">
        <f>SUMIFS('Invoice Lines'!$J$5:$J$2542,'Invoice Lines'!$H$5:$H$2542,A21,'Invoice Lines'!$Q$5:$Q$2542,"HIRE-"&amp;C21,'Invoice Lines'!$M$5:$M$2542,1,'Invoice Lines'!$K$5:$K$2542,"&gt;0")</f>
        <v>688</v>
      </c>
      <c r="G21">
        <f>E21-F21</f>
        <v>0</v>
      </c>
      <c r="H21" s="9">
        <f>ROUND(G21*D21,2)</f>
        <v>0</v>
      </c>
      <c r="I21" s="9">
        <f>SUMIFS('Invoice Lines'!$K$5:$K$2542,'Invoice Lines'!$H$5:$H$2542,A21,'Invoice Lines'!$Q$5:$Q$2542,"HIRE-"&amp;C21,'Invoice Lines'!$M$5:$M$2542,1,'Invoice Lines'!$K$5:$K$2542,"&lt;0")</f>
        <v>0</v>
      </c>
      <c r="J21" t="n">
        <v>344</v>
      </c>
      <c r="K21" t="str">
        <f>IF(G21&gt;0,"Under-billed",IF(G21&lt;0,"Over-billed","Agrees"))</f>
        <v>Agrees</v>
      </c>
      <c r="L21" t="inlineStr"/>
    </row>
    <row r="22">
      <c r="A22" t="inlineStr">
        <is>
          <t>S0013</t>
        </is>
      </c>
      <c r="B22" t="inlineStr">
        <is>
          <t>Corner Events Pty Ltd</t>
        </is>
      </c>
      <c r="C22" t="inlineStr">
        <is>
          <t>BR</t>
        </is>
      </c>
      <c r="D22" s="9" t="n">
        <v>3.2</v>
      </c>
      <c r="E22">
        <f>SUMIFS('Hire Cycles'!$F$5:$F$1069,'Hire Cycles'!$A$5:$A$1069,A22,'Hire Cycles'!$B$5:$B$1069,C22,'Hire Cycles'!$G$5:$G$1069,1)</f>
        <v>69</v>
      </c>
      <c r="F22">
        <f>SUMIFS('Invoice Lines'!$J$5:$J$2542,'Invoice Lines'!$H$5:$H$2542,A22,'Invoice Lines'!$Q$5:$Q$2542,"HIRE-"&amp;C22,'Invoice Lines'!$M$5:$M$2542,1,'Invoice Lines'!$K$5:$K$2542,"&gt;0")</f>
        <v>69</v>
      </c>
      <c r="G22">
        <f>E22-F22</f>
        <v>0</v>
      </c>
      <c r="H22" s="9">
        <f>ROUND(G22*D22,2)</f>
        <v>0</v>
      </c>
      <c r="I22" s="9">
        <f>SUMIFS('Invoice Lines'!$K$5:$K$2542,'Invoice Lines'!$H$5:$H$2542,A22,'Invoice Lines'!$Q$5:$Q$2542,"HIRE-"&amp;C22,'Invoice Lines'!$M$5:$M$2542,1,'Invoice Lines'!$K$5:$K$2542,"&lt;0")</f>
        <v>0</v>
      </c>
      <c r="J22" t="n">
        <v>0</v>
      </c>
      <c r="K22" t="str">
        <f>IF(G22&gt;0,"Under-billed",IF(G22&lt;0,"Over-billed","Agrees"))</f>
        <v>Agrees</v>
      </c>
      <c r="L22" t="inlineStr"/>
    </row>
    <row r="23">
      <c r="A23" t="inlineStr">
        <is>
          <t>S0013</t>
        </is>
      </c>
      <c r="B23" t="inlineStr">
        <is>
          <t>Corner Events Pty Ltd</t>
        </is>
      </c>
      <c r="C23" t="inlineStr">
        <is>
          <t>FP</t>
        </is>
      </c>
      <c r="D23" s="9" t="n">
        <v>4.5</v>
      </c>
      <c r="E23">
        <f>SUMIFS('Hire Cycles'!$F$5:$F$1069,'Hire Cycles'!$A$5:$A$1069,A23,'Hire Cycles'!$B$5:$B$1069,C23,'Hire Cycles'!$G$5:$G$1069,1)</f>
        <v>330</v>
      </c>
      <c r="F23">
        <f>SUMIFS('Invoice Lines'!$J$5:$J$2542,'Invoice Lines'!$H$5:$H$2542,A23,'Invoice Lines'!$Q$5:$Q$2542,"HIRE-"&amp;C23,'Invoice Lines'!$M$5:$M$2542,1,'Invoice Lines'!$K$5:$K$2542,"&gt;0")</f>
        <v>330</v>
      </c>
      <c r="G23">
        <f>E23-F23</f>
        <v>0</v>
      </c>
      <c r="H23" s="9">
        <f>ROUND(G23*D23,2)</f>
        <v>0</v>
      </c>
      <c r="I23" s="9">
        <f>SUMIFS('Invoice Lines'!$K$5:$K$2542,'Invoice Lines'!$H$5:$H$2542,A23,'Invoice Lines'!$Q$5:$Q$2542,"HIRE-"&amp;C23,'Invoice Lines'!$M$5:$M$2542,1,'Invoice Lines'!$K$5:$K$2542,"&lt;0")</f>
        <v>0</v>
      </c>
      <c r="J23" t="n">
        <v>0</v>
      </c>
      <c r="K23" t="str">
        <f>IF(G23&gt;0,"Under-billed",IF(G23&lt;0,"Over-billed","Agrees"))</f>
        <v>Agrees</v>
      </c>
      <c r="L23" t="inlineStr"/>
    </row>
    <row r="24">
      <c r="A24" t="inlineStr">
        <is>
          <t>S0014</t>
        </is>
      </c>
      <c r="B24" t="inlineStr">
        <is>
          <t>Banksia Homes</t>
        </is>
      </c>
      <c r="C24" t="inlineStr">
        <is>
          <t>BR</t>
        </is>
      </c>
      <c r="D24" s="9" t="n">
        <v>3.2</v>
      </c>
      <c r="E24">
        <f>SUMIFS('Hire Cycles'!$F$5:$F$1069,'Hire Cycles'!$A$5:$A$1069,A24,'Hire Cycles'!$B$5:$B$1069,C24,'Hire Cycles'!$G$5:$G$1069,1)</f>
        <v>224</v>
      </c>
      <c r="F24">
        <f>SUMIFS('Invoice Lines'!$J$5:$J$2542,'Invoice Lines'!$H$5:$H$2542,A24,'Invoice Lines'!$Q$5:$Q$2542,"HIRE-"&amp;C24,'Invoice Lines'!$M$5:$M$2542,1,'Invoice Lines'!$K$5:$K$2542,"&gt;0")</f>
        <v>224</v>
      </c>
      <c r="G24">
        <f>E24-F24</f>
        <v>0</v>
      </c>
      <c r="H24" s="9">
        <f>ROUND(G24*D24,2)</f>
        <v>0</v>
      </c>
      <c r="I24" s="9">
        <f>SUMIFS('Invoice Lines'!$K$5:$K$2542,'Invoice Lines'!$H$5:$H$2542,A24,'Invoice Lines'!$Q$5:$Q$2542,"HIRE-"&amp;C24,'Invoice Lines'!$M$5:$M$2542,1,'Invoice Lines'!$K$5:$K$2542,"&lt;0")</f>
        <v>0</v>
      </c>
      <c r="J24" t="n">
        <v>28</v>
      </c>
      <c r="K24" t="str">
        <f>IF(G24&gt;0,"Under-billed",IF(G24&lt;0,"Over-billed","Agrees"))</f>
        <v>Agrees</v>
      </c>
      <c r="L24" t="inlineStr"/>
    </row>
    <row r="25">
      <c r="A25" t="inlineStr">
        <is>
          <t>S0014</t>
        </is>
      </c>
      <c r="B25" t="inlineStr">
        <is>
          <t>Banksia Homes</t>
        </is>
      </c>
      <c r="C25" t="inlineStr">
        <is>
          <t>FP</t>
        </is>
      </c>
      <c r="D25" s="9" t="n">
        <v>4.5</v>
      </c>
      <c r="E25">
        <f>SUMIFS('Hire Cycles'!$F$5:$F$1069,'Hire Cycles'!$A$5:$A$1069,A25,'Hire Cycles'!$B$5:$B$1069,C25,'Hire Cycles'!$G$5:$G$1069,1)</f>
        <v>480</v>
      </c>
      <c r="F25">
        <f>SUMIFS('Invoice Lines'!$J$5:$J$2542,'Invoice Lines'!$H$5:$H$2542,A25,'Invoice Lines'!$Q$5:$Q$2542,"HIRE-"&amp;C25,'Invoice Lines'!$M$5:$M$2542,1,'Invoice Lines'!$K$5:$K$2542,"&gt;0")</f>
        <v>480</v>
      </c>
      <c r="G25">
        <f>E25-F25</f>
        <v>0</v>
      </c>
      <c r="H25" s="9">
        <f>ROUND(G25*D25,2)</f>
        <v>0</v>
      </c>
      <c r="I25" s="9">
        <f>SUMIFS('Invoice Lines'!$K$5:$K$2542,'Invoice Lines'!$H$5:$H$2542,A25,'Invoice Lines'!$Q$5:$Q$2542,"HIRE-"&amp;C25,'Invoice Lines'!$M$5:$M$2542,1,'Invoice Lines'!$K$5:$K$2542,"&lt;0")</f>
        <v>0</v>
      </c>
      <c r="J25" t="n">
        <v>60</v>
      </c>
      <c r="K25" t="str">
        <f>IF(G25&gt;0,"Under-billed",IF(G25&lt;0,"Over-billed","Agrees"))</f>
        <v>Agrees</v>
      </c>
      <c r="L25" t="inlineStr"/>
    </row>
    <row r="26">
      <c r="A26" t="inlineStr">
        <is>
          <t>S0016</t>
        </is>
      </c>
      <c r="B26" t="inlineStr">
        <is>
          <t>Cobalt Developments Pty Ltd</t>
        </is>
      </c>
      <c r="C26" t="inlineStr">
        <is>
          <t>BR</t>
        </is>
      </c>
      <c r="D26" s="9" t="n">
        <v>3.2</v>
      </c>
      <c r="E26">
        <f>SUMIFS('Hire Cycles'!$F$5:$F$1069,'Hire Cycles'!$A$5:$A$1069,A26,'Hire Cycles'!$B$5:$B$1069,C26,'Hire Cycles'!$G$5:$G$1069,1)</f>
        <v>208</v>
      </c>
      <c r="F26">
        <f>SUMIFS('Invoice Lines'!$J$5:$J$2542,'Invoice Lines'!$H$5:$H$2542,A26,'Invoice Lines'!$Q$5:$Q$2542,"HIRE-"&amp;C26,'Invoice Lines'!$M$5:$M$2542,1,'Invoice Lines'!$K$5:$K$2542,"&gt;0")</f>
        <v>208</v>
      </c>
      <c r="G26">
        <f>E26-F26</f>
        <v>0</v>
      </c>
      <c r="H26" s="9">
        <f>ROUND(G26*D26,2)</f>
        <v>0</v>
      </c>
      <c r="I26" s="9">
        <f>SUMIFS('Invoice Lines'!$K$5:$K$2542,'Invoice Lines'!$H$5:$H$2542,A26,'Invoice Lines'!$Q$5:$Q$2542,"HIRE-"&amp;C26,'Invoice Lines'!$M$5:$M$2542,1,'Invoice Lines'!$K$5:$K$2542,"&lt;0")</f>
        <v>0</v>
      </c>
      <c r="J26" t="n">
        <v>26</v>
      </c>
      <c r="K26" t="str">
        <f>IF(G26&gt;0,"Under-billed",IF(G26&lt;0,"Over-billed","Agrees"))</f>
        <v>Agrees</v>
      </c>
      <c r="L26" t="inlineStr"/>
    </row>
    <row r="27">
      <c r="A27" t="inlineStr">
        <is>
          <t>S0016</t>
        </is>
      </c>
      <c r="B27" t="inlineStr">
        <is>
          <t>Cobalt Developments Pty Ltd</t>
        </is>
      </c>
      <c r="C27" t="inlineStr">
        <is>
          <t>FP</t>
        </is>
      </c>
      <c r="D27" s="9" t="n">
        <v>4.5</v>
      </c>
      <c r="E27">
        <f>SUMIFS('Hire Cycles'!$F$5:$F$1069,'Hire Cycles'!$A$5:$A$1069,A27,'Hire Cycles'!$B$5:$B$1069,C27,'Hire Cycles'!$G$5:$G$1069,1)</f>
        <v>784</v>
      </c>
      <c r="F27">
        <f>SUMIFS('Invoice Lines'!$J$5:$J$2542,'Invoice Lines'!$H$5:$H$2542,A27,'Invoice Lines'!$Q$5:$Q$2542,"HIRE-"&amp;C27,'Invoice Lines'!$M$5:$M$2542,1,'Invoice Lines'!$K$5:$K$2542,"&gt;0")</f>
        <v>784</v>
      </c>
      <c r="G27">
        <f>E27-F27</f>
        <v>0</v>
      </c>
      <c r="H27" s="9">
        <f>ROUND(G27*D27,2)</f>
        <v>0</v>
      </c>
      <c r="I27" s="9">
        <f>SUMIFS('Invoice Lines'!$K$5:$K$2542,'Invoice Lines'!$H$5:$H$2542,A27,'Invoice Lines'!$Q$5:$Q$2542,"HIRE-"&amp;C27,'Invoice Lines'!$M$5:$M$2542,1,'Invoice Lines'!$K$5:$K$2542,"&lt;0")</f>
        <v>0</v>
      </c>
      <c r="J27" t="n">
        <v>98</v>
      </c>
      <c r="K27" t="str">
        <f>IF(G27&gt;0,"Under-billed",IF(G27&lt;0,"Over-billed","Agrees"))</f>
        <v>Agrees</v>
      </c>
      <c r="L27" t="inlineStr"/>
    </row>
    <row r="28">
      <c r="A28" t="inlineStr">
        <is>
          <t>S0018</t>
        </is>
      </c>
      <c r="B28" t="inlineStr">
        <is>
          <t>Norfolk Constructions Pty Ltd</t>
        </is>
      </c>
      <c r="C28" t="inlineStr">
        <is>
          <t>FP</t>
        </is>
      </c>
      <c r="D28" s="9" t="n">
        <v>4.5</v>
      </c>
      <c r="E28">
        <f>SUMIFS('Hire Cycles'!$F$5:$F$1069,'Hire Cycles'!$A$5:$A$1069,A28,'Hire Cycles'!$B$5:$B$1069,C28,'Hire Cycles'!$G$5:$G$1069,1)</f>
        <v>2044</v>
      </c>
      <c r="F28">
        <f>SUMIFS('Invoice Lines'!$J$5:$J$2542,'Invoice Lines'!$H$5:$H$2542,A28,'Invoice Lines'!$Q$5:$Q$2542,"HIRE-"&amp;C28,'Invoice Lines'!$M$5:$M$2542,1,'Invoice Lines'!$K$5:$K$2542,"&gt;0")</f>
        <v>2116</v>
      </c>
      <c r="G28">
        <f>E28-F28</f>
        <v>-72</v>
      </c>
      <c r="H28" s="9">
        <f>ROUND(G28*D28,2)</f>
        <v>-324</v>
      </c>
      <c r="I28" s="9">
        <f>SUMIFS('Invoice Lines'!$K$5:$K$2542,'Invoice Lines'!$H$5:$H$2542,A28,'Invoice Lines'!$Q$5:$Q$2542,"HIRE-"&amp;C28,'Invoice Lines'!$M$5:$M$2542,1,'Invoice Lines'!$K$5:$K$2542,"&lt;0")</f>
        <v>0</v>
      </c>
      <c r="J28" t="n">
        <v>0</v>
      </c>
      <c r="K28" t="str">
        <f>IF(G28&gt;0,"Under-billed",IF(G28&lt;0,"Over-billed","Agrees"))</f>
        <v>Over-billed</v>
      </c>
      <c r="L28" t="inlineStr">
        <is>
          <t>Yes</t>
        </is>
      </c>
    </row>
    <row r="29">
      <c r="A29" t="inlineStr">
        <is>
          <t>S0019</t>
        </is>
      </c>
      <c r="B29" t="inlineStr">
        <is>
          <t>Ella Wilson</t>
        </is>
      </c>
      <c r="C29" t="inlineStr">
        <is>
          <t>FP</t>
        </is>
      </c>
      <c r="D29" s="9" t="n">
        <v>4.5</v>
      </c>
      <c r="E29">
        <f>SUMIFS('Hire Cycles'!$F$5:$F$1069,'Hire Cycles'!$A$5:$A$1069,A29,'Hire Cycles'!$B$5:$B$1069,C29,'Hire Cycles'!$G$5:$G$1069,1)</f>
        <v>1661</v>
      </c>
      <c r="F29">
        <f>SUMIFS('Invoice Lines'!$J$5:$J$2542,'Invoice Lines'!$H$5:$H$2542,A29,'Invoice Lines'!$Q$5:$Q$2542,"HIRE-"&amp;C29,'Invoice Lines'!$M$5:$M$2542,1,'Invoice Lines'!$K$5:$K$2542,"&gt;0")</f>
        <v>1588</v>
      </c>
      <c r="G29">
        <f>E29-F29</f>
        <v>73</v>
      </c>
      <c r="H29" s="9">
        <f>ROUND(G29*D29,2)</f>
        <v>328.5</v>
      </c>
      <c r="I29" s="9">
        <f>SUMIFS('Invoice Lines'!$K$5:$K$2542,'Invoice Lines'!$H$5:$H$2542,A29,'Invoice Lines'!$Q$5:$Q$2542,"HIRE-"&amp;C29,'Invoice Lines'!$M$5:$M$2542,1,'Invoice Lines'!$K$5:$K$2542,"&lt;0")</f>
        <v>0</v>
      </c>
      <c r="J29" t="n">
        <v>0</v>
      </c>
      <c r="K29" t="str">
        <f>IF(G29&gt;0,"Under-billed",IF(G29&lt;0,"Over-billed","Agrees"))</f>
        <v>Under-billed</v>
      </c>
      <c r="L29" t="inlineStr"/>
    </row>
    <row r="30">
      <c r="A30" t="inlineStr">
        <is>
          <t>S0020</t>
        </is>
      </c>
      <c r="B30" t="inlineStr">
        <is>
          <t>Granite Projects Pty Ltd</t>
        </is>
      </c>
      <c r="C30" t="inlineStr">
        <is>
          <t>BR</t>
        </is>
      </c>
      <c r="D30" s="9" t="n">
        <v>3.2</v>
      </c>
      <c r="E30">
        <f>SUMIFS('Hire Cycles'!$F$5:$F$1069,'Hire Cycles'!$A$5:$A$1069,A30,'Hire Cycles'!$B$5:$B$1069,C30,'Hire Cycles'!$G$5:$G$1069,1)</f>
        <v>44</v>
      </c>
      <c r="F30">
        <f>SUMIFS('Invoice Lines'!$J$5:$J$2542,'Invoice Lines'!$H$5:$H$2542,A30,'Invoice Lines'!$Q$5:$Q$2542,"HIRE-"&amp;C30,'Invoice Lines'!$M$5:$M$2542,1,'Invoice Lines'!$K$5:$K$2542,"&gt;0")</f>
        <v>44</v>
      </c>
      <c r="G30">
        <f>E30-F30</f>
        <v>0</v>
      </c>
      <c r="H30" s="9">
        <f>ROUND(G30*D30,2)</f>
        <v>0</v>
      </c>
      <c r="I30" s="9">
        <f>SUMIFS('Invoice Lines'!$K$5:$K$2542,'Invoice Lines'!$H$5:$H$2542,A30,'Invoice Lines'!$Q$5:$Q$2542,"HIRE-"&amp;C30,'Invoice Lines'!$M$5:$M$2542,1,'Invoice Lines'!$K$5:$K$2542,"&lt;0")</f>
        <v>0</v>
      </c>
      <c r="J30" t="n">
        <v>44</v>
      </c>
      <c r="K30" t="str">
        <f>IF(G30&gt;0,"Under-billed",IF(G30&lt;0,"Over-billed","Agrees"))</f>
        <v>Agrees</v>
      </c>
      <c r="L30" t="inlineStr"/>
    </row>
    <row r="31">
      <c r="A31" t="inlineStr">
        <is>
          <t>S0020</t>
        </is>
      </c>
      <c r="B31" t="inlineStr">
        <is>
          <t>Granite Projects Pty Ltd</t>
        </is>
      </c>
      <c r="C31" t="inlineStr">
        <is>
          <t>FP</t>
        </is>
      </c>
      <c r="D31" s="9" t="n">
        <v>4.5</v>
      </c>
      <c r="E31">
        <f>SUMIFS('Hire Cycles'!$F$5:$F$1069,'Hire Cycles'!$A$5:$A$1069,A31,'Hire Cycles'!$B$5:$B$1069,C31,'Hire Cycles'!$G$5:$G$1069,1)</f>
        <v>87</v>
      </c>
      <c r="F31">
        <f>SUMIFS('Invoice Lines'!$J$5:$J$2542,'Invoice Lines'!$H$5:$H$2542,A31,'Invoice Lines'!$Q$5:$Q$2542,"HIRE-"&amp;C31,'Invoice Lines'!$M$5:$M$2542,1,'Invoice Lines'!$K$5:$K$2542,"&gt;0")</f>
        <v>180</v>
      </c>
      <c r="G31">
        <f>E31-F31</f>
        <v>-93</v>
      </c>
      <c r="H31" s="9">
        <f>ROUND(G31*D31,2)</f>
        <v>-418.5</v>
      </c>
      <c r="I31" s="9">
        <f>SUMIFS('Invoice Lines'!$K$5:$K$2542,'Invoice Lines'!$H$5:$H$2542,A31,'Invoice Lines'!$Q$5:$Q$2542,"HIRE-"&amp;C31,'Invoice Lines'!$M$5:$M$2542,1,'Invoice Lines'!$K$5:$K$2542,"&lt;0")</f>
        <v>0</v>
      </c>
      <c r="J31" t="n">
        <v>180</v>
      </c>
      <c r="K31" t="str">
        <f>IF(G31&gt;0,"Under-billed",IF(G31&lt;0,"Over-billed","Agrees"))</f>
        <v>Over-billed</v>
      </c>
      <c r="L31" t="inlineStr"/>
    </row>
    <row r="32">
      <c r="A32" t="inlineStr">
        <is>
          <t>S0021</t>
        </is>
      </c>
      <c r="B32" t="inlineStr">
        <is>
          <t>Bayside Owners Corporation Services Pty Ltd</t>
        </is>
      </c>
      <c r="C32" t="inlineStr">
        <is>
          <t>BR</t>
        </is>
      </c>
      <c r="D32" s="9" t="n">
        <v>3.2</v>
      </c>
      <c r="E32">
        <f>SUMIFS('Hire Cycles'!$F$5:$F$1069,'Hire Cycles'!$A$5:$A$1069,A32,'Hire Cycles'!$B$5:$B$1069,C32,'Hire Cycles'!$G$5:$G$1069,1)</f>
        <v>180</v>
      </c>
      <c r="F32">
        <f>SUMIFS('Invoice Lines'!$J$5:$J$2542,'Invoice Lines'!$H$5:$H$2542,A32,'Invoice Lines'!$Q$5:$Q$2542,"HIRE-"&amp;C32,'Invoice Lines'!$M$5:$M$2542,1,'Invoice Lines'!$K$5:$K$2542,"&gt;0")</f>
        <v>180</v>
      </c>
      <c r="G32">
        <f>E32-F32</f>
        <v>0</v>
      </c>
      <c r="H32" s="9">
        <f>ROUND(G32*D32,2)</f>
        <v>0</v>
      </c>
      <c r="I32" s="9">
        <f>SUMIFS('Invoice Lines'!$K$5:$K$2542,'Invoice Lines'!$H$5:$H$2542,A32,'Invoice Lines'!$Q$5:$Q$2542,"HIRE-"&amp;C32,'Invoice Lines'!$M$5:$M$2542,1,'Invoice Lines'!$K$5:$K$2542,"&lt;0")</f>
        <v>0</v>
      </c>
      <c r="J32" t="n">
        <v>0</v>
      </c>
      <c r="K32" t="str">
        <f>IF(G32&gt;0,"Under-billed",IF(G32&lt;0,"Over-billed","Agrees"))</f>
        <v>Agrees</v>
      </c>
      <c r="L32" t="inlineStr"/>
    </row>
    <row r="33">
      <c r="A33" t="inlineStr">
        <is>
          <t>S0021</t>
        </is>
      </c>
      <c r="B33" t="inlineStr">
        <is>
          <t>Bayside Owners Corporation Services Pty Ltd</t>
        </is>
      </c>
      <c r="C33" t="inlineStr">
        <is>
          <t>FP</t>
        </is>
      </c>
      <c r="D33" s="9" t="n">
        <v>4.5</v>
      </c>
      <c r="E33">
        <f>SUMIFS('Hire Cycles'!$F$5:$F$1069,'Hire Cycles'!$A$5:$A$1069,A33,'Hire Cycles'!$B$5:$B$1069,C33,'Hire Cycles'!$G$5:$G$1069,1)</f>
        <v>909</v>
      </c>
      <c r="F33">
        <f>SUMIFS('Invoice Lines'!$J$5:$J$2542,'Invoice Lines'!$H$5:$H$2542,A33,'Invoice Lines'!$Q$5:$Q$2542,"HIRE-"&amp;C33,'Invoice Lines'!$M$5:$M$2542,1,'Invoice Lines'!$K$5:$K$2542,"&gt;0")</f>
        <v>909</v>
      </c>
      <c r="G33">
        <f>E33-F33</f>
        <v>0</v>
      </c>
      <c r="H33" s="9">
        <f>ROUND(G33*D33,2)</f>
        <v>0</v>
      </c>
      <c r="I33" s="9">
        <f>SUMIFS('Invoice Lines'!$K$5:$K$2542,'Invoice Lines'!$H$5:$H$2542,A33,'Invoice Lines'!$Q$5:$Q$2542,"HIRE-"&amp;C33,'Invoice Lines'!$M$5:$M$2542,1,'Invoice Lines'!$K$5:$K$2542,"&lt;0")</f>
        <v>0</v>
      </c>
      <c r="J33" t="n">
        <v>0</v>
      </c>
      <c r="K33" t="str">
        <f>IF(G33&gt;0,"Under-billed",IF(G33&lt;0,"Over-billed","Agrees"))</f>
        <v>Agrees</v>
      </c>
      <c r="L33" t="inlineStr"/>
    </row>
    <row r="34">
      <c r="A34" t="inlineStr">
        <is>
          <t>S0022</t>
        </is>
      </c>
      <c r="B34" t="inlineStr">
        <is>
          <t>Westside Owners Corporation Services Pty Ltd</t>
        </is>
      </c>
      <c r="C34" t="inlineStr">
        <is>
          <t>BR</t>
        </is>
      </c>
      <c r="D34" s="9" t="n">
        <v>3.2</v>
      </c>
      <c r="E34">
        <f>SUMIFS('Hire Cycles'!$F$5:$F$1069,'Hire Cycles'!$A$5:$A$1069,A34,'Hire Cycles'!$B$5:$B$1069,C34,'Hire Cycles'!$G$5:$G$1069,1)</f>
        <v>90</v>
      </c>
      <c r="F34">
        <f>SUMIFS('Invoice Lines'!$J$5:$J$2542,'Invoice Lines'!$H$5:$H$2542,A34,'Invoice Lines'!$Q$5:$Q$2542,"HIRE-"&amp;C34,'Invoice Lines'!$M$5:$M$2542,1,'Invoice Lines'!$K$5:$K$2542,"&gt;0")</f>
        <v>90</v>
      </c>
      <c r="G34">
        <f>E34-F34</f>
        <v>0</v>
      </c>
      <c r="H34" s="9">
        <f>ROUND(G34*D34,2)</f>
        <v>0</v>
      </c>
      <c r="I34" s="9">
        <f>SUMIFS('Invoice Lines'!$K$5:$K$2542,'Invoice Lines'!$H$5:$H$2542,A34,'Invoice Lines'!$Q$5:$Q$2542,"HIRE-"&amp;C34,'Invoice Lines'!$M$5:$M$2542,1,'Invoice Lines'!$K$5:$K$2542,"&lt;0")</f>
        <v>0</v>
      </c>
      <c r="J34" t="n">
        <v>0</v>
      </c>
      <c r="K34" t="str">
        <f>IF(G34&gt;0,"Under-billed",IF(G34&lt;0,"Over-billed","Agrees"))</f>
        <v>Agrees</v>
      </c>
      <c r="L34" t="inlineStr"/>
    </row>
    <row r="35">
      <c r="A35" t="inlineStr">
        <is>
          <t>S0022</t>
        </is>
      </c>
      <c r="B35" t="inlineStr">
        <is>
          <t>Westside Owners Corporation Services Pty Ltd</t>
        </is>
      </c>
      <c r="C35" t="inlineStr">
        <is>
          <t>FP</t>
        </is>
      </c>
      <c r="D35" s="9" t="n">
        <v>4.5</v>
      </c>
      <c r="E35">
        <f>SUMIFS('Hire Cycles'!$F$5:$F$1069,'Hire Cycles'!$A$5:$A$1069,A35,'Hire Cycles'!$B$5:$B$1069,C35,'Hire Cycles'!$G$5:$G$1069,1)</f>
        <v>810</v>
      </c>
      <c r="F35">
        <f>SUMIFS('Invoice Lines'!$J$5:$J$2542,'Invoice Lines'!$H$5:$H$2542,A35,'Invoice Lines'!$Q$5:$Q$2542,"HIRE-"&amp;C35,'Invoice Lines'!$M$5:$M$2542,1,'Invoice Lines'!$K$5:$K$2542,"&gt;0")</f>
        <v>810</v>
      </c>
      <c r="G35">
        <f>E35-F35</f>
        <v>0</v>
      </c>
      <c r="H35" s="9">
        <f>ROUND(G35*D35,2)</f>
        <v>0</v>
      </c>
      <c r="I35" s="9">
        <f>SUMIFS('Invoice Lines'!$K$5:$K$2542,'Invoice Lines'!$H$5:$H$2542,A35,'Invoice Lines'!$Q$5:$Q$2542,"HIRE-"&amp;C35,'Invoice Lines'!$M$5:$M$2542,1,'Invoice Lines'!$K$5:$K$2542,"&lt;0")</f>
        <v>0</v>
      </c>
      <c r="J35" t="n">
        <v>0</v>
      </c>
      <c r="K35" t="str">
        <f>IF(G35&gt;0,"Under-billed",IF(G35&lt;0,"Over-billed","Agrees"))</f>
        <v>Agrees</v>
      </c>
      <c r="L35" t="inlineStr"/>
    </row>
    <row r="36">
      <c r="A36" t="inlineStr">
        <is>
          <t>S0023</t>
        </is>
      </c>
      <c r="B36" t="inlineStr">
        <is>
          <t>Bluegum Body Corporate Pty Ltd</t>
        </is>
      </c>
      <c r="C36" t="inlineStr">
        <is>
          <t>FP</t>
        </is>
      </c>
      <c r="D36" s="9" t="n">
        <v>4.5</v>
      </c>
      <c r="E36">
        <f>SUMIFS('Hire Cycles'!$F$5:$F$1069,'Hire Cycles'!$A$5:$A$1069,A36,'Hire Cycles'!$B$5:$B$1069,C36,'Hire Cycles'!$G$5:$G$1069,1)</f>
        <v>0</v>
      </c>
      <c r="F36">
        <f>SUMIFS('Invoice Lines'!$J$5:$J$2542,'Invoice Lines'!$H$5:$H$2542,A36,'Invoice Lines'!$Q$5:$Q$2542,"HIRE-"&amp;C36,'Invoice Lines'!$M$5:$M$2542,1,'Invoice Lines'!$K$5:$K$2542,"&gt;0")</f>
        <v>0</v>
      </c>
      <c r="G36">
        <f>E36-F36</f>
        <v>0</v>
      </c>
      <c r="H36" s="9">
        <f>ROUND(G36*D36,2)</f>
        <v>0</v>
      </c>
      <c r="I36" s="9">
        <f>SUMIFS('Invoice Lines'!$K$5:$K$2542,'Invoice Lines'!$H$5:$H$2542,A36,'Invoice Lines'!$Q$5:$Q$2542,"HIRE-"&amp;C36,'Invoice Lines'!$M$5:$M$2542,1,'Invoice Lines'!$K$5:$K$2542,"&lt;0")</f>
        <v>0</v>
      </c>
      <c r="J36" t="n">
        <v>468</v>
      </c>
      <c r="K36" t="str">
        <f>IF(G36&gt;0,"Under-billed",IF(G36&lt;0,"Over-billed","Agrees"))</f>
        <v>Agrees</v>
      </c>
      <c r="L36" t="inlineStr"/>
    </row>
    <row r="37">
      <c r="A37" t="inlineStr">
        <is>
          <t>S0024</t>
        </is>
      </c>
      <c r="B37" t="inlineStr">
        <is>
          <t>Wattle Constructions Pty Ltd</t>
        </is>
      </c>
      <c r="C37" t="inlineStr">
        <is>
          <t>BR</t>
        </is>
      </c>
      <c r="D37" s="9" t="n">
        <v>3.2</v>
      </c>
      <c r="E37">
        <f>SUMIFS('Hire Cycles'!$F$5:$F$1069,'Hire Cycles'!$A$5:$A$1069,A37,'Hire Cycles'!$B$5:$B$1069,C37,'Hire Cycles'!$G$5:$G$1069,1)</f>
        <v>68</v>
      </c>
      <c r="F37">
        <f>SUMIFS('Invoice Lines'!$J$5:$J$2542,'Invoice Lines'!$H$5:$H$2542,A37,'Invoice Lines'!$Q$5:$Q$2542,"HIRE-"&amp;C37,'Invoice Lines'!$M$5:$M$2542,1,'Invoice Lines'!$K$5:$K$2542,"&gt;0")</f>
        <v>68</v>
      </c>
      <c r="G37">
        <f>E37-F37</f>
        <v>0</v>
      </c>
      <c r="H37" s="9">
        <f>ROUND(G37*D37,2)</f>
        <v>0</v>
      </c>
      <c r="I37" s="9">
        <f>SUMIFS('Invoice Lines'!$K$5:$K$2542,'Invoice Lines'!$H$5:$H$2542,A37,'Invoice Lines'!$Q$5:$Q$2542,"HIRE-"&amp;C37,'Invoice Lines'!$M$5:$M$2542,1,'Invoice Lines'!$K$5:$K$2542,"&lt;0")</f>
        <v>0</v>
      </c>
      <c r="J37" t="n">
        <v>0</v>
      </c>
      <c r="K37" t="str">
        <f>IF(G37&gt;0,"Under-billed",IF(G37&lt;0,"Over-billed","Agrees"))</f>
        <v>Agrees</v>
      </c>
      <c r="L37" t="inlineStr"/>
    </row>
    <row r="38">
      <c r="A38" t="inlineStr">
        <is>
          <t>S0024</t>
        </is>
      </c>
      <c r="B38" t="inlineStr">
        <is>
          <t>Wattle Constructions Pty Ltd</t>
        </is>
      </c>
      <c r="C38" t="inlineStr">
        <is>
          <t>FP</t>
        </is>
      </c>
      <c r="D38" s="9" t="n">
        <v>4.5</v>
      </c>
      <c r="E38">
        <f>SUMIFS('Hire Cycles'!$F$5:$F$1069,'Hire Cycles'!$A$5:$A$1069,A38,'Hire Cycles'!$B$5:$B$1069,C38,'Hire Cycles'!$G$5:$G$1069,1)</f>
        <v>100</v>
      </c>
      <c r="F38">
        <f>SUMIFS('Invoice Lines'!$J$5:$J$2542,'Invoice Lines'!$H$5:$H$2542,A38,'Invoice Lines'!$Q$5:$Q$2542,"HIRE-"&amp;C38,'Invoice Lines'!$M$5:$M$2542,1,'Invoice Lines'!$K$5:$K$2542,"&gt;0")</f>
        <v>100</v>
      </c>
      <c r="G38">
        <f>E38-F38</f>
        <v>0</v>
      </c>
      <c r="H38" s="9">
        <f>ROUND(G38*D38,2)</f>
        <v>0</v>
      </c>
      <c r="I38" s="9">
        <f>SUMIFS('Invoice Lines'!$K$5:$K$2542,'Invoice Lines'!$H$5:$H$2542,A38,'Invoice Lines'!$Q$5:$Q$2542,"HIRE-"&amp;C38,'Invoice Lines'!$M$5:$M$2542,1,'Invoice Lines'!$K$5:$K$2542,"&lt;0")</f>
        <v>0</v>
      </c>
      <c r="J38" t="n">
        <v>0</v>
      </c>
      <c r="K38" t="str">
        <f>IF(G38&gt;0,"Under-billed",IF(G38&lt;0,"Over-billed","Agrees"))</f>
        <v>Agrees</v>
      </c>
      <c r="L38" t="inlineStr">
        <is>
          <t>Yes</t>
        </is>
      </c>
    </row>
    <row r="39">
      <c r="A39" t="inlineStr">
        <is>
          <t>S0025</t>
        </is>
      </c>
      <c r="B39" t="inlineStr">
        <is>
          <t>Priya Walker</t>
        </is>
      </c>
      <c r="C39" t="inlineStr">
        <is>
          <t>FP</t>
        </is>
      </c>
      <c r="D39" s="9" t="n">
        <v>4.5</v>
      </c>
      <c r="E39">
        <f>SUMIFS('Hire Cycles'!$F$5:$F$1069,'Hire Cycles'!$A$5:$A$1069,A39,'Hire Cycles'!$B$5:$B$1069,C39,'Hire Cycles'!$G$5:$G$1069,1)</f>
        <v>1976</v>
      </c>
      <c r="F39">
        <f>SUMIFS('Invoice Lines'!$J$5:$J$2542,'Invoice Lines'!$H$5:$H$2542,A39,'Invoice Lines'!$Q$5:$Q$2542,"HIRE-"&amp;C39,'Invoice Lines'!$M$5:$M$2542,1,'Invoice Lines'!$K$5:$K$2542,"&gt;0")</f>
        <v>1976</v>
      </c>
      <c r="G39">
        <f>E39-F39</f>
        <v>0</v>
      </c>
      <c r="H39" s="9">
        <f>ROUND(G39*D39,2)</f>
        <v>0</v>
      </c>
      <c r="I39" s="9">
        <f>SUMIFS('Invoice Lines'!$K$5:$K$2542,'Invoice Lines'!$H$5:$H$2542,A39,'Invoice Lines'!$Q$5:$Q$2542,"HIRE-"&amp;C39,'Invoice Lines'!$M$5:$M$2542,1,'Invoice Lines'!$K$5:$K$2542,"&lt;0")</f>
        <v>0</v>
      </c>
      <c r="J39" t="n">
        <v>0</v>
      </c>
      <c r="K39" t="str">
        <f>IF(G39&gt;0,"Under-billed",IF(G39&lt;0,"Over-billed","Agrees"))</f>
        <v>Agrees</v>
      </c>
      <c r="L39" t="inlineStr"/>
    </row>
    <row r="40">
      <c r="A40" t="inlineStr">
        <is>
          <t>S0026</t>
        </is>
      </c>
      <c r="B40" t="inlineStr">
        <is>
          <t>Ironbark Events Pty Ltd</t>
        </is>
      </c>
      <c r="C40" t="inlineStr">
        <is>
          <t>FP</t>
        </is>
      </c>
      <c r="D40" s="9" t="n">
        <v>4.5</v>
      </c>
      <c r="E40">
        <f>SUMIFS('Hire Cycles'!$F$5:$F$1069,'Hire Cycles'!$A$5:$A$1069,A40,'Hire Cycles'!$B$5:$B$1069,C40,'Hire Cycles'!$G$5:$G$1069,1)</f>
        <v>348</v>
      </c>
      <c r="F40">
        <f>SUMIFS('Invoice Lines'!$J$5:$J$2542,'Invoice Lines'!$H$5:$H$2542,A40,'Invoice Lines'!$Q$5:$Q$2542,"HIRE-"&amp;C40,'Invoice Lines'!$M$5:$M$2542,1,'Invoice Lines'!$K$5:$K$2542,"&gt;0")</f>
        <v>348</v>
      </c>
      <c r="G40">
        <f>E40-F40</f>
        <v>0</v>
      </c>
      <c r="H40" s="9">
        <f>ROUND(G40*D40,2)</f>
        <v>0</v>
      </c>
      <c r="I40" s="9">
        <f>SUMIFS('Invoice Lines'!$K$5:$K$2542,'Invoice Lines'!$H$5:$H$2542,A40,'Invoice Lines'!$Q$5:$Q$2542,"HIRE-"&amp;C40,'Invoice Lines'!$M$5:$M$2542,1,'Invoice Lines'!$K$5:$K$2542,"&lt;0")</f>
        <v>0</v>
      </c>
      <c r="J40" t="n">
        <v>0</v>
      </c>
      <c r="K40" t="str">
        <f>IF(G40&gt;0,"Under-billed",IF(G40&lt;0,"Over-billed","Agrees"))</f>
        <v>Agrees</v>
      </c>
      <c r="L40" t="inlineStr"/>
    </row>
    <row r="41">
      <c r="A41" t="inlineStr">
        <is>
          <t>S0027</t>
        </is>
      </c>
      <c r="B41" t="inlineStr">
        <is>
          <t>Bluegum Construction Pty Ltd</t>
        </is>
      </c>
      <c r="C41" t="inlineStr">
        <is>
          <t>FP</t>
        </is>
      </c>
      <c r="D41" s="9" t="n">
        <v>4.5</v>
      </c>
      <c r="E41">
        <f>SUMIFS('Hire Cycles'!$F$5:$F$1069,'Hire Cycles'!$A$5:$A$1069,A41,'Hire Cycles'!$B$5:$B$1069,C41,'Hire Cycles'!$G$5:$G$1069,1)</f>
        <v>632</v>
      </c>
      <c r="F41">
        <f>SUMIFS('Invoice Lines'!$J$5:$J$2542,'Invoice Lines'!$H$5:$H$2542,A41,'Invoice Lines'!$Q$5:$Q$2542,"HIRE-"&amp;C41,'Invoice Lines'!$M$5:$M$2542,1,'Invoice Lines'!$K$5:$K$2542,"&gt;0")</f>
        <v>632</v>
      </c>
      <c r="G41">
        <f>E41-F41</f>
        <v>0</v>
      </c>
      <c r="H41" s="9">
        <f>ROUND(G41*D41,2)</f>
        <v>0</v>
      </c>
      <c r="I41" s="9">
        <f>SUMIFS('Invoice Lines'!$K$5:$K$2542,'Invoice Lines'!$H$5:$H$2542,A41,'Invoice Lines'!$Q$5:$Q$2542,"HIRE-"&amp;C41,'Invoice Lines'!$M$5:$M$2542,1,'Invoice Lines'!$K$5:$K$2542,"&lt;0")</f>
        <v>0</v>
      </c>
      <c r="J41" t="n">
        <v>237</v>
      </c>
      <c r="K41" t="str">
        <f>IF(G41&gt;0,"Under-billed",IF(G41&lt;0,"Over-billed","Agrees"))</f>
        <v>Agrees</v>
      </c>
      <c r="L41" t="inlineStr"/>
    </row>
    <row r="42">
      <c r="A42" t="inlineStr">
        <is>
          <t>S0028</t>
        </is>
      </c>
      <c r="B42" t="inlineStr">
        <is>
          <t>Summit Projects Pty Ltd</t>
        </is>
      </c>
      <c r="C42" t="inlineStr">
        <is>
          <t>BR</t>
        </is>
      </c>
      <c r="D42" s="9" t="n">
        <v>3.2</v>
      </c>
      <c r="E42">
        <f>SUMIFS('Hire Cycles'!$F$5:$F$1069,'Hire Cycles'!$A$5:$A$1069,A42,'Hire Cycles'!$B$5:$B$1069,C42,'Hire Cycles'!$G$5:$G$1069,1)</f>
        <v>84</v>
      </c>
      <c r="F42">
        <f>SUMIFS('Invoice Lines'!$J$5:$J$2542,'Invoice Lines'!$H$5:$H$2542,A42,'Invoice Lines'!$Q$5:$Q$2542,"HIRE-"&amp;C42,'Invoice Lines'!$M$5:$M$2542,1,'Invoice Lines'!$K$5:$K$2542,"&gt;0")</f>
        <v>84</v>
      </c>
      <c r="G42">
        <f>E42-F42</f>
        <v>0</v>
      </c>
      <c r="H42" s="9">
        <f>ROUND(G42*D42,2)</f>
        <v>0</v>
      </c>
      <c r="I42" s="9">
        <f>SUMIFS('Invoice Lines'!$K$5:$K$2542,'Invoice Lines'!$H$5:$H$2542,A42,'Invoice Lines'!$Q$5:$Q$2542,"HIRE-"&amp;C42,'Invoice Lines'!$M$5:$M$2542,1,'Invoice Lines'!$K$5:$K$2542,"&lt;0")</f>
        <v>0</v>
      </c>
      <c r="J42" t="n">
        <v>0</v>
      </c>
      <c r="K42" t="str">
        <f>IF(G42&gt;0,"Under-billed",IF(G42&lt;0,"Over-billed","Agrees"))</f>
        <v>Agrees</v>
      </c>
      <c r="L42" t="inlineStr"/>
    </row>
    <row r="43">
      <c r="A43" t="inlineStr">
        <is>
          <t>S0028</t>
        </is>
      </c>
      <c r="B43" t="inlineStr">
        <is>
          <t>Summit Projects Pty Ltd</t>
        </is>
      </c>
      <c r="C43" t="inlineStr">
        <is>
          <t>FP</t>
        </is>
      </c>
      <c r="D43" s="9" t="n">
        <v>4.5</v>
      </c>
      <c r="E43">
        <f>SUMIFS('Hire Cycles'!$F$5:$F$1069,'Hire Cycles'!$A$5:$A$1069,A43,'Hire Cycles'!$B$5:$B$1069,C43,'Hire Cycles'!$G$5:$G$1069,1)</f>
        <v>714</v>
      </c>
      <c r="F43">
        <f>SUMIFS('Invoice Lines'!$J$5:$J$2542,'Invoice Lines'!$H$5:$H$2542,A43,'Invoice Lines'!$Q$5:$Q$2542,"HIRE-"&amp;C43,'Invoice Lines'!$M$5:$M$2542,1,'Invoice Lines'!$K$5:$K$2542,"&gt;0")</f>
        <v>714</v>
      </c>
      <c r="G43">
        <f>E43-F43</f>
        <v>0</v>
      </c>
      <c r="H43" s="9">
        <f>ROUND(G43*D43,2)</f>
        <v>0</v>
      </c>
      <c r="I43" s="9">
        <f>SUMIFS('Invoice Lines'!$K$5:$K$2542,'Invoice Lines'!$H$5:$H$2542,A43,'Invoice Lines'!$Q$5:$Q$2542,"HIRE-"&amp;C43,'Invoice Lines'!$M$5:$M$2542,1,'Invoice Lines'!$K$5:$K$2542,"&lt;0")</f>
        <v>0</v>
      </c>
      <c r="J43" t="n">
        <v>0</v>
      </c>
      <c r="K43" t="str">
        <f>IF(G43&gt;0,"Under-billed",IF(G43&lt;0,"Over-billed","Agrees"))</f>
        <v>Agrees</v>
      </c>
      <c r="L43" t="inlineStr"/>
    </row>
    <row r="44">
      <c r="A44" t="inlineStr">
        <is>
          <t>S0029</t>
        </is>
      </c>
      <c r="B44" t="inlineStr">
        <is>
          <t>Lakeside Constructions Pty Ltd</t>
        </is>
      </c>
      <c r="C44" t="inlineStr">
        <is>
          <t>FP</t>
        </is>
      </c>
      <c r="D44" s="9" t="n">
        <v>4.5</v>
      </c>
      <c r="E44">
        <f>SUMIFS('Hire Cycles'!$F$5:$F$1069,'Hire Cycles'!$A$5:$A$1069,A44,'Hire Cycles'!$B$5:$B$1069,C44,'Hire Cycles'!$G$5:$G$1069,1)</f>
        <v>0</v>
      </c>
      <c r="F44">
        <f>SUMIFS('Invoice Lines'!$J$5:$J$2542,'Invoice Lines'!$H$5:$H$2542,A44,'Invoice Lines'!$Q$5:$Q$2542,"HIRE-"&amp;C44,'Invoice Lines'!$M$5:$M$2542,1,'Invoice Lines'!$K$5:$K$2542,"&gt;0")</f>
        <v>0</v>
      </c>
      <c r="G44">
        <f>E44-F44</f>
        <v>0</v>
      </c>
      <c r="H44" s="9">
        <f>ROUND(G44*D44,2)</f>
        <v>0</v>
      </c>
      <c r="I44" s="9">
        <f>SUMIFS('Invoice Lines'!$K$5:$K$2542,'Invoice Lines'!$H$5:$H$2542,A44,'Invoice Lines'!$Q$5:$Q$2542,"HIRE-"&amp;C44,'Invoice Lines'!$M$5:$M$2542,1,'Invoice Lines'!$K$5:$K$2542,"&lt;0")</f>
        <v>0</v>
      </c>
      <c r="J44" t="n">
        <v>378</v>
      </c>
      <c r="K44" t="str">
        <f>IF(G44&gt;0,"Under-billed",IF(G44&lt;0,"Over-billed","Agrees"))</f>
        <v>Agrees</v>
      </c>
      <c r="L44" t="inlineStr"/>
    </row>
    <row r="45">
      <c r="A45" t="inlineStr">
        <is>
          <t>S0030</t>
        </is>
      </c>
      <c r="B45" t="inlineStr">
        <is>
          <t>Wattle Constructions Pty Ltd</t>
        </is>
      </c>
      <c r="C45" t="inlineStr">
        <is>
          <t>FP</t>
        </is>
      </c>
      <c r="D45" s="9" t="n">
        <v>4.5</v>
      </c>
      <c r="E45">
        <f>SUMIFS('Hire Cycles'!$F$5:$F$1069,'Hire Cycles'!$A$5:$A$1069,A45,'Hire Cycles'!$B$5:$B$1069,C45,'Hire Cycles'!$G$5:$G$1069,1)</f>
        <v>272</v>
      </c>
      <c r="F45">
        <f>SUMIFS('Invoice Lines'!$J$5:$J$2542,'Invoice Lines'!$H$5:$H$2542,A45,'Invoice Lines'!$Q$5:$Q$2542,"HIRE-"&amp;C45,'Invoice Lines'!$M$5:$M$2542,1,'Invoice Lines'!$K$5:$K$2542,"&gt;0")</f>
        <v>272</v>
      </c>
      <c r="G45">
        <f>E45-F45</f>
        <v>0</v>
      </c>
      <c r="H45" s="9">
        <f>ROUND(G45*D45,2)</f>
        <v>0</v>
      </c>
      <c r="I45" s="9">
        <f>SUMIFS('Invoice Lines'!$K$5:$K$2542,'Invoice Lines'!$H$5:$H$2542,A45,'Invoice Lines'!$Q$5:$Q$2542,"HIRE-"&amp;C45,'Invoice Lines'!$M$5:$M$2542,1,'Invoice Lines'!$K$5:$K$2542,"&lt;0")</f>
        <v>0</v>
      </c>
      <c r="J45" t="n">
        <v>0</v>
      </c>
      <c r="K45" t="str">
        <f>IF(G45&gt;0,"Under-billed",IF(G45&lt;0,"Over-billed","Agrees"))</f>
        <v>Agrees</v>
      </c>
      <c r="L45" t="inlineStr"/>
    </row>
    <row r="46">
      <c r="A46" t="inlineStr">
        <is>
          <t>S0031</t>
        </is>
      </c>
      <c r="B46" t="inlineStr">
        <is>
          <t>Maribyrnong City Council</t>
        </is>
      </c>
      <c r="C46" t="inlineStr">
        <is>
          <t>FP</t>
        </is>
      </c>
      <c r="D46" s="9" t="n">
        <v>4.5</v>
      </c>
      <c r="E46">
        <f>SUMIFS('Hire Cycles'!$F$5:$F$1069,'Hire Cycles'!$A$5:$A$1069,A46,'Hire Cycles'!$B$5:$B$1069,C46,'Hire Cycles'!$G$5:$G$1069,1)</f>
        <v>588</v>
      </c>
      <c r="F46">
        <f>SUMIFS('Invoice Lines'!$J$5:$J$2542,'Invoice Lines'!$H$5:$H$2542,A46,'Invoice Lines'!$Q$5:$Q$2542,"HIRE-"&amp;C46,'Invoice Lines'!$M$5:$M$2542,1,'Invoice Lines'!$K$5:$K$2542,"&gt;0")</f>
        <v>588</v>
      </c>
      <c r="G46">
        <f>E46-F46</f>
        <v>0</v>
      </c>
      <c r="H46" s="9">
        <f>ROUND(G46*D46,2)</f>
        <v>0</v>
      </c>
      <c r="I46" s="9">
        <f>SUMIFS('Invoice Lines'!$K$5:$K$2542,'Invoice Lines'!$H$5:$H$2542,A46,'Invoice Lines'!$Q$5:$Q$2542,"HIRE-"&amp;C46,'Invoice Lines'!$M$5:$M$2542,1,'Invoice Lines'!$K$5:$K$2542,"&lt;0")</f>
        <v>0</v>
      </c>
      <c r="J46" t="n">
        <v>0</v>
      </c>
      <c r="K46" t="str">
        <f>IF(G46&gt;0,"Under-billed",IF(G46&lt;0,"Over-billed","Agrees"))</f>
        <v>Agrees</v>
      </c>
      <c r="L46" t="inlineStr"/>
    </row>
    <row r="47">
      <c r="A47" t="inlineStr">
        <is>
          <t>S0034</t>
        </is>
      </c>
      <c r="B47" t="inlineStr">
        <is>
          <t>Parkview Homes Pty Ltd</t>
        </is>
      </c>
      <c r="C47" t="inlineStr">
        <is>
          <t>BR</t>
        </is>
      </c>
      <c r="D47" s="9" t="n">
        <v>3.2</v>
      </c>
      <c r="E47">
        <f>SUMIFS('Hire Cycles'!$F$5:$F$1069,'Hire Cycles'!$A$5:$A$1069,A47,'Hire Cycles'!$B$5:$B$1069,C47,'Hire Cycles'!$G$5:$G$1069,1)</f>
        <v>320</v>
      </c>
      <c r="F47">
        <f>SUMIFS('Invoice Lines'!$J$5:$J$2542,'Invoice Lines'!$H$5:$H$2542,A47,'Invoice Lines'!$Q$5:$Q$2542,"HIRE-"&amp;C47,'Invoice Lines'!$M$5:$M$2542,1,'Invoice Lines'!$K$5:$K$2542,"&gt;0")</f>
        <v>320</v>
      </c>
      <c r="G47">
        <f>E47-F47</f>
        <v>0</v>
      </c>
      <c r="H47" s="9">
        <f>ROUND(G47*D47,2)</f>
        <v>0</v>
      </c>
      <c r="I47" s="9">
        <f>SUMIFS('Invoice Lines'!$K$5:$K$2542,'Invoice Lines'!$H$5:$H$2542,A47,'Invoice Lines'!$Q$5:$Q$2542,"HIRE-"&amp;C47,'Invoice Lines'!$M$5:$M$2542,1,'Invoice Lines'!$K$5:$K$2542,"&lt;0")</f>
        <v>0</v>
      </c>
      <c r="J47" t="n">
        <v>0</v>
      </c>
      <c r="K47" t="str">
        <f>IF(G47&gt;0,"Under-billed",IF(G47&lt;0,"Over-billed","Agrees"))</f>
        <v>Agrees</v>
      </c>
      <c r="L47" t="inlineStr"/>
    </row>
    <row r="48">
      <c r="A48" t="inlineStr">
        <is>
          <t>S0034</t>
        </is>
      </c>
      <c r="B48" t="inlineStr">
        <is>
          <t>Parkview Homes Pty Ltd</t>
        </is>
      </c>
      <c r="C48" t="inlineStr">
        <is>
          <t>FP</t>
        </is>
      </c>
      <c r="D48" s="9" t="n">
        <v>4.5</v>
      </c>
      <c r="E48">
        <f>SUMIFS('Hire Cycles'!$F$5:$F$1069,'Hire Cycles'!$A$5:$A$1069,A48,'Hire Cycles'!$B$5:$B$1069,C48,'Hire Cycles'!$G$5:$G$1069,1)</f>
        <v>560</v>
      </c>
      <c r="F48">
        <f>SUMIFS('Invoice Lines'!$J$5:$J$2542,'Invoice Lines'!$H$5:$H$2542,A48,'Invoice Lines'!$Q$5:$Q$2542,"HIRE-"&amp;C48,'Invoice Lines'!$M$5:$M$2542,1,'Invoice Lines'!$K$5:$K$2542,"&gt;0")</f>
        <v>560</v>
      </c>
      <c r="G48">
        <f>E48-F48</f>
        <v>0</v>
      </c>
      <c r="H48" s="9">
        <f>ROUND(G48*D48,2)</f>
        <v>0</v>
      </c>
      <c r="I48" s="9">
        <f>SUMIFS('Invoice Lines'!$K$5:$K$2542,'Invoice Lines'!$H$5:$H$2542,A48,'Invoice Lines'!$Q$5:$Q$2542,"HIRE-"&amp;C48,'Invoice Lines'!$M$5:$M$2542,1,'Invoice Lines'!$K$5:$K$2542,"&lt;0")</f>
        <v>0</v>
      </c>
      <c r="J48" t="n">
        <v>0</v>
      </c>
      <c r="K48" t="str">
        <f>IF(G48&gt;0,"Under-billed",IF(G48&lt;0,"Over-billed","Agrees"))</f>
        <v>Agrees</v>
      </c>
      <c r="L48" t="inlineStr"/>
    </row>
    <row r="49">
      <c r="A49" t="inlineStr">
        <is>
          <t>S0035</t>
        </is>
      </c>
      <c r="B49" t="inlineStr">
        <is>
          <t>Oakridge Festivals</t>
        </is>
      </c>
      <c r="C49" t="inlineStr">
        <is>
          <t>FP</t>
        </is>
      </c>
      <c r="D49" s="9" t="n">
        <v>4.5</v>
      </c>
      <c r="E49">
        <f>SUMIFS('Hire Cycles'!$F$5:$F$1069,'Hire Cycles'!$A$5:$A$1069,A49,'Hire Cycles'!$B$5:$B$1069,C49,'Hire Cycles'!$G$5:$G$1069,1)</f>
        <v>294</v>
      </c>
      <c r="F49">
        <f>SUMIFS('Invoice Lines'!$J$5:$J$2542,'Invoice Lines'!$H$5:$H$2542,A49,'Invoice Lines'!$Q$5:$Q$2542,"HIRE-"&amp;C49,'Invoice Lines'!$M$5:$M$2542,1,'Invoice Lines'!$K$5:$K$2542,"&gt;0")</f>
        <v>294</v>
      </c>
      <c r="G49">
        <f>E49-F49</f>
        <v>0</v>
      </c>
      <c r="H49" s="9">
        <f>ROUND(G49*D49,2)</f>
        <v>0</v>
      </c>
      <c r="I49" s="9">
        <f>SUMIFS('Invoice Lines'!$K$5:$K$2542,'Invoice Lines'!$H$5:$H$2542,A49,'Invoice Lines'!$Q$5:$Q$2542,"HIRE-"&amp;C49,'Invoice Lines'!$M$5:$M$2542,1,'Invoice Lines'!$K$5:$K$2542,"&lt;0")</f>
        <v>0</v>
      </c>
      <c r="J49" t="n">
        <v>0</v>
      </c>
      <c r="K49" t="str">
        <f>IF(G49&gt;0,"Under-billed",IF(G49&lt;0,"Over-billed","Agrees"))</f>
        <v>Agrees</v>
      </c>
      <c r="L49" t="inlineStr"/>
    </row>
    <row r="50">
      <c r="A50" t="inlineStr">
        <is>
          <t>S0036</t>
        </is>
      </c>
      <c r="B50" t="inlineStr">
        <is>
          <t>Summit Builders Pty Ltd</t>
        </is>
      </c>
      <c r="C50" t="inlineStr">
        <is>
          <t>FP</t>
        </is>
      </c>
      <c r="D50" s="9" t="n">
        <v>4.5</v>
      </c>
      <c r="E50">
        <f>SUMIFS('Hire Cycles'!$F$5:$F$1069,'Hire Cycles'!$A$5:$A$1069,A50,'Hire Cycles'!$B$5:$B$1069,C50,'Hire Cycles'!$G$5:$G$1069,1)</f>
        <v>2069</v>
      </c>
      <c r="F50">
        <f>SUMIFS('Invoice Lines'!$J$5:$J$2542,'Invoice Lines'!$H$5:$H$2542,A50,'Invoice Lines'!$Q$5:$Q$2542,"HIRE-"&amp;C50,'Invoice Lines'!$M$5:$M$2542,1,'Invoice Lines'!$K$5:$K$2542,"&gt;0")</f>
        <v>1437</v>
      </c>
      <c r="G50">
        <f>E50-F50</f>
        <v>632</v>
      </c>
      <c r="H50" s="9">
        <f>ROUND(G50*D50,2)</f>
        <v>2844</v>
      </c>
      <c r="I50" s="9">
        <f>SUMIFS('Invoice Lines'!$K$5:$K$2542,'Invoice Lines'!$H$5:$H$2542,A50,'Invoice Lines'!$Q$5:$Q$2542,"HIRE-"&amp;C50,'Invoice Lines'!$M$5:$M$2542,1,'Invoice Lines'!$K$5:$K$2542,"&lt;0")</f>
        <v>0</v>
      </c>
      <c r="J50" t="n">
        <v>0</v>
      </c>
      <c r="K50" t="str">
        <f>IF(G50&gt;0,"Under-billed",IF(G50&lt;0,"Over-billed","Agrees"))</f>
        <v>Under-billed</v>
      </c>
      <c r="L50" t="inlineStr"/>
    </row>
    <row r="51">
      <c r="A51" t="inlineStr">
        <is>
          <t>S0037</t>
        </is>
      </c>
      <c r="B51" t="inlineStr">
        <is>
          <t>Coastline Projects Pty Ltd</t>
        </is>
      </c>
      <c r="C51" t="inlineStr">
        <is>
          <t>FP</t>
        </is>
      </c>
      <c r="D51" s="9" t="n">
        <v>4.5</v>
      </c>
      <c r="E51">
        <f>SUMIFS('Hire Cycles'!$F$5:$F$1069,'Hire Cycles'!$A$5:$A$1069,A51,'Hire Cycles'!$B$5:$B$1069,C51,'Hire Cycles'!$G$5:$G$1069,1)</f>
        <v>660</v>
      </c>
      <c r="F51">
        <f>SUMIFS('Invoice Lines'!$J$5:$J$2542,'Invoice Lines'!$H$5:$H$2542,A51,'Invoice Lines'!$Q$5:$Q$2542,"HIRE-"&amp;C51,'Invoice Lines'!$M$5:$M$2542,1,'Invoice Lines'!$K$5:$K$2542,"&gt;0")</f>
        <v>660</v>
      </c>
      <c r="G51">
        <f>E51-F51</f>
        <v>0</v>
      </c>
      <c r="H51" s="9">
        <f>ROUND(G51*D51,2)</f>
        <v>0</v>
      </c>
      <c r="I51" s="9">
        <f>SUMIFS('Invoice Lines'!$K$5:$K$2542,'Invoice Lines'!$H$5:$H$2542,A51,'Invoice Lines'!$Q$5:$Q$2542,"HIRE-"&amp;C51,'Invoice Lines'!$M$5:$M$2542,1,'Invoice Lines'!$K$5:$K$2542,"&lt;0")</f>
        <v>0</v>
      </c>
      <c r="J51" t="n">
        <v>0</v>
      </c>
      <c r="K51" t="str">
        <f>IF(G51&gt;0,"Under-billed",IF(G51&lt;0,"Over-billed","Agrees"))</f>
        <v>Agrees</v>
      </c>
      <c r="L51" t="inlineStr"/>
    </row>
    <row r="52">
      <c r="A52" t="inlineStr">
        <is>
          <t>S0038</t>
        </is>
      </c>
      <c r="B52" t="inlineStr">
        <is>
          <t>Bluegum Building Group</t>
        </is>
      </c>
      <c r="C52" t="inlineStr">
        <is>
          <t>BR</t>
        </is>
      </c>
      <c r="D52" s="9" t="n">
        <v>3.2</v>
      </c>
      <c r="E52">
        <f>SUMIFS('Hire Cycles'!$F$5:$F$1069,'Hire Cycles'!$A$5:$A$1069,A52,'Hire Cycles'!$B$5:$B$1069,C52,'Hire Cycles'!$G$5:$G$1069,1)</f>
        <v>400</v>
      </c>
      <c r="F52">
        <f>SUMIFS('Invoice Lines'!$J$5:$J$2542,'Invoice Lines'!$H$5:$H$2542,A52,'Invoice Lines'!$Q$5:$Q$2542,"HIRE-"&amp;C52,'Invoice Lines'!$M$5:$M$2542,1,'Invoice Lines'!$K$5:$K$2542,"&gt;0")</f>
        <v>400</v>
      </c>
      <c r="G52">
        <f>E52-F52</f>
        <v>0</v>
      </c>
      <c r="H52" s="9">
        <f>ROUND(G52*D52,2)</f>
        <v>0</v>
      </c>
      <c r="I52" s="9">
        <f>SUMIFS('Invoice Lines'!$K$5:$K$2542,'Invoice Lines'!$H$5:$H$2542,A52,'Invoice Lines'!$Q$5:$Q$2542,"HIRE-"&amp;C52,'Invoice Lines'!$M$5:$M$2542,1,'Invoice Lines'!$K$5:$K$2542,"&lt;0")</f>
        <v>0</v>
      </c>
      <c r="J52" t="n">
        <v>0</v>
      </c>
      <c r="K52" t="str">
        <f>IF(G52&gt;0,"Under-billed",IF(G52&lt;0,"Over-billed","Agrees"))</f>
        <v>Agrees</v>
      </c>
      <c r="L52" t="inlineStr"/>
    </row>
    <row r="53">
      <c r="A53" t="inlineStr">
        <is>
          <t>S0038</t>
        </is>
      </c>
      <c r="B53" t="inlineStr">
        <is>
          <t>Bluegum Building Group</t>
        </is>
      </c>
      <c r="C53" t="inlineStr">
        <is>
          <t>FP</t>
        </is>
      </c>
      <c r="D53" s="9" t="n">
        <v>4.5</v>
      </c>
      <c r="E53">
        <f>SUMIFS('Hire Cycles'!$F$5:$F$1069,'Hire Cycles'!$A$5:$A$1069,A53,'Hire Cycles'!$B$5:$B$1069,C53,'Hire Cycles'!$G$5:$G$1069,1)</f>
        <v>2740</v>
      </c>
      <c r="F53">
        <f>SUMIFS('Invoice Lines'!$J$5:$J$2542,'Invoice Lines'!$H$5:$H$2542,A53,'Invoice Lines'!$Q$5:$Q$2542,"HIRE-"&amp;C53,'Invoice Lines'!$M$5:$M$2542,1,'Invoice Lines'!$K$5:$K$2542,"&gt;0")</f>
        <v>2740</v>
      </c>
      <c r="G53">
        <f>E53-F53</f>
        <v>0</v>
      </c>
      <c r="H53" s="9">
        <f>ROUND(G53*D53,2)</f>
        <v>0</v>
      </c>
      <c r="I53" s="9">
        <f>SUMIFS('Invoice Lines'!$K$5:$K$2542,'Invoice Lines'!$H$5:$H$2542,A53,'Invoice Lines'!$Q$5:$Q$2542,"HIRE-"&amp;C53,'Invoice Lines'!$M$5:$M$2542,1,'Invoice Lines'!$K$5:$K$2542,"&lt;0")</f>
        <v>0</v>
      </c>
      <c r="J53" t="n">
        <v>0</v>
      </c>
      <c r="K53" t="str">
        <f>IF(G53&gt;0,"Under-billed",IF(G53&lt;0,"Over-billed","Agrees"))</f>
        <v>Agrees</v>
      </c>
      <c r="L53" t="inlineStr"/>
    </row>
    <row r="54">
      <c r="A54" t="inlineStr">
        <is>
          <t>S0039</t>
        </is>
      </c>
      <c r="B54" t="inlineStr">
        <is>
          <t>Summit Homes Pty Ltd</t>
        </is>
      </c>
      <c r="C54" t="inlineStr">
        <is>
          <t>BR</t>
        </is>
      </c>
      <c r="D54" s="9" t="n">
        <v>3.2</v>
      </c>
      <c r="E54">
        <f>SUMIFS('Hire Cycles'!$F$5:$F$1069,'Hire Cycles'!$A$5:$A$1069,A54,'Hire Cycles'!$B$5:$B$1069,C54,'Hire Cycles'!$G$5:$G$1069,1)</f>
        <v>63</v>
      </c>
      <c r="F54">
        <f>SUMIFS('Invoice Lines'!$J$5:$J$2542,'Invoice Lines'!$H$5:$H$2542,A54,'Invoice Lines'!$Q$5:$Q$2542,"HIRE-"&amp;C54,'Invoice Lines'!$M$5:$M$2542,1,'Invoice Lines'!$K$5:$K$2542,"&gt;0")</f>
        <v>63</v>
      </c>
      <c r="G54">
        <f>E54-F54</f>
        <v>0</v>
      </c>
      <c r="H54" s="9">
        <f>ROUND(G54*D54,2)</f>
        <v>0</v>
      </c>
      <c r="I54" s="9">
        <f>SUMIFS('Invoice Lines'!$K$5:$K$2542,'Invoice Lines'!$H$5:$H$2542,A54,'Invoice Lines'!$Q$5:$Q$2542,"HIRE-"&amp;C54,'Invoice Lines'!$M$5:$M$2542,1,'Invoice Lines'!$K$5:$K$2542,"&lt;0")</f>
        <v>0</v>
      </c>
      <c r="J54" t="n">
        <v>0</v>
      </c>
      <c r="K54" t="str">
        <f>IF(G54&gt;0,"Under-billed",IF(G54&lt;0,"Over-billed","Agrees"))</f>
        <v>Agrees</v>
      </c>
      <c r="L54" t="inlineStr"/>
    </row>
    <row r="55">
      <c r="A55" t="inlineStr">
        <is>
          <t>S0039</t>
        </is>
      </c>
      <c r="B55" t="inlineStr">
        <is>
          <t>Summit Homes Pty Ltd</t>
        </is>
      </c>
      <c r="C55" t="inlineStr">
        <is>
          <t>FP</t>
        </is>
      </c>
      <c r="D55" s="9" t="n">
        <v>4.5</v>
      </c>
      <c r="E55">
        <f>SUMIFS('Hire Cycles'!$F$5:$F$1069,'Hire Cycles'!$A$5:$A$1069,A55,'Hire Cycles'!$B$5:$B$1069,C55,'Hire Cycles'!$G$5:$G$1069,1)</f>
        <v>297</v>
      </c>
      <c r="F55">
        <f>SUMIFS('Invoice Lines'!$J$5:$J$2542,'Invoice Lines'!$H$5:$H$2542,A55,'Invoice Lines'!$Q$5:$Q$2542,"HIRE-"&amp;C55,'Invoice Lines'!$M$5:$M$2542,1,'Invoice Lines'!$K$5:$K$2542,"&gt;0")</f>
        <v>297</v>
      </c>
      <c r="G55">
        <f>E55-F55</f>
        <v>0</v>
      </c>
      <c r="H55" s="9">
        <f>ROUND(G55*D55,2)</f>
        <v>0</v>
      </c>
      <c r="I55" s="9">
        <f>SUMIFS('Invoice Lines'!$K$5:$K$2542,'Invoice Lines'!$H$5:$H$2542,A55,'Invoice Lines'!$Q$5:$Q$2542,"HIRE-"&amp;C55,'Invoice Lines'!$M$5:$M$2542,1,'Invoice Lines'!$K$5:$K$2542,"&lt;0")</f>
        <v>0</v>
      </c>
      <c r="J55" t="n">
        <v>0</v>
      </c>
      <c r="K55" t="str">
        <f>IF(G55&gt;0,"Under-billed",IF(G55&lt;0,"Over-billed","Agrees"))</f>
        <v>Agrees</v>
      </c>
      <c r="L55" t="inlineStr">
        <is>
          <t>Yes</t>
        </is>
      </c>
    </row>
    <row r="56">
      <c r="A56" t="inlineStr">
        <is>
          <t>S0040</t>
        </is>
      </c>
      <c r="B56" t="inlineStr">
        <is>
          <t>Riverbend Homes Pty Ltd</t>
        </is>
      </c>
      <c r="C56" t="inlineStr">
        <is>
          <t>BR</t>
        </is>
      </c>
      <c r="D56" s="9" t="n">
        <v>3.2</v>
      </c>
      <c r="E56">
        <f>SUMIFS('Hire Cycles'!$F$5:$F$1069,'Hire Cycles'!$A$5:$A$1069,A56,'Hire Cycles'!$B$5:$B$1069,C56,'Hire Cycles'!$G$5:$G$1069,1)</f>
        <v>0</v>
      </c>
      <c r="F56">
        <f>SUMIFS('Invoice Lines'!$J$5:$J$2542,'Invoice Lines'!$H$5:$H$2542,A56,'Invoice Lines'!$Q$5:$Q$2542,"HIRE-"&amp;C56,'Invoice Lines'!$M$5:$M$2542,1,'Invoice Lines'!$K$5:$K$2542,"&gt;0")</f>
        <v>0</v>
      </c>
      <c r="G56">
        <f>E56-F56</f>
        <v>0</v>
      </c>
      <c r="H56" s="9">
        <f>ROUND(G56*D56,2)</f>
        <v>0</v>
      </c>
      <c r="I56" s="9">
        <f>SUMIFS('Invoice Lines'!$K$5:$K$2542,'Invoice Lines'!$H$5:$H$2542,A56,'Invoice Lines'!$Q$5:$Q$2542,"HIRE-"&amp;C56,'Invoice Lines'!$M$5:$M$2542,1,'Invoice Lines'!$K$5:$K$2542,"&lt;0")</f>
        <v>0</v>
      </c>
      <c r="J56" t="n">
        <v>16</v>
      </c>
      <c r="K56" t="str">
        <f>IF(G56&gt;0,"Under-billed",IF(G56&lt;0,"Over-billed","Agrees"))</f>
        <v>Agrees</v>
      </c>
      <c r="L56" t="inlineStr"/>
    </row>
    <row r="57">
      <c r="A57" t="inlineStr">
        <is>
          <t>S0040</t>
        </is>
      </c>
      <c r="B57" t="inlineStr">
        <is>
          <t>Riverbend Homes Pty Ltd</t>
        </is>
      </c>
      <c r="C57" t="inlineStr">
        <is>
          <t>FP</t>
        </is>
      </c>
      <c r="D57" s="9" t="n">
        <v>4.5</v>
      </c>
      <c r="E57">
        <f>SUMIFS('Hire Cycles'!$F$5:$F$1069,'Hire Cycles'!$A$5:$A$1069,A57,'Hire Cycles'!$B$5:$B$1069,C57,'Hire Cycles'!$G$5:$G$1069,1)</f>
        <v>0</v>
      </c>
      <c r="F57">
        <f>SUMIFS('Invoice Lines'!$J$5:$J$2542,'Invoice Lines'!$H$5:$H$2542,A57,'Invoice Lines'!$Q$5:$Q$2542,"HIRE-"&amp;C57,'Invoice Lines'!$M$5:$M$2542,1,'Invoice Lines'!$K$5:$K$2542,"&gt;0")</f>
        <v>0</v>
      </c>
      <c r="G57">
        <f>E57-F57</f>
        <v>0</v>
      </c>
      <c r="H57" s="9">
        <f>ROUND(G57*D57,2)</f>
        <v>0</v>
      </c>
      <c r="I57" s="9">
        <f>SUMIFS('Invoice Lines'!$K$5:$K$2542,'Invoice Lines'!$H$5:$H$2542,A57,'Invoice Lines'!$Q$5:$Q$2542,"HIRE-"&amp;C57,'Invoice Lines'!$M$5:$M$2542,1,'Invoice Lines'!$K$5:$K$2542,"&lt;0")</f>
        <v>0</v>
      </c>
      <c r="J57" t="n">
        <v>596</v>
      </c>
      <c r="K57" t="str">
        <f>IF(G57&gt;0,"Under-billed",IF(G57&lt;0,"Over-billed","Agrees"))</f>
        <v>Agrees</v>
      </c>
      <c r="L57" t="inlineStr"/>
    </row>
    <row r="58">
      <c r="A58" t="inlineStr">
        <is>
          <t>S0041</t>
        </is>
      </c>
      <c r="B58" t="inlineStr">
        <is>
          <t>Eastlink Constructions</t>
        </is>
      </c>
      <c r="C58" t="inlineStr">
        <is>
          <t>BR</t>
        </is>
      </c>
      <c r="D58" s="9" t="n">
        <v>3.2</v>
      </c>
      <c r="E58">
        <f>SUMIFS('Hire Cycles'!$F$5:$F$1069,'Hire Cycles'!$A$5:$A$1069,A58,'Hire Cycles'!$B$5:$B$1069,C58,'Hire Cycles'!$G$5:$G$1069,1)</f>
        <v>169</v>
      </c>
      <c r="F58">
        <f>SUMIFS('Invoice Lines'!$J$5:$J$2542,'Invoice Lines'!$H$5:$H$2542,A58,'Invoice Lines'!$Q$5:$Q$2542,"HIRE-"&amp;C58,'Invoice Lines'!$M$5:$M$2542,1,'Invoice Lines'!$K$5:$K$2542,"&gt;0")</f>
        <v>169</v>
      </c>
      <c r="G58">
        <f>E58-F58</f>
        <v>0</v>
      </c>
      <c r="H58" s="9">
        <f>ROUND(G58*D58,2)</f>
        <v>0</v>
      </c>
      <c r="I58" s="9">
        <f>SUMIFS('Invoice Lines'!$K$5:$K$2542,'Invoice Lines'!$H$5:$H$2542,A58,'Invoice Lines'!$Q$5:$Q$2542,"HIRE-"&amp;C58,'Invoice Lines'!$M$5:$M$2542,1,'Invoice Lines'!$K$5:$K$2542,"&lt;0")</f>
        <v>0</v>
      </c>
      <c r="J58" t="n">
        <v>0</v>
      </c>
      <c r="K58" t="str">
        <f>IF(G58&gt;0,"Under-billed",IF(G58&lt;0,"Over-billed","Agrees"))</f>
        <v>Agrees</v>
      </c>
      <c r="L58" t="inlineStr"/>
    </row>
    <row r="59">
      <c r="A59" t="inlineStr">
        <is>
          <t>S0041</t>
        </is>
      </c>
      <c r="B59" t="inlineStr">
        <is>
          <t>Eastlink Constructions</t>
        </is>
      </c>
      <c r="C59" t="inlineStr">
        <is>
          <t>FP</t>
        </is>
      </c>
      <c r="D59" s="9" t="n">
        <v>4.5</v>
      </c>
      <c r="E59">
        <f>SUMIFS('Hire Cycles'!$F$5:$F$1069,'Hire Cycles'!$A$5:$A$1069,A59,'Hire Cycles'!$B$5:$B$1069,C59,'Hire Cycles'!$G$5:$G$1069,1)</f>
        <v>1638</v>
      </c>
      <c r="F59">
        <f>SUMIFS('Invoice Lines'!$J$5:$J$2542,'Invoice Lines'!$H$5:$H$2542,A59,'Invoice Lines'!$Q$5:$Q$2542,"HIRE-"&amp;C59,'Invoice Lines'!$M$5:$M$2542,1,'Invoice Lines'!$K$5:$K$2542,"&gt;0")</f>
        <v>1269</v>
      </c>
      <c r="G59">
        <f>E59-F59</f>
        <v>369</v>
      </c>
      <c r="H59" s="9">
        <f>ROUND(G59*D59,2)</f>
        <v>1660.5</v>
      </c>
      <c r="I59" s="9">
        <f>SUMIFS('Invoice Lines'!$K$5:$K$2542,'Invoice Lines'!$H$5:$H$2542,A59,'Invoice Lines'!$Q$5:$Q$2542,"HIRE-"&amp;C59,'Invoice Lines'!$M$5:$M$2542,1,'Invoice Lines'!$K$5:$K$2542,"&lt;0")</f>
        <v>0</v>
      </c>
      <c r="J59" t="n">
        <v>0</v>
      </c>
      <c r="K59" t="str">
        <f>IF(G59&gt;0,"Under-billed",IF(G59&lt;0,"Over-billed","Agrees"))</f>
        <v>Under-billed</v>
      </c>
      <c r="L59" t="inlineStr"/>
    </row>
    <row r="60">
      <c r="A60" t="inlineStr">
        <is>
          <t>S0042</t>
        </is>
      </c>
      <c r="B60" t="inlineStr">
        <is>
          <t>Noah Williams</t>
        </is>
      </c>
      <c r="C60" t="inlineStr">
        <is>
          <t>FP</t>
        </is>
      </c>
      <c r="D60" s="9" t="n">
        <v>4.5</v>
      </c>
      <c r="E60">
        <f>SUMIFS('Hire Cycles'!$F$5:$F$1069,'Hire Cycles'!$A$5:$A$1069,A60,'Hire Cycles'!$B$5:$B$1069,C60,'Hire Cycles'!$G$5:$G$1069,1)</f>
        <v>1620</v>
      </c>
      <c r="F60">
        <f>SUMIFS('Invoice Lines'!$J$5:$J$2542,'Invoice Lines'!$H$5:$H$2542,A60,'Invoice Lines'!$Q$5:$Q$2542,"HIRE-"&amp;C60,'Invoice Lines'!$M$5:$M$2542,1,'Invoice Lines'!$K$5:$K$2542,"&gt;0")</f>
        <v>1620</v>
      </c>
      <c r="G60">
        <f>E60-F60</f>
        <v>0</v>
      </c>
      <c r="H60" s="9">
        <f>ROUND(G60*D60,2)</f>
        <v>0</v>
      </c>
      <c r="I60" s="9">
        <f>SUMIFS('Invoice Lines'!$K$5:$K$2542,'Invoice Lines'!$H$5:$H$2542,A60,'Invoice Lines'!$Q$5:$Q$2542,"HIRE-"&amp;C60,'Invoice Lines'!$M$5:$M$2542,1,'Invoice Lines'!$K$5:$K$2542,"&lt;0")</f>
        <v>0</v>
      </c>
      <c r="J60" t="n">
        <v>162</v>
      </c>
      <c r="K60" t="str">
        <f>IF(G60&gt;0,"Under-billed",IF(G60&lt;0,"Over-billed","Agrees"))</f>
        <v>Agrees</v>
      </c>
      <c r="L60" t="inlineStr"/>
    </row>
    <row r="61">
      <c r="A61" t="inlineStr">
        <is>
          <t>S0043</t>
        </is>
      </c>
      <c r="B61" t="inlineStr">
        <is>
          <t>Arjun Smith</t>
        </is>
      </c>
      <c r="C61" t="inlineStr">
        <is>
          <t>FP</t>
        </is>
      </c>
      <c r="D61" s="9" t="n">
        <v>4.5</v>
      </c>
      <c r="E61">
        <f>SUMIFS('Hire Cycles'!$F$5:$F$1069,'Hire Cycles'!$A$5:$A$1069,A61,'Hire Cycles'!$B$5:$B$1069,C61,'Hire Cycles'!$G$5:$G$1069,1)</f>
        <v>234</v>
      </c>
      <c r="F61">
        <f>SUMIFS('Invoice Lines'!$J$5:$J$2542,'Invoice Lines'!$H$5:$H$2542,A61,'Invoice Lines'!$Q$5:$Q$2542,"HIRE-"&amp;C61,'Invoice Lines'!$M$5:$M$2542,1,'Invoice Lines'!$K$5:$K$2542,"&gt;0")</f>
        <v>0</v>
      </c>
      <c r="G61">
        <f>E61-F61</f>
        <v>234</v>
      </c>
      <c r="H61" s="9">
        <f>ROUND(G61*D61,2)</f>
        <v>1053</v>
      </c>
      <c r="I61" s="9">
        <f>SUMIFS('Invoice Lines'!$K$5:$K$2542,'Invoice Lines'!$H$5:$H$2542,A61,'Invoice Lines'!$Q$5:$Q$2542,"HIRE-"&amp;C61,'Invoice Lines'!$M$5:$M$2542,1,'Invoice Lines'!$K$5:$K$2542,"&lt;0")</f>
        <v>0</v>
      </c>
      <c r="J61" t="n">
        <v>0</v>
      </c>
      <c r="K61" t="str">
        <f>IF(G61&gt;0,"Under-billed",IF(G61&lt;0,"Over-billed","Agrees"))</f>
        <v>Under-billed</v>
      </c>
      <c r="L61" t="inlineStr"/>
    </row>
    <row r="62">
      <c r="A62" t="inlineStr">
        <is>
          <t>S0044</t>
        </is>
      </c>
      <c r="B62" t="inlineStr">
        <is>
          <t>Highpoint Insurance Repairs Pty Ltd</t>
        </is>
      </c>
      <c r="C62" t="inlineStr">
        <is>
          <t>FP</t>
        </is>
      </c>
      <c r="D62" s="9" t="n">
        <v>4.5</v>
      </c>
      <c r="E62">
        <f>SUMIFS('Hire Cycles'!$F$5:$F$1069,'Hire Cycles'!$A$5:$A$1069,A62,'Hire Cycles'!$B$5:$B$1069,C62,'Hire Cycles'!$G$5:$G$1069,1)</f>
        <v>822</v>
      </c>
      <c r="F62">
        <f>SUMIFS('Invoice Lines'!$J$5:$J$2542,'Invoice Lines'!$H$5:$H$2542,A62,'Invoice Lines'!$Q$5:$Q$2542,"HIRE-"&amp;C62,'Invoice Lines'!$M$5:$M$2542,1,'Invoice Lines'!$K$5:$K$2542,"&gt;0")</f>
        <v>822</v>
      </c>
      <c r="G62">
        <f>E62-F62</f>
        <v>0</v>
      </c>
      <c r="H62" s="9">
        <f>ROUND(G62*D62,2)</f>
        <v>0</v>
      </c>
      <c r="I62" s="9">
        <f>SUMIFS('Invoice Lines'!$K$5:$K$2542,'Invoice Lines'!$H$5:$H$2542,A62,'Invoice Lines'!$Q$5:$Q$2542,"HIRE-"&amp;C62,'Invoice Lines'!$M$5:$M$2542,1,'Invoice Lines'!$K$5:$K$2542,"&lt;0")</f>
        <v>0</v>
      </c>
      <c r="J62" t="n">
        <v>0</v>
      </c>
      <c r="K62" t="str">
        <f>IF(G62&gt;0,"Under-billed",IF(G62&lt;0,"Over-billed","Agrees"))</f>
        <v>Agrees</v>
      </c>
      <c r="L62" t="inlineStr"/>
    </row>
    <row r="63">
      <c r="A63" t="inlineStr">
        <is>
          <t>S0046</t>
        </is>
      </c>
      <c r="B63" t="inlineStr">
        <is>
          <t>Ironbark Events Pty Ltd</t>
        </is>
      </c>
      <c r="C63" t="inlineStr">
        <is>
          <t>FP</t>
        </is>
      </c>
      <c r="D63" s="9" t="n">
        <v>4.5</v>
      </c>
      <c r="E63">
        <f>SUMIFS('Hire Cycles'!$F$5:$F$1069,'Hire Cycles'!$A$5:$A$1069,A63,'Hire Cycles'!$B$5:$B$1069,C63,'Hire Cycles'!$G$5:$G$1069,1)</f>
        <v>174</v>
      </c>
      <c r="F63">
        <f>SUMIFS('Invoice Lines'!$J$5:$J$2542,'Invoice Lines'!$H$5:$H$2542,A63,'Invoice Lines'!$Q$5:$Q$2542,"HIRE-"&amp;C63,'Invoice Lines'!$M$5:$M$2542,1,'Invoice Lines'!$K$5:$K$2542,"&gt;0")</f>
        <v>174</v>
      </c>
      <c r="G63">
        <f>E63-F63</f>
        <v>0</v>
      </c>
      <c r="H63" s="9">
        <f>ROUND(G63*D63,2)</f>
        <v>0</v>
      </c>
      <c r="I63" s="9">
        <f>SUMIFS('Invoice Lines'!$K$5:$K$2542,'Invoice Lines'!$H$5:$H$2542,A63,'Invoice Lines'!$Q$5:$Q$2542,"HIRE-"&amp;C63,'Invoice Lines'!$M$5:$M$2542,1,'Invoice Lines'!$K$5:$K$2542,"&lt;0")</f>
        <v>0</v>
      </c>
      <c r="J63" t="n">
        <v>0</v>
      </c>
      <c r="K63" t="str">
        <f>IF(G63&gt;0,"Under-billed",IF(G63&lt;0,"Over-billed","Agrees"))</f>
        <v>Agrees</v>
      </c>
      <c r="L63" t="inlineStr"/>
    </row>
    <row r="64">
      <c r="A64" t="inlineStr">
        <is>
          <t>S0047</t>
        </is>
      </c>
      <c r="B64" t="inlineStr">
        <is>
          <t>Kingston City Council</t>
        </is>
      </c>
      <c r="C64" t="inlineStr">
        <is>
          <t>FP</t>
        </is>
      </c>
      <c r="D64" s="9" t="n">
        <v>4.5</v>
      </c>
      <c r="E64">
        <f>SUMIFS('Hire Cycles'!$F$5:$F$1069,'Hire Cycles'!$A$5:$A$1069,A64,'Hire Cycles'!$B$5:$B$1069,C64,'Hire Cycles'!$G$5:$G$1069,1)</f>
        <v>444</v>
      </c>
      <c r="F64">
        <f>SUMIFS('Invoice Lines'!$J$5:$J$2542,'Invoice Lines'!$H$5:$H$2542,A64,'Invoice Lines'!$Q$5:$Q$2542,"HIRE-"&amp;C64,'Invoice Lines'!$M$5:$M$2542,1,'Invoice Lines'!$K$5:$K$2542,"&gt;0")</f>
        <v>444</v>
      </c>
      <c r="G64">
        <f>E64-F64</f>
        <v>0</v>
      </c>
      <c r="H64" s="9">
        <f>ROUND(G64*D64,2)</f>
        <v>0</v>
      </c>
      <c r="I64" s="9">
        <f>SUMIFS('Invoice Lines'!$K$5:$K$2542,'Invoice Lines'!$H$5:$H$2542,A64,'Invoice Lines'!$Q$5:$Q$2542,"HIRE-"&amp;C64,'Invoice Lines'!$M$5:$M$2542,1,'Invoice Lines'!$K$5:$K$2542,"&lt;0")</f>
        <v>0</v>
      </c>
      <c r="J64" t="n">
        <v>0</v>
      </c>
      <c r="K64" t="str">
        <f>IF(G64&gt;0,"Under-billed",IF(G64&lt;0,"Over-billed","Agrees"))</f>
        <v>Agrees</v>
      </c>
      <c r="L64" t="inlineStr"/>
    </row>
    <row r="65">
      <c r="A65" t="inlineStr">
        <is>
          <t>S0048</t>
        </is>
      </c>
      <c r="B65" t="inlineStr">
        <is>
          <t>Granite Constructions</t>
        </is>
      </c>
      <c r="C65" t="inlineStr">
        <is>
          <t>FP</t>
        </is>
      </c>
      <c r="D65" s="9" t="n">
        <v>4.5</v>
      </c>
      <c r="E65">
        <f>SUMIFS('Hire Cycles'!$F$5:$F$1069,'Hire Cycles'!$A$5:$A$1069,A65,'Hire Cycles'!$B$5:$B$1069,C65,'Hire Cycles'!$G$5:$G$1069,1)</f>
        <v>700</v>
      </c>
      <c r="F65">
        <f>SUMIFS('Invoice Lines'!$J$5:$J$2542,'Invoice Lines'!$H$5:$H$2542,A65,'Invoice Lines'!$Q$5:$Q$2542,"HIRE-"&amp;C65,'Invoice Lines'!$M$5:$M$2542,1,'Invoice Lines'!$K$5:$K$2542,"&gt;0")</f>
        <v>700</v>
      </c>
      <c r="G65">
        <f>E65-F65</f>
        <v>0</v>
      </c>
      <c r="H65" s="9">
        <f>ROUND(G65*D65,2)</f>
        <v>0</v>
      </c>
      <c r="I65" s="9">
        <f>SUMIFS('Invoice Lines'!$K$5:$K$2542,'Invoice Lines'!$H$5:$H$2542,A65,'Invoice Lines'!$Q$5:$Q$2542,"HIRE-"&amp;C65,'Invoice Lines'!$M$5:$M$2542,1,'Invoice Lines'!$K$5:$K$2542,"&lt;0")</f>
        <v>-85.68</v>
      </c>
      <c r="J65" t="n">
        <v>0</v>
      </c>
      <c r="K65" t="str">
        <f>IF(G65&gt;0,"Under-billed",IF(G65&lt;0,"Over-billed","Agrees"))</f>
        <v>Agrees</v>
      </c>
      <c r="L65" t="inlineStr"/>
    </row>
    <row r="66">
      <c r="A66" t="inlineStr">
        <is>
          <t>S0049</t>
        </is>
      </c>
      <c r="B66" t="inlineStr">
        <is>
          <t>Lakeside Constructions Pty Ltd</t>
        </is>
      </c>
      <c r="C66" t="inlineStr">
        <is>
          <t>FP</t>
        </is>
      </c>
      <c r="D66" s="9" t="n">
        <v>4.5</v>
      </c>
      <c r="E66">
        <f>SUMIFS('Hire Cycles'!$F$5:$F$1069,'Hire Cycles'!$A$5:$A$1069,A66,'Hire Cycles'!$B$5:$B$1069,C66,'Hire Cycles'!$G$5:$G$1069,1)</f>
        <v>600</v>
      </c>
      <c r="F66">
        <f>SUMIFS('Invoice Lines'!$J$5:$J$2542,'Invoice Lines'!$H$5:$H$2542,A66,'Invoice Lines'!$Q$5:$Q$2542,"HIRE-"&amp;C66,'Invoice Lines'!$M$5:$M$2542,1,'Invoice Lines'!$K$5:$K$2542,"&gt;0")</f>
        <v>624</v>
      </c>
      <c r="G66">
        <f>E66-F66</f>
        <v>-24</v>
      </c>
      <c r="H66" s="9">
        <f>ROUND(G66*D66,2)</f>
        <v>-108</v>
      </c>
      <c r="I66" s="9">
        <f>SUMIFS('Invoice Lines'!$K$5:$K$2542,'Invoice Lines'!$H$5:$H$2542,A66,'Invoice Lines'!$Q$5:$Q$2542,"HIRE-"&amp;C66,'Invoice Lines'!$M$5:$M$2542,1,'Invoice Lines'!$K$5:$K$2542,"&lt;0")</f>
        <v>0</v>
      </c>
      <c r="J66" t="n">
        <v>0</v>
      </c>
      <c r="K66" t="str">
        <f>IF(G66&gt;0,"Under-billed",IF(G66&lt;0,"Over-billed","Agrees"))</f>
        <v>Over-billed</v>
      </c>
      <c r="L66" t="inlineStr"/>
    </row>
    <row r="67">
      <c r="A67" t="inlineStr">
        <is>
          <t>S0050</t>
        </is>
      </c>
      <c r="B67" t="inlineStr">
        <is>
          <t>Highpoint Projects</t>
        </is>
      </c>
      <c r="C67" t="inlineStr">
        <is>
          <t>FP</t>
        </is>
      </c>
      <c r="D67" s="9" t="n">
        <v>4.5</v>
      </c>
      <c r="E67">
        <f>SUMIFS('Hire Cycles'!$F$5:$F$1069,'Hire Cycles'!$A$5:$A$1069,A67,'Hire Cycles'!$B$5:$B$1069,C67,'Hire Cycles'!$G$5:$G$1069,1)</f>
        <v>234</v>
      </c>
      <c r="F67">
        <f>SUMIFS('Invoice Lines'!$J$5:$J$2542,'Invoice Lines'!$H$5:$H$2542,A67,'Invoice Lines'!$Q$5:$Q$2542,"HIRE-"&amp;C67,'Invoice Lines'!$M$5:$M$2542,1,'Invoice Lines'!$K$5:$K$2542,"&gt;0")</f>
        <v>234</v>
      </c>
      <c r="G67">
        <f>E67-F67</f>
        <v>0</v>
      </c>
      <c r="H67" s="9">
        <f>ROUND(G67*D67,2)</f>
        <v>0</v>
      </c>
      <c r="I67" s="9">
        <f>SUMIFS('Invoice Lines'!$K$5:$K$2542,'Invoice Lines'!$H$5:$H$2542,A67,'Invoice Lines'!$Q$5:$Q$2542,"HIRE-"&amp;C67,'Invoice Lines'!$M$5:$M$2542,1,'Invoice Lines'!$K$5:$K$2542,"&lt;0")</f>
        <v>0</v>
      </c>
      <c r="J67" t="n">
        <v>0</v>
      </c>
      <c r="K67" t="str">
        <f>IF(G67&gt;0,"Under-billed",IF(G67&lt;0,"Over-billed","Agrees"))</f>
        <v>Agrees</v>
      </c>
      <c r="L67" t="inlineStr"/>
    </row>
    <row r="68">
      <c r="A68" t="inlineStr">
        <is>
          <t>S0051</t>
        </is>
      </c>
      <c r="B68" t="inlineStr">
        <is>
          <t>Lucas Patel</t>
        </is>
      </c>
      <c r="C68" t="inlineStr">
        <is>
          <t>FP</t>
        </is>
      </c>
      <c r="D68" s="9" t="n">
        <v>4.5</v>
      </c>
      <c r="E68">
        <f>SUMIFS('Hire Cycles'!$F$5:$F$1069,'Hire Cycles'!$A$5:$A$1069,A68,'Hire Cycles'!$B$5:$B$1069,C68,'Hire Cycles'!$G$5:$G$1069,1)</f>
        <v>494</v>
      </c>
      <c r="F68">
        <f>SUMIFS('Invoice Lines'!$J$5:$J$2542,'Invoice Lines'!$H$5:$H$2542,A68,'Invoice Lines'!$Q$5:$Q$2542,"HIRE-"&amp;C68,'Invoice Lines'!$M$5:$M$2542,1,'Invoice Lines'!$K$5:$K$2542,"&gt;0")</f>
        <v>494</v>
      </c>
      <c r="G68">
        <f>E68-F68</f>
        <v>0</v>
      </c>
      <c r="H68" s="9">
        <f>ROUND(G68*D68,2)</f>
        <v>0</v>
      </c>
      <c r="I68" s="9">
        <f>SUMIFS('Invoice Lines'!$K$5:$K$2542,'Invoice Lines'!$H$5:$H$2542,A68,'Invoice Lines'!$Q$5:$Q$2542,"HIRE-"&amp;C68,'Invoice Lines'!$M$5:$M$2542,1,'Invoice Lines'!$K$5:$K$2542,"&lt;0")</f>
        <v>0</v>
      </c>
      <c r="J68" t="n">
        <v>0</v>
      </c>
      <c r="K68" t="str">
        <f>IF(G68&gt;0,"Under-billed",IF(G68&lt;0,"Over-billed","Agrees"))</f>
        <v>Agrees</v>
      </c>
      <c r="L68" t="inlineStr"/>
    </row>
    <row r="69">
      <c r="A69" t="inlineStr">
        <is>
          <t>S0052</t>
        </is>
      </c>
      <c r="B69" t="inlineStr">
        <is>
          <t>Banksia Projects Pty Ltd</t>
        </is>
      </c>
      <c r="C69" t="inlineStr">
        <is>
          <t>FP</t>
        </is>
      </c>
      <c r="D69" s="9" t="n">
        <v>4.5</v>
      </c>
      <c r="E69">
        <f>SUMIFS('Hire Cycles'!$F$5:$F$1069,'Hire Cycles'!$A$5:$A$1069,A69,'Hire Cycles'!$B$5:$B$1069,C69,'Hire Cycles'!$G$5:$G$1069,1)</f>
        <v>1712</v>
      </c>
      <c r="F69">
        <f>SUMIFS('Invoice Lines'!$J$5:$J$2542,'Invoice Lines'!$H$5:$H$2542,A69,'Invoice Lines'!$Q$5:$Q$2542,"HIRE-"&amp;C69,'Invoice Lines'!$M$5:$M$2542,1,'Invoice Lines'!$K$5:$K$2542,"&gt;0")</f>
        <v>1284</v>
      </c>
      <c r="G69">
        <f>E69-F69</f>
        <v>428</v>
      </c>
      <c r="H69" s="9">
        <f>ROUND(G69*D69,2)</f>
        <v>1926</v>
      </c>
      <c r="I69" s="9">
        <f>SUMIFS('Invoice Lines'!$K$5:$K$2542,'Invoice Lines'!$H$5:$H$2542,A69,'Invoice Lines'!$Q$5:$Q$2542,"HIRE-"&amp;C69,'Invoice Lines'!$M$5:$M$2542,1,'Invoice Lines'!$K$5:$K$2542,"&lt;0")</f>
        <v>0</v>
      </c>
      <c r="J69" t="n">
        <v>107</v>
      </c>
      <c r="K69" t="str">
        <f>IF(G69&gt;0,"Under-billed",IF(G69&lt;0,"Over-billed","Agrees"))</f>
        <v>Under-billed</v>
      </c>
      <c r="L69" t="inlineStr"/>
    </row>
    <row r="70">
      <c r="A70" t="inlineStr">
        <is>
          <t>S0053</t>
        </is>
      </c>
      <c r="B70" t="inlineStr">
        <is>
          <t>Parkview Projects Pty Ltd</t>
        </is>
      </c>
      <c r="C70" t="inlineStr">
        <is>
          <t>FP</t>
        </is>
      </c>
      <c r="D70" s="9" t="n">
        <v>4.5</v>
      </c>
      <c r="E70">
        <f>SUMIFS('Hire Cycles'!$F$5:$F$1069,'Hire Cycles'!$A$5:$A$1069,A70,'Hire Cycles'!$B$5:$B$1069,C70,'Hire Cycles'!$G$5:$G$1069,1)</f>
        <v>5005</v>
      </c>
      <c r="F70">
        <f>SUMIFS('Invoice Lines'!$J$5:$J$2542,'Invoice Lines'!$H$5:$H$2542,A70,'Invoice Lines'!$Q$5:$Q$2542,"HIRE-"&amp;C70,'Invoice Lines'!$M$5:$M$2542,1,'Invoice Lines'!$K$5:$K$2542,"&gt;0")</f>
        <v>4433</v>
      </c>
      <c r="G70">
        <f>E70-F70</f>
        <v>572</v>
      </c>
      <c r="H70" s="9">
        <f>ROUND(G70*D70,2)</f>
        <v>2574</v>
      </c>
      <c r="I70" s="9">
        <f>SUMIFS('Invoice Lines'!$K$5:$K$2542,'Invoice Lines'!$H$5:$H$2542,A70,'Invoice Lines'!$Q$5:$Q$2542,"HIRE-"&amp;C70,'Invoice Lines'!$M$5:$M$2542,1,'Invoice Lines'!$K$5:$K$2542,"&lt;0")</f>
        <v>0</v>
      </c>
      <c r="J70" t="n">
        <v>0</v>
      </c>
      <c r="K70" t="str">
        <f>IF(G70&gt;0,"Under-billed",IF(G70&lt;0,"Over-billed","Agrees"))</f>
        <v>Under-billed</v>
      </c>
      <c r="L70" t="inlineStr"/>
    </row>
    <row r="71">
      <c r="A71" t="inlineStr">
        <is>
          <t>S0054</t>
        </is>
      </c>
      <c r="B71" t="inlineStr">
        <is>
          <t>Highpoint Projects</t>
        </is>
      </c>
      <c r="C71" t="inlineStr">
        <is>
          <t>BR</t>
        </is>
      </c>
      <c r="D71" s="9" t="n">
        <v>3.2</v>
      </c>
      <c r="E71">
        <f>SUMIFS('Hire Cycles'!$F$5:$F$1069,'Hire Cycles'!$A$5:$A$1069,A71,'Hire Cycles'!$B$5:$B$1069,C71,'Hire Cycles'!$G$5:$G$1069,1)</f>
        <v>276</v>
      </c>
      <c r="F71">
        <f>SUMIFS('Invoice Lines'!$J$5:$J$2542,'Invoice Lines'!$H$5:$H$2542,A71,'Invoice Lines'!$Q$5:$Q$2542,"HIRE-"&amp;C71,'Invoice Lines'!$M$5:$M$2542,1,'Invoice Lines'!$K$5:$K$2542,"&gt;0")</f>
        <v>276</v>
      </c>
      <c r="G71">
        <f>E71-F71</f>
        <v>0</v>
      </c>
      <c r="H71" s="9">
        <f>ROUND(G71*D71,2)</f>
        <v>0</v>
      </c>
      <c r="I71" s="9">
        <f>SUMIFS('Invoice Lines'!$K$5:$K$2542,'Invoice Lines'!$H$5:$H$2542,A71,'Invoice Lines'!$Q$5:$Q$2542,"HIRE-"&amp;C71,'Invoice Lines'!$M$5:$M$2542,1,'Invoice Lines'!$K$5:$K$2542,"&lt;0")</f>
        <v>0</v>
      </c>
      <c r="J71" t="n">
        <v>0</v>
      </c>
      <c r="K71" t="str">
        <f>IF(G71&gt;0,"Under-billed",IF(G71&lt;0,"Over-billed","Agrees"))</f>
        <v>Agrees</v>
      </c>
      <c r="L71" t="inlineStr"/>
    </row>
    <row r="72">
      <c r="A72" t="inlineStr">
        <is>
          <t>S0054</t>
        </is>
      </c>
      <c r="B72" t="inlineStr">
        <is>
          <t>Highpoint Projects</t>
        </is>
      </c>
      <c r="C72" t="inlineStr">
        <is>
          <t>FP</t>
        </is>
      </c>
      <c r="D72" s="9" t="n">
        <v>4.5</v>
      </c>
      <c r="E72">
        <f>SUMIFS('Hire Cycles'!$F$5:$F$1069,'Hire Cycles'!$A$5:$A$1069,A72,'Hire Cycles'!$B$5:$B$1069,C72,'Hire Cycles'!$G$5:$G$1069,1)</f>
        <v>336</v>
      </c>
      <c r="F72">
        <f>SUMIFS('Invoice Lines'!$J$5:$J$2542,'Invoice Lines'!$H$5:$H$2542,A72,'Invoice Lines'!$Q$5:$Q$2542,"HIRE-"&amp;C72,'Invoice Lines'!$M$5:$M$2542,1,'Invoice Lines'!$K$5:$K$2542,"&gt;0")</f>
        <v>336</v>
      </c>
      <c r="G72">
        <f>E72-F72</f>
        <v>0</v>
      </c>
      <c r="H72" s="9">
        <f>ROUND(G72*D72,2)</f>
        <v>0</v>
      </c>
      <c r="I72" s="9">
        <f>SUMIFS('Invoice Lines'!$K$5:$K$2542,'Invoice Lines'!$H$5:$H$2542,A72,'Invoice Lines'!$Q$5:$Q$2542,"HIRE-"&amp;C72,'Invoice Lines'!$M$5:$M$2542,1,'Invoice Lines'!$K$5:$K$2542,"&lt;0")</f>
        <v>0</v>
      </c>
      <c r="J72" t="n">
        <v>0</v>
      </c>
      <c r="K72" t="str">
        <f>IF(G72&gt;0,"Under-billed",IF(G72&lt;0,"Over-billed","Agrees"))</f>
        <v>Agrees</v>
      </c>
      <c r="L72" t="inlineStr"/>
    </row>
    <row r="73">
      <c r="A73" t="inlineStr">
        <is>
          <t>S0055</t>
        </is>
      </c>
      <c r="B73" t="inlineStr">
        <is>
          <t>Summit Homes Pty Ltd</t>
        </is>
      </c>
      <c r="C73" t="inlineStr">
        <is>
          <t>BR</t>
        </is>
      </c>
      <c r="D73" s="9" t="n">
        <v>3.2</v>
      </c>
      <c r="E73">
        <f>SUMIFS('Hire Cycles'!$F$5:$F$1069,'Hire Cycles'!$A$5:$A$1069,A73,'Hire Cycles'!$B$5:$B$1069,C73,'Hire Cycles'!$G$5:$G$1069,1)</f>
        <v>220</v>
      </c>
      <c r="F73">
        <f>SUMIFS('Invoice Lines'!$J$5:$J$2542,'Invoice Lines'!$H$5:$H$2542,A73,'Invoice Lines'!$Q$5:$Q$2542,"HIRE-"&amp;C73,'Invoice Lines'!$M$5:$M$2542,1,'Invoice Lines'!$K$5:$K$2542,"&gt;0")</f>
        <v>220</v>
      </c>
      <c r="G73">
        <f>E73-F73</f>
        <v>0</v>
      </c>
      <c r="H73" s="9">
        <f>ROUND(G73*D73,2)</f>
        <v>0</v>
      </c>
      <c r="I73" s="9">
        <f>SUMIFS('Invoice Lines'!$K$5:$K$2542,'Invoice Lines'!$H$5:$H$2542,A73,'Invoice Lines'!$Q$5:$Q$2542,"HIRE-"&amp;C73,'Invoice Lines'!$M$5:$M$2542,1,'Invoice Lines'!$K$5:$K$2542,"&lt;0")</f>
        <v>0</v>
      </c>
      <c r="J73" t="n">
        <v>0</v>
      </c>
      <c r="K73" t="str">
        <f>IF(G73&gt;0,"Under-billed",IF(G73&lt;0,"Over-billed","Agrees"))</f>
        <v>Agrees</v>
      </c>
      <c r="L73" t="inlineStr"/>
    </row>
    <row r="74">
      <c r="A74" t="inlineStr">
        <is>
          <t>S0055</t>
        </is>
      </c>
      <c r="B74" t="inlineStr">
        <is>
          <t>Summit Homes Pty Ltd</t>
        </is>
      </c>
      <c r="C74" t="inlineStr">
        <is>
          <t>FP</t>
        </is>
      </c>
      <c r="D74" s="9" t="n">
        <v>4.5</v>
      </c>
      <c r="E74">
        <f>SUMIFS('Hire Cycles'!$F$5:$F$1069,'Hire Cycles'!$A$5:$A$1069,A74,'Hire Cycles'!$B$5:$B$1069,C74,'Hire Cycles'!$G$5:$G$1069,1)</f>
        <v>910</v>
      </c>
      <c r="F74">
        <f>SUMIFS('Invoice Lines'!$J$5:$J$2542,'Invoice Lines'!$H$5:$H$2542,A74,'Invoice Lines'!$Q$5:$Q$2542,"HIRE-"&amp;C74,'Invoice Lines'!$M$5:$M$2542,1,'Invoice Lines'!$K$5:$K$2542,"&gt;0")</f>
        <v>910</v>
      </c>
      <c r="G74">
        <f>E74-F74</f>
        <v>0</v>
      </c>
      <c r="H74" s="9">
        <f>ROUND(G74*D74,2)</f>
        <v>0</v>
      </c>
      <c r="I74" s="9">
        <f>SUMIFS('Invoice Lines'!$K$5:$K$2542,'Invoice Lines'!$H$5:$H$2542,A74,'Invoice Lines'!$Q$5:$Q$2542,"HIRE-"&amp;C74,'Invoice Lines'!$M$5:$M$2542,1,'Invoice Lines'!$K$5:$K$2542,"&lt;0")</f>
        <v>0</v>
      </c>
      <c r="J74" t="n">
        <v>0</v>
      </c>
      <c r="K74" t="str">
        <f>IF(G74&gt;0,"Under-billed",IF(G74&lt;0,"Over-billed","Agrees"))</f>
        <v>Agrees</v>
      </c>
      <c r="L74" t="inlineStr"/>
    </row>
    <row r="75">
      <c r="A75" t="inlineStr">
        <is>
          <t>S0056</t>
        </is>
      </c>
      <c r="B75" t="inlineStr">
        <is>
          <t>Bluegum Developments</t>
        </is>
      </c>
      <c r="C75" t="inlineStr">
        <is>
          <t>BR</t>
        </is>
      </c>
      <c r="D75" s="9" t="n">
        <v>3.2</v>
      </c>
      <c r="E75">
        <f>SUMIFS('Hire Cycles'!$F$5:$F$1069,'Hire Cycles'!$A$5:$A$1069,A75,'Hire Cycles'!$B$5:$B$1069,C75,'Hire Cycles'!$G$5:$G$1069,1)</f>
        <v>36</v>
      </c>
      <c r="F75">
        <f>SUMIFS('Invoice Lines'!$J$5:$J$2542,'Invoice Lines'!$H$5:$H$2542,A75,'Invoice Lines'!$Q$5:$Q$2542,"HIRE-"&amp;C75,'Invoice Lines'!$M$5:$M$2542,1,'Invoice Lines'!$K$5:$K$2542,"&gt;0")</f>
        <v>36</v>
      </c>
      <c r="G75">
        <f>E75-F75</f>
        <v>0</v>
      </c>
      <c r="H75" s="9">
        <f>ROUND(G75*D75,2)</f>
        <v>0</v>
      </c>
      <c r="I75" s="9">
        <f>SUMIFS('Invoice Lines'!$K$5:$K$2542,'Invoice Lines'!$H$5:$H$2542,A75,'Invoice Lines'!$Q$5:$Q$2542,"HIRE-"&amp;C75,'Invoice Lines'!$M$5:$M$2542,1,'Invoice Lines'!$K$5:$K$2542,"&lt;0")</f>
        <v>0</v>
      </c>
      <c r="J75" t="n">
        <v>36</v>
      </c>
      <c r="K75" t="str">
        <f>IF(G75&gt;0,"Under-billed",IF(G75&lt;0,"Over-billed","Agrees"))</f>
        <v>Agrees</v>
      </c>
      <c r="L75" t="inlineStr"/>
    </row>
    <row r="76">
      <c r="A76" t="inlineStr">
        <is>
          <t>S0056</t>
        </is>
      </c>
      <c r="B76" t="inlineStr">
        <is>
          <t>Bluegum Developments</t>
        </is>
      </c>
      <c r="C76" t="inlineStr">
        <is>
          <t>FP</t>
        </is>
      </c>
      <c r="D76" s="9" t="n">
        <v>4.5</v>
      </c>
      <c r="E76">
        <f>SUMIFS('Hire Cycles'!$F$5:$F$1069,'Hire Cycles'!$A$5:$A$1069,A76,'Hire Cycles'!$B$5:$B$1069,C76,'Hire Cycles'!$G$5:$G$1069,1)</f>
        <v>204</v>
      </c>
      <c r="F76">
        <f>SUMIFS('Invoice Lines'!$J$5:$J$2542,'Invoice Lines'!$H$5:$H$2542,A76,'Invoice Lines'!$Q$5:$Q$2542,"HIRE-"&amp;C76,'Invoice Lines'!$M$5:$M$2542,1,'Invoice Lines'!$K$5:$K$2542,"&gt;0")</f>
        <v>0</v>
      </c>
      <c r="G76">
        <f>E76-F76</f>
        <v>204</v>
      </c>
      <c r="H76" s="9">
        <f>ROUND(G76*D76,2)</f>
        <v>918</v>
      </c>
      <c r="I76" s="9">
        <f>SUMIFS('Invoice Lines'!$K$5:$K$2542,'Invoice Lines'!$H$5:$H$2542,A76,'Invoice Lines'!$Q$5:$Q$2542,"HIRE-"&amp;C76,'Invoice Lines'!$M$5:$M$2542,1,'Invoice Lines'!$K$5:$K$2542,"&lt;0")</f>
        <v>0</v>
      </c>
      <c r="J76" t="n">
        <v>204</v>
      </c>
      <c r="K76" t="str">
        <f>IF(G76&gt;0,"Under-billed",IF(G76&lt;0,"Over-billed","Agrees"))</f>
        <v>Under-billed</v>
      </c>
      <c r="L76" t="inlineStr"/>
    </row>
    <row r="77">
      <c r="A77" t="inlineStr">
        <is>
          <t>S0057</t>
        </is>
      </c>
      <c r="B77" t="inlineStr">
        <is>
          <t>Highpoint Projects</t>
        </is>
      </c>
      <c r="C77" t="inlineStr">
        <is>
          <t>FP</t>
        </is>
      </c>
      <c r="D77" s="9" t="n">
        <v>4.5</v>
      </c>
      <c r="E77">
        <f>SUMIFS('Hire Cycles'!$F$5:$F$1069,'Hire Cycles'!$A$5:$A$1069,A77,'Hire Cycles'!$B$5:$B$1069,C77,'Hire Cycles'!$G$5:$G$1069,1)</f>
        <v>2660</v>
      </c>
      <c r="F77">
        <f>SUMIFS('Invoice Lines'!$J$5:$J$2542,'Invoice Lines'!$H$5:$H$2542,A77,'Invoice Lines'!$Q$5:$Q$2542,"HIRE-"&amp;C77,'Invoice Lines'!$M$5:$M$2542,1,'Invoice Lines'!$K$5:$K$2542,"&gt;0")</f>
        <v>2660</v>
      </c>
      <c r="G77">
        <f>E77-F77</f>
        <v>0</v>
      </c>
      <c r="H77" s="9">
        <f>ROUND(G77*D77,2)</f>
        <v>0</v>
      </c>
      <c r="I77" s="9">
        <f>SUMIFS('Invoice Lines'!$K$5:$K$2542,'Invoice Lines'!$H$5:$H$2542,A77,'Invoice Lines'!$Q$5:$Q$2542,"HIRE-"&amp;C77,'Invoice Lines'!$M$5:$M$2542,1,'Invoice Lines'!$K$5:$K$2542,"&lt;0")</f>
        <v>0</v>
      </c>
      <c r="J77" t="n">
        <v>266</v>
      </c>
      <c r="K77" t="str">
        <f>IF(G77&gt;0,"Under-billed",IF(G77&lt;0,"Over-billed","Agrees"))</f>
        <v>Agrees</v>
      </c>
      <c r="L77" t="inlineStr"/>
    </row>
    <row r="78">
      <c r="A78" t="inlineStr">
        <is>
          <t>S0058</t>
        </is>
      </c>
      <c r="B78" t="inlineStr">
        <is>
          <t>Riverbend Homes Pty Ltd</t>
        </is>
      </c>
      <c r="C78" t="inlineStr">
        <is>
          <t>BR</t>
        </is>
      </c>
      <c r="D78" s="9" t="n">
        <v>3.2</v>
      </c>
      <c r="E78">
        <f>SUMIFS('Hire Cycles'!$F$5:$F$1069,'Hire Cycles'!$A$5:$A$1069,A78,'Hire Cycles'!$B$5:$B$1069,C78,'Hire Cycles'!$G$5:$G$1069,1)</f>
        <v>0</v>
      </c>
      <c r="F78">
        <f>SUMIFS('Invoice Lines'!$J$5:$J$2542,'Invoice Lines'!$H$5:$H$2542,A78,'Invoice Lines'!$Q$5:$Q$2542,"HIRE-"&amp;C78,'Invoice Lines'!$M$5:$M$2542,1,'Invoice Lines'!$K$5:$K$2542,"&gt;0")</f>
        <v>0</v>
      </c>
      <c r="G78">
        <f>E78-F78</f>
        <v>0</v>
      </c>
      <c r="H78" s="9">
        <f>ROUND(G78*D78,2)</f>
        <v>0</v>
      </c>
      <c r="I78" s="9">
        <f>SUMIFS('Invoice Lines'!$K$5:$K$2542,'Invoice Lines'!$H$5:$H$2542,A78,'Invoice Lines'!$Q$5:$Q$2542,"HIRE-"&amp;C78,'Invoice Lines'!$M$5:$M$2542,1,'Invoice Lines'!$K$5:$K$2542,"&lt;0")</f>
        <v>0</v>
      </c>
      <c r="J78" t="n">
        <v>39</v>
      </c>
      <c r="K78" t="str">
        <f>IF(G78&gt;0,"Under-billed",IF(G78&lt;0,"Over-billed","Agrees"))</f>
        <v>Agrees</v>
      </c>
      <c r="L78" t="inlineStr"/>
    </row>
    <row r="79">
      <c r="A79" t="inlineStr">
        <is>
          <t>S0058</t>
        </is>
      </c>
      <c r="B79" t="inlineStr">
        <is>
          <t>Riverbend Homes Pty Ltd</t>
        </is>
      </c>
      <c r="C79" t="inlineStr">
        <is>
          <t>FP</t>
        </is>
      </c>
      <c r="D79" s="9" t="n">
        <v>4.5</v>
      </c>
      <c r="E79">
        <f>SUMIFS('Hire Cycles'!$F$5:$F$1069,'Hire Cycles'!$A$5:$A$1069,A79,'Hire Cycles'!$B$5:$B$1069,C79,'Hire Cycles'!$G$5:$G$1069,1)</f>
        <v>0</v>
      </c>
      <c r="F79">
        <f>SUMIFS('Invoice Lines'!$J$5:$J$2542,'Invoice Lines'!$H$5:$H$2542,A79,'Invoice Lines'!$Q$5:$Q$2542,"HIRE-"&amp;C79,'Invoice Lines'!$M$5:$M$2542,1,'Invoice Lines'!$K$5:$K$2542,"&gt;0")</f>
        <v>0</v>
      </c>
      <c r="G79">
        <f>E79-F79</f>
        <v>0</v>
      </c>
      <c r="H79" s="9">
        <f>ROUND(G79*D79,2)</f>
        <v>0</v>
      </c>
      <c r="I79" s="9">
        <f>SUMIFS('Invoice Lines'!$K$5:$K$2542,'Invoice Lines'!$H$5:$H$2542,A79,'Invoice Lines'!$Q$5:$Q$2542,"HIRE-"&amp;C79,'Invoice Lines'!$M$5:$M$2542,1,'Invoice Lines'!$K$5:$K$2542,"&lt;0")</f>
        <v>-853.47</v>
      </c>
      <c r="J79" t="n">
        <v>126</v>
      </c>
      <c r="K79" t="str">
        <f>IF(G79&gt;0,"Under-billed",IF(G79&lt;0,"Over-billed","Agrees"))</f>
        <v>Agrees</v>
      </c>
      <c r="L79" t="inlineStr"/>
    </row>
    <row r="80">
      <c r="A80" t="inlineStr">
        <is>
          <t>S0059</t>
        </is>
      </c>
      <c r="B80" t="inlineStr">
        <is>
          <t>Northgate Builders Pty Ltd</t>
        </is>
      </c>
      <c r="C80" t="inlineStr">
        <is>
          <t>FP</t>
        </is>
      </c>
      <c r="D80" s="9" t="n">
        <v>4.5</v>
      </c>
      <c r="E80">
        <f>SUMIFS('Hire Cycles'!$F$5:$F$1069,'Hire Cycles'!$A$5:$A$1069,A80,'Hire Cycles'!$B$5:$B$1069,C80,'Hire Cycles'!$G$5:$G$1069,1)</f>
        <v>270</v>
      </c>
      <c r="F80">
        <f>SUMIFS('Invoice Lines'!$J$5:$J$2542,'Invoice Lines'!$H$5:$H$2542,A80,'Invoice Lines'!$Q$5:$Q$2542,"HIRE-"&amp;C80,'Invoice Lines'!$M$5:$M$2542,1,'Invoice Lines'!$K$5:$K$2542,"&gt;0")</f>
        <v>270</v>
      </c>
      <c r="G80">
        <f>E80-F80</f>
        <v>0</v>
      </c>
      <c r="H80" s="9">
        <f>ROUND(G80*D80,2)</f>
        <v>0</v>
      </c>
      <c r="I80" s="9">
        <f>SUMIFS('Invoice Lines'!$K$5:$K$2542,'Invoice Lines'!$H$5:$H$2542,A80,'Invoice Lines'!$Q$5:$Q$2542,"HIRE-"&amp;C80,'Invoice Lines'!$M$5:$M$2542,1,'Invoice Lines'!$K$5:$K$2542,"&lt;0")</f>
        <v>0</v>
      </c>
      <c r="J80" t="n">
        <v>0</v>
      </c>
      <c r="K80" t="str">
        <f>IF(G80&gt;0,"Under-billed",IF(G80&lt;0,"Over-billed","Agrees"))</f>
        <v>Agrees</v>
      </c>
      <c r="L80" t="inlineStr"/>
    </row>
    <row r="81">
      <c r="A81" t="inlineStr">
        <is>
          <t>S0060</t>
        </is>
      </c>
      <c r="B81" t="inlineStr">
        <is>
          <t>Bluegum Constructions</t>
        </is>
      </c>
      <c r="C81" t="inlineStr">
        <is>
          <t>BR</t>
        </is>
      </c>
      <c r="D81" s="9" t="n">
        <v>3.2</v>
      </c>
      <c r="E81">
        <f>SUMIFS('Hire Cycles'!$F$5:$F$1069,'Hire Cycles'!$A$5:$A$1069,A81,'Hire Cycles'!$B$5:$B$1069,C81,'Hire Cycles'!$G$5:$G$1069,1)</f>
        <v>76</v>
      </c>
      <c r="F81">
        <f>SUMIFS('Invoice Lines'!$J$5:$J$2542,'Invoice Lines'!$H$5:$H$2542,A81,'Invoice Lines'!$Q$5:$Q$2542,"HIRE-"&amp;C81,'Invoice Lines'!$M$5:$M$2542,1,'Invoice Lines'!$K$5:$K$2542,"&gt;0")</f>
        <v>76</v>
      </c>
      <c r="G81">
        <f>E81-F81</f>
        <v>0</v>
      </c>
      <c r="H81" s="9">
        <f>ROUND(G81*D81,2)</f>
        <v>0</v>
      </c>
      <c r="I81" s="9">
        <f>SUMIFS('Invoice Lines'!$K$5:$K$2542,'Invoice Lines'!$H$5:$H$2542,A81,'Invoice Lines'!$Q$5:$Q$2542,"HIRE-"&amp;C81,'Invoice Lines'!$M$5:$M$2542,1,'Invoice Lines'!$K$5:$K$2542,"&lt;0")</f>
        <v>0</v>
      </c>
      <c r="J81" t="n">
        <v>19</v>
      </c>
      <c r="K81" t="str">
        <f>IF(G81&gt;0,"Under-billed",IF(G81&lt;0,"Over-billed","Agrees"))</f>
        <v>Agrees</v>
      </c>
      <c r="L81" t="inlineStr"/>
    </row>
    <row r="82">
      <c r="A82" t="inlineStr">
        <is>
          <t>S0060</t>
        </is>
      </c>
      <c r="B82" t="inlineStr">
        <is>
          <t>Bluegum Constructions</t>
        </is>
      </c>
      <c r="C82" t="inlineStr">
        <is>
          <t>FP</t>
        </is>
      </c>
      <c r="D82" s="9" t="n">
        <v>4.5</v>
      </c>
      <c r="E82">
        <f>SUMIFS('Hire Cycles'!$F$5:$F$1069,'Hire Cycles'!$A$5:$A$1069,A82,'Hire Cycles'!$B$5:$B$1069,C82,'Hire Cycles'!$G$5:$G$1069,1)</f>
        <v>144</v>
      </c>
      <c r="F82">
        <f>SUMIFS('Invoice Lines'!$J$5:$J$2542,'Invoice Lines'!$H$5:$H$2542,A82,'Invoice Lines'!$Q$5:$Q$2542,"HIRE-"&amp;C82,'Invoice Lines'!$M$5:$M$2542,1,'Invoice Lines'!$K$5:$K$2542,"&gt;0")</f>
        <v>144</v>
      </c>
      <c r="G82">
        <f>E82-F82</f>
        <v>0</v>
      </c>
      <c r="H82" s="9">
        <f>ROUND(G82*D82,2)</f>
        <v>0</v>
      </c>
      <c r="I82" s="9">
        <f>SUMIFS('Invoice Lines'!$K$5:$K$2542,'Invoice Lines'!$H$5:$H$2542,A82,'Invoice Lines'!$Q$5:$Q$2542,"HIRE-"&amp;C82,'Invoice Lines'!$M$5:$M$2542,1,'Invoice Lines'!$K$5:$K$2542,"&lt;0")</f>
        <v>0</v>
      </c>
      <c r="J82" t="n">
        <v>36</v>
      </c>
      <c r="K82" t="str">
        <f>IF(G82&gt;0,"Under-billed",IF(G82&lt;0,"Over-billed","Agrees"))</f>
        <v>Agrees</v>
      </c>
      <c r="L82" t="inlineStr"/>
    </row>
    <row r="83">
      <c r="A83" t="inlineStr">
        <is>
          <t>S0061</t>
        </is>
      </c>
      <c r="B83" t="inlineStr">
        <is>
          <t>Cobalt Constructions Pty Ltd</t>
        </is>
      </c>
      <c r="C83" t="inlineStr">
        <is>
          <t>BR</t>
        </is>
      </c>
      <c r="D83" s="9" t="n">
        <v>3.2</v>
      </c>
      <c r="E83">
        <f>SUMIFS('Hire Cycles'!$F$5:$F$1069,'Hire Cycles'!$A$5:$A$1069,A83,'Hire Cycles'!$B$5:$B$1069,C83,'Hire Cycles'!$G$5:$G$1069,1)</f>
        <v>132</v>
      </c>
      <c r="F83">
        <f>SUMIFS('Invoice Lines'!$J$5:$J$2542,'Invoice Lines'!$H$5:$H$2542,A83,'Invoice Lines'!$Q$5:$Q$2542,"HIRE-"&amp;C83,'Invoice Lines'!$M$5:$M$2542,1,'Invoice Lines'!$K$5:$K$2542,"&gt;0")</f>
        <v>96</v>
      </c>
      <c r="G83">
        <f>E83-F83</f>
        <v>36</v>
      </c>
      <c r="H83" s="9">
        <f>ROUND(G83*D83,2)</f>
        <v>115.2</v>
      </c>
      <c r="I83" s="9">
        <f>SUMIFS('Invoice Lines'!$K$5:$K$2542,'Invoice Lines'!$H$5:$H$2542,A83,'Invoice Lines'!$Q$5:$Q$2542,"HIRE-"&amp;C83,'Invoice Lines'!$M$5:$M$2542,1,'Invoice Lines'!$K$5:$K$2542,"&lt;0")</f>
        <v>0</v>
      </c>
      <c r="J83" t="n">
        <v>0</v>
      </c>
      <c r="K83" t="str">
        <f>IF(G83&gt;0,"Under-billed",IF(G83&lt;0,"Over-billed","Agrees"))</f>
        <v>Under-billed</v>
      </c>
      <c r="L83" t="inlineStr"/>
    </row>
    <row r="84">
      <c r="A84" t="inlineStr">
        <is>
          <t>S0061</t>
        </is>
      </c>
      <c r="B84" t="inlineStr">
        <is>
          <t>Cobalt Constructions Pty Ltd</t>
        </is>
      </c>
      <c r="C84" t="inlineStr">
        <is>
          <t>FP</t>
        </is>
      </c>
      <c r="D84" s="9" t="n">
        <v>4.5</v>
      </c>
      <c r="E84">
        <f>SUMIFS('Hire Cycles'!$F$5:$F$1069,'Hire Cycles'!$A$5:$A$1069,A84,'Hire Cycles'!$B$5:$B$1069,C84,'Hire Cycles'!$G$5:$G$1069,1)</f>
        <v>1397</v>
      </c>
      <c r="F84">
        <f>SUMIFS('Invoice Lines'!$J$5:$J$2542,'Invoice Lines'!$H$5:$H$2542,A84,'Invoice Lines'!$Q$5:$Q$2542,"HIRE-"&amp;C84,'Invoice Lines'!$M$5:$M$2542,1,'Invoice Lines'!$K$5:$K$2542,"&gt;0")</f>
        <v>889</v>
      </c>
      <c r="G84">
        <f>E84-F84</f>
        <v>508</v>
      </c>
      <c r="H84" s="9">
        <f>ROUND(G84*D84,2)</f>
        <v>2286</v>
      </c>
      <c r="I84" s="9">
        <f>SUMIFS('Invoice Lines'!$K$5:$K$2542,'Invoice Lines'!$H$5:$H$2542,A84,'Invoice Lines'!$Q$5:$Q$2542,"HIRE-"&amp;C84,'Invoice Lines'!$M$5:$M$2542,1,'Invoice Lines'!$K$5:$K$2542,"&lt;0")</f>
        <v>0</v>
      </c>
      <c r="J84" t="n">
        <v>0</v>
      </c>
      <c r="K84" t="str">
        <f>IF(G84&gt;0,"Under-billed",IF(G84&lt;0,"Over-billed","Agrees"))</f>
        <v>Under-billed</v>
      </c>
      <c r="L84" t="inlineStr"/>
    </row>
    <row r="85">
      <c r="A85" t="inlineStr">
        <is>
          <t>S0062</t>
        </is>
      </c>
      <c r="B85" t="inlineStr">
        <is>
          <t>Northgate Builders Pty Ltd</t>
        </is>
      </c>
      <c r="C85" t="inlineStr">
        <is>
          <t>BR</t>
        </is>
      </c>
      <c r="D85" s="9" t="n">
        <v>3.2</v>
      </c>
      <c r="E85">
        <f>SUMIFS('Hire Cycles'!$F$5:$F$1069,'Hire Cycles'!$A$5:$A$1069,A85,'Hire Cycles'!$B$5:$B$1069,C85,'Hire Cycles'!$G$5:$G$1069,1)</f>
        <v>665</v>
      </c>
      <c r="F85">
        <f>SUMIFS('Invoice Lines'!$J$5:$J$2542,'Invoice Lines'!$H$5:$H$2542,A85,'Invoice Lines'!$Q$5:$Q$2542,"HIRE-"&amp;C85,'Invoice Lines'!$M$5:$M$2542,1,'Invoice Lines'!$K$5:$K$2542,"&gt;0")</f>
        <v>665</v>
      </c>
      <c r="G85">
        <f>E85-F85</f>
        <v>0</v>
      </c>
      <c r="H85" s="9">
        <f>ROUND(G85*D85,2)</f>
        <v>0</v>
      </c>
      <c r="I85" s="9">
        <f>SUMIFS('Invoice Lines'!$K$5:$K$2542,'Invoice Lines'!$H$5:$H$2542,A85,'Invoice Lines'!$Q$5:$Q$2542,"HIRE-"&amp;C85,'Invoice Lines'!$M$5:$M$2542,1,'Invoice Lines'!$K$5:$K$2542,"&lt;0")</f>
        <v>0</v>
      </c>
      <c r="J85" t="n">
        <v>0</v>
      </c>
      <c r="K85" t="str">
        <f>IF(G85&gt;0,"Under-billed",IF(G85&lt;0,"Over-billed","Agrees"))</f>
        <v>Agrees</v>
      </c>
      <c r="L85" t="inlineStr"/>
    </row>
    <row r="86">
      <c r="A86" t="inlineStr">
        <is>
          <t>S0062</t>
        </is>
      </c>
      <c r="B86" t="inlineStr">
        <is>
          <t>Northgate Builders Pty Ltd</t>
        </is>
      </c>
      <c r="C86" t="inlineStr">
        <is>
          <t>FP</t>
        </is>
      </c>
      <c r="D86" s="9" t="n">
        <v>4.5</v>
      </c>
      <c r="E86">
        <f>SUMIFS('Hire Cycles'!$F$5:$F$1069,'Hire Cycles'!$A$5:$A$1069,A86,'Hire Cycles'!$B$5:$B$1069,C86,'Hire Cycles'!$G$5:$G$1069,1)</f>
        <v>4261</v>
      </c>
      <c r="F86">
        <f>SUMIFS('Invoice Lines'!$J$5:$J$2542,'Invoice Lines'!$H$5:$H$2542,A86,'Invoice Lines'!$Q$5:$Q$2542,"HIRE-"&amp;C86,'Invoice Lines'!$M$5:$M$2542,1,'Invoice Lines'!$K$5:$K$2542,"&gt;0")</f>
        <v>4207</v>
      </c>
      <c r="G86">
        <f>E86-F86</f>
        <v>54</v>
      </c>
      <c r="H86" s="9">
        <f>ROUND(G86*D86,2)</f>
        <v>243</v>
      </c>
      <c r="I86" s="9">
        <f>SUMIFS('Invoice Lines'!$K$5:$K$2542,'Invoice Lines'!$H$5:$H$2542,A86,'Invoice Lines'!$Q$5:$Q$2542,"HIRE-"&amp;C86,'Invoice Lines'!$M$5:$M$2542,1,'Invoice Lines'!$K$5:$K$2542,"&lt;0")</f>
        <v>0</v>
      </c>
      <c r="J86" t="n">
        <v>0</v>
      </c>
      <c r="K86" t="str">
        <f>IF(G86&gt;0,"Under-billed",IF(G86&lt;0,"Over-billed","Agrees"))</f>
        <v>Under-billed</v>
      </c>
      <c r="L86" t="inlineStr"/>
    </row>
    <row r="87">
      <c r="A87" t="inlineStr">
        <is>
          <t>S0063</t>
        </is>
      </c>
      <c r="B87" t="inlineStr">
        <is>
          <t>Banyule City Council</t>
        </is>
      </c>
      <c r="C87" t="inlineStr">
        <is>
          <t>FP</t>
        </is>
      </c>
      <c r="D87" s="9" t="n">
        <v>4.5</v>
      </c>
      <c r="E87">
        <f>SUMIFS('Hire Cycles'!$F$5:$F$1069,'Hire Cycles'!$A$5:$A$1069,A87,'Hire Cycles'!$B$5:$B$1069,C87,'Hire Cycles'!$G$5:$G$1069,1)</f>
        <v>128</v>
      </c>
      <c r="F87">
        <f>SUMIFS('Invoice Lines'!$J$5:$J$2542,'Invoice Lines'!$H$5:$H$2542,A87,'Invoice Lines'!$Q$5:$Q$2542,"HIRE-"&amp;C87,'Invoice Lines'!$M$5:$M$2542,1,'Invoice Lines'!$K$5:$K$2542,"&gt;0")</f>
        <v>128</v>
      </c>
      <c r="G87">
        <f>E87-F87</f>
        <v>0</v>
      </c>
      <c r="H87" s="9">
        <f>ROUND(G87*D87,2)</f>
        <v>0</v>
      </c>
      <c r="I87" s="9">
        <f>SUMIFS('Invoice Lines'!$K$5:$K$2542,'Invoice Lines'!$H$5:$H$2542,A87,'Invoice Lines'!$Q$5:$Q$2542,"HIRE-"&amp;C87,'Invoice Lines'!$M$5:$M$2542,1,'Invoice Lines'!$K$5:$K$2542,"&lt;0")</f>
        <v>0</v>
      </c>
      <c r="J87" t="n">
        <v>0</v>
      </c>
      <c r="K87" t="str">
        <f>IF(G87&gt;0,"Under-billed",IF(G87&lt;0,"Over-billed","Agrees"))</f>
        <v>Agrees</v>
      </c>
      <c r="L87" t="inlineStr">
        <is>
          <t>Yes</t>
        </is>
      </c>
    </row>
    <row r="88">
      <c r="A88" t="inlineStr">
        <is>
          <t>S0064</t>
        </is>
      </c>
      <c r="B88" t="inlineStr">
        <is>
          <t>Banksia Projects Pty Ltd</t>
        </is>
      </c>
      <c r="C88" t="inlineStr">
        <is>
          <t>BR</t>
        </is>
      </c>
      <c r="D88" s="9" t="n">
        <v>3.2</v>
      </c>
      <c r="E88">
        <f>SUMIFS('Hire Cycles'!$F$5:$F$1069,'Hire Cycles'!$A$5:$A$1069,A88,'Hire Cycles'!$B$5:$B$1069,C88,'Hire Cycles'!$G$5:$G$1069,1)</f>
        <v>80</v>
      </c>
      <c r="F88">
        <f>SUMIFS('Invoice Lines'!$J$5:$J$2542,'Invoice Lines'!$H$5:$H$2542,A88,'Invoice Lines'!$Q$5:$Q$2542,"HIRE-"&amp;C88,'Invoice Lines'!$M$5:$M$2542,1,'Invoice Lines'!$K$5:$K$2542,"&gt;0")</f>
        <v>80</v>
      </c>
      <c r="G88">
        <f>E88-F88</f>
        <v>0</v>
      </c>
      <c r="H88" s="9">
        <f>ROUND(G88*D88,2)</f>
        <v>0</v>
      </c>
      <c r="I88" s="9">
        <f>SUMIFS('Invoice Lines'!$K$5:$K$2542,'Invoice Lines'!$H$5:$H$2542,A88,'Invoice Lines'!$Q$5:$Q$2542,"HIRE-"&amp;C88,'Invoice Lines'!$M$5:$M$2542,1,'Invoice Lines'!$K$5:$K$2542,"&lt;0")</f>
        <v>0</v>
      </c>
      <c r="J88" t="n">
        <v>80</v>
      </c>
      <c r="K88" t="str">
        <f>IF(G88&gt;0,"Under-billed",IF(G88&lt;0,"Over-billed","Agrees"))</f>
        <v>Agrees</v>
      </c>
      <c r="L88" t="inlineStr"/>
    </row>
    <row r="89">
      <c r="A89" t="inlineStr">
        <is>
          <t>S0064</t>
        </is>
      </c>
      <c r="B89" t="inlineStr">
        <is>
          <t>Banksia Projects Pty Ltd</t>
        </is>
      </c>
      <c r="C89" t="inlineStr">
        <is>
          <t>FP</t>
        </is>
      </c>
      <c r="D89" s="9" t="n">
        <v>4.5</v>
      </c>
      <c r="E89">
        <f>SUMIFS('Hire Cycles'!$F$5:$F$1069,'Hire Cycles'!$A$5:$A$1069,A89,'Hire Cycles'!$B$5:$B$1069,C89,'Hire Cycles'!$G$5:$G$1069,1)</f>
        <v>168</v>
      </c>
      <c r="F89">
        <f>SUMIFS('Invoice Lines'!$J$5:$J$2542,'Invoice Lines'!$H$5:$H$2542,A89,'Invoice Lines'!$Q$5:$Q$2542,"HIRE-"&amp;C89,'Invoice Lines'!$M$5:$M$2542,1,'Invoice Lines'!$K$5:$K$2542,"&gt;0")</f>
        <v>168</v>
      </c>
      <c r="G89">
        <f>E89-F89</f>
        <v>0</v>
      </c>
      <c r="H89" s="9">
        <f>ROUND(G89*D89,2)</f>
        <v>0</v>
      </c>
      <c r="I89" s="9">
        <f>SUMIFS('Invoice Lines'!$K$5:$K$2542,'Invoice Lines'!$H$5:$H$2542,A89,'Invoice Lines'!$Q$5:$Q$2542,"HIRE-"&amp;C89,'Invoice Lines'!$M$5:$M$2542,1,'Invoice Lines'!$K$5:$K$2542,"&lt;0")</f>
        <v>0</v>
      </c>
      <c r="J89" t="n">
        <v>168</v>
      </c>
      <c r="K89" t="str">
        <f>IF(G89&gt;0,"Under-billed",IF(G89&lt;0,"Over-billed","Agrees"))</f>
        <v>Agrees</v>
      </c>
      <c r="L89" t="inlineStr"/>
    </row>
    <row r="90">
      <c r="A90" t="inlineStr">
        <is>
          <t>S0065</t>
        </is>
      </c>
      <c r="B90" t="inlineStr">
        <is>
          <t>Southbank Claims Services Pty Ltd</t>
        </is>
      </c>
      <c r="C90" t="inlineStr">
        <is>
          <t>FP</t>
        </is>
      </c>
      <c r="D90" s="9" t="n">
        <v>4.5</v>
      </c>
      <c r="E90">
        <f>SUMIFS('Hire Cycles'!$F$5:$F$1069,'Hire Cycles'!$A$5:$A$1069,A90,'Hire Cycles'!$B$5:$B$1069,C90,'Hire Cycles'!$G$5:$G$1069,1)</f>
        <v>3292</v>
      </c>
      <c r="F90">
        <f>SUMIFS('Invoice Lines'!$J$5:$J$2542,'Invoice Lines'!$H$5:$H$2542,A90,'Invoice Lines'!$Q$5:$Q$2542,"HIRE-"&amp;C90,'Invoice Lines'!$M$5:$M$2542,1,'Invoice Lines'!$K$5:$K$2542,"&gt;0")</f>
        <v>2860</v>
      </c>
      <c r="G90">
        <f>E90-F90</f>
        <v>432</v>
      </c>
      <c r="H90" s="9">
        <f>ROUND(G90*D90,2)</f>
        <v>1944</v>
      </c>
      <c r="I90" s="9">
        <f>SUMIFS('Invoice Lines'!$K$5:$K$2542,'Invoice Lines'!$H$5:$H$2542,A90,'Invoice Lines'!$Q$5:$Q$2542,"HIRE-"&amp;C90,'Invoice Lines'!$M$5:$M$2542,1,'Invoice Lines'!$K$5:$K$2542,"&lt;0")</f>
        <v>0</v>
      </c>
      <c r="J90" t="n">
        <v>0</v>
      </c>
      <c r="K90" t="str">
        <f>IF(G90&gt;0,"Under-billed",IF(G90&lt;0,"Over-billed","Agrees"))</f>
        <v>Under-billed</v>
      </c>
      <c r="L90" t="inlineStr"/>
    </row>
    <row r="91">
      <c r="A91" t="inlineStr">
        <is>
          <t>S0066</t>
        </is>
      </c>
      <c r="B91" t="inlineStr">
        <is>
          <t>Maribyrnong City Council</t>
        </is>
      </c>
      <c r="C91" t="inlineStr">
        <is>
          <t>FP</t>
        </is>
      </c>
      <c r="D91" s="9" t="n">
        <v>4.5</v>
      </c>
      <c r="E91">
        <f>SUMIFS('Hire Cycles'!$F$5:$F$1069,'Hire Cycles'!$A$5:$A$1069,A91,'Hire Cycles'!$B$5:$B$1069,C91,'Hire Cycles'!$G$5:$G$1069,1)</f>
        <v>1293</v>
      </c>
      <c r="F91">
        <f>SUMIFS('Invoice Lines'!$J$5:$J$2542,'Invoice Lines'!$H$5:$H$2542,A91,'Invoice Lines'!$Q$5:$Q$2542,"HIRE-"&amp;C91,'Invoice Lines'!$M$5:$M$2542,1,'Invoice Lines'!$K$5:$K$2542,"&gt;0")</f>
        <v>1320</v>
      </c>
      <c r="G91">
        <f>E91-F91</f>
        <v>-27</v>
      </c>
      <c r="H91" s="9">
        <f>ROUND(G91*D91,2)</f>
        <v>-121.5</v>
      </c>
      <c r="I91" s="9">
        <f>SUMIFS('Invoice Lines'!$K$5:$K$2542,'Invoice Lines'!$H$5:$H$2542,A91,'Invoice Lines'!$Q$5:$Q$2542,"HIRE-"&amp;C91,'Invoice Lines'!$M$5:$M$2542,1,'Invoice Lines'!$K$5:$K$2542,"&lt;0")</f>
        <v>0</v>
      </c>
      <c r="J91" t="n">
        <v>0</v>
      </c>
      <c r="K91" t="str">
        <f>IF(G91&gt;0,"Under-billed",IF(G91&lt;0,"Over-billed","Agrees"))</f>
        <v>Over-billed</v>
      </c>
      <c r="L91" t="inlineStr">
        <is>
          <t>Yes</t>
        </is>
      </c>
    </row>
    <row r="92">
      <c r="A92" t="inlineStr">
        <is>
          <t>S0067</t>
        </is>
      </c>
      <c r="B92" t="inlineStr">
        <is>
          <t>Highpoint Projects</t>
        </is>
      </c>
      <c r="C92" t="inlineStr">
        <is>
          <t>FP</t>
        </is>
      </c>
      <c r="D92" s="9" t="n">
        <v>4.5</v>
      </c>
      <c r="E92">
        <f>SUMIFS('Hire Cycles'!$F$5:$F$1069,'Hire Cycles'!$A$5:$A$1069,A92,'Hire Cycles'!$B$5:$B$1069,C92,'Hire Cycles'!$G$5:$G$1069,1)</f>
        <v>544</v>
      </c>
      <c r="F92">
        <f>SUMIFS('Invoice Lines'!$J$5:$J$2542,'Invoice Lines'!$H$5:$H$2542,A92,'Invoice Lines'!$Q$5:$Q$2542,"HIRE-"&amp;C92,'Invoice Lines'!$M$5:$M$2542,1,'Invoice Lines'!$K$5:$K$2542,"&gt;0")</f>
        <v>544</v>
      </c>
      <c r="G92">
        <f>E92-F92</f>
        <v>0</v>
      </c>
      <c r="H92" s="9">
        <f>ROUND(G92*D92,2)</f>
        <v>0</v>
      </c>
      <c r="I92" s="9">
        <f>SUMIFS('Invoice Lines'!$K$5:$K$2542,'Invoice Lines'!$H$5:$H$2542,A92,'Invoice Lines'!$Q$5:$Q$2542,"HIRE-"&amp;C92,'Invoice Lines'!$M$5:$M$2542,1,'Invoice Lines'!$K$5:$K$2542,"&lt;0")</f>
        <v>0</v>
      </c>
      <c r="J92" t="n">
        <v>0</v>
      </c>
      <c r="K92" t="str">
        <f>IF(G92&gt;0,"Under-billed",IF(G92&lt;0,"Over-billed","Agrees"))</f>
        <v>Agrees</v>
      </c>
      <c r="L92" t="inlineStr"/>
    </row>
    <row r="93">
      <c r="A93" t="inlineStr">
        <is>
          <t>S0068</t>
        </is>
      </c>
      <c r="B93" t="inlineStr">
        <is>
          <t>Cobalt Constructions Pty Ltd</t>
        </is>
      </c>
      <c r="C93" t="inlineStr">
        <is>
          <t>FP</t>
        </is>
      </c>
      <c r="D93" s="9" t="n">
        <v>4.5</v>
      </c>
      <c r="E93">
        <f>SUMIFS('Hire Cycles'!$F$5:$F$1069,'Hire Cycles'!$A$5:$A$1069,A93,'Hire Cycles'!$B$5:$B$1069,C93,'Hire Cycles'!$G$5:$G$1069,1)</f>
        <v>646</v>
      </c>
      <c r="F93">
        <f>SUMIFS('Invoice Lines'!$J$5:$J$2542,'Invoice Lines'!$H$5:$H$2542,A93,'Invoice Lines'!$Q$5:$Q$2542,"HIRE-"&amp;C93,'Invoice Lines'!$M$5:$M$2542,1,'Invoice Lines'!$K$5:$K$2542,"&gt;0")</f>
        <v>608</v>
      </c>
      <c r="G93">
        <f>E93-F93</f>
        <v>38</v>
      </c>
      <c r="H93" s="9">
        <f>ROUND(G93*D93,2)</f>
        <v>171</v>
      </c>
      <c r="I93" s="9">
        <f>SUMIFS('Invoice Lines'!$K$5:$K$2542,'Invoice Lines'!$H$5:$H$2542,A93,'Invoice Lines'!$Q$5:$Q$2542,"HIRE-"&amp;C93,'Invoice Lines'!$M$5:$M$2542,1,'Invoice Lines'!$K$5:$K$2542,"&lt;0")</f>
        <v>0</v>
      </c>
      <c r="J93" t="n">
        <v>0</v>
      </c>
      <c r="K93" t="str">
        <f>IF(G93&gt;0,"Under-billed",IF(G93&lt;0,"Over-billed","Agrees"))</f>
        <v>Under-billed</v>
      </c>
      <c r="L93" t="inlineStr"/>
    </row>
    <row r="94">
      <c r="A94" t="inlineStr">
        <is>
          <t>S0069</t>
        </is>
      </c>
      <c r="B94" t="inlineStr">
        <is>
          <t>Eastlink Developments</t>
        </is>
      </c>
      <c r="C94" t="inlineStr">
        <is>
          <t>FP</t>
        </is>
      </c>
      <c r="D94" s="9" t="n">
        <v>4.5</v>
      </c>
      <c r="E94">
        <f>SUMIFS('Hire Cycles'!$F$5:$F$1069,'Hire Cycles'!$A$5:$A$1069,A94,'Hire Cycles'!$B$5:$B$1069,C94,'Hire Cycles'!$G$5:$G$1069,1)</f>
        <v>312</v>
      </c>
      <c r="F94">
        <f>SUMIFS('Invoice Lines'!$J$5:$J$2542,'Invoice Lines'!$H$5:$H$2542,A94,'Invoice Lines'!$Q$5:$Q$2542,"HIRE-"&amp;C94,'Invoice Lines'!$M$5:$M$2542,1,'Invoice Lines'!$K$5:$K$2542,"&gt;0")</f>
        <v>312</v>
      </c>
      <c r="G94">
        <f>E94-F94</f>
        <v>0</v>
      </c>
      <c r="H94" s="9">
        <f>ROUND(G94*D94,2)</f>
        <v>0</v>
      </c>
      <c r="I94" s="9">
        <f>SUMIFS('Invoice Lines'!$K$5:$K$2542,'Invoice Lines'!$H$5:$H$2542,A94,'Invoice Lines'!$Q$5:$Q$2542,"HIRE-"&amp;C94,'Invoice Lines'!$M$5:$M$2542,1,'Invoice Lines'!$K$5:$K$2542,"&lt;0")</f>
        <v>0</v>
      </c>
      <c r="J94" t="n">
        <v>0</v>
      </c>
      <c r="K94" t="str">
        <f>IF(G94&gt;0,"Under-billed",IF(G94&lt;0,"Over-billed","Agrees"))</f>
        <v>Agrees</v>
      </c>
      <c r="L94" t="inlineStr"/>
    </row>
    <row r="95">
      <c r="A95" t="inlineStr">
        <is>
          <t>S0070</t>
        </is>
      </c>
      <c r="B95" t="inlineStr">
        <is>
          <t>Maribyrnong City Council</t>
        </is>
      </c>
      <c r="C95" t="inlineStr">
        <is>
          <t>FP</t>
        </is>
      </c>
      <c r="D95" s="9" t="n">
        <v>4.5</v>
      </c>
      <c r="E95">
        <f>SUMIFS('Hire Cycles'!$F$5:$F$1069,'Hire Cycles'!$A$5:$A$1069,A95,'Hire Cycles'!$B$5:$B$1069,C95,'Hire Cycles'!$G$5:$G$1069,1)</f>
        <v>116</v>
      </c>
      <c r="F95">
        <f>SUMIFS('Invoice Lines'!$J$5:$J$2542,'Invoice Lines'!$H$5:$H$2542,A95,'Invoice Lines'!$Q$5:$Q$2542,"HIRE-"&amp;C95,'Invoice Lines'!$M$5:$M$2542,1,'Invoice Lines'!$K$5:$K$2542,"&gt;0")</f>
        <v>0</v>
      </c>
      <c r="G95">
        <f>E95-F95</f>
        <v>116</v>
      </c>
      <c r="H95" s="9">
        <f>ROUND(G95*D95,2)</f>
        <v>522</v>
      </c>
      <c r="I95" s="9">
        <f>SUMIFS('Invoice Lines'!$K$5:$K$2542,'Invoice Lines'!$H$5:$H$2542,A95,'Invoice Lines'!$Q$5:$Q$2542,"HIRE-"&amp;C95,'Invoice Lines'!$M$5:$M$2542,1,'Invoice Lines'!$K$5:$K$2542,"&lt;0")</f>
        <v>0</v>
      </c>
      <c r="J95" t="n">
        <v>116</v>
      </c>
      <c r="K95" t="str">
        <f>IF(G95&gt;0,"Under-billed",IF(G95&lt;0,"Over-billed","Agrees"))</f>
        <v>Under-billed</v>
      </c>
      <c r="L95" t="inlineStr"/>
    </row>
    <row r="96">
      <c r="A96" t="inlineStr">
        <is>
          <t>S0071</t>
        </is>
      </c>
      <c r="B96" t="inlineStr">
        <is>
          <t>Corner Events Pty Ltd</t>
        </is>
      </c>
      <c r="C96" t="inlineStr">
        <is>
          <t>FP</t>
        </is>
      </c>
      <c r="D96" s="9" t="n">
        <v>4.5</v>
      </c>
      <c r="E96">
        <f>SUMIFS('Hire Cycles'!$F$5:$F$1069,'Hire Cycles'!$A$5:$A$1069,A96,'Hire Cycles'!$B$5:$B$1069,C96,'Hire Cycles'!$G$5:$G$1069,1)</f>
        <v>246</v>
      </c>
      <c r="F96">
        <f>SUMIFS('Invoice Lines'!$J$5:$J$2542,'Invoice Lines'!$H$5:$H$2542,A96,'Invoice Lines'!$Q$5:$Q$2542,"HIRE-"&amp;C96,'Invoice Lines'!$M$5:$M$2542,1,'Invoice Lines'!$K$5:$K$2542,"&gt;0")</f>
        <v>246</v>
      </c>
      <c r="G96">
        <f>E96-F96</f>
        <v>0</v>
      </c>
      <c r="H96" s="9">
        <f>ROUND(G96*D96,2)</f>
        <v>0</v>
      </c>
      <c r="I96" s="9">
        <f>SUMIFS('Invoice Lines'!$K$5:$K$2542,'Invoice Lines'!$H$5:$H$2542,A96,'Invoice Lines'!$Q$5:$Q$2542,"HIRE-"&amp;C96,'Invoice Lines'!$M$5:$M$2542,1,'Invoice Lines'!$K$5:$K$2542,"&lt;0")</f>
        <v>0</v>
      </c>
      <c r="J96" t="n">
        <v>0</v>
      </c>
      <c r="K96" t="str">
        <f>IF(G96&gt;0,"Under-billed",IF(G96&lt;0,"Over-billed","Agrees"))</f>
        <v>Agrees</v>
      </c>
      <c r="L96" t="inlineStr"/>
    </row>
    <row r="97">
      <c r="A97" t="inlineStr">
        <is>
          <t>S0072</t>
        </is>
      </c>
      <c r="B97" t="inlineStr">
        <is>
          <t>Parkview Homes Pty Ltd</t>
        </is>
      </c>
      <c r="C97" t="inlineStr">
        <is>
          <t>FP</t>
        </is>
      </c>
      <c r="D97" s="9" t="n">
        <v>4.5</v>
      </c>
      <c r="E97">
        <f>SUMIFS('Hire Cycles'!$F$5:$F$1069,'Hire Cycles'!$A$5:$A$1069,A97,'Hire Cycles'!$B$5:$B$1069,C97,'Hire Cycles'!$G$5:$G$1069,1)</f>
        <v>189</v>
      </c>
      <c r="F97">
        <f>SUMIFS('Invoice Lines'!$J$5:$J$2542,'Invoice Lines'!$H$5:$H$2542,A97,'Invoice Lines'!$Q$5:$Q$2542,"HIRE-"&amp;C97,'Invoice Lines'!$M$5:$M$2542,1,'Invoice Lines'!$K$5:$K$2542,"&gt;0")</f>
        <v>189</v>
      </c>
      <c r="G97">
        <f>E97-F97</f>
        <v>0</v>
      </c>
      <c r="H97" s="9">
        <f>ROUND(G97*D97,2)</f>
        <v>0</v>
      </c>
      <c r="I97" s="9">
        <f>SUMIFS('Invoice Lines'!$K$5:$K$2542,'Invoice Lines'!$H$5:$H$2542,A97,'Invoice Lines'!$Q$5:$Q$2542,"HIRE-"&amp;C97,'Invoice Lines'!$M$5:$M$2542,1,'Invoice Lines'!$K$5:$K$2542,"&lt;0")</f>
        <v>0</v>
      </c>
      <c r="J97" t="n">
        <v>0</v>
      </c>
      <c r="K97" t="str">
        <f>IF(G97&gt;0,"Under-billed",IF(G97&lt;0,"Over-billed","Agrees"))</f>
        <v>Agrees</v>
      </c>
      <c r="L97" t="inlineStr"/>
    </row>
    <row r="98">
      <c r="A98" t="inlineStr">
        <is>
          <t>S0073</t>
        </is>
      </c>
      <c r="B98" t="inlineStr">
        <is>
          <t>Wattle Constructions Pty Ltd</t>
        </is>
      </c>
      <c r="C98" t="inlineStr">
        <is>
          <t>BR</t>
        </is>
      </c>
      <c r="D98" s="9" t="n">
        <v>3.2</v>
      </c>
      <c r="E98">
        <f>SUMIFS('Hire Cycles'!$F$5:$F$1069,'Hire Cycles'!$A$5:$A$1069,A98,'Hire Cycles'!$B$5:$B$1069,C98,'Hire Cycles'!$G$5:$G$1069,1)</f>
        <v>184</v>
      </c>
      <c r="F98">
        <f>SUMIFS('Invoice Lines'!$J$5:$J$2542,'Invoice Lines'!$H$5:$H$2542,A98,'Invoice Lines'!$Q$5:$Q$2542,"HIRE-"&amp;C98,'Invoice Lines'!$M$5:$M$2542,1,'Invoice Lines'!$K$5:$K$2542,"&gt;0")</f>
        <v>184</v>
      </c>
      <c r="G98">
        <f>E98-F98</f>
        <v>0</v>
      </c>
      <c r="H98" s="9">
        <f>ROUND(G98*D98,2)</f>
        <v>0</v>
      </c>
      <c r="I98" s="9">
        <f>SUMIFS('Invoice Lines'!$K$5:$K$2542,'Invoice Lines'!$H$5:$H$2542,A98,'Invoice Lines'!$Q$5:$Q$2542,"HIRE-"&amp;C98,'Invoice Lines'!$M$5:$M$2542,1,'Invoice Lines'!$K$5:$K$2542,"&lt;0")</f>
        <v>0</v>
      </c>
      <c r="J98" t="n">
        <v>23</v>
      </c>
      <c r="K98" t="str">
        <f>IF(G98&gt;0,"Under-billed",IF(G98&lt;0,"Over-billed","Agrees"))</f>
        <v>Agrees</v>
      </c>
      <c r="L98" t="inlineStr"/>
    </row>
    <row r="99">
      <c r="A99" t="inlineStr">
        <is>
          <t>S0073</t>
        </is>
      </c>
      <c r="B99" t="inlineStr">
        <is>
          <t>Wattle Constructions Pty Ltd</t>
        </is>
      </c>
      <c r="C99" t="inlineStr">
        <is>
          <t>FP</t>
        </is>
      </c>
      <c r="D99" s="9" t="n">
        <v>4.5</v>
      </c>
      <c r="E99">
        <f>SUMIFS('Hire Cycles'!$F$5:$F$1069,'Hire Cycles'!$A$5:$A$1069,A99,'Hire Cycles'!$B$5:$B$1069,C99,'Hire Cycles'!$G$5:$G$1069,1)</f>
        <v>560</v>
      </c>
      <c r="F99">
        <f>SUMIFS('Invoice Lines'!$J$5:$J$2542,'Invoice Lines'!$H$5:$H$2542,A99,'Invoice Lines'!$Q$5:$Q$2542,"HIRE-"&amp;C99,'Invoice Lines'!$M$5:$M$2542,1,'Invoice Lines'!$K$5:$K$2542,"&gt;0")</f>
        <v>560</v>
      </c>
      <c r="G99">
        <f>E99-F99</f>
        <v>0</v>
      </c>
      <c r="H99" s="9">
        <f>ROUND(G99*D99,2)</f>
        <v>0</v>
      </c>
      <c r="I99" s="9">
        <f>SUMIFS('Invoice Lines'!$K$5:$K$2542,'Invoice Lines'!$H$5:$H$2542,A99,'Invoice Lines'!$Q$5:$Q$2542,"HIRE-"&amp;C99,'Invoice Lines'!$M$5:$M$2542,1,'Invoice Lines'!$K$5:$K$2542,"&lt;0")</f>
        <v>0</v>
      </c>
      <c r="J99" t="n">
        <v>70</v>
      </c>
      <c r="K99" t="str">
        <f>IF(G99&gt;0,"Under-billed",IF(G99&lt;0,"Over-billed","Agrees"))</f>
        <v>Agrees</v>
      </c>
      <c r="L99" t="inlineStr"/>
    </row>
    <row r="100">
      <c r="A100" t="inlineStr">
        <is>
          <t>S0074</t>
        </is>
      </c>
      <c r="B100" t="inlineStr">
        <is>
          <t>Highpoint Projects</t>
        </is>
      </c>
      <c r="C100" t="inlineStr">
        <is>
          <t>FP</t>
        </is>
      </c>
      <c r="D100" s="9" t="n">
        <v>4.5</v>
      </c>
      <c r="E100">
        <f>SUMIFS('Hire Cycles'!$F$5:$F$1069,'Hire Cycles'!$A$5:$A$1069,A100,'Hire Cycles'!$B$5:$B$1069,C100,'Hire Cycles'!$G$5:$G$1069,1)</f>
        <v>847</v>
      </c>
      <c r="F100">
        <f>SUMIFS('Invoice Lines'!$J$5:$J$2542,'Invoice Lines'!$H$5:$H$2542,A100,'Invoice Lines'!$Q$5:$Q$2542,"HIRE-"&amp;C100,'Invoice Lines'!$M$5:$M$2542,1,'Invoice Lines'!$K$5:$K$2542,"&gt;0")</f>
        <v>784</v>
      </c>
      <c r="G100">
        <f>E100-F100</f>
        <v>63</v>
      </c>
      <c r="H100" s="9">
        <f>ROUND(G100*D100,2)</f>
        <v>283.5</v>
      </c>
      <c r="I100" s="9">
        <f>SUMIFS('Invoice Lines'!$K$5:$K$2542,'Invoice Lines'!$H$5:$H$2542,A100,'Invoice Lines'!$Q$5:$Q$2542,"HIRE-"&amp;C100,'Invoice Lines'!$M$5:$M$2542,1,'Invoice Lines'!$K$5:$K$2542,"&lt;0")</f>
        <v>0</v>
      </c>
      <c r="J100" t="n">
        <v>0</v>
      </c>
      <c r="K100" t="str">
        <f>IF(G100&gt;0,"Under-billed",IF(G100&lt;0,"Over-billed","Agrees"))</f>
        <v>Under-billed</v>
      </c>
      <c r="L100" t="inlineStr"/>
    </row>
    <row r="101">
      <c r="A101" t="inlineStr">
        <is>
          <t>S0075</t>
        </is>
      </c>
      <c r="B101" t="inlineStr">
        <is>
          <t>Coastline Developments Pty Ltd</t>
        </is>
      </c>
      <c r="C101" t="inlineStr">
        <is>
          <t>BR</t>
        </is>
      </c>
      <c r="D101" s="9" t="n">
        <v>3.2</v>
      </c>
      <c r="E101">
        <f>SUMIFS('Hire Cycles'!$F$5:$F$1069,'Hire Cycles'!$A$5:$A$1069,A101,'Hire Cycles'!$B$5:$B$1069,C101,'Hire Cycles'!$G$5:$G$1069,1)</f>
        <v>8</v>
      </c>
      <c r="F101">
        <f>SUMIFS('Invoice Lines'!$J$5:$J$2542,'Invoice Lines'!$H$5:$H$2542,A101,'Invoice Lines'!$Q$5:$Q$2542,"HIRE-"&amp;C101,'Invoice Lines'!$M$5:$M$2542,1,'Invoice Lines'!$K$5:$K$2542,"&gt;0")</f>
        <v>8</v>
      </c>
      <c r="G101">
        <f>E101-F101</f>
        <v>0</v>
      </c>
      <c r="H101" s="9">
        <f>ROUND(G101*D101,2)</f>
        <v>0</v>
      </c>
      <c r="I101" s="9">
        <f>SUMIFS('Invoice Lines'!$K$5:$K$2542,'Invoice Lines'!$H$5:$H$2542,A101,'Invoice Lines'!$Q$5:$Q$2542,"HIRE-"&amp;C101,'Invoice Lines'!$M$5:$M$2542,1,'Invoice Lines'!$K$5:$K$2542,"&lt;0")</f>
        <v>0</v>
      </c>
      <c r="J101" t="n">
        <v>0</v>
      </c>
      <c r="K101" t="str">
        <f>IF(G101&gt;0,"Under-billed",IF(G101&lt;0,"Over-billed","Agrees"))</f>
        <v>Agrees</v>
      </c>
      <c r="L101" t="inlineStr"/>
    </row>
    <row r="102">
      <c r="A102" t="inlineStr">
        <is>
          <t>S0075</t>
        </is>
      </c>
      <c r="B102" t="inlineStr">
        <is>
          <t>Coastline Developments Pty Ltd</t>
        </is>
      </c>
      <c r="C102" t="inlineStr">
        <is>
          <t>FP</t>
        </is>
      </c>
      <c r="D102" s="9" t="n">
        <v>4.5</v>
      </c>
      <c r="E102">
        <f>SUMIFS('Hire Cycles'!$F$5:$F$1069,'Hire Cycles'!$A$5:$A$1069,A102,'Hire Cycles'!$B$5:$B$1069,C102,'Hire Cycles'!$G$5:$G$1069,1)</f>
        <v>70</v>
      </c>
      <c r="F102">
        <f>SUMIFS('Invoice Lines'!$J$5:$J$2542,'Invoice Lines'!$H$5:$H$2542,A102,'Invoice Lines'!$Q$5:$Q$2542,"HIRE-"&amp;C102,'Invoice Lines'!$M$5:$M$2542,1,'Invoice Lines'!$K$5:$K$2542,"&gt;0")</f>
        <v>70</v>
      </c>
      <c r="G102">
        <f>E102-F102</f>
        <v>0</v>
      </c>
      <c r="H102" s="9">
        <f>ROUND(G102*D102,2)</f>
        <v>0</v>
      </c>
      <c r="I102" s="9">
        <f>SUMIFS('Invoice Lines'!$K$5:$K$2542,'Invoice Lines'!$H$5:$H$2542,A102,'Invoice Lines'!$Q$5:$Q$2542,"HIRE-"&amp;C102,'Invoice Lines'!$M$5:$M$2542,1,'Invoice Lines'!$K$5:$K$2542,"&lt;0")</f>
        <v>0</v>
      </c>
      <c r="J102" t="n">
        <v>0</v>
      </c>
      <c r="K102" t="str">
        <f>IF(G102&gt;0,"Under-billed",IF(G102&lt;0,"Over-billed","Agrees"))</f>
        <v>Agrees</v>
      </c>
      <c r="L102" t="inlineStr"/>
    </row>
    <row r="103">
      <c r="A103" t="inlineStr">
        <is>
          <t>S0076</t>
        </is>
      </c>
      <c r="B103" t="inlineStr">
        <is>
          <t>Coastline Projects Pty Ltd</t>
        </is>
      </c>
      <c r="C103" t="inlineStr">
        <is>
          <t>FP</t>
        </is>
      </c>
      <c r="D103" s="9" t="n">
        <v>4.5</v>
      </c>
      <c r="E103">
        <f>SUMIFS('Hire Cycles'!$F$5:$F$1069,'Hire Cycles'!$A$5:$A$1069,A103,'Hire Cycles'!$B$5:$B$1069,C103,'Hire Cycles'!$G$5:$G$1069,1)</f>
        <v>76</v>
      </c>
      <c r="F103">
        <f>SUMIFS('Invoice Lines'!$J$5:$J$2542,'Invoice Lines'!$H$5:$H$2542,A103,'Invoice Lines'!$Q$5:$Q$2542,"HIRE-"&amp;C103,'Invoice Lines'!$M$5:$M$2542,1,'Invoice Lines'!$K$5:$K$2542,"&gt;0")</f>
        <v>76</v>
      </c>
      <c r="G103">
        <f>E103-F103</f>
        <v>0</v>
      </c>
      <c r="H103" s="9">
        <f>ROUND(G103*D103,2)</f>
        <v>0</v>
      </c>
      <c r="I103" s="9">
        <f>SUMIFS('Invoice Lines'!$K$5:$K$2542,'Invoice Lines'!$H$5:$H$2542,A103,'Invoice Lines'!$Q$5:$Q$2542,"HIRE-"&amp;C103,'Invoice Lines'!$M$5:$M$2542,1,'Invoice Lines'!$K$5:$K$2542,"&lt;0")</f>
        <v>0</v>
      </c>
      <c r="J103" t="n">
        <v>0</v>
      </c>
      <c r="K103" t="str">
        <f>IF(G103&gt;0,"Under-billed",IF(G103&lt;0,"Over-billed","Agrees"))</f>
        <v>Agrees</v>
      </c>
      <c r="L103" t="inlineStr"/>
    </row>
    <row r="104">
      <c r="A104" t="inlineStr">
        <is>
          <t>S0077</t>
        </is>
      </c>
      <c r="B104" t="inlineStr">
        <is>
          <t>Cobalt Developments Pty Ltd</t>
        </is>
      </c>
      <c r="C104" t="inlineStr">
        <is>
          <t>BR</t>
        </is>
      </c>
      <c r="D104" s="9" t="n">
        <v>3.2</v>
      </c>
      <c r="E104">
        <f>SUMIFS('Hire Cycles'!$F$5:$F$1069,'Hire Cycles'!$A$5:$A$1069,A104,'Hire Cycles'!$B$5:$B$1069,C104,'Hire Cycles'!$G$5:$G$1069,1)</f>
        <v>84</v>
      </c>
      <c r="F104">
        <f>SUMIFS('Invoice Lines'!$J$5:$J$2542,'Invoice Lines'!$H$5:$H$2542,A104,'Invoice Lines'!$Q$5:$Q$2542,"HIRE-"&amp;C104,'Invoice Lines'!$M$5:$M$2542,1,'Invoice Lines'!$K$5:$K$2542,"&gt;0")</f>
        <v>84</v>
      </c>
      <c r="G104">
        <f>E104-F104</f>
        <v>0</v>
      </c>
      <c r="H104" s="9">
        <f>ROUND(G104*D104,2)</f>
        <v>0</v>
      </c>
      <c r="I104" s="9">
        <f>SUMIFS('Invoice Lines'!$K$5:$K$2542,'Invoice Lines'!$H$5:$H$2542,A104,'Invoice Lines'!$Q$5:$Q$2542,"HIRE-"&amp;C104,'Invoice Lines'!$M$5:$M$2542,1,'Invoice Lines'!$K$5:$K$2542,"&lt;0")</f>
        <v>0</v>
      </c>
      <c r="J104" t="n">
        <v>0</v>
      </c>
      <c r="K104" t="str">
        <f>IF(G104&gt;0,"Under-billed",IF(G104&lt;0,"Over-billed","Agrees"))</f>
        <v>Agrees</v>
      </c>
      <c r="L104" t="inlineStr"/>
    </row>
    <row r="105">
      <c r="A105" t="inlineStr">
        <is>
          <t>S0077</t>
        </is>
      </c>
      <c r="B105" t="inlineStr">
        <is>
          <t>Cobalt Developments Pty Ltd</t>
        </is>
      </c>
      <c r="C105" t="inlineStr">
        <is>
          <t>FP</t>
        </is>
      </c>
      <c r="D105" s="9" t="n">
        <v>4.5</v>
      </c>
      <c r="E105">
        <f>SUMIFS('Hire Cycles'!$F$5:$F$1069,'Hire Cycles'!$A$5:$A$1069,A105,'Hire Cycles'!$B$5:$B$1069,C105,'Hire Cycles'!$G$5:$G$1069,1)</f>
        <v>198</v>
      </c>
      <c r="F105">
        <f>SUMIFS('Invoice Lines'!$J$5:$J$2542,'Invoice Lines'!$H$5:$H$2542,A105,'Invoice Lines'!$Q$5:$Q$2542,"HIRE-"&amp;C105,'Invoice Lines'!$M$5:$M$2542,1,'Invoice Lines'!$K$5:$K$2542,"&gt;0")</f>
        <v>198</v>
      </c>
      <c r="G105">
        <f>E105-F105</f>
        <v>0</v>
      </c>
      <c r="H105" s="9">
        <f>ROUND(G105*D105,2)</f>
        <v>0</v>
      </c>
      <c r="I105" s="9">
        <f>SUMIFS('Invoice Lines'!$K$5:$K$2542,'Invoice Lines'!$H$5:$H$2542,A105,'Invoice Lines'!$Q$5:$Q$2542,"HIRE-"&amp;C105,'Invoice Lines'!$M$5:$M$2542,1,'Invoice Lines'!$K$5:$K$2542,"&lt;0")</f>
        <v>0</v>
      </c>
      <c r="J105" t="n">
        <v>0</v>
      </c>
      <c r="K105" t="str">
        <f>IF(G105&gt;0,"Under-billed",IF(G105&lt;0,"Over-billed","Agrees"))</f>
        <v>Agrees</v>
      </c>
      <c r="L105" t="inlineStr"/>
    </row>
    <row r="106">
      <c r="A106" t="inlineStr">
        <is>
          <t>S0078</t>
        </is>
      </c>
      <c r="B106" t="inlineStr">
        <is>
          <t>Cobalt Constructions Pty Ltd</t>
        </is>
      </c>
      <c r="C106" t="inlineStr">
        <is>
          <t>FP</t>
        </is>
      </c>
      <c r="D106" s="9" t="n">
        <v>4.5</v>
      </c>
      <c r="E106">
        <f>SUMIFS('Hire Cycles'!$F$5:$F$1069,'Hire Cycles'!$A$5:$A$1069,A106,'Hire Cycles'!$B$5:$B$1069,C106,'Hire Cycles'!$G$5:$G$1069,1)</f>
        <v>1160</v>
      </c>
      <c r="F106">
        <f>SUMIFS('Invoice Lines'!$J$5:$J$2542,'Invoice Lines'!$H$5:$H$2542,A106,'Invoice Lines'!$Q$5:$Q$2542,"HIRE-"&amp;C106,'Invoice Lines'!$M$5:$M$2542,1,'Invoice Lines'!$K$5:$K$2542,"&gt;0")</f>
        <v>1160</v>
      </c>
      <c r="G106">
        <f>E106-F106</f>
        <v>0</v>
      </c>
      <c r="H106" s="9">
        <f>ROUND(G106*D106,2)</f>
        <v>0</v>
      </c>
      <c r="I106" s="9">
        <f>SUMIFS('Invoice Lines'!$K$5:$K$2542,'Invoice Lines'!$H$5:$H$2542,A106,'Invoice Lines'!$Q$5:$Q$2542,"HIRE-"&amp;C106,'Invoice Lines'!$M$5:$M$2542,1,'Invoice Lines'!$K$5:$K$2542,"&lt;0")</f>
        <v>0</v>
      </c>
      <c r="J106" t="n">
        <v>0</v>
      </c>
      <c r="K106" t="str">
        <f>IF(G106&gt;0,"Under-billed",IF(G106&lt;0,"Over-billed","Agrees"))</f>
        <v>Agrees</v>
      </c>
      <c r="L106" t="inlineStr"/>
    </row>
    <row r="107">
      <c r="A107" t="inlineStr">
        <is>
          <t>S0079</t>
        </is>
      </c>
      <c r="B107" t="inlineStr">
        <is>
          <t>Wattle Constructions Pty Ltd</t>
        </is>
      </c>
      <c r="C107" t="inlineStr">
        <is>
          <t>BR</t>
        </is>
      </c>
      <c r="D107" s="9" t="n">
        <v>3.2</v>
      </c>
      <c r="E107">
        <f>SUMIFS('Hire Cycles'!$F$5:$F$1069,'Hire Cycles'!$A$5:$A$1069,A107,'Hire Cycles'!$B$5:$B$1069,C107,'Hire Cycles'!$G$5:$G$1069,1)</f>
        <v>16</v>
      </c>
      <c r="F107">
        <f>SUMIFS('Invoice Lines'!$J$5:$J$2542,'Invoice Lines'!$H$5:$H$2542,A107,'Invoice Lines'!$Q$5:$Q$2542,"HIRE-"&amp;C107,'Invoice Lines'!$M$5:$M$2542,1,'Invoice Lines'!$K$5:$K$2542,"&gt;0")</f>
        <v>16</v>
      </c>
      <c r="G107">
        <f>E107-F107</f>
        <v>0</v>
      </c>
      <c r="H107" s="9">
        <f>ROUND(G107*D107,2)</f>
        <v>0</v>
      </c>
      <c r="I107" s="9">
        <f>SUMIFS('Invoice Lines'!$K$5:$K$2542,'Invoice Lines'!$H$5:$H$2542,A107,'Invoice Lines'!$Q$5:$Q$2542,"HIRE-"&amp;C107,'Invoice Lines'!$M$5:$M$2542,1,'Invoice Lines'!$K$5:$K$2542,"&lt;0")</f>
        <v>0</v>
      </c>
      <c r="J107" t="n">
        <v>0</v>
      </c>
      <c r="K107" t="str">
        <f>IF(G107&gt;0,"Under-billed",IF(G107&lt;0,"Over-billed","Agrees"))</f>
        <v>Agrees</v>
      </c>
      <c r="L107" t="inlineStr"/>
    </row>
    <row r="108">
      <c r="A108" t="inlineStr">
        <is>
          <t>S0079</t>
        </is>
      </c>
      <c r="B108" t="inlineStr">
        <is>
          <t>Wattle Constructions Pty Ltd</t>
        </is>
      </c>
      <c r="C108" t="inlineStr">
        <is>
          <t>FP</t>
        </is>
      </c>
      <c r="D108" s="9" t="n">
        <v>4.5</v>
      </c>
      <c r="E108">
        <f>SUMIFS('Hire Cycles'!$F$5:$F$1069,'Hire Cycles'!$A$5:$A$1069,A108,'Hire Cycles'!$B$5:$B$1069,C108,'Hire Cycles'!$G$5:$G$1069,1)</f>
        <v>360</v>
      </c>
      <c r="F108">
        <f>SUMIFS('Invoice Lines'!$J$5:$J$2542,'Invoice Lines'!$H$5:$H$2542,A108,'Invoice Lines'!$Q$5:$Q$2542,"HIRE-"&amp;C108,'Invoice Lines'!$M$5:$M$2542,1,'Invoice Lines'!$K$5:$K$2542,"&gt;0")</f>
        <v>360</v>
      </c>
      <c r="G108">
        <f>E108-F108</f>
        <v>0</v>
      </c>
      <c r="H108" s="9">
        <f>ROUND(G108*D108,2)</f>
        <v>0</v>
      </c>
      <c r="I108" s="9">
        <f>SUMIFS('Invoice Lines'!$K$5:$K$2542,'Invoice Lines'!$H$5:$H$2542,A108,'Invoice Lines'!$Q$5:$Q$2542,"HIRE-"&amp;C108,'Invoice Lines'!$M$5:$M$2542,1,'Invoice Lines'!$K$5:$K$2542,"&lt;0")</f>
        <v>0</v>
      </c>
      <c r="J108" t="n">
        <v>0</v>
      </c>
      <c r="K108" t="str">
        <f>IF(G108&gt;0,"Under-billed",IF(G108&lt;0,"Over-billed","Agrees"))</f>
        <v>Agrees</v>
      </c>
      <c r="L108" t="inlineStr"/>
    </row>
    <row r="109">
      <c r="A109" t="inlineStr">
        <is>
          <t>S0080</t>
        </is>
      </c>
      <c r="B109" t="inlineStr">
        <is>
          <t>Highpoint Projects</t>
        </is>
      </c>
      <c r="C109" t="inlineStr">
        <is>
          <t>FP</t>
        </is>
      </c>
      <c r="D109" s="9" t="n">
        <v>4.5</v>
      </c>
      <c r="E109">
        <f>SUMIFS('Hire Cycles'!$F$5:$F$1069,'Hire Cycles'!$A$5:$A$1069,A109,'Hire Cycles'!$B$5:$B$1069,C109,'Hire Cycles'!$G$5:$G$1069,1)</f>
        <v>144</v>
      </c>
      <c r="F109">
        <f>SUMIFS('Invoice Lines'!$J$5:$J$2542,'Invoice Lines'!$H$5:$H$2542,A109,'Invoice Lines'!$Q$5:$Q$2542,"HIRE-"&amp;C109,'Invoice Lines'!$M$5:$M$2542,1,'Invoice Lines'!$K$5:$K$2542,"&gt;0")</f>
        <v>144</v>
      </c>
      <c r="G109">
        <f>E109-F109</f>
        <v>0</v>
      </c>
      <c r="H109" s="9">
        <f>ROUND(G109*D109,2)</f>
        <v>0</v>
      </c>
      <c r="I109" s="9">
        <f>SUMIFS('Invoice Lines'!$K$5:$K$2542,'Invoice Lines'!$H$5:$H$2542,A109,'Invoice Lines'!$Q$5:$Q$2542,"HIRE-"&amp;C109,'Invoice Lines'!$M$5:$M$2542,1,'Invoice Lines'!$K$5:$K$2542,"&lt;0")</f>
        <v>0</v>
      </c>
      <c r="J109" t="n">
        <v>0</v>
      </c>
      <c r="K109" t="str">
        <f>IF(G109&gt;0,"Under-billed",IF(G109&lt;0,"Over-billed","Agrees"))</f>
        <v>Agrees</v>
      </c>
      <c r="L109" t="inlineStr"/>
    </row>
    <row r="110">
      <c r="A110" t="inlineStr">
        <is>
          <t>S0081</t>
        </is>
      </c>
      <c r="B110" t="inlineStr">
        <is>
          <t>Oakridge Productions</t>
        </is>
      </c>
      <c r="C110" t="inlineStr">
        <is>
          <t>FP</t>
        </is>
      </c>
      <c r="D110" s="9" t="n">
        <v>4.5</v>
      </c>
      <c r="E110">
        <f>SUMIFS('Hire Cycles'!$F$5:$F$1069,'Hire Cycles'!$A$5:$A$1069,A110,'Hire Cycles'!$B$5:$B$1069,C110,'Hire Cycles'!$G$5:$G$1069,1)</f>
        <v>345</v>
      </c>
      <c r="F110">
        <f>SUMIFS('Invoice Lines'!$J$5:$J$2542,'Invoice Lines'!$H$5:$H$2542,A110,'Invoice Lines'!$Q$5:$Q$2542,"HIRE-"&amp;C110,'Invoice Lines'!$M$5:$M$2542,1,'Invoice Lines'!$K$5:$K$2542,"&gt;0")</f>
        <v>345</v>
      </c>
      <c r="G110">
        <f>E110-F110</f>
        <v>0</v>
      </c>
      <c r="H110" s="9">
        <f>ROUND(G110*D110,2)</f>
        <v>0</v>
      </c>
      <c r="I110" s="9">
        <f>SUMIFS('Invoice Lines'!$K$5:$K$2542,'Invoice Lines'!$H$5:$H$2542,A110,'Invoice Lines'!$Q$5:$Q$2542,"HIRE-"&amp;C110,'Invoice Lines'!$M$5:$M$2542,1,'Invoice Lines'!$K$5:$K$2542,"&lt;0")</f>
        <v>0</v>
      </c>
      <c r="J110" t="n">
        <v>0</v>
      </c>
      <c r="K110" t="str">
        <f>IF(G110&gt;0,"Under-billed",IF(G110&lt;0,"Over-billed","Agrees"))</f>
        <v>Agrees</v>
      </c>
      <c r="L110" t="inlineStr"/>
    </row>
    <row r="111">
      <c r="A111" t="inlineStr">
        <is>
          <t>S0082</t>
        </is>
      </c>
      <c r="B111" t="inlineStr">
        <is>
          <t>Banyule City Council</t>
        </is>
      </c>
      <c r="C111" t="inlineStr">
        <is>
          <t>FP</t>
        </is>
      </c>
      <c r="D111" s="9" t="n">
        <v>4.5</v>
      </c>
      <c r="E111">
        <f>SUMIFS('Hire Cycles'!$F$5:$F$1069,'Hire Cycles'!$A$5:$A$1069,A111,'Hire Cycles'!$B$5:$B$1069,C111,'Hire Cycles'!$G$5:$G$1069,1)</f>
        <v>4266</v>
      </c>
      <c r="F111">
        <f>SUMIFS('Invoice Lines'!$J$5:$J$2542,'Invoice Lines'!$H$5:$H$2542,A111,'Invoice Lines'!$Q$5:$Q$2542,"HIRE-"&amp;C111,'Invoice Lines'!$M$5:$M$2542,1,'Invoice Lines'!$K$5:$K$2542,"&gt;0")</f>
        <v>4266</v>
      </c>
      <c r="G111">
        <f>E111-F111</f>
        <v>0</v>
      </c>
      <c r="H111" s="9">
        <f>ROUND(G111*D111,2)</f>
        <v>0</v>
      </c>
      <c r="I111" s="9">
        <f>SUMIFS('Invoice Lines'!$K$5:$K$2542,'Invoice Lines'!$H$5:$H$2542,A111,'Invoice Lines'!$Q$5:$Q$2542,"HIRE-"&amp;C111,'Invoice Lines'!$M$5:$M$2542,1,'Invoice Lines'!$K$5:$K$2542,"&lt;0")</f>
        <v>0</v>
      </c>
      <c r="J111" t="n">
        <v>0</v>
      </c>
      <c r="K111" t="str">
        <f>IF(G111&gt;0,"Under-billed",IF(G111&lt;0,"Over-billed","Agrees"))</f>
        <v>Agrees</v>
      </c>
      <c r="L111" t="inlineStr"/>
    </row>
    <row r="112">
      <c r="A112" t="inlineStr">
        <is>
          <t>S0083</t>
        </is>
      </c>
      <c r="B112" t="inlineStr">
        <is>
          <t>Parkview Projects Pty Ltd</t>
        </is>
      </c>
      <c r="C112" t="inlineStr">
        <is>
          <t>FP</t>
        </is>
      </c>
      <c r="D112" s="9" t="n">
        <v>4.5</v>
      </c>
      <c r="E112">
        <f>SUMIFS('Hire Cycles'!$F$5:$F$1069,'Hire Cycles'!$A$5:$A$1069,A112,'Hire Cycles'!$B$5:$B$1069,C112,'Hire Cycles'!$G$5:$G$1069,1)</f>
        <v>222</v>
      </c>
      <c r="F112">
        <f>SUMIFS('Invoice Lines'!$J$5:$J$2542,'Invoice Lines'!$H$5:$H$2542,A112,'Invoice Lines'!$Q$5:$Q$2542,"HIRE-"&amp;C112,'Invoice Lines'!$M$5:$M$2542,1,'Invoice Lines'!$K$5:$K$2542,"&gt;0")</f>
        <v>222</v>
      </c>
      <c r="G112">
        <f>E112-F112</f>
        <v>0</v>
      </c>
      <c r="H112" s="9">
        <f>ROUND(G112*D112,2)</f>
        <v>0</v>
      </c>
      <c r="I112" s="9">
        <f>SUMIFS('Invoice Lines'!$K$5:$K$2542,'Invoice Lines'!$H$5:$H$2542,A112,'Invoice Lines'!$Q$5:$Q$2542,"HIRE-"&amp;C112,'Invoice Lines'!$M$5:$M$2542,1,'Invoice Lines'!$K$5:$K$2542,"&lt;0")</f>
        <v>0</v>
      </c>
      <c r="J112" t="n">
        <v>0</v>
      </c>
      <c r="K112" t="str">
        <f>IF(G112&gt;0,"Under-billed",IF(G112&lt;0,"Over-billed","Agrees"))</f>
        <v>Agrees</v>
      </c>
      <c r="L112" t="inlineStr"/>
    </row>
    <row r="113">
      <c r="A113" t="inlineStr">
        <is>
          <t>S0084</t>
        </is>
      </c>
      <c r="B113" t="inlineStr">
        <is>
          <t>Lakeside Builders Pty Ltd</t>
        </is>
      </c>
      <c r="C113" t="inlineStr">
        <is>
          <t>FP</t>
        </is>
      </c>
      <c r="D113" s="9" t="n">
        <v>4.5</v>
      </c>
      <c r="E113">
        <f>SUMIFS('Hire Cycles'!$F$5:$F$1069,'Hire Cycles'!$A$5:$A$1069,A113,'Hire Cycles'!$B$5:$B$1069,C113,'Hire Cycles'!$G$5:$G$1069,1)</f>
        <v>288</v>
      </c>
      <c r="F113">
        <f>SUMIFS('Invoice Lines'!$J$5:$J$2542,'Invoice Lines'!$H$5:$H$2542,A113,'Invoice Lines'!$Q$5:$Q$2542,"HIRE-"&amp;C113,'Invoice Lines'!$M$5:$M$2542,1,'Invoice Lines'!$K$5:$K$2542,"&gt;0")</f>
        <v>288</v>
      </c>
      <c r="G113">
        <f>E113-F113</f>
        <v>0</v>
      </c>
      <c r="H113" s="9">
        <f>ROUND(G113*D113,2)</f>
        <v>0</v>
      </c>
      <c r="I113" s="9">
        <f>SUMIFS('Invoice Lines'!$K$5:$K$2542,'Invoice Lines'!$H$5:$H$2542,A113,'Invoice Lines'!$Q$5:$Q$2542,"HIRE-"&amp;C113,'Invoice Lines'!$M$5:$M$2542,1,'Invoice Lines'!$K$5:$K$2542,"&lt;0")</f>
        <v>0</v>
      </c>
      <c r="J113" t="n">
        <v>0</v>
      </c>
      <c r="K113" t="str">
        <f>IF(G113&gt;0,"Under-billed",IF(G113&lt;0,"Over-billed","Agrees"))</f>
        <v>Agrees</v>
      </c>
      <c r="L113" t="inlineStr"/>
    </row>
    <row r="114">
      <c r="A114" t="inlineStr">
        <is>
          <t>S0085</t>
        </is>
      </c>
      <c r="B114" t="inlineStr">
        <is>
          <t>Highpoint Projects</t>
        </is>
      </c>
      <c r="C114" t="inlineStr">
        <is>
          <t>BR</t>
        </is>
      </c>
      <c r="D114" s="9" t="n">
        <v>3.2</v>
      </c>
      <c r="E114">
        <f>SUMIFS('Hire Cycles'!$F$5:$F$1069,'Hire Cycles'!$A$5:$A$1069,A114,'Hire Cycles'!$B$5:$B$1069,C114,'Hire Cycles'!$G$5:$G$1069,1)</f>
        <v>315</v>
      </c>
      <c r="F114">
        <f>SUMIFS('Invoice Lines'!$J$5:$J$2542,'Invoice Lines'!$H$5:$H$2542,A114,'Invoice Lines'!$Q$5:$Q$2542,"HIRE-"&amp;C114,'Invoice Lines'!$M$5:$M$2542,1,'Invoice Lines'!$K$5:$K$2542,"&gt;0")</f>
        <v>315</v>
      </c>
      <c r="G114">
        <f>E114-F114</f>
        <v>0</v>
      </c>
      <c r="H114" s="9">
        <f>ROUND(G114*D114,2)</f>
        <v>0</v>
      </c>
      <c r="I114" s="9">
        <f>SUMIFS('Invoice Lines'!$K$5:$K$2542,'Invoice Lines'!$H$5:$H$2542,A114,'Invoice Lines'!$Q$5:$Q$2542,"HIRE-"&amp;C114,'Invoice Lines'!$M$5:$M$2542,1,'Invoice Lines'!$K$5:$K$2542,"&lt;0")</f>
        <v>0</v>
      </c>
      <c r="J114" t="n">
        <v>0</v>
      </c>
      <c r="K114" t="str">
        <f>IF(G114&gt;0,"Under-billed",IF(G114&lt;0,"Over-billed","Agrees"))</f>
        <v>Agrees</v>
      </c>
      <c r="L114" t="inlineStr"/>
    </row>
    <row r="115">
      <c r="A115" t="inlineStr">
        <is>
          <t>S0085</t>
        </is>
      </c>
      <c r="B115" t="inlineStr">
        <is>
          <t>Highpoint Projects</t>
        </is>
      </c>
      <c r="C115" t="inlineStr">
        <is>
          <t>FP</t>
        </is>
      </c>
      <c r="D115" s="9" t="n">
        <v>4.5</v>
      </c>
      <c r="E115">
        <f>SUMIFS('Hire Cycles'!$F$5:$F$1069,'Hire Cycles'!$A$5:$A$1069,A115,'Hire Cycles'!$B$5:$B$1069,C115,'Hire Cycles'!$G$5:$G$1069,1)</f>
        <v>3999</v>
      </c>
      <c r="F115">
        <f>SUMIFS('Invoice Lines'!$J$5:$J$2542,'Invoice Lines'!$H$5:$H$2542,A115,'Invoice Lines'!$Q$5:$Q$2542,"HIRE-"&amp;C115,'Invoice Lines'!$M$5:$M$2542,1,'Invoice Lines'!$K$5:$K$2542,"&gt;0")</f>
        <v>3947</v>
      </c>
      <c r="G115">
        <f>E115-F115</f>
        <v>52</v>
      </c>
      <c r="H115" s="9">
        <f>ROUND(G115*D115,2)</f>
        <v>234</v>
      </c>
      <c r="I115" s="9">
        <f>SUMIFS('Invoice Lines'!$K$5:$K$2542,'Invoice Lines'!$H$5:$H$2542,A115,'Invoice Lines'!$Q$5:$Q$2542,"HIRE-"&amp;C115,'Invoice Lines'!$M$5:$M$2542,1,'Invoice Lines'!$K$5:$K$2542,"&lt;0")</f>
        <v>0</v>
      </c>
      <c r="J115" t="n">
        <v>0</v>
      </c>
      <c r="K115" t="str">
        <f>IF(G115&gt;0,"Under-billed",IF(G115&lt;0,"Over-billed","Agrees"))</f>
        <v>Under-billed</v>
      </c>
      <c r="L115" t="inlineStr"/>
    </row>
    <row r="116">
      <c r="A116" t="inlineStr">
        <is>
          <t>S0086</t>
        </is>
      </c>
      <c r="B116" t="inlineStr">
        <is>
          <t>Granite Projects Pty Ltd</t>
        </is>
      </c>
      <c r="C116" t="inlineStr">
        <is>
          <t>FP</t>
        </is>
      </c>
      <c r="D116" s="9" t="n">
        <v>4.5</v>
      </c>
      <c r="E116">
        <f>SUMIFS('Hire Cycles'!$F$5:$F$1069,'Hire Cycles'!$A$5:$A$1069,A116,'Hire Cycles'!$B$5:$B$1069,C116,'Hire Cycles'!$G$5:$G$1069,1)</f>
        <v>145</v>
      </c>
      <c r="F116">
        <f>SUMIFS('Invoice Lines'!$J$5:$J$2542,'Invoice Lines'!$H$5:$H$2542,A116,'Invoice Lines'!$Q$5:$Q$2542,"HIRE-"&amp;C116,'Invoice Lines'!$M$5:$M$2542,1,'Invoice Lines'!$K$5:$K$2542,"&gt;0")</f>
        <v>145</v>
      </c>
      <c r="G116">
        <f>E116-F116</f>
        <v>0</v>
      </c>
      <c r="H116" s="9">
        <f>ROUND(G116*D116,2)</f>
        <v>0</v>
      </c>
      <c r="I116" s="9">
        <f>SUMIFS('Invoice Lines'!$K$5:$K$2542,'Invoice Lines'!$H$5:$H$2542,A116,'Invoice Lines'!$Q$5:$Q$2542,"HIRE-"&amp;C116,'Invoice Lines'!$M$5:$M$2542,1,'Invoice Lines'!$K$5:$K$2542,"&lt;0")</f>
        <v>-257.61</v>
      </c>
      <c r="J116" t="n">
        <v>0</v>
      </c>
      <c r="K116" t="str">
        <f>IF(G116&gt;0,"Under-billed",IF(G116&lt;0,"Over-billed","Agrees"))</f>
        <v>Agrees</v>
      </c>
      <c r="L116" t="inlineStr">
        <is>
          <t>Yes</t>
        </is>
      </c>
    </row>
    <row r="117">
      <c r="A117" t="inlineStr">
        <is>
          <t>S0087</t>
        </is>
      </c>
      <c r="B117" t="inlineStr">
        <is>
          <t>Riverbend Homes Pty Ltd</t>
        </is>
      </c>
      <c r="C117" t="inlineStr">
        <is>
          <t>BR</t>
        </is>
      </c>
      <c r="D117" s="9" t="n">
        <v>3.2</v>
      </c>
      <c r="E117">
        <f>SUMIFS('Hire Cycles'!$F$5:$F$1069,'Hire Cycles'!$A$5:$A$1069,A117,'Hire Cycles'!$B$5:$B$1069,C117,'Hire Cycles'!$G$5:$G$1069,1)</f>
        <v>32</v>
      </c>
      <c r="F117">
        <f>SUMIFS('Invoice Lines'!$J$5:$J$2542,'Invoice Lines'!$H$5:$H$2542,A117,'Invoice Lines'!$Q$5:$Q$2542,"HIRE-"&amp;C117,'Invoice Lines'!$M$5:$M$2542,1,'Invoice Lines'!$K$5:$K$2542,"&gt;0")</f>
        <v>32</v>
      </c>
      <c r="G117">
        <f>E117-F117</f>
        <v>0</v>
      </c>
      <c r="H117" s="9">
        <f>ROUND(G117*D117,2)</f>
        <v>0</v>
      </c>
      <c r="I117" s="9">
        <f>SUMIFS('Invoice Lines'!$K$5:$K$2542,'Invoice Lines'!$H$5:$H$2542,A117,'Invoice Lines'!$Q$5:$Q$2542,"HIRE-"&amp;C117,'Invoice Lines'!$M$5:$M$2542,1,'Invoice Lines'!$K$5:$K$2542,"&lt;0")</f>
        <v>0</v>
      </c>
      <c r="J117" t="n">
        <v>0</v>
      </c>
      <c r="K117" t="str">
        <f>IF(G117&gt;0,"Under-billed",IF(G117&lt;0,"Over-billed","Agrees"))</f>
        <v>Agrees</v>
      </c>
      <c r="L117" t="inlineStr"/>
    </row>
    <row r="118">
      <c r="A118" t="inlineStr">
        <is>
          <t>S0087</t>
        </is>
      </c>
      <c r="B118" t="inlineStr">
        <is>
          <t>Riverbend Homes Pty Ltd</t>
        </is>
      </c>
      <c r="C118" t="inlineStr">
        <is>
          <t>FP</t>
        </is>
      </c>
      <c r="D118" s="9" t="n">
        <v>4.5</v>
      </c>
      <c r="E118">
        <f>SUMIFS('Hire Cycles'!$F$5:$F$1069,'Hire Cycles'!$A$5:$A$1069,A118,'Hire Cycles'!$B$5:$B$1069,C118,'Hire Cycles'!$G$5:$G$1069,1)</f>
        <v>404</v>
      </c>
      <c r="F118">
        <f>SUMIFS('Invoice Lines'!$J$5:$J$2542,'Invoice Lines'!$H$5:$H$2542,A118,'Invoice Lines'!$Q$5:$Q$2542,"HIRE-"&amp;C118,'Invoice Lines'!$M$5:$M$2542,1,'Invoice Lines'!$K$5:$K$2542,"&gt;0")</f>
        <v>404</v>
      </c>
      <c r="G118">
        <f>E118-F118</f>
        <v>0</v>
      </c>
      <c r="H118" s="9">
        <f>ROUND(G118*D118,2)</f>
        <v>0</v>
      </c>
      <c r="I118" s="9">
        <f>SUMIFS('Invoice Lines'!$K$5:$K$2542,'Invoice Lines'!$H$5:$H$2542,A118,'Invoice Lines'!$Q$5:$Q$2542,"HIRE-"&amp;C118,'Invoice Lines'!$M$5:$M$2542,1,'Invoice Lines'!$K$5:$K$2542,"&lt;0")</f>
        <v>0</v>
      </c>
      <c r="J118" t="n">
        <v>0</v>
      </c>
      <c r="K118" t="str">
        <f>IF(G118&gt;0,"Under-billed",IF(G118&lt;0,"Over-billed","Agrees"))</f>
        <v>Agrees</v>
      </c>
      <c r="L118" t="inlineStr"/>
    </row>
    <row r="119">
      <c r="A119" t="inlineStr">
        <is>
          <t>S0088</t>
        </is>
      </c>
      <c r="B119" t="inlineStr">
        <is>
          <t>Juniper Festivals</t>
        </is>
      </c>
      <c r="C119" t="inlineStr">
        <is>
          <t>BR</t>
        </is>
      </c>
      <c r="D119" s="9" t="n">
        <v>3.2</v>
      </c>
      <c r="E119">
        <f>SUMIFS('Hire Cycles'!$F$5:$F$1069,'Hire Cycles'!$A$5:$A$1069,A119,'Hire Cycles'!$B$5:$B$1069,C119,'Hire Cycles'!$G$5:$G$1069,1)</f>
        <v>42</v>
      </c>
      <c r="F119">
        <f>SUMIFS('Invoice Lines'!$J$5:$J$2542,'Invoice Lines'!$H$5:$H$2542,A119,'Invoice Lines'!$Q$5:$Q$2542,"HIRE-"&amp;C119,'Invoice Lines'!$M$5:$M$2542,1,'Invoice Lines'!$K$5:$K$2542,"&gt;0")</f>
        <v>42</v>
      </c>
      <c r="G119">
        <f>E119-F119</f>
        <v>0</v>
      </c>
      <c r="H119" s="9">
        <f>ROUND(G119*D119,2)</f>
        <v>0</v>
      </c>
      <c r="I119" s="9">
        <f>SUMIFS('Invoice Lines'!$K$5:$K$2542,'Invoice Lines'!$H$5:$H$2542,A119,'Invoice Lines'!$Q$5:$Q$2542,"HIRE-"&amp;C119,'Invoice Lines'!$M$5:$M$2542,1,'Invoice Lines'!$K$5:$K$2542,"&lt;0")</f>
        <v>0</v>
      </c>
      <c r="J119" t="n">
        <v>0</v>
      </c>
      <c r="K119" t="str">
        <f>IF(G119&gt;0,"Under-billed",IF(G119&lt;0,"Over-billed","Agrees"))</f>
        <v>Agrees</v>
      </c>
      <c r="L119" t="inlineStr"/>
    </row>
    <row r="120">
      <c r="A120" t="inlineStr">
        <is>
          <t>S0088</t>
        </is>
      </c>
      <c r="B120" t="inlineStr">
        <is>
          <t>Juniper Festivals</t>
        </is>
      </c>
      <c r="C120" t="inlineStr">
        <is>
          <t>FP</t>
        </is>
      </c>
      <c r="D120" s="9" t="n">
        <v>4.5</v>
      </c>
      <c r="E120">
        <f>SUMIFS('Hire Cycles'!$F$5:$F$1069,'Hire Cycles'!$A$5:$A$1069,A120,'Hire Cycles'!$B$5:$B$1069,C120,'Hire Cycles'!$G$5:$G$1069,1)</f>
        <v>88</v>
      </c>
      <c r="F120">
        <f>SUMIFS('Invoice Lines'!$J$5:$J$2542,'Invoice Lines'!$H$5:$H$2542,A120,'Invoice Lines'!$Q$5:$Q$2542,"HIRE-"&amp;C120,'Invoice Lines'!$M$5:$M$2542,1,'Invoice Lines'!$K$5:$K$2542,"&gt;0")</f>
        <v>88</v>
      </c>
      <c r="G120">
        <f>E120-F120</f>
        <v>0</v>
      </c>
      <c r="H120" s="9">
        <f>ROUND(G120*D120,2)</f>
        <v>0</v>
      </c>
      <c r="I120" s="9">
        <f>SUMIFS('Invoice Lines'!$K$5:$K$2542,'Invoice Lines'!$H$5:$H$2542,A120,'Invoice Lines'!$Q$5:$Q$2542,"HIRE-"&amp;C120,'Invoice Lines'!$M$5:$M$2542,1,'Invoice Lines'!$K$5:$K$2542,"&lt;0")</f>
        <v>0</v>
      </c>
      <c r="J120" t="n">
        <v>0</v>
      </c>
      <c r="K120" t="str">
        <f>IF(G120&gt;0,"Under-billed",IF(G120&lt;0,"Over-billed","Agrees"))</f>
        <v>Agrees</v>
      </c>
      <c r="L120" t="inlineStr"/>
    </row>
    <row r="121">
      <c r="A121" t="inlineStr">
        <is>
          <t>S0089</t>
        </is>
      </c>
      <c r="B121" t="inlineStr">
        <is>
          <t>Coastline Projects Pty Ltd</t>
        </is>
      </c>
      <c r="C121" t="inlineStr">
        <is>
          <t>FP</t>
        </is>
      </c>
      <c r="D121" s="9" t="n">
        <v>4.5</v>
      </c>
      <c r="E121">
        <f>SUMIFS('Hire Cycles'!$F$5:$F$1069,'Hire Cycles'!$A$5:$A$1069,A121,'Hire Cycles'!$B$5:$B$1069,C121,'Hire Cycles'!$G$5:$G$1069,1)</f>
        <v>247</v>
      </c>
      <c r="F121">
        <f>SUMIFS('Invoice Lines'!$J$5:$J$2542,'Invoice Lines'!$H$5:$H$2542,A121,'Invoice Lines'!$Q$5:$Q$2542,"HIRE-"&amp;C121,'Invoice Lines'!$M$5:$M$2542,1,'Invoice Lines'!$K$5:$K$2542,"&gt;0")</f>
        <v>247</v>
      </c>
      <c r="G121">
        <f>E121-F121</f>
        <v>0</v>
      </c>
      <c r="H121" s="9">
        <f>ROUND(G121*D121,2)</f>
        <v>0</v>
      </c>
      <c r="I121" s="9">
        <f>SUMIFS('Invoice Lines'!$K$5:$K$2542,'Invoice Lines'!$H$5:$H$2542,A121,'Invoice Lines'!$Q$5:$Q$2542,"HIRE-"&amp;C121,'Invoice Lines'!$M$5:$M$2542,1,'Invoice Lines'!$K$5:$K$2542,"&lt;0")</f>
        <v>0</v>
      </c>
      <c r="J121" t="n">
        <v>0</v>
      </c>
      <c r="K121" t="str">
        <f>IF(G121&gt;0,"Under-billed",IF(G121&lt;0,"Over-billed","Agrees"))</f>
        <v>Agrees</v>
      </c>
      <c r="L121" t="inlineStr"/>
    </row>
    <row r="122">
      <c r="A122" t="inlineStr">
        <is>
          <t>S0090</t>
        </is>
      </c>
      <c r="B122" t="inlineStr">
        <is>
          <t>Summit Projects Pty Ltd</t>
        </is>
      </c>
      <c r="C122" t="inlineStr">
        <is>
          <t>BR</t>
        </is>
      </c>
      <c r="D122" s="9" t="n">
        <v>3.2</v>
      </c>
      <c r="E122">
        <f>SUMIFS('Hire Cycles'!$F$5:$F$1069,'Hire Cycles'!$A$5:$A$1069,A122,'Hire Cycles'!$B$5:$B$1069,C122,'Hire Cycles'!$G$5:$G$1069,1)</f>
        <v>152</v>
      </c>
      <c r="F122">
        <f>SUMIFS('Invoice Lines'!$J$5:$J$2542,'Invoice Lines'!$H$5:$H$2542,A122,'Invoice Lines'!$Q$5:$Q$2542,"HIRE-"&amp;C122,'Invoice Lines'!$M$5:$M$2542,1,'Invoice Lines'!$K$5:$K$2542,"&gt;0")</f>
        <v>152</v>
      </c>
      <c r="G122">
        <f>E122-F122</f>
        <v>0</v>
      </c>
      <c r="H122" s="9">
        <f>ROUND(G122*D122,2)</f>
        <v>0</v>
      </c>
      <c r="I122" s="9">
        <f>SUMIFS('Invoice Lines'!$K$5:$K$2542,'Invoice Lines'!$H$5:$H$2542,A122,'Invoice Lines'!$Q$5:$Q$2542,"HIRE-"&amp;C122,'Invoice Lines'!$M$5:$M$2542,1,'Invoice Lines'!$K$5:$K$2542,"&lt;0")</f>
        <v>0</v>
      </c>
      <c r="J122" t="n">
        <v>0</v>
      </c>
      <c r="K122" t="str">
        <f>IF(G122&gt;0,"Under-billed",IF(G122&lt;0,"Over-billed","Agrees"))</f>
        <v>Agrees</v>
      </c>
      <c r="L122" t="inlineStr"/>
    </row>
    <row r="123">
      <c r="A123" t="inlineStr">
        <is>
          <t>S0090</t>
        </is>
      </c>
      <c r="B123" t="inlineStr">
        <is>
          <t>Summit Projects Pty Ltd</t>
        </is>
      </c>
      <c r="C123" t="inlineStr">
        <is>
          <t>FP</t>
        </is>
      </c>
      <c r="D123" s="9" t="n">
        <v>4.5</v>
      </c>
      <c r="E123">
        <f>SUMIFS('Hire Cycles'!$F$5:$F$1069,'Hire Cycles'!$A$5:$A$1069,A123,'Hire Cycles'!$B$5:$B$1069,C123,'Hire Cycles'!$G$5:$G$1069,1)</f>
        <v>1128</v>
      </c>
      <c r="F123">
        <f>SUMIFS('Invoice Lines'!$J$5:$J$2542,'Invoice Lines'!$H$5:$H$2542,A123,'Invoice Lines'!$Q$5:$Q$2542,"HIRE-"&amp;C123,'Invoice Lines'!$M$5:$M$2542,1,'Invoice Lines'!$K$5:$K$2542,"&gt;0")</f>
        <v>1128</v>
      </c>
      <c r="G123">
        <f>E123-F123</f>
        <v>0</v>
      </c>
      <c r="H123" s="9">
        <f>ROUND(G123*D123,2)</f>
        <v>0</v>
      </c>
      <c r="I123" s="9">
        <f>SUMIFS('Invoice Lines'!$K$5:$K$2542,'Invoice Lines'!$H$5:$H$2542,A123,'Invoice Lines'!$Q$5:$Q$2542,"HIRE-"&amp;C123,'Invoice Lines'!$M$5:$M$2542,1,'Invoice Lines'!$K$5:$K$2542,"&lt;0")</f>
        <v>0</v>
      </c>
      <c r="J123" t="n">
        <v>0</v>
      </c>
      <c r="K123" t="str">
        <f>IF(G123&gt;0,"Under-billed",IF(G123&lt;0,"Over-billed","Agrees"))</f>
        <v>Agrees</v>
      </c>
      <c r="L123" t="inlineStr"/>
    </row>
    <row r="124">
      <c r="A124" t="inlineStr">
        <is>
          <t>S0091</t>
        </is>
      </c>
      <c r="B124" t="inlineStr">
        <is>
          <t>Riverbend Homes Pty Ltd</t>
        </is>
      </c>
      <c r="C124" t="inlineStr">
        <is>
          <t>FP</t>
        </is>
      </c>
      <c r="D124" s="9" t="n">
        <v>4.5</v>
      </c>
      <c r="E124">
        <f>SUMIFS('Hire Cycles'!$F$5:$F$1069,'Hire Cycles'!$A$5:$A$1069,A124,'Hire Cycles'!$B$5:$B$1069,C124,'Hire Cycles'!$G$5:$G$1069,1)</f>
        <v>352</v>
      </c>
      <c r="F124">
        <f>SUMIFS('Invoice Lines'!$J$5:$J$2542,'Invoice Lines'!$H$5:$H$2542,A124,'Invoice Lines'!$Q$5:$Q$2542,"HIRE-"&amp;C124,'Invoice Lines'!$M$5:$M$2542,1,'Invoice Lines'!$K$5:$K$2542,"&gt;0")</f>
        <v>352</v>
      </c>
      <c r="G124">
        <f>E124-F124</f>
        <v>0</v>
      </c>
      <c r="H124" s="9">
        <f>ROUND(G124*D124,2)</f>
        <v>0</v>
      </c>
      <c r="I124" s="9">
        <f>SUMIFS('Invoice Lines'!$K$5:$K$2542,'Invoice Lines'!$H$5:$H$2542,A124,'Invoice Lines'!$Q$5:$Q$2542,"HIRE-"&amp;C124,'Invoice Lines'!$M$5:$M$2542,1,'Invoice Lines'!$K$5:$K$2542,"&lt;0")</f>
        <v>0</v>
      </c>
      <c r="J124" t="n">
        <v>0</v>
      </c>
      <c r="K124" t="str">
        <f>IF(G124&gt;0,"Under-billed",IF(G124&lt;0,"Over-billed","Agrees"))</f>
        <v>Agrees</v>
      </c>
      <c r="L124" t="inlineStr"/>
    </row>
    <row r="125">
      <c r="A125" t="inlineStr">
        <is>
          <t>S0092</t>
        </is>
      </c>
      <c r="B125" t="inlineStr">
        <is>
          <t>Banksia Homes</t>
        </is>
      </c>
      <c r="C125" t="inlineStr">
        <is>
          <t>FP</t>
        </is>
      </c>
      <c r="D125" s="9" t="n">
        <v>4.5</v>
      </c>
      <c r="E125">
        <f>SUMIFS('Hire Cycles'!$F$5:$F$1069,'Hire Cycles'!$A$5:$A$1069,A125,'Hire Cycles'!$B$5:$B$1069,C125,'Hire Cycles'!$G$5:$G$1069,1)</f>
        <v>1248</v>
      </c>
      <c r="F125">
        <f>SUMIFS('Invoice Lines'!$J$5:$J$2542,'Invoice Lines'!$H$5:$H$2542,A125,'Invoice Lines'!$Q$5:$Q$2542,"HIRE-"&amp;C125,'Invoice Lines'!$M$5:$M$2542,1,'Invoice Lines'!$K$5:$K$2542,"&gt;0")</f>
        <v>1248</v>
      </c>
      <c r="G125">
        <f>E125-F125</f>
        <v>0</v>
      </c>
      <c r="H125" s="9">
        <f>ROUND(G125*D125,2)</f>
        <v>0</v>
      </c>
      <c r="I125" s="9">
        <f>SUMIFS('Invoice Lines'!$K$5:$K$2542,'Invoice Lines'!$H$5:$H$2542,A125,'Invoice Lines'!$Q$5:$Q$2542,"HIRE-"&amp;C125,'Invoice Lines'!$M$5:$M$2542,1,'Invoice Lines'!$K$5:$K$2542,"&lt;0")</f>
        <v>0</v>
      </c>
      <c r="J125" t="n">
        <v>104</v>
      </c>
      <c r="K125" t="str">
        <f>IF(G125&gt;0,"Under-billed",IF(G125&lt;0,"Over-billed","Agrees"))</f>
        <v>Agrees</v>
      </c>
      <c r="L125" t="inlineStr"/>
    </row>
    <row r="126">
      <c r="A126" t="inlineStr">
        <is>
          <t>S0093</t>
        </is>
      </c>
      <c r="B126" t="inlineStr">
        <is>
          <t>Summit Builders Pty Ltd</t>
        </is>
      </c>
      <c r="C126" t="inlineStr">
        <is>
          <t>FP</t>
        </is>
      </c>
      <c r="D126" s="9" t="n">
        <v>4.5</v>
      </c>
      <c r="E126">
        <f>SUMIFS('Hire Cycles'!$F$5:$F$1069,'Hire Cycles'!$A$5:$A$1069,A126,'Hire Cycles'!$B$5:$B$1069,C126,'Hire Cycles'!$G$5:$G$1069,1)</f>
        <v>417</v>
      </c>
      <c r="F126">
        <f>SUMIFS('Invoice Lines'!$J$5:$J$2542,'Invoice Lines'!$H$5:$H$2542,A126,'Invoice Lines'!$Q$5:$Q$2542,"HIRE-"&amp;C126,'Invoice Lines'!$M$5:$M$2542,1,'Invoice Lines'!$K$5:$K$2542,"&gt;0")</f>
        <v>417</v>
      </c>
      <c r="G126">
        <f>E126-F126</f>
        <v>0</v>
      </c>
      <c r="H126" s="9">
        <f>ROUND(G126*D126,2)</f>
        <v>0</v>
      </c>
      <c r="I126" s="9">
        <f>SUMIFS('Invoice Lines'!$K$5:$K$2542,'Invoice Lines'!$H$5:$H$2542,A126,'Invoice Lines'!$Q$5:$Q$2542,"HIRE-"&amp;C126,'Invoice Lines'!$M$5:$M$2542,1,'Invoice Lines'!$K$5:$K$2542,"&lt;0")</f>
        <v>0</v>
      </c>
      <c r="J126" t="n">
        <v>0</v>
      </c>
      <c r="K126" t="str">
        <f>IF(G126&gt;0,"Under-billed",IF(G126&lt;0,"Over-billed","Agrees"))</f>
        <v>Agrees</v>
      </c>
      <c r="L126" t="inlineStr"/>
    </row>
    <row r="127">
      <c r="A127" t="inlineStr">
        <is>
          <t>S0094</t>
        </is>
      </c>
      <c r="B127" t="inlineStr">
        <is>
          <t>Summit Building Group</t>
        </is>
      </c>
      <c r="C127" t="inlineStr">
        <is>
          <t>FP</t>
        </is>
      </c>
      <c r="D127" s="9" t="n">
        <v>4.5</v>
      </c>
      <c r="E127">
        <f>SUMIFS('Hire Cycles'!$F$5:$F$1069,'Hire Cycles'!$A$5:$A$1069,A127,'Hire Cycles'!$B$5:$B$1069,C127,'Hire Cycles'!$G$5:$G$1069,1)</f>
        <v>805</v>
      </c>
      <c r="F127">
        <f>SUMIFS('Invoice Lines'!$J$5:$J$2542,'Invoice Lines'!$H$5:$H$2542,A127,'Invoice Lines'!$Q$5:$Q$2542,"HIRE-"&amp;C127,'Invoice Lines'!$M$5:$M$2542,1,'Invoice Lines'!$K$5:$K$2542,"&gt;0")</f>
        <v>805</v>
      </c>
      <c r="G127">
        <f>E127-F127</f>
        <v>0</v>
      </c>
      <c r="H127" s="9">
        <f>ROUND(G127*D127,2)</f>
        <v>0</v>
      </c>
      <c r="I127" s="9">
        <f>SUMIFS('Invoice Lines'!$K$5:$K$2542,'Invoice Lines'!$H$5:$H$2542,A127,'Invoice Lines'!$Q$5:$Q$2542,"HIRE-"&amp;C127,'Invoice Lines'!$M$5:$M$2542,1,'Invoice Lines'!$K$5:$K$2542,"&lt;0")</f>
        <v>0</v>
      </c>
      <c r="J127" t="n">
        <v>0</v>
      </c>
      <c r="K127" t="str">
        <f>IF(G127&gt;0,"Under-billed",IF(G127&lt;0,"Over-billed","Agrees"))</f>
        <v>Agrees</v>
      </c>
      <c r="L127" t="inlineStr"/>
    </row>
    <row r="128">
      <c r="A128" t="inlineStr">
        <is>
          <t>S0095</t>
        </is>
      </c>
      <c r="B128" t="inlineStr">
        <is>
          <t>Banksia Projects Pty Ltd</t>
        </is>
      </c>
      <c r="C128" t="inlineStr">
        <is>
          <t>FP</t>
        </is>
      </c>
      <c r="D128" s="9" t="n">
        <v>4.5</v>
      </c>
      <c r="E128">
        <f>SUMIFS('Hire Cycles'!$F$5:$F$1069,'Hire Cycles'!$A$5:$A$1069,A128,'Hire Cycles'!$B$5:$B$1069,C128,'Hire Cycles'!$G$5:$G$1069,1)</f>
        <v>4128</v>
      </c>
      <c r="F128">
        <f>SUMIFS('Invoice Lines'!$J$5:$J$2542,'Invoice Lines'!$H$5:$H$2542,A128,'Invoice Lines'!$Q$5:$Q$2542,"HIRE-"&amp;C128,'Invoice Lines'!$M$5:$M$2542,1,'Invoice Lines'!$K$5:$K$2542,"&gt;0")</f>
        <v>4128</v>
      </c>
      <c r="G128">
        <f>E128-F128</f>
        <v>0</v>
      </c>
      <c r="H128" s="9">
        <f>ROUND(G128*D128,2)</f>
        <v>0</v>
      </c>
      <c r="I128" s="9">
        <f>SUMIFS('Invoice Lines'!$K$5:$K$2542,'Invoice Lines'!$H$5:$H$2542,A128,'Invoice Lines'!$Q$5:$Q$2542,"HIRE-"&amp;C128,'Invoice Lines'!$M$5:$M$2542,1,'Invoice Lines'!$K$5:$K$2542,"&lt;0")</f>
        <v>0</v>
      </c>
      <c r="J128" t="n">
        <v>129</v>
      </c>
      <c r="K128" t="str">
        <f>IF(G128&gt;0,"Under-billed",IF(G128&lt;0,"Over-billed","Agrees"))</f>
        <v>Agrees</v>
      </c>
      <c r="L128" t="inlineStr"/>
    </row>
    <row r="129">
      <c r="A129" t="inlineStr">
        <is>
          <t>S0096</t>
        </is>
      </c>
      <c r="B129" t="inlineStr">
        <is>
          <t>Summit Builders Pty Ltd</t>
        </is>
      </c>
      <c r="C129" t="inlineStr">
        <is>
          <t>FP</t>
        </is>
      </c>
      <c r="D129" s="9" t="n">
        <v>4.5</v>
      </c>
      <c r="E129">
        <f>SUMIFS('Hire Cycles'!$F$5:$F$1069,'Hire Cycles'!$A$5:$A$1069,A129,'Hire Cycles'!$B$5:$B$1069,C129,'Hire Cycles'!$G$5:$G$1069,1)</f>
        <v>352</v>
      </c>
      <c r="F129">
        <f>SUMIFS('Invoice Lines'!$J$5:$J$2542,'Invoice Lines'!$H$5:$H$2542,A129,'Invoice Lines'!$Q$5:$Q$2542,"HIRE-"&amp;C129,'Invoice Lines'!$M$5:$M$2542,1,'Invoice Lines'!$K$5:$K$2542,"&gt;0")</f>
        <v>352</v>
      </c>
      <c r="G129">
        <f>E129-F129</f>
        <v>0</v>
      </c>
      <c r="H129" s="9">
        <f>ROUND(G129*D129,2)</f>
        <v>0</v>
      </c>
      <c r="I129" s="9">
        <f>SUMIFS('Invoice Lines'!$K$5:$K$2542,'Invoice Lines'!$H$5:$H$2542,A129,'Invoice Lines'!$Q$5:$Q$2542,"HIRE-"&amp;C129,'Invoice Lines'!$M$5:$M$2542,1,'Invoice Lines'!$K$5:$K$2542,"&lt;0")</f>
        <v>0</v>
      </c>
      <c r="J129" t="n">
        <v>176</v>
      </c>
      <c r="K129" t="str">
        <f>IF(G129&gt;0,"Under-billed",IF(G129&lt;0,"Over-billed","Agrees"))</f>
        <v>Agrees</v>
      </c>
      <c r="L129" t="inlineStr"/>
    </row>
    <row r="130">
      <c r="A130" t="inlineStr">
        <is>
          <t>S0097</t>
        </is>
      </c>
      <c r="B130" t="inlineStr">
        <is>
          <t>Bluegum Constructions</t>
        </is>
      </c>
      <c r="C130" t="inlineStr">
        <is>
          <t>BR</t>
        </is>
      </c>
      <c r="D130" s="9" t="n">
        <v>3.2</v>
      </c>
      <c r="E130">
        <f>SUMIFS('Hire Cycles'!$F$5:$F$1069,'Hire Cycles'!$A$5:$A$1069,A130,'Hire Cycles'!$B$5:$B$1069,C130,'Hire Cycles'!$G$5:$G$1069,1)</f>
        <v>140</v>
      </c>
      <c r="F130">
        <f>SUMIFS('Invoice Lines'!$J$5:$J$2542,'Invoice Lines'!$H$5:$H$2542,A130,'Invoice Lines'!$Q$5:$Q$2542,"HIRE-"&amp;C130,'Invoice Lines'!$M$5:$M$2542,1,'Invoice Lines'!$K$5:$K$2542,"&gt;0")</f>
        <v>140</v>
      </c>
      <c r="G130">
        <f>E130-F130</f>
        <v>0</v>
      </c>
      <c r="H130" s="9">
        <f>ROUND(G130*D130,2)</f>
        <v>0</v>
      </c>
      <c r="I130" s="9">
        <f>SUMIFS('Invoice Lines'!$K$5:$K$2542,'Invoice Lines'!$H$5:$H$2542,A130,'Invoice Lines'!$Q$5:$Q$2542,"HIRE-"&amp;C130,'Invoice Lines'!$M$5:$M$2542,1,'Invoice Lines'!$K$5:$K$2542,"&lt;0")</f>
        <v>0</v>
      </c>
      <c r="J130" t="n">
        <v>0</v>
      </c>
      <c r="K130" t="str">
        <f>IF(G130&gt;0,"Under-billed",IF(G130&lt;0,"Over-billed","Agrees"))</f>
        <v>Agrees</v>
      </c>
      <c r="L130" t="inlineStr"/>
    </row>
    <row r="131">
      <c r="A131" t="inlineStr">
        <is>
          <t>S0097</t>
        </is>
      </c>
      <c r="B131" t="inlineStr">
        <is>
          <t>Bluegum Constructions</t>
        </is>
      </c>
      <c r="C131" t="inlineStr">
        <is>
          <t>FP</t>
        </is>
      </c>
      <c r="D131" s="9" t="n">
        <v>4.5</v>
      </c>
      <c r="E131">
        <f>SUMIFS('Hire Cycles'!$F$5:$F$1069,'Hire Cycles'!$A$5:$A$1069,A131,'Hire Cycles'!$B$5:$B$1069,C131,'Hire Cycles'!$G$5:$G$1069,1)</f>
        <v>616</v>
      </c>
      <c r="F131">
        <f>SUMIFS('Invoice Lines'!$J$5:$J$2542,'Invoice Lines'!$H$5:$H$2542,A131,'Invoice Lines'!$Q$5:$Q$2542,"HIRE-"&amp;C131,'Invoice Lines'!$M$5:$M$2542,1,'Invoice Lines'!$K$5:$K$2542,"&gt;0")</f>
        <v>616</v>
      </c>
      <c r="G131">
        <f>E131-F131</f>
        <v>0</v>
      </c>
      <c r="H131" s="9">
        <f>ROUND(G131*D131,2)</f>
        <v>0</v>
      </c>
      <c r="I131" s="9">
        <f>SUMIFS('Invoice Lines'!$K$5:$K$2542,'Invoice Lines'!$H$5:$H$2542,A131,'Invoice Lines'!$Q$5:$Q$2542,"HIRE-"&amp;C131,'Invoice Lines'!$M$5:$M$2542,1,'Invoice Lines'!$K$5:$K$2542,"&lt;0")</f>
        <v>0</v>
      </c>
      <c r="J131" t="n">
        <v>0</v>
      </c>
      <c r="K131" t="str">
        <f>IF(G131&gt;0,"Under-billed",IF(G131&lt;0,"Over-billed","Agrees"))</f>
        <v>Agrees</v>
      </c>
      <c r="L131" t="inlineStr">
        <is>
          <t>Yes</t>
        </is>
      </c>
    </row>
    <row r="132">
      <c r="A132" t="inlineStr">
        <is>
          <t>S0099</t>
        </is>
      </c>
      <c r="B132" t="inlineStr">
        <is>
          <t>Highpoint Projects</t>
        </is>
      </c>
      <c r="C132" t="inlineStr">
        <is>
          <t>BR</t>
        </is>
      </c>
      <c r="D132" s="9" t="n">
        <v>3.2</v>
      </c>
      <c r="E132">
        <f>SUMIFS('Hire Cycles'!$F$5:$F$1069,'Hire Cycles'!$A$5:$A$1069,A132,'Hire Cycles'!$B$5:$B$1069,C132,'Hire Cycles'!$G$5:$G$1069,1)</f>
        <v>200</v>
      </c>
      <c r="F132">
        <f>SUMIFS('Invoice Lines'!$J$5:$J$2542,'Invoice Lines'!$H$5:$H$2542,A132,'Invoice Lines'!$Q$5:$Q$2542,"HIRE-"&amp;C132,'Invoice Lines'!$M$5:$M$2542,1,'Invoice Lines'!$K$5:$K$2542,"&gt;0")</f>
        <v>200</v>
      </c>
      <c r="G132">
        <f>E132-F132</f>
        <v>0</v>
      </c>
      <c r="H132" s="9">
        <f>ROUND(G132*D132,2)</f>
        <v>0</v>
      </c>
      <c r="I132" s="9">
        <f>SUMIFS('Invoice Lines'!$K$5:$K$2542,'Invoice Lines'!$H$5:$H$2542,A132,'Invoice Lines'!$Q$5:$Q$2542,"HIRE-"&amp;C132,'Invoice Lines'!$M$5:$M$2542,1,'Invoice Lines'!$K$5:$K$2542,"&lt;0")</f>
        <v>0</v>
      </c>
      <c r="J132" t="n">
        <v>30</v>
      </c>
      <c r="K132" t="str">
        <f>IF(G132&gt;0,"Under-billed",IF(G132&lt;0,"Over-billed","Agrees"))</f>
        <v>Agrees</v>
      </c>
      <c r="L132" t="inlineStr"/>
    </row>
    <row r="133">
      <c r="A133" t="inlineStr">
        <is>
          <t>S0099</t>
        </is>
      </c>
      <c r="B133" t="inlineStr">
        <is>
          <t>Highpoint Projects</t>
        </is>
      </c>
      <c r="C133" t="inlineStr">
        <is>
          <t>FP</t>
        </is>
      </c>
      <c r="D133" s="9" t="n">
        <v>4.5</v>
      </c>
      <c r="E133">
        <f>SUMIFS('Hire Cycles'!$F$5:$F$1069,'Hire Cycles'!$A$5:$A$1069,A133,'Hire Cycles'!$B$5:$B$1069,C133,'Hire Cycles'!$G$5:$G$1069,1)</f>
        <v>1400</v>
      </c>
      <c r="F133">
        <f>SUMIFS('Invoice Lines'!$J$5:$J$2542,'Invoice Lines'!$H$5:$H$2542,A133,'Invoice Lines'!$Q$5:$Q$2542,"HIRE-"&amp;C133,'Invoice Lines'!$M$5:$M$2542,1,'Invoice Lines'!$K$5:$K$2542,"&gt;0")</f>
        <v>1400</v>
      </c>
      <c r="G133">
        <f>E133-F133</f>
        <v>0</v>
      </c>
      <c r="H133" s="9">
        <f>ROUND(G133*D133,2)</f>
        <v>0</v>
      </c>
      <c r="I133" s="9">
        <f>SUMIFS('Invoice Lines'!$K$5:$K$2542,'Invoice Lines'!$H$5:$H$2542,A133,'Invoice Lines'!$Q$5:$Q$2542,"HIRE-"&amp;C133,'Invoice Lines'!$M$5:$M$2542,1,'Invoice Lines'!$K$5:$K$2542,"&lt;0")</f>
        <v>0</v>
      </c>
      <c r="J133" t="n">
        <v>210</v>
      </c>
      <c r="K133" t="str">
        <f>IF(G133&gt;0,"Under-billed",IF(G133&lt;0,"Over-billed","Agrees"))</f>
        <v>Agrees</v>
      </c>
      <c r="L133" t="inlineStr"/>
    </row>
    <row r="134">
      <c r="A134" t="inlineStr">
        <is>
          <t>S0100</t>
        </is>
      </c>
      <c r="B134" t="inlineStr">
        <is>
          <t>Metro Projects Pty Ltd</t>
        </is>
      </c>
      <c r="C134" t="inlineStr">
        <is>
          <t>BR</t>
        </is>
      </c>
      <c r="D134" s="9" t="n">
        <v>3.2</v>
      </c>
      <c r="E134">
        <f>SUMIFS('Hire Cycles'!$F$5:$F$1069,'Hire Cycles'!$A$5:$A$1069,A134,'Hire Cycles'!$B$5:$B$1069,C134,'Hire Cycles'!$G$5:$G$1069,1)</f>
        <v>280</v>
      </c>
      <c r="F134">
        <f>SUMIFS('Invoice Lines'!$J$5:$J$2542,'Invoice Lines'!$H$5:$H$2542,A134,'Invoice Lines'!$Q$5:$Q$2542,"HIRE-"&amp;C134,'Invoice Lines'!$M$5:$M$2542,1,'Invoice Lines'!$K$5:$K$2542,"&gt;0")</f>
        <v>280</v>
      </c>
      <c r="G134">
        <f>E134-F134</f>
        <v>0</v>
      </c>
      <c r="H134" s="9">
        <f>ROUND(G134*D134,2)</f>
        <v>0</v>
      </c>
      <c r="I134" s="9">
        <f>SUMIFS('Invoice Lines'!$K$5:$K$2542,'Invoice Lines'!$H$5:$H$2542,A134,'Invoice Lines'!$Q$5:$Q$2542,"HIRE-"&amp;C134,'Invoice Lines'!$M$5:$M$2542,1,'Invoice Lines'!$K$5:$K$2542,"&lt;0")</f>
        <v>0</v>
      </c>
      <c r="J134" t="n">
        <v>28</v>
      </c>
      <c r="K134" t="str">
        <f>IF(G134&gt;0,"Under-billed",IF(G134&lt;0,"Over-billed","Agrees"))</f>
        <v>Agrees</v>
      </c>
      <c r="L134" t="inlineStr"/>
    </row>
    <row r="135">
      <c r="A135" t="inlineStr">
        <is>
          <t>S0100</t>
        </is>
      </c>
      <c r="B135" t="inlineStr">
        <is>
          <t>Metro Projects Pty Ltd</t>
        </is>
      </c>
      <c r="C135" t="inlineStr">
        <is>
          <t>FP</t>
        </is>
      </c>
      <c r="D135" s="9" t="n">
        <v>4.5</v>
      </c>
      <c r="E135">
        <f>SUMIFS('Hire Cycles'!$F$5:$F$1069,'Hire Cycles'!$A$5:$A$1069,A135,'Hire Cycles'!$B$5:$B$1069,C135,'Hire Cycles'!$G$5:$G$1069,1)</f>
        <v>2820</v>
      </c>
      <c r="F135">
        <f>SUMIFS('Invoice Lines'!$J$5:$J$2542,'Invoice Lines'!$H$5:$H$2542,A135,'Invoice Lines'!$Q$5:$Q$2542,"HIRE-"&amp;C135,'Invoice Lines'!$M$5:$M$2542,1,'Invoice Lines'!$K$5:$K$2542,"&gt;0")</f>
        <v>2256</v>
      </c>
      <c r="G135">
        <f>E135-F135</f>
        <v>564</v>
      </c>
      <c r="H135" s="9">
        <f>ROUND(G135*D135,2)</f>
        <v>2538</v>
      </c>
      <c r="I135" s="9">
        <f>SUMIFS('Invoice Lines'!$K$5:$K$2542,'Invoice Lines'!$H$5:$H$2542,A135,'Invoice Lines'!$Q$5:$Q$2542,"HIRE-"&amp;C135,'Invoice Lines'!$M$5:$M$2542,1,'Invoice Lines'!$K$5:$K$2542,"&lt;0")</f>
        <v>0</v>
      </c>
      <c r="J135" t="n">
        <v>282</v>
      </c>
      <c r="K135" t="str">
        <f>IF(G135&gt;0,"Under-billed",IF(G135&lt;0,"Over-billed","Agrees"))</f>
        <v>Under-billed</v>
      </c>
      <c r="L135" t="inlineStr"/>
    </row>
    <row r="136">
      <c r="A136" t="inlineStr">
        <is>
          <t>S0101</t>
        </is>
      </c>
      <c r="B136" t="inlineStr">
        <is>
          <t>Parkview Homes Pty Ltd</t>
        </is>
      </c>
      <c r="C136" t="inlineStr">
        <is>
          <t>FP</t>
        </is>
      </c>
      <c r="D136" s="9" t="n">
        <v>4.5</v>
      </c>
      <c r="E136">
        <f>SUMIFS('Hire Cycles'!$F$5:$F$1069,'Hire Cycles'!$A$5:$A$1069,A136,'Hire Cycles'!$B$5:$B$1069,C136,'Hire Cycles'!$G$5:$G$1069,1)</f>
        <v>306</v>
      </c>
      <c r="F136">
        <f>SUMIFS('Invoice Lines'!$J$5:$J$2542,'Invoice Lines'!$H$5:$H$2542,A136,'Invoice Lines'!$Q$5:$Q$2542,"HIRE-"&amp;C136,'Invoice Lines'!$M$5:$M$2542,1,'Invoice Lines'!$K$5:$K$2542,"&gt;0")</f>
        <v>306</v>
      </c>
      <c r="G136">
        <f>E136-F136</f>
        <v>0</v>
      </c>
      <c r="H136" s="9">
        <f>ROUND(G136*D136,2)</f>
        <v>0</v>
      </c>
      <c r="I136" s="9">
        <f>SUMIFS('Invoice Lines'!$K$5:$K$2542,'Invoice Lines'!$H$5:$H$2542,A136,'Invoice Lines'!$Q$5:$Q$2542,"HIRE-"&amp;C136,'Invoice Lines'!$M$5:$M$2542,1,'Invoice Lines'!$K$5:$K$2542,"&lt;0")</f>
        <v>0</v>
      </c>
      <c r="J136" t="n">
        <v>0</v>
      </c>
      <c r="K136" t="str">
        <f>IF(G136&gt;0,"Under-billed",IF(G136&lt;0,"Over-billed","Agrees"))</f>
        <v>Agrees</v>
      </c>
      <c r="L136" t="inlineStr"/>
    </row>
    <row r="137">
      <c r="A137" t="inlineStr">
        <is>
          <t>S0102</t>
        </is>
      </c>
      <c r="B137" t="inlineStr">
        <is>
          <t>Wattle Homes Pty Ltd</t>
        </is>
      </c>
      <c r="C137" t="inlineStr">
        <is>
          <t>FP</t>
        </is>
      </c>
      <c r="D137" s="9" t="n">
        <v>4.5</v>
      </c>
      <c r="E137">
        <f>SUMIFS('Hire Cycles'!$F$5:$F$1069,'Hire Cycles'!$A$5:$A$1069,A137,'Hire Cycles'!$B$5:$B$1069,C137,'Hire Cycles'!$G$5:$G$1069,1)</f>
        <v>102</v>
      </c>
      <c r="F137">
        <f>SUMIFS('Invoice Lines'!$J$5:$J$2542,'Invoice Lines'!$H$5:$H$2542,A137,'Invoice Lines'!$Q$5:$Q$2542,"HIRE-"&amp;C137,'Invoice Lines'!$M$5:$M$2542,1,'Invoice Lines'!$K$5:$K$2542,"&gt;0")</f>
        <v>102</v>
      </c>
      <c r="G137">
        <f>E137-F137</f>
        <v>0</v>
      </c>
      <c r="H137" s="9">
        <f>ROUND(G137*D137,2)</f>
        <v>0</v>
      </c>
      <c r="I137" s="9">
        <f>SUMIFS('Invoice Lines'!$K$5:$K$2542,'Invoice Lines'!$H$5:$H$2542,A137,'Invoice Lines'!$Q$5:$Q$2542,"HIRE-"&amp;C137,'Invoice Lines'!$M$5:$M$2542,1,'Invoice Lines'!$K$5:$K$2542,"&lt;0")</f>
        <v>0</v>
      </c>
      <c r="J137" t="n">
        <v>0</v>
      </c>
      <c r="K137" t="str">
        <f>IF(G137&gt;0,"Under-billed",IF(G137&lt;0,"Over-billed","Agrees"))</f>
        <v>Agrees</v>
      </c>
      <c r="L137" t="inlineStr"/>
    </row>
    <row r="138">
      <c r="A138" t="inlineStr">
        <is>
          <t>S0103</t>
        </is>
      </c>
      <c r="B138" t="inlineStr">
        <is>
          <t>Bayside Homes Pty Ltd</t>
        </is>
      </c>
      <c r="C138" t="inlineStr">
        <is>
          <t>FP</t>
        </is>
      </c>
      <c r="D138" s="9" t="n">
        <v>4.5</v>
      </c>
      <c r="E138">
        <f>SUMIFS('Hire Cycles'!$F$5:$F$1069,'Hire Cycles'!$A$5:$A$1069,A138,'Hire Cycles'!$B$5:$B$1069,C138,'Hire Cycles'!$G$5:$G$1069,1)</f>
        <v>126</v>
      </c>
      <c r="F138">
        <f>SUMIFS('Invoice Lines'!$J$5:$J$2542,'Invoice Lines'!$H$5:$H$2542,A138,'Invoice Lines'!$Q$5:$Q$2542,"HIRE-"&amp;C138,'Invoice Lines'!$M$5:$M$2542,1,'Invoice Lines'!$K$5:$K$2542,"&gt;0")</f>
        <v>126</v>
      </c>
      <c r="G138">
        <f>E138-F138</f>
        <v>0</v>
      </c>
      <c r="H138" s="9">
        <f>ROUND(G138*D138,2)</f>
        <v>0</v>
      </c>
      <c r="I138" s="9">
        <f>SUMIFS('Invoice Lines'!$K$5:$K$2542,'Invoice Lines'!$H$5:$H$2542,A138,'Invoice Lines'!$Q$5:$Q$2542,"HIRE-"&amp;C138,'Invoice Lines'!$M$5:$M$2542,1,'Invoice Lines'!$K$5:$K$2542,"&lt;0")</f>
        <v>0</v>
      </c>
      <c r="J138" t="n">
        <v>0</v>
      </c>
      <c r="K138" t="str">
        <f>IF(G138&gt;0,"Under-billed",IF(G138&lt;0,"Over-billed","Agrees"))</f>
        <v>Agrees</v>
      </c>
      <c r="L138" t="inlineStr"/>
    </row>
    <row r="139">
      <c r="A139" t="inlineStr">
        <is>
          <t>S0104</t>
        </is>
      </c>
      <c r="B139" t="inlineStr">
        <is>
          <t>Ironbark Events Pty Ltd</t>
        </is>
      </c>
      <c r="C139" t="inlineStr">
        <is>
          <t>FP</t>
        </is>
      </c>
      <c r="D139" s="9" t="n">
        <v>4.5</v>
      </c>
      <c r="E139">
        <f>SUMIFS('Hire Cycles'!$F$5:$F$1069,'Hire Cycles'!$A$5:$A$1069,A139,'Hire Cycles'!$B$5:$B$1069,C139,'Hire Cycles'!$G$5:$G$1069,1)</f>
        <v>60</v>
      </c>
      <c r="F139">
        <f>SUMIFS('Invoice Lines'!$J$5:$J$2542,'Invoice Lines'!$H$5:$H$2542,A139,'Invoice Lines'!$Q$5:$Q$2542,"HIRE-"&amp;C139,'Invoice Lines'!$M$5:$M$2542,1,'Invoice Lines'!$K$5:$K$2542,"&gt;0")</f>
        <v>60</v>
      </c>
      <c r="G139">
        <f>E139-F139</f>
        <v>0</v>
      </c>
      <c r="H139" s="9">
        <f>ROUND(G139*D139,2)</f>
        <v>0</v>
      </c>
      <c r="I139" s="9">
        <f>SUMIFS('Invoice Lines'!$K$5:$K$2542,'Invoice Lines'!$H$5:$H$2542,A139,'Invoice Lines'!$Q$5:$Q$2542,"HIRE-"&amp;C139,'Invoice Lines'!$M$5:$M$2542,1,'Invoice Lines'!$K$5:$K$2542,"&lt;0")</f>
        <v>0</v>
      </c>
      <c r="J139" t="n">
        <v>0</v>
      </c>
      <c r="K139" t="str">
        <f>IF(G139&gt;0,"Under-billed",IF(G139&lt;0,"Over-billed","Agrees"))</f>
        <v>Agrees</v>
      </c>
      <c r="L139" t="inlineStr"/>
    </row>
    <row r="140">
      <c r="A140" t="inlineStr">
        <is>
          <t>S0105</t>
        </is>
      </c>
      <c r="B140" t="inlineStr">
        <is>
          <t>Ironbark Events Pty Ltd</t>
        </is>
      </c>
      <c r="C140" t="inlineStr">
        <is>
          <t>FP</t>
        </is>
      </c>
      <c r="D140" s="9" t="n">
        <v>4.5</v>
      </c>
      <c r="E140">
        <f>SUMIFS('Hire Cycles'!$F$5:$F$1069,'Hire Cycles'!$A$5:$A$1069,A140,'Hire Cycles'!$B$5:$B$1069,C140,'Hire Cycles'!$G$5:$G$1069,1)</f>
        <v>177</v>
      </c>
      <c r="F140">
        <f>SUMIFS('Invoice Lines'!$J$5:$J$2542,'Invoice Lines'!$H$5:$H$2542,A140,'Invoice Lines'!$Q$5:$Q$2542,"HIRE-"&amp;C140,'Invoice Lines'!$M$5:$M$2542,1,'Invoice Lines'!$K$5:$K$2542,"&gt;0")</f>
        <v>177</v>
      </c>
      <c r="G140">
        <f>E140-F140</f>
        <v>0</v>
      </c>
      <c r="H140" s="9">
        <f>ROUND(G140*D140,2)</f>
        <v>0</v>
      </c>
      <c r="I140" s="9">
        <f>SUMIFS('Invoice Lines'!$K$5:$K$2542,'Invoice Lines'!$H$5:$H$2542,A140,'Invoice Lines'!$Q$5:$Q$2542,"HIRE-"&amp;C140,'Invoice Lines'!$M$5:$M$2542,1,'Invoice Lines'!$K$5:$K$2542,"&lt;0")</f>
        <v>0</v>
      </c>
      <c r="J140" t="n">
        <v>0</v>
      </c>
      <c r="K140" t="str">
        <f>IF(G140&gt;0,"Under-billed",IF(G140&lt;0,"Over-billed","Agrees"))</f>
        <v>Agrees</v>
      </c>
      <c r="L140" t="inlineStr"/>
    </row>
    <row r="141">
      <c r="A141" t="inlineStr">
        <is>
          <t>S0106</t>
        </is>
      </c>
      <c r="B141" t="inlineStr">
        <is>
          <t>Highpoint Projects</t>
        </is>
      </c>
      <c r="C141" t="inlineStr">
        <is>
          <t>FP</t>
        </is>
      </c>
      <c r="D141" s="9" t="n">
        <v>4.5</v>
      </c>
      <c r="E141">
        <f>SUMIFS('Hire Cycles'!$F$5:$F$1069,'Hire Cycles'!$A$5:$A$1069,A141,'Hire Cycles'!$B$5:$B$1069,C141,'Hire Cycles'!$G$5:$G$1069,1)</f>
        <v>38</v>
      </c>
      <c r="F141">
        <f>SUMIFS('Invoice Lines'!$J$5:$J$2542,'Invoice Lines'!$H$5:$H$2542,A141,'Invoice Lines'!$Q$5:$Q$2542,"HIRE-"&amp;C141,'Invoice Lines'!$M$5:$M$2542,1,'Invoice Lines'!$K$5:$K$2542,"&gt;0")</f>
        <v>38</v>
      </c>
      <c r="G141">
        <f>E141-F141</f>
        <v>0</v>
      </c>
      <c r="H141" s="9">
        <f>ROUND(G141*D141,2)</f>
        <v>0</v>
      </c>
      <c r="I141" s="9">
        <f>SUMIFS('Invoice Lines'!$K$5:$K$2542,'Invoice Lines'!$H$5:$H$2542,A141,'Invoice Lines'!$Q$5:$Q$2542,"HIRE-"&amp;C141,'Invoice Lines'!$M$5:$M$2542,1,'Invoice Lines'!$K$5:$K$2542,"&lt;0")</f>
        <v>0</v>
      </c>
      <c r="J141" t="n">
        <v>0</v>
      </c>
      <c r="K141" t="str">
        <f>IF(G141&gt;0,"Under-billed",IF(G141&lt;0,"Over-billed","Agrees"))</f>
        <v>Agrees</v>
      </c>
      <c r="L141" t="inlineStr"/>
    </row>
    <row r="142">
      <c r="A142" t="inlineStr">
        <is>
          <t>S0107</t>
        </is>
      </c>
      <c r="B142" t="inlineStr">
        <is>
          <t>Ember Productions Pty Ltd</t>
        </is>
      </c>
      <c r="C142" t="inlineStr">
        <is>
          <t>FP</t>
        </is>
      </c>
      <c r="D142" s="9" t="n">
        <v>4.5</v>
      </c>
      <c r="E142">
        <f>SUMIFS('Hire Cycles'!$F$5:$F$1069,'Hire Cycles'!$A$5:$A$1069,A142,'Hire Cycles'!$B$5:$B$1069,C142,'Hire Cycles'!$G$5:$G$1069,1)</f>
        <v>424</v>
      </c>
      <c r="F142">
        <f>SUMIFS('Invoice Lines'!$J$5:$J$2542,'Invoice Lines'!$H$5:$H$2542,A142,'Invoice Lines'!$Q$5:$Q$2542,"HIRE-"&amp;C142,'Invoice Lines'!$M$5:$M$2542,1,'Invoice Lines'!$K$5:$K$2542,"&gt;0")</f>
        <v>424</v>
      </c>
      <c r="G142">
        <f>E142-F142</f>
        <v>0</v>
      </c>
      <c r="H142" s="9">
        <f>ROUND(G142*D142,2)</f>
        <v>0</v>
      </c>
      <c r="I142" s="9">
        <f>SUMIFS('Invoice Lines'!$K$5:$K$2542,'Invoice Lines'!$H$5:$H$2542,A142,'Invoice Lines'!$Q$5:$Q$2542,"HIRE-"&amp;C142,'Invoice Lines'!$M$5:$M$2542,1,'Invoice Lines'!$K$5:$K$2542,"&lt;0")</f>
        <v>0</v>
      </c>
      <c r="J142" t="n">
        <v>0</v>
      </c>
      <c r="K142" t="str">
        <f>IF(G142&gt;0,"Under-billed",IF(G142&lt;0,"Over-billed","Agrees"))</f>
        <v>Agrees</v>
      </c>
      <c r="L142" t="inlineStr"/>
    </row>
    <row r="143">
      <c r="A143" t="inlineStr">
        <is>
          <t>S0108</t>
        </is>
      </c>
      <c r="B143" t="inlineStr">
        <is>
          <t>Summit Builders Pty Ltd</t>
        </is>
      </c>
      <c r="C143" t="inlineStr">
        <is>
          <t>BR</t>
        </is>
      </c>
      <c r="D143" s="9" t="n">
        <v>3.2</v>
      </c>
      <c r="E143">
        <f>SUMIFS('Hire Cycles'!$F$5:$F$1069,'Hire Cycles'!$A$5:$A$1069,A143,'Hire Cycles'!$B$5:$B$1069,C143,'Hire Cycles'!$G$5:$G$1069,1)</f>
        <v>119</v>
      </c>
      <c r="F143">
        <f>SUMIFS('Invoice Lines'!$J$5:$J$2542,'Invoice Lines'!$H$5:$H$2542,A143,'Invoice Lines'!$Q$5:$Q$2542,"HIRE-"&amp;C143,'Invoice Lines'!$M$5:$M$2542,1,'Invoice Lines'!$K$5:$K$2542,"&gt;0")</f>
        <v>119</v>
      </c>
      <c r="G143">
        <f>E143-F143</f>
        <v>0</v>
      </c>
      <c r="H143" s="9">
        <f>ROUND(G143*D143,2)</f>
        <v>0</v>
      </c>
      <c r="I143" s="9">
        <f>SUMIFS('Invoice Lines'!$K$5:$K$2542,'Invoice Lines'!$H$5:$H$2542,A143,'Invoice Lines'!$Q$5:$Q$2542,"HIRE-"&amp;C143,'Invoice Lines'!$M$5:$M$2542,1,'Invoice Lines'!$K$5:$K$2542,"&lt;0")</f>
        <v>0</v>
      </c>
      <c r="J143" t="n">
        <v>0</v>
      </c>
      <c r="K143" t="str">
        <f>IF(G143&gt;0,"Under-billed",IF(G143&lt;0,"Over-billed","Agrees"))</f>
        <v>Agrees</v>
      </c>
      <c r="L143" t="inlineStr"/>
    </row>
    <row r="144">
      <c r="A144" t="inlineStr">
        <is>
          <t>S0108</t>
        </is>
      </c>
      <c r="B144" t="inlineStr">
        <is>
          <t>Summit Builders Pty Ltd</t>
        </is>
      </c>
      <c r="C144" t="inlineStr">
        <is>
          <t>FP</t>
        </is>
      </c>
      <c r="D144" s="9" t="n">
        <v>4.5</v>
      </c>
      <c r="E144">
        <f>SUMIFS('Hire Cycles'!$F$5:$F$1069,'Hire Cycles'!$A$5:$A$1069,A144,'Hire Cycles'!$B$5:$B$1069,C144,'Hire Cycles'!$G$5:$G$1069,1)</f>
        <v>644</v>
      </c>
      <c r="F144">
        <f>SUMIFS('Invoice Lines'!$J$5:$J$2542,'Invoice Lines'!$H$5:$H$2542,A144,'Invoice Lines'!$Q$5:$Q$2542,"HIRE-"&amp;C144,'Invoice Lines'!$M$5:$M$2542,1,'Invoice Lines'!$K$5:$K$2542,"&gt;0")</f>
        <v>644</v>
      </c>
      <c r="G144">
        <f>E144-F144</f>
        <v>0</v>
      </c>
      <c r="H144" s="9">
        <f>ROUND(G144*D144,2)</f>
        <v>0</v>
      </c>
      <c r="I144" s="9">
        <f>SUMIFS('Invoice Lines'!$K$5:$K$2542,'Invoice Lines'!$H$5:$H$2542,A144,'Invoice Lines'!$Q$5:$Q$2542,"HIRE-"&amp;C144,'Invoice Lines'!$M$5:$M$2542,1,'Invoice Lines'!$K$5:$K$2542,"&lt;0")</f>
        <v>0</v>
      </c>
      <c r="J144" t="n">
        <v>0</v>
      </c>
      <c r="K144" t="str">
        <f>IF(G144&gt;0,"Under-billed",IF(G144&lt;0,"Over-billed","Agrees"))</f>
        <v>Agrees</v>
      </c>
      <c r="L144" t="inlineStr"/>
    </row>
    <row r="145">
      <c r="A145" t="inlineStr">
        <is>
          <t>S0109</t>
        </is>
      </c>
      <c r="B145" t="inlineStr">
        <is>
          <t>Riverbend Homes Pty Ltd</t>
        </is>
      </c>
      <c r="C145" t="inlineStr">
        <is>
          <t>FP</t>
        </is>
      </c>
      <c r="D145" s="9" t="n">
        <v>4.5</v>
      </c>
      <c r="E145">
        <f>SUMIFS('Hire Cycles'!$F$5:$F$1069,'Hire Cycles'!$A$5:$A$1069,A145,'Hire Cycles'!$B$5:$B$1069,C145,'Hire Cycles'!$G$5:$G$1069,1)</f>
        <v>552</v>
      </c>
      <c r="F145">
        <f>SUMIFS('Invoice Lines'!$J$5:$J$2542,'Invoice Lines'!$H$5:$H$2542,A145,'Invoice Lines'!$Q$5:$Q$2542,"HIRE-"&amp;C145,'Invoice Lines'!$M$5:$M$2542,1,'Invoice Lines'!$K$5:$K$2542,"&gt;0")</f>
        <v>657</v>
      </c>
      <c r="G145">
        <f>E145-F145</f>
        <v>-105</v>
      </c>
      <c r="H145" s="9">
        <f>ROUND(G145*D145,2)</f>
        <v>-472.5</v>
      </c>
      <c r="I145" s="9">
        <f>SUMIFS('Invoice Lines'!$K$5:$K$2542,'Invoice Lines'!$H$5:$H$2542,A145,'Invoice Lines'!$Q$5:$Q$2542,"HIRE-"&amp;C145,'Invoice Lines'!$M$5:$M$2542,1,'Invoice Lines'!$K$5:$K$2542,"&lt;0")</f>
        <v>0</v>
      </c>
      <c r="J145" t="n">
        <v>0</v>
      </c>
      <c r="K145" t="str">
        <f>IF(G145&gt;0,"Under-billed",IF(G145&lt;0,"Over-billed","Agrees"))</f>
        <v>Over-billed</v>
      </c>
      <c r="L145" t="inlineStr">
        <is>
          <t>Yes</t>
        </is>
      </c>
    </row>
    <row r="146">
      <c r="A146" t="inlineStr">
        <is>
          <t>S0110</t>
        </is>
      </c>
      <c r="B146" t="inlineStr">
        <is>
          <t>Mia Papadopoulos</t>
        </is>
      </c>
      <c r="C146" t="inlineStr">
        <is>
          <t>FP</t>
        </is>
      </c>
      <c r="D146" s="9" t="n">
        <v>4.5</v>
      </c>
      <c r="E146">
        <f>SUMIFS('Hire Cycles'!$F$5:$F$1069,'Hire Cycles'!$A$5:$A$1069,A146,'Hire Cycles'!$B$5:$B$1069,C146,'Hire Cycles'!$G$5:$G$1069,1)</f>
        <v>351</v>
      </c>
      <c r="F146">
        <f>SUMIFS('Invoice Lines'!$J$5:$J$2542,'Invoice Lines'!$H$5:$H$2542,A146,'Invoice Lines'!$Q$5:$Q$2542,"HIRE-"&amp;C146,'Invoice Lines'!$M$5:$M$2542,1,'Invoice Lines'!$K$5:$K$2542,"&gt;0")</f>
        <v>351</v>
      </c>
      <c r="G146">
        <f>E146-F146</f>
        <v>0</v>
      </c>
      <c r="H146" s="9">
        <f>ROUND(G146*D146,2)</f>
        <v>0</v>
      </c>
      <c r="I146" s="9">
        <f>SUMIFS('Invoice Lines'!$K$5:$K$2542,'Invoice Lines'!$H$5:$H$2542,A146,'Invoice Lines'!$Q$5:$Q$2542,"HIRE-"&amp;C146,'Invoice Lines'!$M$5:$M$2542,1,'Invoice Lines'!$K$5:$K$2542,"&lt;0")</f>
        <v>0</v>
      </c>
      <c r="J146" t="n">
        <v>0</v>
      </c>
      <c r="K146" t="str">
        <f>IF(G146&gt;0,"Under-billed",IF(G146&lt;0,"Over-billed","Agrees"))</f>
        <v>Agrees</v>
      </c>
      <c r="L146" t="inlineStr"/>
    </row>
    <row r="147">
      <c r="A147" t="inlineStr">
        <is>
          <t>S0111</t>
        </is>
      </c>
      <c r="B147" t="inlineStr">
        <is>
          <t>Coastline Projects Pty Ltd</t>
        </is>
      </c>
      <c r="C147" t="inlineStr">
        <is>
          <t>FP</t>
        </is>
      </c>
      <c r="D147" s="9" t="n">
        <v>4.5</v>
      </c>
      <c r="E147">
        <f>SUMIFS('Hire Cycles'!$F$5:$F$1069,'Hire Cycles'!$A$5:$A$1069,A147,'Hire Cycles'!$B$5:$B$1069,C147,'Hire Cycles'!$G$5:$G$1069,1)</f>
        <v>910</v>
      </c>
      <c r="F147">
        <f>SUMIFS('Invoice Lines'!$J$5:$J$2542,'Invoice Lines'!$H$5:$H$2542,A147,'Invoice Lines'!$Q$5:$Q$2542,"HIRE-"&amp;C147,'Invoice Lines'!$M$5:$M$2542,1,'Invoice Lines'!$K$5:$K$2542,"&gt;0")</f>
        <v>910</v>
      </c>
      <c r="G147">
        <f>E147-F147</f>
        <v>0</v>
      </c>
      <c r="H147" s="9">
        <f>ROUND(G147*D147,2)</f>
        <v>0</v>
      </c>
      <c r="I147" s="9">
        <f>SUMIFS('Invoice Lines'!$K$5:$K$2542,'Invoice Lines'!$H$5:$H$2542,A147,'Invoice Lines'!$Q$5:$Q$2542,"HIRE-"&amp;C147,'Invoice Lines'!$M$5:$M$2542,1,'Invoice Lines'!$K$5:$K$2542,"&lt;0")</f>
        <v>0</v>
      </c>
      <c r="J147" t="n">
        <v>0</v>
      </c>
      <c r="K147" t="str">
        <f>IF(G147&gt;0,"Under-billed",IF(G147&lt;0,"Over-billed","Agrees"))</f>
        <v>Agrees</v>
      </c>
      <c r="L147" t="inlineStr"/>
    </row>
    <row r="148">
      <c r="A148" t="inlineStr">
        <is>
          <t>S0112</t>
        </is>
      </c>
      <c r="B148" t="inlineStr">
        <is>
          <t>Kestrel Events Pty Ltd</t>
        </is>
      </c>
      <c r="C148" t="inlineStr">
        <is>
          <t>FP</t>
        </is>
      </c>
      <c r="D148" s="9" t="n">
        <v>4.5</v>
      </c>
      <c r="E148">
        <f>SUMIFS('Hire Cycles'!$F$5:$F$1069,'Hire Cycles'!$A$5:$A$1069,A148,'Hire Cycles'!$B$5:$B$1069,C148,'Hire Cycles'!$G$5:$G$1069,1)</f>
        <v>339</v>
      </c>
      <c r="F148">
        <f>SUMIFS('Invoice Lines'!$J$5:$J$2542,'Invoice Lines'!$H$5:$H$2542,A148,'Invoice Lines'!$Q$5:$Q$2542,"HIRE-"&amp;C148,'Invoice Lines'!$M$5:$M$2542,1,'Invoice Lines'!$K$5:$K$2542,"&gt;0")</f>
        <v>339</v>
      </c>
      <c r="G148">
        <f>E148-F148</f>
        <v>0</v>
      </c>
      <c r="H148" s="9">
        <f>ROUND(G148*D148,2)</f>
        <v>0</v>
      </c>
      <c r="I148" s="9">
        <f>SUMIFS('Invoice Lines'!$K$5:$K$2542,'Invoice Lines'!$H$5:$H$2542,A148,'Invoice Lines'!$Q$5:$Q$2542,"HIRE-"&amp;C148,'Invoice Lines'!$M$5:$M$2542,1,'Invoice Lines'!$K$5:$K$2542,"&lt;0")</f>
        <v>0</v>
      </c>
      <c r="J148" t="n">
        <v>0</v>
      </c>
      <c r="K148" t="str">
        <f>IF(G148&gt;0,"Under-billed",IF(G148&lt;0,"Over-billed","Agrees"))</f>
        <v>Agrees</v>
      </c>
      <c r="L148" t="inlineStr"/>
    </row>
    <row r="149">
      <c r="A149" t="inlineStr">
        <is>
          <t>S0113</t>
        </is>
      </c>
      <c r="B149" t="inlineStr">
        <is>
          <t>Summit Homes Pty Ltd</t>
        </is>
      </c>
      <c r="C149" t="inlineStr">
        <is>
          <t>FP</t>
        </is>
      </c>
      <c r="D149" s="9" t="n">
        <v>4.5</v>
      </c>
      <c r="E149">
        <f>SUMIFS('Hire Cycles'!$F$5:$F$1069,'Hire Cycles'!$A$5:$A$1069,A149,'Hire Cycles'!$B$5:$B$1069,C149,'Hire Cycles'!$G$5:$G$1069,1)</f>
        <v>234</v>
      </c>
      <c r="F149">
        <f>SUMIFS('Invoice Lines'!$J$5:$J$2542,'Invoice Lines'!$H$5:$H$2542,A149,'Invoice Lines'!$Q$5:$Q$2542,"HIRE-"&amp;C149,'Invoice Lines'!$M$5:$M$2542,1,'Invoice Lines'!$K$5:$K$2542,"&gt;0")</f>
        <v>234</v>
      </c>
      <c r="G149">
        <f>E149-F149</f>
        <v>0</v>
      </c>
      <c r="H149" s="9">
        <f>ROUND(G149*D149,2)</f>
        <v>0</v>
      </c>
      <c r="I149" s="9">
        <f>SUMIFS('Invoice Lines'!$K$5:$K$2542,'Invoice Lines'!$H$5:$H$2542,A149,'Invoice Lines'!$Q$5:$Q$2542,"HIRE-"&amp;C149,'Invoice Lines'!$M$5:$M$2542,1,'Invoice Lines'!$K$5:$K$2542,"&lt;0")</f>
        <v>0</v>
      </c>
      <c r="J149" t="n">
        <v>0</v>
      </c>
      <c r="K149" t="str">
        <f>IF(G149&gt;0,"Under-billed",IF(G149&lt;0,"Over-billed","Agrees"))</f>
        <v>Agrees</v>
      </c>
      <c r="L149" t="inlineStr"/>
    </row>
    <row r="150">
      <c r="A150" t="inlineStr">
        <is>
          <t>S0114</t>
        </is>
      </c>
      <c r="B150" t="inlineStr">
        <is>
          <t>Wattle Constructions Pty Ltd</t>
        </is>
      </c>
      <c r="C150" t="inlineStr">
        <is>
          <t>FP</t>
        </is>
      </c>
      <c r="D150" s="9" t="n">
        <v>4.5</v>
      </c>
      <c r="E150">
        <f>SUMIFS('Hire Cycles'!$F$5:$F$1069,'Hire Cycles'!$A$5:$A$1069,A150,'Hire Cycles'!$B$5:$B$1069,C150,'Hire Cycles'!$G$5:$G$1069,1)</f>
        <v>48</v>
      </c>
      <c r="F150">
        <f>SUMIFS('Invoice Lines'!$J$5:$J$2542,'Invoice Lines'!$H$5:$H$2542,A150,'Invoice Lines'!$Q$5:$Q$2542,"HIRE-"&amp;C150,'Invoice Lines'!$M$5:$M$2542,1,'Invoice Lines'!$K$5:$K$2542,"&gt;0")</f>
        <v>48</v>
      </c>
      <c r="G150">
        <f>E150-F150</f>
        <v>0</v>
      </c>
      <c r="H150" s="9">
        <f>ROUND(G150*D150,2)</f>
        <v>0</v>
      </c>
      <c r="I150" s="9">
        <f>SUMIFS('Invoice Lines'!$K$5:$K$2542,'Invoice Lines'!$H$5:$H$2542,A150,'Invoice Lines'!$Q$5:$Q$2542,"HIRE-"&amp;C150,'Invoice Lines'!$M$5:$M$2542,1,'Invoice Lines'!$K$5:$K$2542,"&lt;0")</f>
        <v>0</v>
      </c>
      <c r="J150" t="n">
        <v>0</v>
      </c>
      <c r="K150" t="str">
        <f>IF(G150&gt;0,"Under-billed",IF(G150&lt;0,"Over-billed","Agrees"))</f>
        <v>Agrees</v>
      </c>
      <c r="L150" t="inlineStr"/>
    </row>
    <row r="151">
      <c r="A151" t="inlineStr">
        <is>
          <t>S0115</t>
        </is>
      </c>
      <c r="B151" t="inlineStr">
        <is>
          <t>Cobalt Constructions Pty Ltd</t>
        </is>
      </c>
      <c r="C151" t="inlineStr">
        <is>
          <t>FP</t>
        </is>
      </c>
      <c r="D151" s="9" t="n">
        <v>4.5</v>
      </c>
      <c r="E151">
        <f>SUMIFS('Hire Cycles'!$F$5:$F$1069,'Hire Cycles'!$A$5:$A$1069,A151,'Hire Cycles'!$B$5:$B$1069,C151,'Hire Cycles'!$G$5:$G$1069,1)</f>
        <v>810</v>
      </c>
      <c r="F151">
        <f>SUMIFS('Invoice Lines'!$J$5:$J$2542,'Invoice Lines'!$H$5:$H$2542,A151,'Invoice Lines'!$Q$5:$Q$2542,"HIRE-"&amp;C151,'Invoice Lines'!$M$5:$M$2542,1,'Invoice Lines'!$K$5:$K$2542,"&gt;0")</f>
        <v>810</v>
      </c>
      <c r="G151">
        <f>E151-F151</f>
        <v>0</v>
      </c>
      <c r="H151" s="9">
        <f>ROUND(G151*D151,2)</f>
        <v>0</v>
      </c>
      <c r="I151" s="9">
        <f>SUMIFS('Invoice Lines'!$K$5:$K$2542,'Invoice Lines'!$H$5:$H$2542,A151,'Invoice Lines'!$Q$5:$Q$2542,"HIRE-"&amp;C151,'Invoice Lines'!$M$5:$M$2542,1,'Invoice Lines'!$K$5:$K$2542,"&lt;0")</f>
        <v>0</v>
      </c>
      <c r="J151" t="n">
        <v>0</v>
      </c>
      <c r="K151" t="str">
        <f>IF(G151&gt;0,"Under-billed",IF(G151&lt;0,"Over-billed","Agrees"))</f>
        <v>Agrees</v>
      </c>
      <c r="L151" t="inlineStr"/>
    </row>
    <row r="152">
      <c r="A152" t="inlineStr">
        <is>
          <t>S0116</t>
        </is>
      </c>
      <c r="B152" t="inlineStr">
        <is>
          <t>Eastlink Projects</t>
        </is>
      </c>
      <c r="C152" t="inlineStr">
        <is>
          <t>FP</t>
        </is>
      </c>
      <c r="D152" s="9" t="n">
        <v>4.5</v>
      </c>
      <c r="E152">
        <f>SUMIFS('Hire Cycles'!$F$5:$F$1069,'Hire Cycles'!$A$5:$A$1069,A152,'Hire Cycles'!$B$5:$B$1069,C152,'Hire Cycles'!$G$5:$G$1069,1)</f>
        <v>1946</v>
      </c>
      <c r="F152">
        <f>SUMIFS('Invoice Lines'!$J$5:$J$2542,'Invoice Lines'!$H$5:$H$2542,A152,'Invoice Lines'!$Q$5:$Q$2542,"HIRE-"&amp;C152,'Invoice Lines'!$M$5:$M$2542,1,'Invoice Lines'!$K$5:$K$2542,"&gt;0")</f>
        <v>1784</v>
      </c>
      <c r="G152">
        <f>E152-F152</f>
        <v>162</v>
      </c>
      <c r="H152" s="9">
        <f>ROUND(G152*D152,2)</f>
        <v>729</v>
      </c>
      <c r="I152" s="9">
        <f>SUMIFS('Invoice Lines'!$K$5:$K$2542,'Invoice Lines'!$H$5:$H$2542,A152,'Invoice Lines'!$Q$5:$Q$2542,"HIRE-"&amp;C152,'Invoice Lines'!$M$5:$M$2542,1,'Invoice Lines'!$K$5:$K$2542,"&lt;0")</f>
        <v>0</v>
      </c>
      <c r="J152" t="n">
        <v>0</v>
      </c>
      <c r="K152" t="str">
        <f>IF(G152&gt;0,"Under-billed",IF(G152&lt;0,"Over-billed","Agrees"))</f>
        <v>Under-billed</v>
      </c>
      <c r="L152" t="inlineStr"/>
    </row>
    <row r="153">
      <c r="A153" t="inlineStr">
        <is>
          <t>S0118</t>
        </is>
      </c>
      <c r="B153" t="inlineStr">
        <is>
          <t>Northgate Insurance Repairs</t>
        </is>
      </c>
      <c r="C153" t="inlineStr">
        <is>
          <t>FP</t>
        </is>
      </c>
      <c r="D153" s="9" t="n">
        <v>4.5</v>
      </c>
      <c r="E153">
        <f>SUMIFS('Hire Cycles'!$F$5:$F$1069,'Hire Cycles'!$A$5:$A$1069,A153,'Hire Cycles'!$B$5:$B$1069,C153,'Hire Cycles'!$G$5:$G$1069,1)</f>
        <v>0</v>
      </c>
      <c r="F153">
        <f>SUMIFS('Invoice Lines'!$J$5:$J$2542,'Invoice Lines'!$H$5:$H$2542,A153,'Invoice Lines'!$Q$5:$Q$2542,"HIRE-"&amp;C153,'Invoice Lines'!$M$5:$M$2542,1,'Invoice Lines'!$K$5:$K$2542,"&gt;0")</f>
        <v>0</v>
      </c>
      <c r="G153">
        <f>E153-F153</f>
        <v>0</v>
      </c>
      <c r="H153" s="9">
        <f>ROUND(G153*D153,2)</f>
        <v>0</v>
      </c>
      <c r="I153" s="9">
        <f>SUMIFS('Invoice Lines'!$K$5:$K$2542,'Invoice Lines'!$H$5:$H$2542,A153,'Invoice Lines'!$Q$5:$Q$2542,"HIRE-"&amp;C153,'Invoice Lines'!$M$5:$M$2542,1,'Invoice Lines'!$K$5:$K$2542,"&lt;0")</f>
        <v>0</v>
      </c>
      <c r="J153" t="n">
        <v>272</v>
      </c>
      <c r="K153" t="str">
        <f>IF(G153&gt;0,"Under-billed",IF(G153&lt;0,"Over-billed","Agrees"))</f>
        <v>Agrees</v>
      </c>
      <c r="L153" t="inlineStr"/>
    </row>
    <row r="154">
      <c r="A154" t="inlineStr">
        <is>
          <t>S0120</t>
        </is>
      </c>
      <c r="B154" t="inlineStr">
        <is>
          <t>Juniper Festivals</t>
        </is>
      </c>
      <c r="C154" t="inlineStr">
        <is>
          <t>BR</t>
        </is>
      </c>
      <c r="D154" s="9" t="n">
        <v>3.2</v>
      </c>
      <c r="E154">
        <f>SUMIFS('Hire Cycles'!$F$5:$F$1069,'Hire Cycles'!$A$5:$A$1069,A154,'Hire Cycles'!$B$5:$B$1069,C154,'Hire Cycles'!$G$5:$G$1069,1)</f>
        <v>60</v>
      </c>
      <c r="F154">
        <f>SUMIFS('Invoice Lines'!$J$5:$J$2542,'Invoice Lines'!$H$5:$H$2542,A154,'Invoice Lines'!$Q$5:$Q$2542,"HIRE-"&amp;C154,'Invoice Lines'!$M$5:$M$2542,1,'Invoice Lines'!$K$5:$K$2542,"&gt;0")</f>
        <v>60</v>
      </c>
      <c r="G154">
        <f>E154-F154</f>
        <v>0</v>
      </c>
      <c r="H154" s="9">
        <f>ROUND(G154*D154,2)</f>
        <v>0</v>
      </c>
      <c r="I154" s="9">
        <f>SUMIFS('Invoice Lines'!$K$5:$K$2542,'Invoice Lines'!$H$5:$H$2542,A154,'Invoice Lines'!$Q$5:$Q$2542,"HIRE-"&amp;C154,'Invoice Lines'!$M$5:$M$2542,1,'Invoice Lines'!$K$5:$K$2542,"&lt;0")</f>
        <v>0</v>
      </c>
      <c r="J154" t="n">
        <v>0</v>
      </c>
      <c r="K154" t="str">
        <f>IF(G154&gt;0,"Under-billed",IF(G154&lt;0,"Over-billed","Agrees"))</f>
        <v>Agrees</v>
      </c>
      <c r="L154" t="inlineStr"/>
    </row>
    <row r="155">
      <c r="A155" t="inlineStr">
        <is>
          <t>S0120</t>
        </is>
      </c>
      <c r="B155" t="inlineStr">
        <is>
          <t>Juniper Festivals</t>
        </is>
      </c>
      <c r="C155" t="inlineStr">
        <is>
          <t>FP</t>
        </is>
      </c>
      <c r="D155" s="9" t="n">
        <v>4.5</v>
      </c>
      <c r="E155">
        <f>SUMIFS('Hire Cycles'!$F$5:$F$1069,'Hire Cycles'!$A$5:$A$1069,A155,'Hire Cycles'!$B$5:$B$1069,C155,'Hire Cycles'!$G$5:$G$1069,1)</f>
        <v>340</v>
      </c>
      <c r="F155">
        <f>SUMIFS('Invoice Lines'!$J$5:$J$2542,'Invoice Lines'!$H$5:$H$2542,A155,'Invoice Lines'!$Q$5:$Q$2542,"HIRE-"&amp;C155,'Invoice Lines'!$M$5:$M$2542,1,'Invoice Lines'!$K$5:$K$2542,"&gt;0")</f>
        <v>340</v>
      </c>
      <c r="G155">
        <f>E155-F155</f>
        <v>0</v>
      </c>
      <c r="H155" s="9">
        <f>ROUND(G155*D155,2)</f>
        <v>0</v>
      </c>
      <c r="I155" s="9">
        <f>SUMIFS('Invoice Lines'!$K$5:$K$2542,'Invoice Lines'!$H$5:$H$2542,A155,'Invoice Lines'!$Q$5:$Q$2542,"HIRE-"&amp;C155,'Invoice Lines'!$M$5:$M$2542,1,'Invoice Lines'!$K$5:$K$2542,"&lt;0")</f>
        <v>0</v>
      </c>
      <c r="J155" t="n">
        <v>0</v>
      </c>
      <c r="K155" t="str">
        <f>IF(G155&gt;0,"Under-billed",IF(G155&lt;0,"Over-billed","Agrees"))</f>
        <v>Agrees</v>
      </c>
      <c r="L155" t="inlineStr"/>
    </row>
    <row r="156">
      <c r="A156" t="inlineStr">
        <is>
          <t>S0121</t>
        </is>
      </c>
      <c r="B156" t="inlineStr">
        <is>
          <t>Wattle Constructions Pty Ltd</t>
        </is>
      </c>
      <c r="C156" t="inlineStr">
        <is>
          <t>FP</t>
        </is>
      </c>
      <c r="D156" s="9" t="n">
        <v>4.5</v>
      </c>
      <c r="E156">
        <f>SUMIFS('Hire Cycles'!$F$5:$F$1069,'Hire Cycles'!$A$5:$A$1069,A156,'Hire Cycles'!$B$5:$B$1069,C156,'Hire Cycles'!$G$5:$G$1069,1)</f>
        <v>354</v>
      </c>
      <c r="F156">
        <f>SUMIFS('Invoice Lines'!$J$5:$J$2542,'Invoice Lines'!$H$5:$H$2542,A156,'Invoice Lines'!$Q$5:$Q$2542,"HIRE-"&amp;C156,'Invoice Lines'!$M$5:$M$2542,1,'Invoice Lines'!$K$5:$K$2542,"&gt;0")</f>
        <v>315</v>
      </c>
      <c r="G156">
        <f>E156-F156</f>
        <v>39</v>
      </c>
      <c r="H156" s="9">
        <f>ROUND(G156*D156,2)</f>
        <v>175.5</v>
      </c>
      <c r="I156" s="9">
        <f>SUMIFS('Invoice Lines'!$K$5:$K$2542,'Invoice Lines'!$H$5:$H$2542,A156,'Invoice Lines'!$Q$5:$Q$2542,"HIRE-"&amp;C156,'Invoice Lines'!$M$5:$M$2542,1,'Invoice Lines'!$K$5:$K$2542,"&lt;0")</f>
        <v>0</v>
      </c>
      <c r="J156" t="n">
        <v>0</v>
      </c>
      <c r="K156" t="str">
        <f>IF(G156&gt;0,"Under-billed",IF(G156&lt;0,"Over-billed","Agrees"))</f>
        <v>Under-billed</v>
      </c>
      <c r="L156" t="inlineStr"/>
    </row>
    <row r="157">
      <c r="A157" t="inlineStr">
        <is>
          <t>S0122</t>
        </is>
      </c>
      <c r="B157" t="inlineStr">
        <is>
          <t>Redline Builders Pty Ltd</t>
        </is>
      </c>
      <c r="C157" t="inlineStr">
        <is>
          <t>BR</t>
        </is>
      </c>
      <c r="D157" s="9" t="n">
        <v>3.2</v>
      </c>
      <c r="E157">
        <f>SUMIFS('Hire Cycles'!$F$5:$F$1069,'Hire Cycles'!$A$5:$A$1069,A157,'Hire Cycles'!$B$5:$B$1069,C157,'Hire Cycles'!$G$5:$G$1069,1)</f>
        <v>20</v>
      </c>
      <c r="F157">
        <f>SUMIFS('Invoice Lines'!$J$5:$J$2542,'Invoice Lines'!$H$5:$H$2542,A157,'Invoice Lines'!$Q$5:$Q$2542,"HIRE-"&amp;C157,'Invoice Lines'!$M$5:$M$2542,1,'Invoice Lines'!$K$5:$K$2542,"&gt;0")</f>
        <v>20</v>
      </c>
      <c r="G157">
        <f>E157-F157</f>
        <v>0</v>
      </c>
      <c r="H157" s="9">
        <f>ROUND(G157*D157,2)</f>
        <v>0</v>
      </c>
      <c r="I157" s="9">
        <f>SUMIFS('Invoice Lines'!$K$5:$K$2542,'Invoice Lines'!$H$5:$H$2542,A157,'Invoice Lines'!$Q$5:$Q$2542,"HIRE-"&amp;C157,'Invoice Lines'!$M$5:$M$2542,1,'Invoice Lines'!$K$5:$K$2542,"&lt;0")</f>
        <v>0</v>
      </c>
      <c r="J157" t="n">
        <v>0</v>
      </c>
      <c r="K157" t="str">
        <f>IF(G157&gt;0,"Under-billed",IF(G157&lt;0,"Over-billed","Agrees"))</f>
        <v>Agrees</v>
      </c>
      <c r="L157" t="inlineStr"/>
    </row>
    <row r="158">
      <c r="A158" t="inlineStr">
        <is>
          <t>S0122</t>
        </is>
      </c>
      <c r="B158" t="inlineStr">
        <is>
          <t>Redline Builders Pty Ltd</t>
        </is>
      </c>
      <c r="C158" t="inlineStr">
        <is>
          <t>FP</t>
        </is>
      </c>
      <c r="D158" s="9" t="n">
        <v>4.5</v>
      </c>
      <c r="E158">
        <f>SUMIFS('Hire Cycles'!$F$5:$F$1069,'Hire Cycles'!$A$5:$A$1069,A158,'Hire Cycles'!$B$5:$B$1069,C158,'Hire Cycles'!$G$5:$G$1069,1)</f>
        <v>76</v>
      </c>
      <c r="F158">
        <f>SUMIFS('Invoice Lines'!$J$5:$J$2542,'Invoice Lines'!$H$5:$H$2542,A158,'Invoice Lines'!$Q$5:$Q$2542,"HIRE-"&amp;C158,'Invoice Lines'!$M$5:$M$2542,1,'Invoice Lines'!$K$5:$K$2542,"&gt;0")</f>
        <v>76</v>
      </c>
      <c r="G158">
        <f>E158-F158</f>
        <v>0</v>
      </c>
      <c r="H158" s="9">
        <f>ROUND(G158*D158,2)</f>
        <v>0</v>
      </c>
      <c r="I158" s="9">
        <f>SUMIFS('Invoice Lines'!$K$5:$K$2542,'Invoice Lines'!$H$5:$H$2542,A158,'Invoice Lines'!$Q$5:$Q$2542,"HIRE-"&amp;C158,'Invoice Lines'!$M$5:$M$2542,1,'Invoice Lines'!$K$5:$K$2542,"&lt;0")</f>
        <v>0</v>
      </c>
      <c r="J158" t="n">
        <v>0</v>
      </c>
      <c r="K158" t="str">
        <f>IF(G158&gt;0,"Under-billed",IF(G158&lt;0,"Over-billed","Agrees"))</f>
        <v>Agrees</v>
      </c>
      <c r="L158" t="inlineStr"/>
    </row>
    <row r="159">
      <c r="A159" t="inlineStr">
        <is>
          <t>S0123</t>
        </is>
      </c>
      <c r="B159" t="inlineStr">
        <is>
          <t>Granite Projects Pty Ltd</t>
        </is>
      </c>
      <c r="C159" t="inlineStr">
        <is>
          <t>FP</t>
        </is>
      </c>
      <c r="D159" s="9" t="n">
        <v>4.5</v>
      </c>
      <c r="E159">
        <f>SUMIFS('Hire Cycles'!$F$5:$F$1069,'Hire Cycles'!$A$5:$A$1069,A159,'Hire Cycles'!$B$5:$B$1069,C159,'Hire Cycles'!$G$5:$G$1069,1)</f>
        <v>2445</v>
      </c>
      <c r="F159">
        <f>SUMIFS('Invoice Lines'!$J$5:$J$2542,'Invoice Lines'!$H$5:$H$2542,A159,'Invoice Lines'!$Q$5:$Q$2542,"HIRE-"&amp;C159,'Invoice Lines'!$M$5:$M$2542,1,'Invoice Lines'!$K$5:$K$2542,"&gt;0")</f>
        <v>2250</v>
      </c>
      <c r="G159">
        <f>E159-F159</f>
        <v>195</v>
      </c>
      <c r="H159" s="9">
        <f>ROUND(G159*D159,2)</f>
        <v>877.5</v>
      </c>
      <c r="I159" s="9">
        <f>SUMIFS('Invoice Lines'!$K$5:$K$2542,'Invoice Lines'!$H$5:$H$2542,A159,'Invoice Lines'!$Q$5:$Q$2542,"HIRE-"&amp;C159,'Invoice Lines'!$M$5:$M$2542,1,'Invoice Lines'!$K$5:$K$2542,"&lt;0")</f>
        <v>0</v>
      </c>
      <c r="J159" t="n">
        <v>0</v>
      </c>
      <c r="K159" t="str">
        <f>IF(G159&gt;0,"Under-billed",IF(G159&lt;0,"Over-billed","Agrees"))</f>
        <v>Under-billed</v>
      </c>
      <c r="L159" t="inlineStr"/>
    </row>
    <row r="160">
      <c r="A160" t="inlineStr">
        <is>
          <t>S0124</t>
        </is>
      </c>
      <c r="B160" t="inlineStr">
        <is>
          <t>Parkview Homes Pty Ltd</t>
        </is>
      </c>
      <c r="C160" t="inlineStr">
        <is>
          <t>BR</t>
        </is>
      </c>
      <c r="D160" s="9" t="n">
        <v>3.2</v>
      </c>
      <c r="E160">
        <f>SUMIFS('Hire Cycles'!$F$5:$F$1069,'Hire Cycles'!$A$5:$A$1069,A160,'Hire Cycles'!$B$5:$B$1069,C160,'Hire Cycles'!$G$5:$G$1069,1)</f>
        <v>84</v>
      </c>
      <c r="F160">
        <f>SUMIFS('Invoice Lines'!$J$5:$J$2542,'Invoice Lines'!$H$5:$H$2542,A160,'Invoice Lines'!$Q$5:$Q$2542,"HIRE-"&amp;C160,'Invoice Lines'!$M$5:$M$2542,1,'Invoice Lines'!$K$5:$K$2542,"&gt;0")</f>
        <v>84</v>
      </c>
      <c r="G160">
        <f>E160-F160</f>
        <v>0</v>
      </c>
      <c r="H160" s="9">
        <f>ROUND(G160*D160,2)</f>
        <v>0</v>
      </c>
      <c r="I160" s="9">
        <f>SUMIFS('Invoice Lines'!$K$5:$K$2542,'Invoice Lines'!$H$5:$H$2542,A160,'Invoice Lines'!$Q$5:$Q$2542,"HIRE-"&amp;C160,'Invoice Lines'!$M$5:$M$2542,1,'Invoice Lines'!$K$5:$K$2542,"&lt;0")</f>
        <v>0</v>
      </c>
      <c r="J160" t="n">
        <v>0</v>
      </c>
      <c r="K160" t="str">
        <f>IF(G160&gt;0,"Under-billed",IF(G160&lt;0,"Over-billed","Agrees"))</f>
        <v>Agrees</v>
      </c>
      <c r="L160" t="inlineStr"/>
    </row>
    <row r="161">
      <c r="A161" t="inlineStr">
        <is>
          <t>S0124</t>
        </is>
      </c>
      <c r="B161" t="inlineStr">
        <is>
          <t>Parkview Homes Pty Ltd</t>
        </is>
      </c>
      <c r="C161" t="inlineStr">
        <is>
          <t>FP</t>
        </is>
      </c>
      <c r="D161" s="9" t="n">
        <v>4.5</v>
      </c>
      <c r="E161">
        <f>SUMIFS('Hire Cycles'!$F$5:$F$1069,'Hire Cycles'!$A$5:$A$1069,A161,'Hire Cycles'!$B$5:$B$1069,C161,'Hire Cycles'!$G$5:$G$1069,1)</f>
        <v>2762</v>
      </c>
      <c r="F161">
        <f>SUMIFS('Invoice Lines'!$J$5:$J$2542,'Invoice Lines'!$H$5:$H$2542,A161,'Invoice Lines'!$Q$5:$Q$2542,"HIRE-"&amp;C161,'Invoice Lines'!$M$5:$M$2542,1,'Invoice Lines'!$K$5:$K$2542,"&gt;0")</f>
        <v>2278</v>
      </c>
      <c r="G161">
        <f>E161-F161</f>
        <v>484</v>
      </c>
      <c r="H161" s="9">
        <f>ROUND(G161*D161,2)</f>
        <v>2178</v>
      </c>
      <c r="I161" s="9">
        <f>SUMIFS('Invoice Lines'!$K$5:$K$2542,'Invoice Lines'!$H$5:$H$2542,A161,'Invoice Lines'!$Q$5:$Q$2542,"HIRE-"&amp;C161,'Invoice Lines'!$M$5:$M$2542,1,'Invoice Lines'!$K$5:$K$2542,"&lt;0")</f>
        <v>0</v>
      </c>
      <c r="J161" t="n">
        <v>0</v>
      </c>
      <c r="K161" t="str">
        <f>IF(G161&gt;0,"Under-billed",IF(G161&lt;0,"Over-billed","Agrees"))</f>
        <v>Under-billed</v>
      </c>
      <c r="L161" t="inlineStr"/>
    </row>
    <row r="162">
      <c r="A162" t="inlineStr">
        <is>
          <t>S0125</t>
        </is>
      </c>
      <c r="B162" t="inlineStr">
        <is>
          <t>Westside Productions</t>
        </is>
      </c>
      <c r="C162" t="inlineStr">
        <is>
          <t>FP</t>
        </is>
      </c>
      <c r="D162" s="9" t="n">
        <v>4.5</v>
      </c>
      <c r="E162">
        <f>SUMIFS('Hire Cycles'!$F$5:$F$1069,'Hire Cycles'!$A$5:$A$1069,A162,'Hire Cycles'!$B$5:$B$1069,C162,'Hire Cycles'!$G$5:$G$1069,1)</f>
        <v>124</v>
      </c>
      <c r="F162">
        <f>SUMIFS('Invoice Lines'!$J$5:$J$2542,'Invoice Lines'!$H$5:$H$2542,A162,'Invoice Lines'!$Q$5:$Q$2542,"HIRE-"&amp;C162,'Invoice Lines'!$M$5:$M$2542,1,'Invoice Lines'!$K$5:$K$2542,"&gt;0")</f>
        <v>124</v>
      </c>
      <c r="G162">
        <f>E162-F162</f>
        <v>0</v>
      </c>
      <c r="H162" s="9">
        <f>ROUND(G162*D162,2)</f>
        <v>0</v>
      </c>
      <c r="I162" s="9">
        <f>SUMIFS('Invoice Lines'!$K$5:$K$2542,'Invoice Lines'!$H$5:$H$2542,A162,'Invoice Lines'!$Q$5:$Q$2542,"HIRE-"&amp;C162,'Invoice Lines'!$M$5:$M$2542,1,'Invoice Lines'!$K$5:$K$2542,"&lt;0")</f>
        <v>0</v>
      </c>
      <c r="J162" t="n">
        <v>0</v>
      </c>
      <c r="K162" t="str">
        <f>IF(G162&gt;0,"Under-billed",IF(G162&lt;0,"Over-billed","Agrees"))</f>
        <v>Agrees</v>
      </c>
      <c r="L162" t="inlineStr">
        <is>
          <t>Yes</t>
        </is>
      </c>
    </row>
    <row r="163">
      <c r="A163" t="inlineStr">
        <is>
          <t>S0126</t>
        </is>
      </c>
      <c r="B163" t="inlineStr">
        <is>
          <t>Bluegum Developments</t>
        </is>
      </c>
      <c r="C163" t="inlineStr">
        <is>
          <t>FP</t>
        </is>
      </c>
      <c r="D163" s="9" t="n">
        <v>4.5</v>
      </c>
      <c r="E163">
        <f>SUMIFS('Hire Cycles'!$F$5:$F$1069,'Hire Cycles'!$A$5:$A$1069,A163,'Hire Cycles'!$B$5:$B$1069,C163,'Hire Cycles'!$G$5:$G$1069,1)</f>
        <v>1693</v>
      </c>
      <c r="F163">
        <f>SUMIFS('Invoice Lines'!$J$5:$J$2542,'Invoice Lines'!$H$5:$H$2542,A163,'Invoice Lines'!$Q$5:$Q$2542,"HIRE-"&amp;C163,'Invoice Lines'!$M$5:$M$2542,1,'Invoice Lines'!$K$5:$K$2542,"&gt;0")</f>
        <v>1688</v>
      </c>
      <c r="G163">
        <f>E163-F163</f>
        <v>5</v>
      </c>
      <c r="H163" s="9">
        <f>ROUND(G163*D163,2)</f>
        <v>22.5</v>
      </c>
      <c r="I163" s="9">
        <f>SUMIFS('Invoice Lines'!$K$5:$K$2542,'Invoice Lines'!$H$5:$H$2542,A163,'Invoice Lines'!$Q$5:$Q$2542,"HIRE-"&amp;C163,'Invoice Lines'!$M$5:$M$2542,1,'Invoice Lines'!$K$5:$K$2542,"&lt;0")</f>
        <v>0</v>
      </c>
      <c r="J163" t="n">
        <v>0</v>
      </c>
      <c r="K163" t="str">
        <f>IF(G163&gt;0,"Under-billed",IF(G163&lt;0,"Over-billed","Agrees"))</f>
        <v>Under-billed</v>
      </c>
      <c r="L163" t="inlineStr"/>
    </row>
    <row r="164">
      <c r="A164" t="inlineStr">
        <is>
          <t>S0127</t>
        </is>
      </c>
      <c r="B164" t="inlineStr">
        <is>
          <t>Granite Projects Pty Ltd</t>
        </is>
      </c>
      <c r="C164" t="inlineStr">
        <is>
          <t>FP</t>
        </is>
      </c>
      <c r="D164" s="9" t="n">
        <v>4.5</v>
      </c>
      <c r="E164">
        <f>SUMIFS('Hire Cycles'!$F$5:$F$1069,'Hire Cycles'!$A$5:$A$1069,A164,'Hire Cycles'!$B$5:$B$1069,C164,'Hire Cycles'!$G$5:$G$1069,1)</f>
        <v>204</v>
      </c>
      <c r="F164">
        <f>SUMIFS('Invoice Lines'!$J$5:$J$2542,'Invoice Lines'!$H$5:$H$2542,A164,'Invoice Lines'!$Q$5:$Q$2542,"HIRE-"&amp;C164,'Invoice Lines'!$M$5:$M$2542,1,'Invoice Lines'!$K$5:$K$2542,"&gt;0")</f>
        <v>204</v>
      </c>
      <c r="G164">
        <f>E164-F164</f>
        <v>0</v>
      </c>
      <c r="H164" s="9">
        <f>ROUND(G164*D164,2)</f>
        <v>0</v>
      </c>
      <c r="I164" s="9">
        <f>SUMIFS('Invoice Lines'!$K$5:$K$2542,'Invoice Lines'!$H$5:$H$2542,A164,'Invoice Lines'!$Q$5:$Q$2542,"HIRE-"&amp;C164,'Invoice Lines'!$M$5:$M$2542,1,'Invoice Lines'!$K$5:$K$2542,"&lt;0")</f>
        <v>0</v>
      </c>
      <c r="J164" t="n">
        <v>153</v>
      </c>
      <c r="K164" t="str">
        <f>IF(G164&gt;0,"Under-billed",IF(G164&lt;0,"Over-billed","Agrees"))</f>
        <v>Agrees</v>
      </c>
      <c r="L164" t="inlineStr"/>
    </row>
    <row r="165">
      <c r="A165" t="inlineStr">
        <is>
          <t>S0129</t>
        </is>
      </c>
      <c r="B165" t="inlineStr">
        <is>
          <t>Lakeside Constructions Pty Ltd</t>
        </is>
      </c>
      <c r="C165" t="inlineStr">
        <is>
          <t>FP</t>
        </is>
      </c>
      <c r="D165" s="9" t="n">
        <v>4.5</v>
      </c>
      <c r="E165">
        <f>SUMIFS('Hire Cycles'!$F$5:$F$1069,'Hire Cycles'!$A$5:$A$1069,A165,'Hire Cycles'!$B$5:$B$1069,C165,'Hire Cycles'!$G$5:$G$1069,1)</f>
        <v>141</v>
      </c>
      <c r="F165">
        <f>SUMIFS('Invoice Lines'!$J$5:$J$2542,'Invoice Lines'!$H$5:$H$2542,A165,'Invoice Lines'!$Q$5:$Q$2542,"HIRE-"&amp;C165,'Invoice Lines'!$M$5:$M$2542,1,'Invoice Lines'!$K$5:$K$2542,"&gt;0")</f>
        <v>141</v>
      </c>
      <c r="G165">
        <f>E165-F165</f>
        <v>0</v>
      </c>
      <c r="H165" s="9">
        <f>ROUND(G165*D165,2)</f>
        <v>0</v>
      </c>
      <c r="I165" s="9">
        <f>SUMIFS('Invoice Lines'!$K$5:$K$2542,'Invoice Lines'!$H$5:$H$2542,A165,'Invoice Lines'!$Q$5:$Q$2542,"HIRE-"&amp;C165,'Invoice Lines'!$M$5:$M$2542,1,'Invoice Lines'!$K$5:$K$2542,"&lt;0")</f>
        <v>0</v>
      </c>
      <c r="J165" t="n">
        <v>0</v>
      </c>
      <c r="K165" t="str">
        <f>IF(G165&gt;0,"Under-billed",IF(G165&lt;0,"Over-billed","Agrees"))</f>
        <v>Agrees</v>
      </c>
      <c r="L165" t="inlineStr"/>
    </row>
    <row r="166">
      <c r="A166" t="inlineStr">
        <is>
          <t>S0130</t>
        </is>
      </c>
      <c r="B166" t="inlineStr">
        <is>
          <t>Lucas Patel</t>
        </is>
      </c>
      <c r="C166" t="inlineStr">
        <is>
          <t>FP</t>
        </is>
      </c>
      <c r="D166" s="9" t="n">
        <v>4.5</v>
      </c>
      <c r="E166">
        <f>SUMIFS('Hire Cycles'!$F$5:$F$1069,'Hire Cycles'!$A$5:$A$1069,A166,'Hire Cycles'!$B$5:$B$1069,C166,'Hire Cycles'!$G$5:$G$1069,1)</f>
        <v>1696</v>
      </c>
      <c r="F166">
        <f>SUMIFS('Invoice Lines'!$J$5:$J$2542,'Invoice Lines'!$H$5:$H$2542,A166,'Invoice Lines'!$Q$5:$Q$2542,"HIRE-"&amp;C166,'Invoice Lines'!$M$5:$M$2542,1,'Invoice Lines'!$K$5:$K$2542,"&gt;0")</f>
        <v>1696</v>
      </c>
      <c r="G166">
        <f>E166-F166</f>
        <v>0</v>
      </c>
      <c r="H166" s="9">
        <f>ROUND(G166*D166,2)</f>
        <v>0</v>
      </c>
      <c r="I166" s="9">
        <f>SUMIFS('Invoice Lines'!$K$5:$K$2542,'Invoice Lines'!$H$5:$H$2542,A166,'Invoice Lines'!$Q$5:$Q$2542,"HIRE-"&amp;C166,'Invoice Lines'!$M$5:$M$2542,1,'Invoice Lines'!$K$5:$K$2542,"&lt;0")</f>
        <v>0</v>
      </c>
      <c r="J166" t="n">
        <v>0</v>
      </c>
      <c r="K166" t="str">
        <f>IF(G166&gt;0,"Under-billed",IF(G166&lt;0,"Over-billed","Agrees"))</f>
        <v>Agrees</v>
      </c>
      <c r="L166" t="inlineStr"/>
    </row>
    <row r="167">
      <c r="A167" t="inlineStr">
        <is>
          <t>S0131</t>
        </is>
      </c>
      <c r="B167" t="inlineStr">
        <is>
          <t>Lakeside Constructions Pty Ltd</t>
        </is>
      </c>
      <c r="C167" t="inlineStr">
        <is>
          <t>FP</t>
        </is>
      </c>
      <c r="D167" s="9" t="n">
        <v>4.5</v>
      </c>
      <c r="E167">
        <f>SUMIFS('Hire Cycles'!$F$5:$F$1069,'Hire Cycles'!$A$5:$A$1069,A167,'Hire Cycles'!$B$5:$B$1069,C167,'Hire Cycles'!$G$5:$G$1069,1)</f>
        <v>496</v>
      </c>
      <c r="F167">
        <f>SUMIFS('Invoice Lines'!$J$5:$J$2542,'Invoice Lines'!$H$5:$H$2542,A167,'Invoice Lines'!$Q$5:$Q$2542,"HIRE-"&amp;C167,'Invoice Lines'!$M$5:$M$2542,1,'Invoice Lines'!$K$5:$K$2542,"&gt;0")</f>
        <v>496</v>
      </c>
      <c r="G167">
        <f>E167-F167</f>
        <v>0</v>
      </c>
      <c r="H167" s="9">
        <f>ROUND(G167*D167,2)</f>
        <v>0</v>
      </c>
      <c r="I167" s="9">
        <f>SUMIFS('Invoice Lines'!$K$5:$K$2542,'Invoice Lines'!$H$5:$H$2542,A167,'Invoice Lines'!$Q$5:$Q$2542,"HIRE-"&amp;C167,'Invoice Lines'!$M$5:$M$2542,1,'Invoice Lines'!$K$5:$K$2542,"&lt;0")</f>
        <v>0</v>
      </c>
      <c r="J167" t="n">
        <v>0</v>
      </c>
      <c r="K167" t="str">
        <f>IF(G167&gt;0,"Under-billed",IF(G167&lt;0,"Over-billed","Agrees"))</f>
        <v>Agrees</v>
      </c>
      <c r="L167" t="inlineStr"/>
    </row>
    <row r="168">
      <c r="A168" t="inlineStr">
        <is>
          <t>S0132</t>
        </is>
      </c>
      <c r="B168" t="inlineStr">
        <is>
          <t>Coastline Projects Pty Ltd</t>
        </is>
      </c>
      <c r="C168" t="inlineStr">
        <is>
          <t>FP</t>
        </is>
      </c>
      <c r="D168" s="9" t="n">
        <v>4.5</v>
      </c>
      <c r="E168">
        <f>SUMIFS('Hire Cycles'!$F$5:$F$1069,'Hire Cycles'!$A$5:$A$1069,A168,'Hire Cycles'!$B$5:$B$1069,C168,'Hire Cycles'!$G$5:$G$1069,1)</f>
        <v>1752</v>
      </c>
      <c r="F168">
        <f>SUMIFS('Invoice Lines'!$J$5:$J$2542,'Invoice Lines'!$H$5:$H$2542,A168,'Invoice Lines'!$Q$5:$Q$2542,"HIRE-"&amp;C168,'Invoice Lines'!$M$5:$M$2542,1,'Invoice Lines'!$K$5:$K$2542,"&gt;0")</f>
        <v>1752</v>
      </c>
      <c r="G168">
        <f>E168-F168</f>
        <v>0</v>
      </c>
      <c r="H168" s="9">
        <f>ROUND(G168*D168,2)</f>
        <v>0</v>
      </c>
      <c r="I168" s="9">
        <f>SUMIFS('Invoice Lines'!$K$5:$K$2542,'Invoice Lines'!$H$5:$H$2542,A168,'Invoice Lines'!$Q$5:$Q$2542,"HIRE-"&amp;C168,'Invoice Lines'!$M$5:$M$2542,1,'Invoice Lines'!$K$5:$K$2542,"&lt;0")</f>
        <v>0</v>
      </c>
      <c r="J168" t="n">
        <v>0</v>
      </c>
      <c r="K168" t="str">
        <f>IF(G168&gt;0,"Under-billed",IF(G168&lt;0,"Over-billed","Agrees"))</f>
        <v>Agrees</v>
      </c>
      <c r="L168" t="inlineStr"/>
    </row>
    <row r="169">
      <c r="A169" t="inlineStr">
        <is>
          <t>S0133</t>
        </is>
      </c>
      <c r="B169" t="inlineStr">
        <is>
          <t>Granite Projects Pty Ltd</t>
        </is>
      </c>
      <c r="C169" t="inlineStr">
        <is>
          <t>FP</t>
        </is>
      </c>
      <c r="D169" s="9" t="n">
        <v>4.5</v>
      </c>
      <c r="E169">
        <f>SUMIFS('Hire Cycles'!$F$5:$F$1069,'Hire Cycles'!$A$5:$A$1069,A169,'Hire Cycles'!$B$5:$B$1069,C169,'Hire Cycles'!$G$5:$G$1069,1)</f>
        <v>1680</v>
      </c>
      <c r="F169">
        <f>SUMIFS('Invoice Lines'!$J$5:$J$2542,'Invoice Lines'!$H$5:$H$2542,A169,'Invoice Lines'!$Q$5:$Q$2542,"HIRE-"&amp;C169,'Invoice Lines'!$M$5:$M$2542,1,'Invoice Lines'!$K$5:$K$2542,"&gt;0")</f>
        <v>1680</v>
      </c>
      <c r="G169">
        <f>E169-F169</f>
        <v>0</v>
      </c>
      <c r="H169" s="9">
        <f>ROUND(G169*D169,2)</f>
        <v>0</v>
      </c>
      <c r="I169" s="9">
        <f>SUMIFS('Invoice Lines'!$K$5:$K$2542,'Invoice Lines'!$H$5:$H$2542,A169,'Invoice Lines'!$Q$5:$Q$2542,"HIRE-"&amp;C169,'Invoice Lines'!$M$5:$M$2542,1,'Invoice Lines'!$K$5:$K$2542,"&lt;0")</f>
        <v>0</v>
      </c>
      <c r="J169" t="n">
        <v>420</v>
      </c>
      <c r="K169" t="str">
        <f>IF(G169&gt;0,"Under-billed",IF(G169&lt;0,"Over-billed","Agrees"))</f>
        <v>Agrees</v>
      </c>
      <c r="L169" t="inlineStr"/>
    </row>
    <row r="170">
      <c r="A170" t="inlineStr">
        <is>
          <t>S0134</t>
        </is>
      </c>
      <c r="B170" t="inlineStr">
        <is>
          <t>Northgate Building Group</t>
        </is>
      </c>
      <c r="C170" t="inlineStr">
        <is>
          <t>FP</t>
        </is>
      </c>
      <c r="D170" s="9" t="n">
        <v>4.5</v>
      </c>
      <c r="E170">
        <f>SUMIFS('Hire Cycles'!$F$5:$F$1069,'Hire Cycles'!$A$5:$A$1069,A170,'Hire Cycles'!$B$5:$B$1069,C170,'Hire Cycles'!$G$5:$G$1069,1)</f>
        <v>1872</v>
      </c>
      <c r="F170">
        <f>SUMIFS('Invoice Lines'!$J$5:$J$2542,'Invoice Lines'!$H$5:$H$2542,A170,'Invoice Lines'!$Q$5:$Q$2542,"HIRE-"&amp;C170,'Invoice Lines'!$M$5:$M$2542,1,'Invoice Lines'!$K$5:$K$2542,"&gt;0")</f>
        <v>936</v>
      </c>
      <c r="G170">
        <f>E170-F170</f>
        <v>936</v>
      </c>
      <c r="H170" s="9">
        <f>ROUND(G170*D170,2)</f>
        <v>4212</v>
      </c>
      <c r="I170" s="9">
        <f>SUMIFS('Invoice Lines'!$K$5:$K$2542,'Invoice Lines'!$H$5:$H$2542,A170,'Invoice Lines'!$Q$5:$Q$2542,"HIRE-"&amp;C170,'Invoice Lines'!$M$5:$M$2542,1,'Invoice Lines'!$K$5:$K$2542,"&lt;0")</f>
        <v>0</v>
      </c>
      <c r="J170" t="n">
        <v>234</v>
      </c>
      <c r="K170" t="str">
        <f>IF(G170&gt;0,"Under-billed",IF(G170&lt;0,"Over-billed","Agrees"))</f>
        <v>Under-billed</v>
      </c>
      <c r="L170" t="inlineStr"/>
    </row>
    <row r="171">
      <c r="A171" t="inlineStr">
        <is>
          <t>S0135</t>
        </is>
      </c>
      <c r="B171" t="inlineStr">
        <is>
          <t>Bluegum Construction Pty Ltd</t>
        </is>
      </c>
      <c r="C171" t="inlineStr">
        <is>
          <t>BR</t>
        </is>
      </c>
      <c r="D171" s="9" t="n">
        <v>3.2</v>
      </c>
      <c r="E171">
        <f>SUMIFS('Hire Cycles'!$F$5:$F$1069,'Hire Cycles'!$A$5:$A$1069,A171,'Hire Cycles'!$B$5:$B$1069,C171,'Hire Cycles'!$G$5:$G$1069,1)</f>
        <v>220</v>
      </c>
      <c r="F171">
        <f>SUMIFS('Invoice Lines'!$J$5:$J$2542,'Invoice Lines'!$H$5:$H$2542,A171,'Invoice Lines'!$Q$5:$Q$2542,"HIRE-"&amp;C171,'Invoice Lines'!$M$5:$M$2542,1,'Invoice Lines'!$K$5:$K$2542,"&gt;0")</f>
        <v>220</v>
      </c>
      <c r="G171">
        <f>E171-F171</f>
        <v>0</v>
      </c>
      <c r="H171" s="9">
        <f>ROUND(G171*D171,2)</f>
        <v>0</v>
      </c>
      <c r="I171" s="9">
        <f>SUMIFS('Invoice Lines'!$K$5:$K$2542,'Invoice Lines'!$H$5:$H$2542,A171,'Invoice Lines'!$Q$5:$Q$2542,"HIRE-"&amp;C171,'Invoice Lines'!$M$5:$M$2542,1,'Invoice Lines'!$K$5:$K$2542,"&lt;0")</f>
        <v>0</v>
      </c>
      <c r="J171" t="n">
        <v>0</v>
      </c>
      <c r="K171" t="str">
        <f>IF(G171&gt;0,"Under-billed",IF(G171&lt;0,"Over-billed","Agrees"))</f>
        <v>Agrees</v>
      </c>
      <c r="L171" t="inlineStr"/>
    </row>
    <row r="172">
      <c r="A172" t="inlineStr">
        <is>
          <t>S0135</t>
        </is>
      </c>
      <c r="B172" t="inlineStr">
        <is>
          <t>Bluegum Construction Pty Ltd</t>
        </is>
      </c>
      <c r="C172" t="inlineStr">
        <is>
          <t>FP</t>
        </is>
      </c>
      <c r="D172" s="9" t="n">
        <v>4.5</v>
      </c>
      <c r="E172">
        <f>SUMIFS('Hire Cycles'!$F$5:$F$1069,'Hire Cycles'!$A$5:$A$1069,A172,'Hire Cycles'!$B$5:$B$1069,C172,'Hire Cycles'!$G$5:$G$1069,1)</f>
        <v>1300</v>
      </c>
      <c r="F172">
        <f>SUMIFS('Invoice Lines'!$J$5:$J$2542,'Invoice Lines'!$H$5:$H$2542,A172,'Invoice Lines'!$Q$5:$Q$2542,"HIRE-"&amp;C172,'Invoice Lines'!$M$5:$M$2542,1,'Invoice Lines'!$K$5:$K$2542,"&gt;0")</f>
        <v>1300</v>
      </c>
      <c r="G172">
        <f>E172-F172</f>
        <v>0</v>
      </c>
      <c r="H172" s="9">
        <f>ROUND(G172*D172,2)</f>
        <v>0</v>
      </c>
      <c r="I172" s="9">
        <f>SUMIFS('Invoice Lines'!$K$5:$K$2542,'Invoice Lines'!$H$5:$H$2542,A172,'Invoice Lines'!$Q$5:$Q$2542,"HIRE-"&amp;C172,'Invoice Lines'!$M$5:$M$2542,1,'Invoice Lines'!$K$5:$K$2542,"&lt;0")</f>
        <v>0</v>
      </c>
      <c r="J172" t="n">
        <v>0</v>
      </c>
      <c r="K172" t="str">
        <f>IF(G172&gt;0,"Under-billed",IF(G172&lt;0,"Over-billed","Agrees"))</f>
        <v>Agrees</v>
      </c>
      <c r="L172" t="inlineStr"/>
    </row>
    <row r="173">
      <c r="A173" t="inlineStr">
        <is>
          <t>S0136</t>
        </is>
      </c>
      <c r="B173" t="inlineStr">
        <is>
          <t>Corner Events Pty Ltd</t>
        </is>
      </c>
      <c r="C173" t="inlineStr">
        <is>
          <t>BR</t>
        </is>
      </c>
      <c r="D173" s="9" t="n">
        <v>3.2</v>
      </c>
      <c r="E173">
        <f>SUMIFS('Hire Cycles'!$F$5:$F$1069,'Hire Cycles'!$A$5:$A$1069,A173,'Hire Cycles'!$B$5:$B$1069,C173,'Hire Cycles'!$G$5:$G$1069,1)</f>
        <v>92</v>
      </c>
      <c r="F173">
        <f>SUMIFS('Invoice Lines'!$J$5:$J$2542,'Invoice Lines'!$H$5:$H$2542,A173,'Invoice Lines'!$Q$5:$Q$2542,"HIRE-"&amp;C173,'Invoice Lines'!$M$5:$M$2542,1,'Invoice Lines'!$K$5:$K$2542,"&gt;0")</f>
        <v>92</v>
      </c>
      <c r="G173">
        <f>E173-F173</f>
        <v>0</v>
      </c>
      <c r="H173" s="9">
        <f>ROUND(G173*D173,2)</f>
        <v>0</v>
      </c>
      <c r="I173" s="9">
        <f>SUMIFS('Invoice Lines'!$K$5:$K$2542,'Invoice Lines'!$H$5:$H$2542,A173,'Invoice Lines'!$Q$5:$Q$2542,"HIRE-"&amp;C173,'Invoice Lines'!$M$5:$M$2542,1,'Invoice Lines'!$K$5:$K$2542,"&lt;0")</f>
        <v>0</v>
      </c>
      <c r="J173" t="n">
        <v>0</v>
      </c>
      <c r="K173" t="str">
        <f>IF(G173&gt;0,"Under-billed",IF(G173&lt;0,"Over-billed","Agrees"))</f>
        <v>Agrees</v>
      </c>
      <c r="L173" t="inlineStr"/>
    </row>
    <row r="174">
      <c r="A174" t="inlineStr">
        <is>
          <t>S0136</t>
        </is>
      </c>
      <c r="B174" t="inlineStr">
        <is>
          <t>Corner Events Pty Ltd</t>
        </is>
      </c>
      <c r="C174" t="inlineStr">
        <is>
          <t>FP</t>
        </is>
      </c>
      <c r="D174" s="9" t="n">
        <v>4.5</v>
      </c>
      <c r="E174">
        <f>SUMIFS('Hire Cycles'!$F$5:$F$1069,'Hire Cycles'!$A$5:$A$1069,A174,'Hire Cycles'!$B$5:$B$1069,C174,'Hire Cycles'!$G$5:$G$1069,1)</f>
        <v>296</v>
      </c>
      <c r="F174">
        <f>SUMIFS('Invoice Lines'!$J$5:$J$2542,'Invoice Lines'!$H$5:$H$2542,A174,'Invoice Lines'!$Q$5:$Q$2542,"HIRE-"&amp;C174,'Invoice Lines'!$M$5:$M$2542,1,'Invoice Lines'!$K$5:$K$2542,"&gt;0")</f>
        <v>296</v>
      </c>
      <c r="G174">
        <f>E174-F174</f>
        <v>0</v>
      </c>
      <c r="H174" s="9">
        <f>ROUND(G174*D174,2)</f>
        <v>0</v>
      </c>
      <c r="I174" s="9">
        <f>SUMIFS('Invoice Lines'!$K$5:$K$2542,'Invoice Lines'!$H$5:$H$2542,A174,'Invoice Lines'!$Q$5:$Q$2542,"HIRE-"&amp;C174,'Invoice Lines'!$M$5:$M$2542,1,'Invoice Lines'!$K$5:$K$2542,"&lt;0")</f>
        <v>0</v>
      </c>
      <c r="J174" t="n">
        <v>0</v>
      </c>
      <c r="K174" t="str">
        <f>IF(G174&gt;0,"Under-billed",IF(G174&lt;0,"Over-billed","Agrees"))</f>
        <v>Agrees</v>
      </c>
      <c r="L174" t="inlineStr">
        <is>
          <t>Yes</t>
        </is>
      </c>
    </row>
    <row r="175">
      <c r="A175" t="inlineStr">
        <is>
          <t>S0137</t>
        </is>
      </c>
      <c r="B175" t="inlineStr">
        <is>
          <t>Coastline Developments Pty Ltd</t>
        </is>
      </c>
      <c r="C175" t="inlineStr">
        <is>
          <t>FP</t>
        </is>
      </c>
      <c r="D175" s="9" t="n">
        <v>4.5</v>
      </c>
      <c r="E175">
        <f>SUMIFS('Hire Cycles'!$F$5:$F$1069,'Hire Cycles'!$A$5:$A$1069,A175,'Hire Cycles'!$B$5:$B$1069,C175,'Hire Cycles'!$G$5:$G$1069,1)</f>
        <v>420</v>
      </c>
      <c r="F175">
        <f>SUMIFS('Invoice Lines'!$J$5:$J$2542,'Invoice Lines'!$H$5:$H$2542,A175,'Invoice Lines'!$Q$5:$Q$2542,"HIRE-"&amp;C175,'Invoice Lines'!$M$5:$M$2542,1,'Invoice Lines'!$K$5:$K$2542,"&gt;0")</f>
        <v>420</v>
      </c>
      <c r="G175">
        <f>E175-F175</f>
        <v>0</v>
      </c>
      <c r="H175" s="9">
        <f>ROUND(G175*D175,2)</f>
        <v>0</v>
      </c>
      <c r="I175" s="9">
        <f>SUMIFS('Invoice Lines'!$K$5:$K$2542,'Invoice Lines'!$H$5:$H$2542,A175,'Invoice Lines'!$Q$5:$Q$2542,"HIRE-"&amp;C175,'Invoice Lines'!$M$5:$M$2542,1,'Invoice Lines'!$K$5:$K$2542,"&lt;0")</f>
        <v>0</v>
      </c>
      <c r="J175" t="n">
        <v>0</v>
      </c>
      <c r="K175" t="str">
        <f>IF(G175&gt;0,"Under-billed",IF(G175&lt;0,"Over-billed","Agrees"))</f>
        <v>Agrees</v>
      </c>
      <c r="L175" t="inlineStr"/>
    </row>
    <row r="176">
      <c r="A176" t="inlineStr">
        <is>
          <t>S0138</t>
        </is>
      </c>
      <c r="B176" t="inlineStr">
        <is>
          <t>Kestrel Constructions Pty Ltd</t>
        </is>
      </c>
      <c r="C176" t="inlineStr">
        <is>
          <t>FP</t>
        </is>
      </c>
      <c r="D176" s="9" t="n">
        <v>4.5</v>
      </c>
      <c r="E176">
        <f>SUMIFS('Hire Cycles'!$F$5:$F$1069,'Hire Cycles'!$A$5:$A$1069,A176,'Hire Cycles'!$B$5:$B$1069,C176,'Hire Cycles'!$G$5:$G$1069,1)</f>
        <v>66</v>
      </c>
      <c r="F176">
        <f>SUMIFS('Invoice Lines'!$J$5:$J$2542,'Invoice Lines'!$H$5:$H$2542,A176,'Invoice Lines'!$Q$5:$Q$2542,"HIRE-"&amp;C176,'Invoice Lines'!$M$5:$M$2542,1,'Invoice Lines'!$K$5:$K$2542,"&gt;0")</f>
        <v>66</v>
      </c>
      <c r="G176">
        <f>E176-F176</f>
        <v>0</v>
      </c>
      <c r="H176" s="9">
        <f>ROUND(G176*D176,2)</f>
        <v>0</v>
      </c>
      <c r="I176" s="9">
        <f>SUMIFS('Invoice Lines'!$K$5:$K$2542,'Invoice Lines'!$H$5:$H$2542,A176,'Invoice Lines'!$Q$5:$Q$2542,"HIRE-"&amp;C176,'Invoice Lines'!$M$5:$M$2542,1,'Invoice Lines'!$K$5:$K$2542,"&lt;0")</f>
        <v>0</v>
      </c>
      <c r="J176" t="n">
        <v>0</v>
      </c>
      <c r="K176" t="str">
        <f>IF(G176&gt;0,"Under-billed",IF(G176&lt;0,"Over-billed","Agrees"))</f>
        <v>Agrees</v>
      </c>
      <c r="L176" t="inlineStr"/>
    </row>
    <row r="177">
      <c r="A177" t="inlineStr">
        <is>
          <t>S0139</t>
        </is>
      </c>
      <c r="B177" t="inlineStr">
        <is>
          <t>Metro Projects Pty Ltd</t>
        </is>
      </c>
      <c r="C177" t="inlineStr">
        <is>
          <t>FP</t>
        </is>
      </c>
      <c r="D177" s="9" t="n">
        <v>4.5</v>
      </c>
      <c r="E177">
        <f>SUMIFS('Hire Cycles'!$F$5:$F$1069,'Hire Cycles'!$A$5:$A$1069,A177,'Hire Cycles'!$B$5:$B$1069,C177,'Hire Cycles'!$G$5:$G$1069,1)</f>
        <v>140</v>
      </c>
      <c r="F177">
        <f>SUMIFS('Invoice Lines'!$J$5:$J$2542,'Invoice Lines'!$H$5:$H$2542,A177,'Invoice Lines'!$Q$5:$Q$2542,"HIRE-"&amp;C177,'Invoice Lines'!$M$5:$M$2542,1,'Invoice Lines'!$K$5:$K$2542,"&gt;0")</f>
        <v>140</v>
      </c>
      <c r="G177">
        <f>E177-F177</f>
        <v>0</v>
      </c>
      <c r="H177" s="9">
        <f>ROUND(G177*D177,2)</f>
        <v>0</v>
      </c>
      <c r="I177" s="9">
        <f>SUMIFS('Invoice Lines'!$K$5:$K$2542,'Invoice Lines'!$H$5:$H$2542,A177,'Invoice Lines'!$Q$5:$Q$2542,"HIRE-"&amp;C177,'Invoice Lines'!$M$5:$M$2542,1,'Invoice Lines'!$K$5:$K$2542,"&lt;0")</f>
        <v>0</v>
      </c>
      <c r="J177" t="n">
        <v>0</v>
      </c>
      <c r="K177" t="str">
        <f>IF(G177&gt;0,"Under-billed",IF(G177&lt;0,"Over-billed","Agrees"))</f>
        <v>Agrees</v>
      </c>
      <c r="L177" t="inlineStr"/>
    </row>
    <row r="178">
      <c r="A178" t="inlineStr">
        <is>
          <t>S0140</t>
        </is>
      </c>
      <c r="B178" t="inlineStr">
        <is>
          <t>Coastline Projects Pty Ltd</t>
        </is>
      </c>
      <c r="C178" t="inlineStr">
        <is>
          <t>FP</t>
        </is>
      </c>
      <c r="D178" s="9" t="n">
        <v>4.5</v>
      </c>
      <c r="E178">
        <f>SUMIFS('Hire Cycles'!$F$5:$F$1069,'Hire Cycles'!$A$5:$A$1069,A178,'Hire Cycles'!$B$5:$B$1069,C178,'Hire Cycles'!$G$5:$G$1069,1)</f>
        <v>372</v>
      </c>
      <c r="F178">
        <f>SUMIFS('Invoice Lines'!$J$5:$J$2542,'Invoice Lines'!$H$5:$H$2542,A178,'Invoice Lines'!$Q$5:$Q$2542,"HIRE-"&amp;C178,'Invoice Lines'!$M$5:$M$2542,1,'Invoice Lines'!$K$5:$K$2542,"&gt;0")</f>
        <v>372</v>
      </c>
      <c r="G178">
        <f>E178-F178</f>
        <v>0</v>
      </c>
      <c r="H178" s="9">
        <f>ROUND(G178*D178,2)</f>
        <v>0</v>
      </c>
      <c r="I178" s="9">
        <f>SUMIFS('Invoice Lines'!$K$5:$K$2542,'Invoice Lines'!$H$5:$H$2542,A178,'Invoice Lines'!$Q$5:$Q$2542,"HIRE-"&amp;C178,'Invoice Lines'!$M$5:$M$2542,1,'Invoice Lines'!$K$5:$K$2542,"&lt;0")</f>
        <v>0</v>
      </c>
      <c r="J178" t="n">
        <v>0</v>
      </c>
      <c r="K178" t="str">
        <f>IF(G178&gt;0,"Under-billed",IF(G178&lt;0,"Over-billed","Agrees"))</f>
        <v>Agrees</v>
      </c>
      <c r="L178" t="inlineStr"/>
    </row>
    <row r="179">
      <c r="A179" t="inlineStr">
        <is>
          <t>S0142</t>
        </is>
      </c>
      <c r="B179" t="inlineStr">
        <is>
          <t>Highpoint Projects</t>
        </is>
      </c>
      <c r="C179" t="inlineStr">
        <is>
          <t>FP</t>
        </is>
      </c>
      <c r="D179" s="9" t="n">
        <v>4.5</v>
      </c>
      <c r="E179">
        <f>SUMIFS('Hire Cycles'!$F$5:$F$1069,'Hire Cycles'!$A$5:$A$1069,A179,'Hire Cycles'!$B$5:$B$1069,C179,'Hire Cycles'!$G$5:$G$1069,1)</f>
        <v>156</v>
      </c>
      <c r="F179">
        <f>SUMIFS('Invoice Lines'!$J$5:$J$2542,'Invoice Lines'!$H$5:$H$2542,A179,'Invoice Lines'!$Q$5:$Q$2542,"HIRE-"&amp;C179,'Invoice Lines'!$M$5:$M$2542,1,'Invoice Lines'!$K$5:$K$2542,"&gt;0")</f>
        <v>0</v>
      </c>
      <c r="G179">
        <f>E179-F179</f>
        <v>156</v>
      </c>
      <c r="H179" s="9">
        <f>ROUND(G179*D179,2)</f>
        <v>702</v>
      </c>
      <c r="I179" s="9">
        <f>SUMIFS('Invoice Lines'!$K$5:$K$2542,'Invoice Lines'!$H$5:$H$2542,A179,'Invoice Lines'!$Q$5:$Q$2542,"HIRE-"&amp;C179,'Invoice Lines'!$M$5:$M$2542,1,'Invoice Lines'!$K$5:$K$2542,"&lt;0")</f>
        <v>0</v>
      </c>
      <c r="J179" t="n">
        <v>3</v>
      </c>
      <c r="K179" t="str">
        <f>IF(G179&gt;0,"Under-billed",IF(G179&lt;0,"Over-billed","Agrees"))</f>
        <v>Under-billed</v>
      </c>
      <c r="L179" t="inlineStr"/>
    </row>
    <row r="180">
      <c r="A180" t="inlineStr">
        <is>
          <t>S0143</t>
        </is>
      </c>
      <c r="B180" t="inlineStr">
        <is>
          <t>Noah Williams</t>
        </is>
      </c>
      <c r="C180" t="inlineStr">
        <is>
          <t>FP</t>
        </is>
      </c>
      <c r="D180" s="9" t="n">
        <v>4.5</v>
      </c>
      <c r="E180">
        <f>SUMIFS('Hire Cycles'!$F$5:$F$1069,'Hire Cycles'!$A$5:$A$1069,A180,'Hire Cycles'!$B$5:$B$1069,C180,'Hire Cycles'!$G$5:$G$1069,1)</f>
        <v>2100</v>
      </c>
      <c r="F180">
        <f>SUMIFS('Invoice Lines'!$J$5:$J$2542,'Invoice Lines'!$H$5:$H$2542,A180,'Invoice Lines'!$Q$5:$Q$2542,"HIRE-"&amp;C180,'Invoice Lines'!$M$5:$M$2542,1,'Invoice Lines'!$K$5:$K$2542,"&gt;0")</f>
        <v>2240</v>
      </c>
      <c r="G180">
        <f>E180-F180</f>
        <v>-140</v>
      </c>
      <c r="H180" s="9">
        <f>ROUND(G180*D180,2)</f>
        <v>-630</v>
      </c>
      <c r="I180" s="9">
        <f>SUMIFS('Invoice Lines'!$K$5:$K$2542,'Invoice Lines'!$H$5:$H$2542,A180,'Invoice Lines'!$Q$5:$Q$2542,"HIRE-"&amp;C180,'Invoice Lines'!$M$5:$M$2542,1,'Invoice Lines'!$K$5:$K$2542,"&lt;0")</f>
        <v>0</v>
      </c>
      <c r="J180" t="n">
        <v>70</v>
      </c>
      <c r="K180" t="str">
        <f>IF(G180&gt;0,"Under-billed",IF(G180&lt;0,"Over-billed","Agrees"))</f>
        <v>Over-billed</v>
      </c>
      <c r="L180" t="inlineStr"/>
    </row>
    <row r="181">
      <c r="A181" t="inlineStr">
        <is>
          <t>S0144</t>
        </is>
      </c>
      <c r="B181" t="inlineStr">
        <is>
          <t>Cobalt Developments Pty Ltd</t>
        </is>
      </c>
      <c r="C181" t="inlineStr">
        <is>
          <t>BR</t>
        </is>
      </c>
      <c r="D181" s="9" t="n">
        <v>3.2</v>
      </c>
      <c r="E181">
        <f>SUMIFS('Hire Cycles'!$F$5:$F$1069,'Hire Cycles'!$A$5:$A$1069,A181,'Hire Cycles'!$B$5:$B$1069,C181,'Hire Cycles'!$G$5:$G$1069,1)</f>
        <v>48</v>
      </c>
      <c r="F181">
        <f>SUMIFS('Invoice Lines'!$J$5:$J$2542,'Invoice Lines'!$H$5:$H$2542,A181,'Invoice Lines'!$Q$5:$Q$2542,"HIRE-"&amp;C181,'Invoice Lines'!$M$5:$M$2542,1,'Invoice Lines'!$K$5:$K$2542,"&gt;0")</f>
        <v>48</v>
      </c>
      <c r="G181">
        <f>E181-F181</f>
        <v>0</v>
      </c>
      <c r="H181" s="9">
        <f>ROUND(G181*D181,2)</f>
        <v>0</v>
      </c>
      <c r="I181" s="9">
        <f>SUMIFS('Invoice Lines'!$K$5:$K$2542,'Invoice Lines'!$H$5:$H$2542,A181,'Invoice Lines'!$Q$5:$Q$2542,"HIRE-"&amp;C181,'Invoice Lines'!$M$5:$M$2542,1,'Invoice Lines'!$K$5:$K$2542,"&lt;0")</f>
        <v>0</v>
      </c>
      <c r="J181" t="n">
        <v>0</v>
      </c>
      <c r="K181" t="str">
        <f>IF(G181&gt;0,"Under-billed",IF(G181&lt;0,"Over-billed","Agrees"))</f>
        <v>Agrees</v>
      </c>
      <c r="L181" t="inlineStr"/>
    </row>
    <row r="182">
      <c r="A182" t="inlineStr">
        <is>
          <t>S0144</t>
        </is>
      </c>
      <c r="B182" t="inlineStr">
        <is>
          <t>Cobalt Developments Pty Ltd</t>
        </is>
      </c>
      <c r="C182" t="inlineStr">
        <is>
          <t>FP</t>
        </is>
      </c>
      <c r="D182" s="9" t="n">
        <v>4.5</v>
      </c>
      <c r="E182">
        <f>SUMIFS('Hire Cycles'!$F$5:$F$1069,'Hire Cycles'!$A$5:$A$1069,A182,'Hire Cycles'!$B$5:$B$1069,C182,'Hire Cycles'!$G$5:$G$1069,1)</f>
        <v>249</v>
      </c>
      <c r="F182">
        <f>SUMIFS('Invoice Lines'!$J$5:$J$2542,'Invoice Lines'!$H$5:$H$2542,A182,'Invoice Lines'!$Q$5:$Q$2542,"HIRE-"&amp;C182,'Invoice Lines'!$M$5:$M$2542,1,'Invoice Lines'!$K$5:$K$2542,"&gt;0")</f>
        <v>249</v>
      </c>
      <c r="G182">
        <f>E182-F182</f>
        <v>0</v>
      </c>
      <c r="H182" s="9">
        <f>ROUND(G182*D182,2)</f>
        <v>0</v>
      </c>
      <c r="I182" s="9">
        <f>SUMIFS('Invoice Lines'!$K$5:$K$2542,'Invoice Lines'!$H$5:$H$2542,A182,'Invoice Lines'!$Q$5:$Q$2542,"HIRE-"&amp;C182,'Invoice Lines'!$M$5:$M$2542,1,'Invoice Lines'!$K$5:$K$2542,"&lt;0")</f>
        <v>-574.2</v>
      </c>
      <c r="J182" t="n">
        <v>0</v>
      </c>
      <c r="K182" t="str">
        <f>IF(G182&gt;0,"Under-billed",IF(G182&lt;0,"Over-billed","Agrees"))</f>
        <v>Agrees</v>
      </c>
      <c r="L182" t="inlineStr"/>
    </row>
    <row r="183">
      <c r="A183" t="inlineStr">
        <is>
          <t>S0145</t>
        </is>
      </c>
      <c r="B183" t="inlineStr">
        <is>
          <t>Ember Productions Pty Ltd</t>
        </is>
      </c>
      <c r="C183" t="inlineStr">
        <is>
          <t>FP</t>
        </is>
      </c>
      <c r="D183" s="9" t="n">
        <v>4.5</v>
      </c>
      <c r="E183">
        <f>SUMIFS('Hire Cycles'!$F$5:$F$1069,'Hire Cycles'!$A$5:$A$1069,A183,'Hire Cycles'!$B$5:$B$1069,C183,'Hire Cycles'!$G$5:$G$1069,1)</f>
        <v>176</v>
      </c>
      <c r="F183">
        <f>SUMIFS('Invoice Lines'!$J$5:$J$2542,'Invoice Lines'!$H$5:$H$2542,A183,'Invoice Lines'!$Q$5:$Q$2542,"HIRE-"&amp;C183,'Invoice Lines'!$M$5:$M$2542,1,'Invoice Lines'!$K$5:$K$2542,"&gt;0")</f>
        <v>176</v>
      </c>
      <c r="G183">
        <f>E183-F183</f>
        <v>0</v>
      </c>
      <c r="H183" s="9">
        <f>ROUND(G183*D183,2)</f>
        <v>0</v>
      </c>
      <c r="I183" s="9">
        <f>SUMIFS('Invoice Lines'!$K$5:$K$2542,'Invoice Lines'!$H$5:$H$2542,A183,'Invoice Lines'!$Q$5:$Q$2542,"HIRE-"&amp;C183,'Invoice Lines'!$M$5:$M$2542,1,'Invoice Lines'!$K$5:$K$2542,"&lt;0")</f>
        <v>0</v>
      </c>
      <c r="J183" t="n">
        <v>0</v>
      </c>
      <c r="K183" t="str">
        <f>IF(G183&gt;0,"Under-billed",IF(G183&lt;0,"Over-billed","Agrees"))</f>
        <v>Agrees</v>
      </c>
      <c r="L183" t="inlineStr"/>
    </row>
    <row r="184">
      <c r="A184" t="inlineStr">
        <is>
          <t>S0146</t>
        </is>
      </c>
      <c r="B184" t="inlineStr">
        <is>
          <t>Ember Productions Pty Ltd</t>
        </is>
      </c>
      <c r="C184" t="inlineStr">
        <is>
          <t>FP</t>
        </is>
      </c>
      <c r="D184" s="9" t="n">
        <v>4.5</v>
      </c>
      <c r="E184">
        <f>SUMIFS('Hire Cycles'!$F$5:$F$1069,'Hire Cycles'!$A$5:$A$1069,A184,'Hire Cycles'!$B$5:$B$1069,C184,'Hire Cycles'!$G$5:$G$1069,1)</f>
        <v>321</v>
      </c>
      <c r="F184">
        <f>SUMIFS('Invoice Lines'!$J$5:$J$2542,'Invoice Lines'!$H$5:$H$2542,A184,'Invoice Lines'!$Q$5:$Q$2542,"HIRE-"&amp;C184,'Invoice Lines'!$M$5:$M$2542,1,'Invoice Lines'!$K$5:$K$2542,"&gt;0")</f>
        <v>321</v>
      </c>
      <c r="G184">
        <f>E184-F184</f>
        <v>0</v>
      </c>
      <c r="H184" s="9">
        <f>ROUND(G184*D184,2)</f>
        <v>0</v>
      </c>
      <c r="I184" s="9">
        <f>SUMIFS('Invoice Lines'!$K$5:$K$2542,'Invoice Lines'!$H$5:$H$2542,A184,'Invoice Lines'!$Q$5:$Q$2542,"HIRE-"&amp;C184,'Invoice Lines'!$M$5:$M$2542,1,'Invoice Lines'!$K$5:$K$2542,"&lt;0")</f>
        <v>0</v>
      </c>
      <c r="J184" t="n">
        <v>0</v>
      </c>
      <c r="K184" t="str">
        <f>IF(G184&gt;0,"Under-billed",IF(G184&lt;0,"Over-billed","Agrees"))</f>
        <v>Agrees</v>
      </c>
      <c r="L184" t="inlineStr"/>
    </row>
    <row r="185">
      <c r="A185" t="inlineStr">
        <is>
          <t>S0147</t>
        </is>
      </c>
      <c r="B185" t="inlineStr">
        <is>
          <t>Ironbark Constructions</t>
        </is>
      </c>
      <c r="C185" t="inlineStr">
        <is>
          <t>FP</t>
        </is>
      </c>
      <c r="D185" s="9" t="n">
        <v>4.5</v>
      </c>
      <c r="E185">
        <f>SUMIFS('Hire Cycles'!$F$5:$F$1069,'Hire Cycles'!$A$5:$A$1069,A185,'Hire Cycles'!$B$5:$B$1069,C185,'Hire Cycles'!$G$5:$G$1069,1)</f>
        <v>578</v>
      </c>
      <c r="F185">
        <f>SUMIFS('Invoice Lines'!$J$5:$J$2542,'Invoice Lines'!$H$5:$H$2542,A185,'Invoice Lines'!$Q$5:$Q$2542,"HIRE-"&amp;C185,'Invoice Lines'!$M$5:$M$2542,1,'Invoice Lines'!$K$5:$K$2542,"&gt;0")</f>
        <v>456</v>
      </c>
      <c r="G185">
        <f>E185-F185</f>
        <v>122</v>
      </c>
      <c r="H185" s="9">
        <f>ROUND(G185*D185,2)</f>
        <v>549</v>
      </c>
      <c r="I185" s="9">
        <f>SUMIFS('Invoice Lines'!$K$5:$K$2542,'Invoice Lines'!$H$5:$H$2542,A185,'Invoice Lines'!$Q$5:$Q$2542,"HIRE-"&amp;C185,'Invoice Lines'!$M$5:$M$2542,1,'Invoice Lines'!$K$5:$K$2542,"&lt;0")</f>
        <v>0</v>
      </c>
      <c r="J185" t="n">
        <v>0</v>
      </c>
      <c r="K185" t="str">
        <f>IF(G185&gt;0,"Under-billed",IF(G185&lt;0,"Over-billed","Agrees"))</f>
        <v>Under-billed</v>
      </c>
      <c r="L185" t="inlineStr"/>
    </row>
    <row r="186">
      <c r="A186" t="inlineStr">
        <is>
          <t>S0148</t>
        </is>
      </c>
      <c r="B186" t="inlineStr">
        <is>
          <t>Parkview Homes Pty Ltd</t>
        </is>
      </c>
      <c r="C186" t="inlineStr">
        <is>
          <t>FP</t>
        </is>
      </c>
      <c r="D186" s="9" t="n">
        <v>4.5</v>
      </c>
      <c r="E186">
        <f>SUMIFS('Hire Cycles'!$F$5:$F$1069,'Hire Cycles'!$A$5:$A$1069,A186,'Hire Cycles'!$B$5:$B$1069,C186,'Hire Cycles'!$G$5:$G$1069,1)</f>
        <v>3848</v>
      </c>
      <c r="F186">
        <f>SUMIFS('Invoice Lines'!$J$5:$J$2542,'Invoice Lines'!$H$5:$H$2542,A186,'Invoice Lines'!$Q$5:$Q$2542,"HIRE-"&amp;C186,'Invoice Lines'!$M$5:$M$2542,1,'Invoice Lines'!$K$5:$K$2542,"&gt;0")</f>
        <v>3784</v>
      </c>
      <c r="G186">
        <f>E186-F186</f>
        <v>64</v>
      </c>
      <c r="H186" s="9">
        <f>ROUND(G186*D186,2)</f>
        <v>288</v>
      </c>
      <c r="I186" s="9">
        <f>SUMIFS('Invoice Lines'!$K$5:$K$2542,'Invoice Lines'!$H$5:$H$2542,A186,'Invoice Lines'!$Q$5:$Q$2542,"HIRE-"&amp;C186,'Invoice Lines'!$M$5:$M$2542,1,'Invoice Lines'!$K$5:$K$2542,"&lt;0")</f>
        <v>0</v>
      </c>
      <c r="J186" t="n">
        <v>513</v>
      </c>
      <c r="K186" t="str">
        <f>IF(G186&gt;0,"Under-billed",IF(G186&lt;0,"Over-billed","Agrees"))</f>
        <v>Under-billed</v>
      </c>
      <c r="L186" t="inlineStr"/>
    </row>
    <row r="187">
      <c r="A187" t="inlineStr">
        <is>
          <t>S0149</t>
        </is>
      </c>
      <c r="B187" t="inlineStr">
        <is>
          <t>Lakeside Constructions Pty Ltd</t>
        </is>
      </c>
      <c r="C187" t="inlineStr">
        <is>
          <t>BR</t>
        </is>
      </c>
      <c r="D187" s="9" t="n">
        <v>3.2</v>
      </c>
      <c r="E187">
        <f>SUMIFS('Hire Cycles'!$F$5:$F$1069,'Hire Cycles'!$A$5:$A$1069,A187,'Hire Cycles'!$B$5:$B$1069,C187,'Hire Cycles'!$G$5:$G$1069,1)</f>
        <v>66</v>
      </c>
      <c r="F187">
        <f>SUMIFS('Invoice Lines'!$J$5:$J$2542,'Invoice Lines'!$H$5:$H$2542,A187,'Invoice Lines'!$Q$5:$Q$2542,"HIRE-"&amp;C187,'Invoice Lines'!$M$5:$M$2542,1,'Invoice Lines'!$K$5:$K$2542,"&gt;0")</f>
        <v>66</v>
      </c>
      <c r="G187">
        <f>E187-F187</f>
        <v>0</v>
      </c>
      <c r="H187" s="9">
        <f>ROUND(G187*D187,2)</f>
        <v>0</v>
      </c>
      <c r="I187" s="9">
        <f>SUMIFS('Invoice Lines'!$K$5:$K$2542,'Invoice Lines'!$H$5:$H$2542,A187,'Invoice Lines'!$Q$5:$Q$2542,"HIRE-"&amp;C187,'Invoice Lines'!$M$5:$M$2542,1,'Invoice Lines'!$K$5:$K$2542,"&lt;0")</f>
        <v>0</v>
      </c>
      <c r="J187" t="n">
        <v>0</v>
      </c>
      <c r="K187" t="str">
        <f>IF(G187&gt;0,"Under-billed",IF(G187&lt;0,"Over-billed","Agrees"))</f>
        <v>Agrees</v>
      </c>
      <c r="L187" t="inlineStr"/>
    </row>
    <row r="188">
      <c r="A188" t="inlineStr">
        <is>
          <t>S0149</t>
        </is>
      </c>
      <c r="B188" t="inlineStr">
        <is>
          <t>Lakeside Constructions Pty Ltd</t>
        </is>
      </c>
      <c r="C188" t="inlineStr">
        <is>
          <t>FP</t>
        </is>
      </c>
      <c r="D188" s="9" t="n">
        <v>4.5</v>
      </c>
      <c r="E188">
        <f>SUMIFS('Hire Cycles'!$F$5:$F$1069,'Hire Cycles'!$A$5:$A$1069,A188,'Hire Cycles'!$B$5:$B$1069,C188,'Hire Cycles'!$G$5:$G$1069,1)</f>
        <v>45</v>
      </c>
      <c r="F188">
        <f>SUMIFS('Invoice Lines'!$J$5:$J$2542,'Invoice Lines'!$H$5:$H$2542,A188,'Invoice Lines'!$Q$5:$Q$2542,"HIRE-"&amp;C188,'Invoice Lines'!$M$5:$M$2542,1,'Invoice Lines'!$K$5:$K$2542,"&gt;0")</f>
        <v>45</v>
      </c>
      <c r="G188">
        <f>E188-F188</f>
        <v>0</v>
      </c>
      <c r="H188" s="9">
        <f>ROUND(G188*D188,2)</f>
        <v>0</v>
      </c>
      <c r="I188" s="9">
        <f>SUMIFS('Invoice Lines'!$K$5:$K$2542,'Invoice Lines'!$H$5:$H$2542,A188,'Invoice Lines'!$Q$5:$Q$2542,"HIRE-"&amp;C188,'Invoice Lines'!$M$5:$M$2542,1,'Invoice Lines'!$K$5:$K$2542,"&lt;0")</f>
        <v>0</v>
      </c>
      <c r="J188" t="n">
        <v>0</v>
      </c>
      <c r="K188" t="str">
        <f>IF(G188&gt;0,"Under-billed",IF(G188&lt;0,"Over-billed","Agrees"))</f>
        <v>Agrees</v>
      </c>
      <c r="L188" t="inlineStr"/>
    </row>
    <row r="189">
      <c r="A189" t="inlineStr">
        <is>
          <t>S0150</t>
        </is>
      </c>
      <c r="B189" t="inlineStr">
        <is>
          <t>Parkview Projects Pty Ltd</t>
        </is>
      </c>
      <c r="C189" t="inlineStr">
        <is>
          <t>BR</t>
        </is>
      </c>
      <c r="D189" s="9" t="n">
        <v>3.2</v>
      </c>
      <c r="E189">
        <f>SUMIFS('Hire Cycles'!$F$5:$F$1069,'Hire Cycles'!$A$5:$A$1069,A189,'Hire Cycles'!$B$5:$B$1069,C189,'Hire Cycles'!$G$5:$G$1069,1)</f>
        <v>40</v>
      </c>
      <c r="F189">
        <f>SUMIFS('Invoice Lines'!$J$5:$J$2542,'Invoice Lines'!$H$5:$H$2542,A189,'Invoice Lines'!$Q$5:$Q$2542,"HIRE-"&amp;C189,'Invoice Lines'!$M$5:$M$2542,1,'Invoice Lines'!$K$5:$K$2542,"&gt;0")</f>
        <v>40</v>
      </c>
      <c r="G189">
        <f>E189-F189</f>
        <v>0</v>
      </c>
      <c r="H189" s="9">
        <f>ROUND(G189*D189,2)</f>
        <v>0</v>
      </c>
      <c r="I189" s="9">
        <f>SUMIFS('Invoice Lines'!$K$5:$K$2542,'Invoice Lines'!$H$5:$H$2542,A189,'Invoice Lines'!$Q$5:$Q$2542,"HIRE-"&amp;C189,'Invoice Lines'!$M$5:$M$2542,1,'Invoice Lines'!$K$5:$K$2542,"&lt;0")</f>
        <v>0</v>
      </c>
      <c r="J189" t="n">
        <v>0</v>
      </c>
      <c r="K189" t="str">
        <f>IF(G189&gt;0,"Under-billed",IF(G189&lt;0,"Over-billed","Agrees"))</f>
        <v>Agrees</v>
      </c>
      <c r="L189" t="inlineStr"/>
    </row>
    <row r="190">
      <c r="A190" t="inlineStr">
        <is>
          <t>S0150</t>
        </is>
      </c>
      <c r="B190" t="inlineStr">
        <is>
          <t>Parkview Projects Pty Ltd</t>
        </is>
      </c>
      <c r="C190" t="inlineStr">
        <is>
          <t>FP</t>
        </is>
      </c>
      <c r="D190" s="9" t="n">
        <v>4.5</v>
      </c>
      <c r="E190">
        <f>SUMIFS('Hire Cycles'!$F$5:$F$1069,'Hire Cycles'!$A$5:$A$1069,A190,'Hire Cycles'!$B$5:$B$1069,C190,'Hire Cycles'!$G$5:$G$1069,1)</f>
        <v>92</v>
      </c>
      <c r="F190">
        <f>SUMIFS('Invoice Lines'!$J$5:$J$2542,'Invoice Lines'!$H$5:$H$2542,A190,'Invoice Lines'!$Q$5:$Q$2542,"HIRE-"&amp;C190,'Invoice Lines'!$M$5:$M$2542,1,'Invoice Lines'!$K$5:$K$2542,"&gt;0")</f>
        <v>92</v>
      </c>
      <c r="G190">
        <f>E190-F190</f>
        <v>0</v>
      </c>
      <c r="H190" s="9">
        <f>ROUND(G190*D190,2)</f>
        <v>0</v>
      </c>
      <c r="I190" s="9">
        <f>SUMIFS('Invoice Lines'!$K$5:$K$2542,'Invoice Lines'!$H$5:$H$2542,A190,'Invoice Lines'!$Q$5:$Q$2542,"HIRE-"&amp;C190,'Invoice Lines'!$M$5:$M$2542,1,'Invoice Lines'!$K$5:$K$2542,"&lt;0")</f>
        <v>0</v>
      </c>
      <c r="J190" t="n">
        <v>0</v>
      </c>
      <c r="K190" t="str">
        <f>IF(G190&gt;0,"Under-billed",IF(G190&lt;0,"Over-billed","Agrees"))</f>
        <v>Agrees</v>
      </c>
      <c r="L190" t="inlineStr"/>
    </row>
    <row r="191">
      <c r="A191" t="inlineStr">
        <is>
          <t>S0151</t>
        </is>
      </c>
      <c r="B191" t="inlineStr">
        <is>
          <t>Banksia Projects Pty Ltd</t>
        </is>
      </c>
      <c r="C191" t="inlineStr">
        <is>
          <t>FP</t>
        </is>
      </c>
      <c r="D191" s="9" t="n">
        <v>4.5</v>
      </c>
      <c r="E191">
        <f>SUMIFS('Hire Cycles'!$F$5:$F$1069,'Hire Cycles'!$A$5:$A$1069,A191,'Hire Cycles'!$B$5:$B$1069,C191,'Hire Cycles'!$G$5:$G$1069,1)</f>
        <v>696</v>
      </c>
      <c r="F191">
        <f>SUMIFS('Invoice Lines'!$J$5:$J$2542,'Invoice Lines'!$H$5:$H$2542,A191,'Invoice Lines'!$Q$5:$Q$2542,"HIRE-"&amp;C191,'Invoice Lines'!$M$5:$M$2542,1,'Invoice Lines'!$K$5:$K$2542,"&gt;0")</f>
        <v>696</v>
      </c>
      <c r="G191">
        <f>E191-F191</f>
        <v>0</v>
      </c>
      <c r="H191" s="9">
        <f>ROUND(G191*D191,2)</f>
        <v>0</v>
      </c>
      <c r="I191" s="9">
        <f>SUMIFS('Invoice Lines'!$K$5:$K$2542,'Invoice Lines'!$H$5:$H$2542,A191,'Invoice Lines'!$Q$5:$Q$2542,"HIRE-"&amp;C191,'Invoice Lines'!$M$5:$M$2542,1,'Invoice Lines'!$K$5:$K$2542,"&lt;0")</f>
        <v>0</v>
      </c>
      <c r="J191" t="n">
        <v>0</v>
      </c>
      <c r="K191" t="str">
        <f>IF(G191&gt;0,"Under-billed",IF(G191&lt;0,"Over-billed","Agrees"))</f>
        <v>Agrees</v>
      </c>
      <c r="L191" t="inlineStr"/>
    </row>
    <row r="192">
      <c r="A192" t="inlineStr">
        <is>
          <t>S0152</t>
        </is>
      </c>
      <c r="B192" t="inlineStr">
        <is>
          <t>Maribyrnong City Council</t>
        </is>
      </c>
      <c r="C192" t="inlineStr">
        <is>
          <t>BR</t>
        </is>
      </c>
      <c r="D192" s="9" t="n">
        <v>3.2</v>
      </c>
      <c r="E192">
        <f>SUMIFS('Hire Cycles'!$F$5:$F$1069,'Hire Cycles'!$A$5:$A$1069,A192,'Hire Cycles'!$B$5:$B$1069,C192,'Hire Cycles'!$G$5:$G$1069,1)</f>
        <v>84</v>
      </c>
      <c r="F192">
        <f>SUMIFS('Invoice Lines'!$J$5:$J$2542,'Invoice Lines'!$H$5:$H$2542,A192,'Invoice Lines'!$Q$5:$Q$2542,"HIRE-"&amp;C192,'Invoice Lines'!$M$5:$M$2542,1,'Invoice Lines'!$K$5:$K$2542,"&gt;0")</f>
        <v>84</v>
      </c>
      <c r="G192">
        <f>E192-F192</f>
        <v>0</v>
      </c>
      <c r="H192" s="9">
        <f>ROUND(G192*D192,2)</f>
        <v>0</v>
      </c>
      <c r="I192" s="9">
        <f>SUMIFS('Invoice Lines'!$K$5:$K$2542,'Invoice Lines'!$H$5:$H$2542,A192,'Invoice Lines'!$Q$5:$Q$2542,"HIRE-"&amp;C192,'Invoice Lines'!$M$5:$M$2542,1,'Invoice Lines'!$K$5:$K$2542,"&lt;0")</f>
        <v>0</v>
      </c>
      <c r="J192" t="n">
        <v>0</v>
      </c>
      <c r="K192" t="str">
        <f>IF(G192&gt;0,"Under-billed",IF(G192&lt;0,"Over-billed","Agrees"))</f>
        <v>Agrees</v>
      </c>
      <c r="L192" t="inlineStr"/>
    </row>
    <row r="193">
      <c r="A193" t="inlineStr">
        <is>
          <t>S0152</t>
        </is>
      </c>
      <c r="B193" t="inlineStr">
        <is>
          <t>Maribyrnong City Council</t>
        </is>
      </c>
      <c r="C193" t="inlineStr">
        <is>
          <t>FP</t>
        </is>
      </c>
      <c r="D193" s="9" t="n">
        <v>4.5</v>
      </c>
      <c r="E193">
        <f>SUMIFS('Hire Cycles'!$F$5:$F$1069,'Hire Cycles'!$A$5:$A$1069,A193,'Hire Cycles'!$B$5:$B$1069,C193,'Hire Cycles'!$G$5:$G$1069,1)</f>
        <v>508</v>
      </c>
      <c r="F193">
        <f>SUMIFS('Invoice Lines'!$J$5:$J$2542,'Invoice Lines'!$H$5:$H$2542,A193,'Invoice Lines'!$Q$5:$Q$2542,"HIRE-"&amp;C193,'Invoice Lines'!$M$5:$M$2542,1,'Invoice Lines'!$K$5:$K$2542,"&gt;0")</f>
        <v>508</v>
      </c>
      <c r="G193">
        <f>E193-F193</f>
        <v>0</v>
      </c>
      <c r="H193" s="9">
        <f>ROUND(G193*D193,2)</f>
        <v>0</v>
      </c>
      <c r="I193" s="9">
        <f>SUMIFS('Invoice Lines'!$K$5:$K$2542,'Invoice Lines'!$H$5:$H$2542,A193,'Invoice Lines'!$Q$5:$Q$2542,"HIRE-"&amp;C193,'Invoice Lines'!$M$5:$M$2542,1,'Invoice Lines'!$K$5:$K$2542,"&lt;0")</f>
        <v>0</v>
      </c>
      <c r="J193" t="n">
        <v>0</v>
      </c>
      <c r="K193" t="str">
        <f>IF(G193&gt;0,"Under-billed",IF(G193&lt;0,"Over-billed","Agrees"))</f>
        <v>Agrees</v>
      </c>
      <c r="L193" t="inlineStr"/>
    </row>
    <row r="194">
      <c r="A194" t="inlineStr">
        <is>
          <t>S0153</t>
        </is>
      </c>
      <c r="B194" t="inlineStr">
        <is>
          <t>Arjun Doyle</t>
        </is>
      </c>
      <c r="C194" t="inlineStr">
        <is>
          <t>FP</t>
        </is>
      </c>
      <c r="D194" s="9" t="n">
        <v>4.5</v>
      </c>
      <c r="E194">
        <f>SUMIFS('Hire Cycles'!$F$5:$F$1069,'Hire Cycles'!$A$5:$A$1069,A194,'Hire Cycles'!$B$5:$B$1069,C194,'Hire Cycles'!$G$5:$G$1069,1)</f>
        <v>280</v>
      </c>
      <c r="F194">
        <f>SUMIFS('Invoice Lines'!$J$5:$J$2542,'Invoice Lines'!$H$5:$H$2542,A194,'Invoice Lines'!$Q$5:$Q$2542,"HIRE-"&amp;C194,'Invoice Lines'!$M$5:$M$2542,1,'Invoice Lines'!$K$5:$K$2542,"&gt;0")</f>
        <v>280</v>
      </c>
      <c r="G194">
        <f>E194-F194</f>
        <v>0</v>
      </c>
      <c r="H194" s="9">
        <f>ROUND(G194*D194,2)</f>
        <v>0</v>
      </c>
      <c r="I194" s="9">
        <f>SUMIFS('Invoice Lines'!$K$5:$K$2542,'Invoice Lines'!$H$5:$H$2542,A194,'Invoice Lines'!$Q$5:$Q$2542,"HIRE-"&amp;C194,'Invoice Lines'!$M$5:$M$2542,1,'Invoice Lines'!$K$5:$K$2542,"&lt;0")</f>
        <v>0</v>
      </c>
      <c r="J194" t="n">
        <v>0</v>
      </c>
      <c r="K194" t="str">
        <f>IF(G194&gt;0,"Under-billed",IF(G194&lt;0,"Over-billed","Agrees"))</f>
        <v>Agrees</v>
      </c>
      <c r="L194" t="inlineStr"/>
    </row>
    <row r="195">
      <c r="A195" t="inlineStr">
        <is>
          <t>S0154</t>
        </is>
      </c>
      <c r="B195" t="inlineStr">
        <is>
          <t>Parkview Homes Pty Ltd</t>
        </is>
      </c>
      <c r="C195" t="inlineStr">
        <is>
          <t>FP</t>
        </is>
      </c>
      <c r="D195" s="9" t="n">
        <v>4.5</v>
      </c>
      <c r="E195">
        <f>SUMIFS('Hire Cycles'!$F$5:$F$1069,'Hire Cycles'!$A$5:$A$1069,A195,'Hire Cycles'!$B$5:$B$1069,C195,'Hire Cycles'!$G$5:$G$1069,1)</f>
        <v>284</v>
      </c>
      <c r="F195">
        <f>SUMIFS('Invoice Lines'!$J$5:$J$2542,'Invoice Lines'!$H$5:$H$2542,A195,'Invoice Lines'!$Q$5:$Q$2542,"HIRE-"&amp;C195,'Invoice Lines'!$M$5:$M$2542,1,'Invoice Lines'!$K$5:$K$2542,"&gt;0")</f>
        <v>238</v>
      </c>
      <c r="G195">
        <f>E195-F195</f>
        <v>46</v>
      </c>
      <c r="H195" s="9">
        <f>ROUND(G195*D195,2)</f>
        <v>207</v>
      </c>
      <c r="I195" s="9">
        <f>SUMIFS('Invoice Lines'!$K$5:$K$2542,'Invoice Lines'!$H$5:$H$2542,A195,'Invoice Lines'!$Q$5:$Q$2542,"HIRE-"&amp;C195,'Invoice Lines'!$M$5:$M$2542,1,'Invoice Lines'!$K$5:$K$2542,"&lt;0")</f>
        <v>0</v>
      </c>
      <c r="J195" t="n">
        <v>0</v>
      </c>
      <c r="K195" t="str">
        <f>IF(G195&gt;0,"Under-billed",IF(G195&lt;0,"Over-billed","Agrees"))</f>
        <v>Under-billed</v>
      </c>
      <c r="L195" t="inlineStr"/>
    </row>
    <row r="196">
      <c r="A196" t="inlineStr">
        <is>
          <t>S0155</t>
        </is>
      </c>
      <c r="B196" t="inlineStr">
        <is>
          <t>Parkview Homes Pty Ltd</t>
        </is>
      </c>
      <c r="C196" t="inlineStr">
        <is>
          <t>FP</t>
        </is>
      </c>
      <c r="D196" s="9" t="n">
        <v>4.5</v>
      </c>
      <c r="E196">
        <f>SUMIFS('Hire Cycles'!$F$5:$F$1069,'Hire Cycles'!$A$5:$A$1069,A196,'Hire Cycles'!$B$5:$B$1069,C196,'Hire Cycles'!$G$5:$G$1069,1)</f>
        <v>42</v>
      </c>
      <c r="F196">
        <f>SUMIFS('Invoice Lines'!$J$5:$J$2542,'Invoice Lines'!$H$5:$H$2542,A196,'Invoice Lines'!$Q$5:$Q$2542,"HIRE-"&amp;C196,'Invoice Lines'!$M$5:$M$2542,1,'Invoice Lines'!$K$5:$K$2542,"&gt;0")</f>
        <v>42</v>
      </c>
      <c r="G196">
        <f>E196-F196</f>
        <v>0</v>
      </c>
      <c r="H196" s="9">
        <f>ROUND(G196*D196,2)</f>
        <v>0</v>
      </c>
      <c r="I196" s="9">
        <f>SUMIFS('Invoice Lines'!$K$5:$K$2542,'Invoice Lines'!$H$5:$H$2542,A196,'Invoice Lines'!$Q$5:$Q$2542,"HIRE-"&amp;C196,'Invoice Lines'!$M$5:$M$2542,1,'Invoice Lines'!$K$5:$K$2542,"&lt;0")</f>
        <v>0</v>
      </c>
      <c r="J196" t="n">
        <v>0</v>
      </c>
      <c r="K196" t="str">
        <f>IF(G196&gt;0,"Under-billed",IF(G196&lt;0,"Over-billed","Agrees"))</f>
        <v>Agrees</v>
      </c>
      <c r="L196" t="inlineStr"/>
    </row>
    <row r="197">
      <c r="A197" t="inlineStr">
        <is>
          <t>S0156</t>
        </is>
      </c>
      <c r="B197" t="inlineStr">
        <is>
          <t>Summit Homes Pty Ltd</t>
        </is>
      </c>
      <c r="C197" t="inlineStr">
        <is>
          <t>FP</t>
        </is>
      </c>
      <c r="D197" s="9" t="n">
        <v>4.5</v>
      </c>
      <c r="E197">
        <f>SUMIFS('Hire Cycles'!$F$5:$F$1069,'Hire Cycles'!$A$5:$A$1069,A197,'Hire Cycles'!$B$5:$B$1069,C197,'Hire Cycles'!$G$5:$G$1069,1)</f>
        <v>282</v>
      </c>
      <c r="F197">
        <f>SUMIFS('Invoice Lines'!$J$5:$J$2542,'Invoice Lines'!$H$5:$H$2542,A197,'Invoice Lines'!$Q$5:$Q$2542,"HIRE-"&amp;C197,'Invoice Lines'!$M$5:$M$2542,1,'Invoice Lines'!$K$5:$K$2542,"&gt;0")</f>
        <v>282</v>
      </c>
      <c r="G197">
        <f>E197-F197</f>
        <v>0</v>
      </c>
      <c r="H197" s="9">
        <f>ROUND(G197*D197,2)</f>
        <v>0</v>
      </c>
      <c r="I197" s="9">
        <f>SUMIFS('Invoice Lines'!$K$5:$K$2542,'Invoice Lines'!$H$5:$H$2542,A197,'Invoice Lines'!$Q$5:$Q$2542,"HIRE-"&amp;C197,'Invoice Lines'!$M$5:$M$2542,1,'Invoice Lines'!$K$5:$K$2542,"&lt;0")</f>
        <v>0</v>
      </c>
      <c r="J197" t="n">
        <v>0</v>
      </c>
      <c r="K197" t="str">
        <f>IF(G197&gt;0,"Under-billed",IF(G197&lt;0,"Over-billed","Agrees"))</f>
        <v>Agrees</v>
      </c>
      <c r="L197" t="inlineStr"/>
    </row>
    <row r="198">
      <c r="A198" t="inlineStr">
        <is>
          <t>S0157</t>
        </is>
      </c>
      <c r="B198" t="inlineStr">
        <is>
          <t>Kingston City Council</t>
        </is>
      </c>
      <c r="C198" t="inlineStr">
        <is>
          <t>FP</t>
        </is>
      </c>
      <c r="D198" s="9" t="n">
        <v>4.5</v>
      </c>
      <c r="E198">
        <f>SUMIFS('Hire Cycles'!$F$5:$F$1069,'Hire Cycles'!$A$5:$A$1069,A198,'Hire Cycles'!$B$5:$B$1069,C198,'Hire Cycles'!$G$5:$G$1069,1)</f>
        <v>3045</v>
      </c>
      <c r="F198">
        <f>SUMIFS('Invoice Lines'!$J$5:$J$2542,'Invoice Lines'!$H$5:$H$2542,A198,'Invoice Lines'!$Q$5:$Q$2542,"HIRE-"&amp;C198,'Invoice Lines'!$M$5:$M$2542,1,'Invoice Lines'!$K$5:$K$2542,"&gt;0")</f>
        <v>3045</v>
      </c>
      <c r="G198">
        <f>E198-F198</f>
        <v>0</v>
      </c>
      <c r="H198" s="9">
        <f>ROUND(G198*D198,2)</f>
        <v>0</v>
      </c>
      <c r="I198" s="9">
        <f>SUMIFS('Invoice Lines'!$K$5:$K$2542,'Invoice Lines'!$H$5:$H$2542,A198,'Invoice Lines'!$Q$5:$Q$2542,"HIRE-"&amp;C198,'Invoice Lines'!$M$5:$M$2542,1,'Invoice Lines'!$K$5:$K$2542,"&lt;0")</f>
        <v>0</v>
      </c>
      <c r="J198" t="n">
        <v>0</v>
      </c>
      <c r="K198" t="str">
        <f>IF(G198&gt;0,"Under-billed",IF(G198&lt;0,"Over-billed","Agrees"))</f>
        <v>Agrees</v>
      </c>
      <c r="L198" t="inlineStr"/>
    </row>
    <row r="199">
      <c r="A199" t="inlineStr">
        <is>
          <t>S0158</t>
        </is>
      </c>
      <c r="B199" t="inlineStr">
        <is>
          <t>Summit Homes Pty Ltd</t>
        </is>
      </c>
      <c r="C199" t="inlineStr">
        <is>
          <t>BR</t>
        </is>
      </c>
      <c r="D199" s="9" t="n">
        <v>3.2</v>
      </c>
      <c r="E199">
        <f>SUMIFS('Hire Cycles'!$F$5:$F$1069,'Hire Cycles'!$A$5:$A$1069,A199,'Hire Cycles'!$B$5:$B$1069,C199,'Hire Cycles'!$G$5:$G$1069,1)</f>
        <v>460</v>
      </c>
      <c r="F199">
        <f>SUMIFS('Invoice Lines'!$J$5:$J$2542,'Invoice Lines'!$H$5:$H$2542,A199,'Invoice Lines'!$Q$5:$Q$2542,"HIRE-"&amp;C199,'Invoice Lines'!$M$5:$M$2542,1,'Invoice Lines'!$K$5:$K$2542,"&gt;0")</f>
        <v>460</v>
      </c>
      <c r="G199">
        <f>E199-F199</f>
        <v>0</v>
      </c>
      <c r="H199" s="9">
        <f>ROUND(G199*D199,2)</f>
        <v>0</v>
      </c>
      <c r="I199" s="9">
        <f>SUMIFS('Invoice Lines'!$K$5:$K$2542,'Invoice Lines'!$H$5:$H$2542,A199,'Invoice Lines'!$Q$5:$Q$2542,"HIRE-"&amp;C199,'Invoice Lines'!$M$5:$M$2542,1,'Invoice Lines'!$K$5:$K$2542,"&lt;0")</f>
        <v>0</v>
      </c>
      <c r="J199" t="n">
        <v>69</v>
      </c>
      <c r="K199" t="str">
        <f>IF(G199&gt;0,"Under-billed",IF(G199&lt;0,"Over-billed","Agrees"))</f>
        <v>Agrees</v>
      </c>
      <c r="L199" t="inlineStr"/>
    </row>
    <row r="200">
      <c r="A200" t="inlineStr">
        <is>
          <t>S0158</t>
        </is>
      </c>
      <c r="B200" t="inlineStr">
        <is>
          <t>Summit Homes Pty Ltd</t>
        </is>
      </c>
      <c r="C200" t="inlineStr">
        <is>
          <t>FP</t>
        </is>
      </c>
      <c r="D200" s="9" t="n">
        <v>4.5</v>
      </c>
      <c r="E200">
        <f>SUMIFS('Hire Cycles'!$F$5:$F$1069,'Hire Cycles'!$A$5:$A$1069,A200,'Hire Cycles'!$B$5:$B$1069,C200,'Hire Cycles'!$G$5:$G$1069,1)</f>
        <v>492</v>
      </c>
      <c r="F200">
        <f>SUMIFS('Invoice Lines'!$J$5:$J$2542,'Invoice Lines'!$H$5:$H$2542,A200,'Invoice Lines'!$Q$5:$Q$2542,"HIRE-"&amp;C200,'Invoice Lines'!$M$5:$M$2542,1,'Invoice Lines'!$K$5:$K$2542,"&gt;0")</f>
        <v>484</v>
      </c>
      <c r="G200">
        <f>E200-F200</f>
        <v>8</v>
      </c>
      <c r="H200" s="9">
        <f>ROUND(G200*D200,2)</f>
        <v>36</v>
      </c>
      <c r="I200" s="9">
        <f>SUMIFS('Invoice Lines'!$K$5:$K$2542,'Invoice Lines'!$H$5:$H$2542,A200,'Invoice Lines'!$Q$5:$Q$2542,"HIRE-"&amp;C200,'Invoice Lines'!$M$5:$M$2542,1,'Invoice Lines'!$K$5:$K$2542,"&lt;0")</f>
        <v>0</v>
      </c>
      <c r="J200" t="n">
        <v>87</v>
      </c>
      <c r="K200" t="str">
        <f>IF(G200&gt;0,"Under-billed",IF(G200&lt;0,"Over-billed","Agrees"))</f>
        <v>Under-billed</v>
      </c>
      <c r="L200" t="inlineStr"/>
    </row>
    <row r="201">
      <c r="A201" t="inlineStr">
        <is>
          <t>S0159</t>
        </is>
      </c>
      <c r="B201" t="inlineStr">
        <is>
          <t>Bayside Homes Pty Ltd</t>
        </is>
      </c>
      <c r="C201" t="inlineStr">
        <is>
          <t>FP</t>
        </is>
      </c>
      <c r="D201" s="9" t="n">
        <v>4.5</v>
      </c>
      <c r="E201">
        <f>SUMIFS('Hire Cycles'!$F$5:$F$1069,'Hire Cycles'!$A$5:$A$1069,A201,'Hire Cycles'!$B$5:$B$1069,C201,'Hire Cycles'!$G$5:$G$1069,1)</f>
        <v>527</v>
      </c>
      <c r="F201">
        <f>SUMIFS('Invoice Lines'!$J$5:$J$2542,'Invoice Lines'!$H$5:$H$2542,A201,'Invoice Lines'!$Q$5:$Q$2542,"HIRE-"&amp;C201,'Invoice Lines'!$M$5:$M$2542,1,'Invoice Lines'!$K$5:$K$2542,"&gt;0")</f>
        <v>407</v>
      </c>
      <c r="G201">
        <f>E201-F201</f>
        <v>120</v>
      </c>
      <c r="H201" s="9">
        <f>ROUND(G201*D201,2)</f>
        <v>540</v>
      </c>
      <c r="I201" s="9">
        <f>SUMIFS('Invoice Lines'!$K$5:$K$2542,'Invoice Lines'!$H$5:$H$2542,A201,'Invoice Lines'!$Q$5:$Q$2542,"HIRE-"&amp;C201,'Invoice Lines'!$M$5:$M$2542,1,'Invoice Lines'!$K$5:$K$2542,"&lt;0")</f>
        <v>0</v>
      </c>
      <c r="J201" t="n">
        <v>0</v>
      </c>
      <c r="K201" t="str">
        <f>IF(G201&gt;0,"Under-billed",IF(G201&lt;0,"Over-billed","Agrees"))</f>
        <v>Under-billed</v>
      </c>
      <c r="L201" t="inlineStr"/>
    </row>
    <row r="202">
      <c r="A202" t="inlineStr">
        <is>
          <t>S0160</t>
        </is>
      </c>
      <c r="B202" t="inlineStr">
        <is>
          <t>Bluegum Construction Pty Ltd</t>
        </is>
      </c>
      <c r="C202" t="inlineStr">
        <is>
          <t>FP</t>
        </is>
      </c>
      <c r="D202" s="9" t="n">
        <v>4.5</v>
      </c>
      <c r="E202">
        <f>SUMIFS('Hire Cycles'!$F$5:$F$1069,'Hire Cycles'!$A$5:$A$1069,A202,'Hire Cycles'!$B$5:$B$1069,C202,'Hire Cycles'!$G$5:$G$1069,1)</f>
        <v>2465</v>
      </c>
      <c r="F202">
        <f>SUMIFS('Invoice Lines'!$J$5:$J$2542,'Invoice Lines'!$H$5:$H$2542,A202,'Invoice Lines'!$Q$5:$Q$2542,"HIRE-"&amp;C202,'Invoice Lines'!$M$5:$M$2542,1,'Invoice Lines'!$K$5:$K$2542,"&gt;0")</f>
        <v>2212</v>
      </c>
      <c r="G202">
        <f>E202-F202</f>
        <v>253</v>
      </c>
      <c r="H202" s="9">
        <f>ROUND(G202*D202,2)</f>
        <v>1138.5</v>
      </c>
      <c r="I202" s="9">
        <f>SUMIFS('Invoice Lines'!$K$5:$K$2542,'Invoice Lines'!$H$5:$H$2542,A202,'Invoice Lines'!$Q$5:$Q$2542,"HIRE-"&amp;C202,'Invoice Lines'!$M$5:$M$2542,1,'Invoice Lines'!$K$5:$K$2542,"&lt;0")</f>
        <v>0</v>
      </c>
      <c r="J202" t="n">
        <v>0</v>
      </c>
      <c r="K202" t="str">
        <f>IF(G202&gt;0,"Under-billed",IF(G202&lt;0,"Over-billed","Agrees"))</f>
        <v>Under-billed</v>
      </c>
      <c r="L202" t="inlineStr"/>
    </row>
    <row r="203">
      <c r="A203" t="inlineStr">
        <is>
          <t>S0161</t>
        </is>
      </c>
      <c r="B203" t="inlineStr">
        <is>
          <t>Eastlink Projects</t>
        </is>
      </c>
      <c r="C203" t="inlineStr">
        <is>
          <t>FP</t>
        </is>
      </c>
      <c r="D203" s="9" t="n">
        <v>4.5</v>
      </c>
      <c r="E203">
        <f>SUMIFS('Hire Cycles'!$F$5:$F$1069,'Hire Cycles'!$A$5:$A$1069,A203,'Hire Cycles'!$B$5:$B$1069,C203,'Hire Cycles'!$G$5:$G$1069,1)</f>
        <v>1179</v>
      </c>
      <c r="F203">
        <f>SUMIFS('Invoice Lines'!$J$5:$J$2542,'Invoice Lines'!$H$5:$H$2542,A203,'Invoice Lines'!$Q$5:$Q$2542,"HIRE-"&amp;C203,'Invoice Lines'!$M$5:$M$2542,1,'Invoice Lines'!$K$5:$K$2542,"&gt;0")</f>
        <v>1179</v>
      </c>
      <c r="G203">
        <f>E203-F203</f>
        <v>0</v>
      </c>
      <c r="H203" s="9">
        <f>ROUND(G203*D203,2)</f>
        <v>0</v>
      </c>
      <c r="I203" s="9">
        <f>SUMIFS('Invoice Lines'!$K$5:$K$2542,'Invoice Lines'!$H$5:$H$2542,A203,'Invoice Lines'!$Q$5:$Q$2542,"HIRE-"&amp;C203,'Invoice Lines'!$M$5:$M$2542,1,'Invoice Lines'!$K$5:$K$2542,"&lt;0")</f>
        <v>0</v>
      </c>
      <c r="J203" t="n">
        <v>0</v>
      </c>
      <c r="K203" t="str">
        <f>IF(G203&gt;0,"Under-billed",IF(G203&lt;0,"Over-billed","Agrees"))</f>
        <v>Agrees</v>
      </c>
      <c r="L203" t="inlineStr"/>
    </row>
    <row r="204">
      <c r="A204" t="inlineStr">
        <is>
          <t>S0162</t>
        </is>
      </c>
      <c r="B204" t="inlineStr">
        <is>
          <t>Highpoint Projects</t>
        </is>
      </c>
      <c r="C204" t="inlineStr">
        <is>
          <t>FP</t>
        </is>
      </c>
      <c r="D204" s="9" t="n">
        <v>4.5</v>
      </c>
      <c r="E204">
        <f>SUMIFS('Hire Cycles'!$F$5:$F$1069,'Hire Cycles'!$A$5:$A$1069,A204,'Hire Cycles'!$B$5:$B$1069,C204,'Hire Cycles'!$G$5:$G$1069,1)</f>
        <v>1207</v>
      </c>
      <c r="F204">
        <f>SUMIFS('Invoice Lines'!$J$5:$J$2542,'Invoice Lines'!$H$5:$H$2542,A204,'Invoice Lines'!$Q$5:$Q$2542,"HIRE-"&amp;C204,'Invoice Lines'!$M$5:$M$2542,1,'Invoice Lines'!$K$5:$K$2542,"&gt;0")</f>
        <v>1024</v>
      </c>
      <c r="G204">
        <f>E204-F204</f>
        <v>183</v>
      </c>
      <c r="H204" s="9">
        <f>ROUND(G204*D204,2)</f>
        <v>823.5</v>
      </c>
      <c r="I204" s="9">
        <f>SUMIFS('Invoice Lines'!$K$5:$K$2542,'Invoice Lines'!$H$5:$H$2542,A204,'Invoice Lines'!$Q$5:$Q$2542,"HIRE-"&amp;C204,'Invoice Lines'!$M$5:$M$2542,1,'Invoice Lines'!$K$5:$K$2542,"&lt;0")</f>
        <v>0</v>
      </c>
      <c r="J204" t="n">
        <v>78</v>
      </c>
      <c r="K204" t="str">
        <f>IF(G204&gt;0,"Under-billed",IF(G204&lt;0,"Over-billed","Agrees"))</f>
        <v>Under-billed</v>
      </c>
      <c r="L204" t="inlineStr"/>
    </row>
    <row r="205">
      <c r="A205" t="inlineStr">
        <is>
          <t>S0163</t>
        </is>
      </c>
      <c r="B205" t="inlineStr">
        <is>
          <t>Cobalt Constructions Pty Ltd</t>
        </is>
      </c>
      <c r="C205" t="inlineStr">
        <is>
          <t>FP</t>
        </is>
      </c>
      <c r="D205" s="9" t="n">
        <v>4.5</v>
      </c>
      <c r="E205">
        <f>SUMIFS('Hire Cycles'!$F$5:$F$1069,'Hire Cycles'!$A$5:$A$1069,A205,'Hire Cycles'!$B$5:$B$1069,C205,'Hire Cycles'!$G$5:$G$1069,1)</f>
        <v>1300</v>
      </c>
      <c r="F205">
        <f>SUMIFS('Invoice Lines'!$J$5:$J$2542,'Invoice Lines'!$H$5:$H$2542,A205,'Invoice Lines'!$Q$5:$Q$2542,"HIRE-"&amp;C205,'Invoice Lines'!$M$5:$M$2542,1,'Invoice Lines'!$K$5:$K$2542,"&gt;0")</f>
        <v>1300</v>
      </c>
      <c r="G205">
        <f>E205-F205</f>
        <v>0</v>
      </c>
      <c r="H205" s="9">
        <f>ROUND(G205*D205,2)</f>
        <v>0</v>
      </c>
      <c r="I205" s="9">
        <f>SUMIFS('Invoice Lines'!$K$5:$K$2542,'Invoice Lines'!$H$5:$H$2542,A205,'Invoice Lines'!$Q$5:$Q$2542,"HIRE-"&amp;C205,'Invoice Lines'!$M$5:$M$2542,1,'Invoice Lines'!$K$5:$K$2542,"&lt;0")</f>
        <v>0</v>
      </c>
      <c r="J205" t="n">
        <v>0</v>
      </c>
      <c r="K205" t="str">
        <f>IF(G205&gt;0,"Under-billed",IF(G205&lt;0,"Over-billed","Agrees"))</f>
        <v>Agrees</v>
      </c>
      <c r="L205" t="inlineStr"/>
    </row>
    <row r="206">
      <c r="A206" t="inlineStr">
        <is>
          <t>S0164</t>
        </is>
      </c>
      <c r="B206" t="inlineStr">
        <is>
          <t>Highpoint Projects</t>
        </is>
      </c>
      <c r="C206" t="inlineStr">
        <is>
          <t>FP</t>
        </is>
      </c>
      <c r="D206" s="9" t="n">
        <v>4.5</v>
      </c>
      <c r="E206">
        <f>SUMIFS('Hire Cycles'!$F$5:$F$1069,'Hire Cycles'!$A$5:$A$1069,A206,'Hire Cycles'!$B$5:$B$1069,C206,'Hire Cycles'!$G$5:$G$1069,1)</f>
        <v>57</v>
      </c>
      <c r="F206">
        <f>SUMIFS('Invoice Lines'!$J$5:$J$2542,'Invoice Lines'!$H$5:$H$2542,A206,'Invoice Lines'!$Q$5:$Q$2542,"HIRE-"&amp;C206,'Invoice Lines'!$M$5:$M$2542,1,'Invoice Lines'!$K$5:$K$2542,"&gt;0")</f>
        <v>57</v>
      </c>
      <c r="G206">
        <f>E206-F206</f>
        <v>0</v>
      </c>
      <c r="H206" s="9">
        <f>ROUND(G206*D206,2)</f>
        <v>0</v>
      </c>
      <c r="I206" s="9">
        <f>SUMIFS('Invoice Lines'!$K$5:$K$2542,'Invoice Lines'!$H$5:$H$2542,A206,'Invoice Lines'!$Q$5:$Q$2542,"HIRE-"&amp;C206,'Invoice Lines'!$M$5:$M$2542,1,'Invoice Lines'!$K$5:$K$2542,"&lt;0")</f>
        <v>0</v>
      </c>
      <c r="J206" t="n">
        <v>0</v>
      </c>
      <c r="K206" t="str">
        <f>IF(G206&gt;0,"Under-billed",IF(G206&lt;0,"Over-billed","Agrees"))</f>
        <v>Agrees</v>
      </c>
      <c r="L206" t="inlineStr"/>
    </row>
    <row r="207">
      <c r="A207" t="inlineStr">
        <is>
          <t>S0165</t>
        </is>
      </c>
      <c r="B207" t="inlineStr">
        <is>
          <t>Northgate Builders Pty Ltd</t>
        </is>
      </c>
      <c r="C207" t="inlineStr">
        <is>
          <t>FP</t>
        </is>
      </c>
      <c r="D207" s="9" t="n">
        <v>4.5</v>
      </c>
      <c r="E207">
        <f>SUMIFS('Hire Cycles'!$F$5:$F$1069,'Hire Cycles'!$A$5:$A$1069,A207,'Hire Cycles'!$B$5:$B$1069,C207,'Hire Cycles'!$G$5:$G$1069,1)</f>
        <v>4480</v>
      </c>
      <c r="F207">
        <f>SUMIFS('Invoice Lines'!$J$5:$J$2542,'Invoice Lines'!$H$5:$H$2542,A207,'Invoice Lines'!$Q$5:$Q$2542,"HIRE-"&amp;C207,'Invoice Lines'!$M$5:$M$2542,1,'Invoice Lines'!$K$5:$K$2542,"&gt;0")</f>
        <v>4480</v>
      </c>
      <c r="G207">
        <f>E207-F207</f>
        <v>0</v>
      </c>
      <c r="H207" s="9">
        <f>ROUND(G207*D207,2)</f>
        <v>0</v>
      </c>
      <c r="I207" s="9">
        <f>SUMIFS('Invoice Lines'!$K$5:$K$2542,'Invoice Lines'!$H$5:$H$2542,A207,'Invoice Lines'!$Q$5:$Q$2542,"HIRE-"&amp;C207,'Invoice Lines'!$M$5:$M$2542,1,'Invoice Lines'!$K$5:$K$2542,"&lt;0")</f>
        <v>0</v>
      </c>
      <c r="J207" t="n">
        <v>280</v>
      </c>
      <c r="K207" t="str">
        <f>IF(G207&gt;0,"Under-billed",IF(G207&lt;0,"Over-billed","Agrees"))</f>
        <v>Agrees</v>
      </c>
      <c r="L207" t="inlineStr"/>
    </row>
    <row r="208">
      <c r="A208" t="inlineStr">
        <is>
          <t>S0166</t>
        </is>
      </c>
      <c r="B208" t="inlineStr">
        <is>
          <t>Metro Developments</t>
        </is>
      </c>
      <c r="C208" t="inlineStr">
        <is>
          <t>FP</t>
        </is>
      </c>
      <c r="D208" s="9" t="n">
        <v>4.5</v>
      </c>
      <c r="E208">
        <f>SUMIFS('Hire Cycles'!$F$5:$F$1069,'Hire Cycles'!$A$5:$A$1069,A208,'Hire Cycles'!$B$5:$B$1069,C208,'Hire Cycles'!$G$5:$G$1069,1)</f>
        <v>632</v>
      </c>
      <c r="F208">
        <f>SUMIFS('Invoice Lines'!$J$5:$J$2542,'Invoice Lines'!$H$5:$H$2542,A208,'Invoice Lines'!$Q$5:$Q$2542,"HIRE-"&amp;C208,'Invoice Lines'!$M$5:$M$2542,1,'Invoice Lines'!$K$5:$K$2542,"&gt;0")</f>
        <v>632</v>
      </c>
      <c r="G208">
        <f>E208-F208</f>
        <v>0</v>
      </c>
      <c r="H208" s="9">
        <f>ROUND(G208*D208,2)</f>
        <v>0</v>
      </c>
      <c r="I208" s="9">
        <f>SUMIFS('Invoice Lines'!$K$5:$K$2542,'Invoice Lines'!$H$5:$H$2542,A208,'Invoice Lines'!$Q$5:$Q$2542,"HIRE-"&amp;C208,'Invoice Lines'!$M$5:$M$2542,1,'Invoice Lines'!$K$5:$K$2542,"&lt;0")</f>
        <v>0</v>
      </c>
      <c r="J208" t="n">
        <v>316</v>
      </c>
      <c r="K208" t="str">
        <f>IF(G208&gt;0,"Under-billed",IF(G208&lt;0,"Over-billed","Agrees"))</f>
        <v>Agrees</v>
      </c>
      <c r="L208" t="inlineStr"/>
    </row>
    <row r="209">
      <c r="A209" t="inlineStr">
        <is>
          <t>S0167</t>
        </is>
      </c>
      <c r="B209" t="inlineStr">
        <is>
          <t>Oakridge Productions</t>
        </is>
      </c>
      <c r="C209" t="inlineStr">
        <is>
          <t>BR</t>
        </is>
      </c>
      <c r="D209" s="9" t="n">
        <v>3.2</v>
      </c>
      <c r="E209">
        <f>SUMIFS('Hire Cycles'!$F$5:$F$1069,'Hire Cycles'!$A$5:$A$1069,A209,'Hire Cycles'!$B$5:$B$1069,C209,'Hire Cycles'!$G$5:$G$1069,1)</f>
        <v>34</v>
      </c>
      <c r="F209">
        <f>SUMIFS('Invoice Lines'!$J$5:$J$2542,'Invoice Lines'!$H$5:$H$2542,A209,'Invoice Lines'!$Q$5:$Q$2542,"HIRE-"&amp;C209,'Invoice Lines'!$M$5:$M$2542,1,'Invoice Lines'!$K$5:$K$2542,"&gt;0")</f>
        <v>34</v>
      </c>
      <c r="G209">
        <f>E209-F209</f>
        <v>0</v>
      </c>
      <c r="H209" s="9">
        <f>ROUND(G209*D209,2)</f>
        <v>0</v>
      </c>
      <c r="I209" s="9">
        <f>SUMIFS('Invoice Lines'!$K$5:$K$2542,'Invoice Lines'!$H$5:$H$2542,A209,'Invoice Lines'!$Q$5:$Q$2542,"HIRE-"&amp;C209,'Invoice Lines'!$M$5:$M$2542,1,'Invoice Lines'!$K$5:$K$2542,"&lt;0")</f>
        <v>0</v>
      </c>
      <c r="J209" t="n">
        <v>0</v>
      </c>
      <c r="K209" t="str">
        <f>IF(G209&gt;0,"Under-billed",IF(G209&lt;0,"Over-billed","Agrees"))</f>
        <v>Agrees</v>
      </c>
      <c r="L209" t="inlineStr"/>
    </row>
    <row r="210">
      <c r="A210" t="inlineStr">
        <is>
          <t>S0167</t>
        </is>
      </c>
      <c r="B210" t="inlineStr">
        <is>
          <t>Oakridge Productions</t>
        </is>
      </c>
      <c r="C210" t="inlineStr">
        <is>
          <t>FP</t>
        </is>
      </c>
      <c r="D210" s="9" t="n">
        <v>4.5</v>
      </c>
      <c r="E210">
        <f>SUMIFS('Hire Cycles'!$F$5:$F$1069,'Hire Cycles'!$A$5:$A$1069,A210,'Hire Cycles'!$B$5:$B$1069,C210,'Hire Cycles'!$G$5:$G$1069,1)</f>
        <v>214</v>
      </c>
      <c r="F210">
        <f>SUMIFS('Invoice Lines'!$J$5:$J$2542,'Invoice Lines'!$H$5:$H$2542,A210,'Invoice Lines'!$Q$5:$Q$2542,"HIRE-"&amp;C210,'Invoice Lines'!$M$5:$M$2542,1,'Invoice Lines'!$K$5:$K$2542,"&gt;0")</f>
        <v>214</v>
      </c>
      <c r="G210">
        <f>E210-F210</f>
        <v>0</v>
      </c>
      <c r="H210" s="9">
        <f>ROUND(G210*D210,2)</f>
        <v>0</v>
      </c>
      <c r="I210" s="9">
        <f>SUMIFS('Invoice Lines'!$K$5:$K$2542,'Invoice Lines'!$H$5:$H$2542,A210,'Invoice Lines'!$Q$5:$Q$2542,"HIRE-"&amp;C210,'Invoice Lines'!$M$5:$M$2542,1,'Invoice Lines'!$K$5:$K$2542,"&lt;0")</f>
        <v>0</v>
      </c>
      <c r="J210" t="n">
        <v>0</v>
      </c>
      <c r="K210" t="str">
        <f>IF(G210&gt;0,"Under-billed",IF(G210&lt;0,"Over-billed","Agrees"))</f>
        <v>Agrees</v>
      </c>
      <c r="L210" t="inlineStr"/>
    </row>
    <row r="211">
      <c r="A211" t="inlineStr">
        <is>
          <t>S0168</t>
        </is>
      </c>
      <c r="B211" t="inlineStr">
        <is>
          <t>Cobalt Developments Pty Ltd</t>
        </is>
      </c>
      <c r="C211" t="inlineStr">
        <is>
          <t>FP</t>
        </is>
      </c>
      <c r="D211" s="9" t="n">
        <v>4.5</v>
      </c>
      <c r="E211">
        <f>SUMIFS('Hire Cycles'!$F$5:$F$1069,'Hire Cycles'!$A$5:$A$1069,A211,'Hire Cycles'!$B$5:$B$1069,C211,'Hire Cycles'!$G$5:$G$1069,1)</f>
        <v>508</v>
      </c>
      <c r="F211">
        <f>SUMIFS('Invoice Lines'!$J$5:$J$2542,'Invoice Lines'!$H$5:$H$2542,A211,'Invoice Lines'!$Q$5:$Q$2542,"HIRE-"&amp;C211,'Invoice Lines'!$M$5:$M$2542,1,'Invoice Lines'!$K$5:$K$2542,"&gt;0")</f>
        <v>508</v>
      </c>
      <c r="G211">
        <f>E211-F211</f>
        <v>0</v>
      </c>
      <c r="H211" s="9">
        <f>ROUND(G211*D211,2)</f>
        <v>0</v>
      </c>
      <c r="I211" s="9">
        <f>SUMIFS('Invoice Lines'!$K$5:$K$2542,'Invoice Lines'!$H$5:$H$2542,A211,'Invoice Lines'!$Q$5:$Q$2542,"HIRE-"&amp;C211,'Invoice Lines'!$M$5:$M$2542,1,'Invoice Lines'!$K$5:$K$2542,"&lt;0")</f>
        <v>0</v>
      </c>
      <c r="J211" t="n">
        <v>508</v>
      </c>
      <c r="K211" t="str">
        <f>IF(G211&gt;0,"Under-billed",IF(G211&lt;0,"Over-billed","Agrees"))</f>
        <v>Agrees</v>
      </c>
      <c r="L211" t="inlineStr"/>
    </row>
    <row r="212">
      <c r="A212" t="inlineStr">
        <is>
          <t>S0169</t>
        </is>
      </c>
      <c r="B212" t="inlineStr">
        <is>
          <t>Wattle Homes Pty Ltd</t>
        </is>
      </c>
      <c r="C212" t="inlineStr">
        <is>
          <t>BR</t>
        </is>
      </c>
      <c r="D212" s="9" t="n">
        <v>3.2</v>
      </c>
      <c r="E212">
        <f>SUMIFS('Hire Cycles'!$F$5:$F$1069,'Hire Cycles'!$A$5:$A$1069,A212,'Hire Cycles'!$B$5:$B$1069,C212,'Hire Cycles'!$G$5:$G$1069,1)</f>
        <v>320</v>
      </c>
      <c r="F212">
        <f>SUMIFS('Invoice Lines'!$J$5:$J$2542,'Invoice Lines'!$H$5:$H$2542,A212,'Invoice Lines'!$Q$5:$Q$2542,"HIRE-"&amp;C212,'Invoice Lines'!$M$5:$M$2542,1,'Invoice Lines'!$K$5:$K$2542,"&gt;0")</f>
        <v>320</v>
      </c>
      <c r="G212">
        <f>E212-F212</f>
        <v>0</v>
      </c>
      <c r="H212" s="9">
        <f>ROUND(G212*D212,2)</f>
        <v>0</v>
      </c>
      <c r="I212" s="9">
        <f>SUMIFS('Invoice Lines'!$K$5:$K$2542,'Invoice Lines'!$H$5:$H$2542,A212,'Invoice Lines'!$Q$5:$Q$2542,"HIRE-"&amp;C212,'Invoice Lines'!$M$5:$M$2542,1,'Invoice Lines'!$K$5:$K$2542,"&lt;0")</f>
        <v>0</v>
      </c>
      <c r="J212" t="n">
        <v>32</v>
      </c>
      <c r="K212" t="str">
        <f>IF(G212&gt;0,"Under-billed",IF(G212&lt;0,"Over-billed","Agrees"))</f>
        <v>Agrees</v>
      </c>
      <c r="L212" t="inlineStr"/>
    </row>
    <row r="213">
      <c r="A213" t="inlineStr">
        <is>
          <t>S0169</t>
        </is>
      </c>
      <c r="B213" t="inlineStr">
        <is>
          <t>Wattle Homes Pty Ltd</t>
        </is>
      </c>
      <c r="C213" t="inlineStr">
        <is>
          <t>FP</t>
        </is>
      </c>
      <c r="D213" s="9" t="n">
        <v>4.5</v>
      </c>
      <c r="E213">
        <f>SUMIFS('Hire Cycles'!$F$5:$F$1069,'Hire Cycles'!$A$5:$A$1069,A213,'Hire Cycles'!$B$5:$B$1069,C213,'Hire Cycles'!$G$5:$G$1069,1)</f>
        <v>580</v>
      </c>
      <c r="F213">
        <f>SUMIFS('Invoice Lines'!$J$5:$J$2542,'Invoice Lines'!$H$5:$H$2542,A213,'Invoice Lines'!$Q$5:$Q$2542,"HIRE-"&amp;C213,'Invoice Lines'!$M$5:$M$2542,1,'Invoice Lines'!$K$5:$K$2542,"&gt;0")</f>
        <v>580</v>
      </c>
      <c r="G213">
        <f>E213-F213</f>
        <v>0</v>
      </c>
      <c r="H213" s="9">
        <f>ROUND(G213*D213,2)</f>
        <v>0</v>
      </c>
      <c r="I213" s="9">
        <f>SUMIFS('Invoice Lines'!$K$5:$K$2542,'Invoice Lines'!$H$5:$H$2542,A213,'Invoice Lines'!$Q$5:$Q$2542,"HIRE-"&amp;C213,'Invoice Lines'!$M$5:$M$2542,1,'Invoice Lines'!$K$5:$K$2542,"&lt;0")</f>
        <v>0</v>
      </c>
      <c r="J213" t="n">
        <v>58</v>
      </c>
      <c r="K213" t="str">
        <f>IF(G213&gt;0,"Under-billed",IF(G213&lt;0,"Over-billed","Agrees"))</f>
        <v>Agrees</v>
      </c>
      <c r="L213" t="inlineStr"/>
    </row>
    <row r="214">
      <c r="A214" t="inlineStr">
        <is>
          <t>S0170</t>
        </is>
      </c>
      <c r="B214" t="inlineStr">
        <is>
          <t>Granite Projects Pty Ltd</t>
        </is>
      </c>
      <c r="C214" t="inlineStr">
        <is>
          <t>FP</t>
        </is>
      </c>
      <c r="D214" s="9" t="n">
        <v>4.5</v>
      </c>
      <c r="E214">
        <f>SUMIFS('Hire Cycles'!$F$5:$F$1069,'Hire Cycles'!$A$5:$A$1069,A214,'Hire Cycles'!$B$5:$B$1069,C214,'Hire Cycles'!$G$5:$G$1069,1)</f>
        <v>138</v>
      </c>
      <c r="F214">
        <f>SUMIFS('Invoice Lines'!$J$5:$J$2542,'Invoice Lines'!$H$5:$H$2542,A214,'Invoice Lines'!$Q$5:$Q$2542,"HIRE-"&amp;C214,'Invoice Lines'!$M$5:$M$2542,1,'Invoice Lines'!$K$5:$K$2542,"&gt;0")</f>
        <v>138</v>
      </c>
      <c r="G214">
        <f>E214-F214</f>
        <v>0</v>
      </c>
      <c r="H214" s="9">
        <f>ROUND(G214*D214,2)</f>
        <v>0</v>
      </c>
      <c r="I214" s="9">
        <f>SUMIFS('Invoice Lines'!$K$5:$K$2542,'Invoice Lines'!$H$5:$H$2542,A214,'Invoice Lines'!$Q$5:$Q$2542,"HIRE-"&amp;C214,'Invoice Lines'!$M$5:$M$2542,1,'Invoice Lines'!$K$5:$K$2542,"&lt;0")</f>
        <v>0</v>
      </c>
      <c r="J214" t="n">
        <v>0</v>
      </c>
      <c r="K214" t="str">
        <f>IF(G214&gt;0,"Under-billed",IF(G214&lt;0,"Over-billed","Agrees"))</f>
        <v>Agrees</v>
      </c>
      <c r="L214" t="inlineStr"/>
    </row>
    <row r="215">
      <c r="A215" t="inlineStr">
        <is>
          <t>S0171</t>
        </is>
      </c>
      <c r="B215" t="inlineStr">
        <is>
          <t>Arjun Doyle</t>
        </is>
      </c>
      <c r="C215" t="inlineStr">
        <is>
          <t>BR</t>
        </is>
      </c>
      <c r="D215" s="9" t="n">
        <v>3.2</v>
      </c>
      <c r="E215">
        <f>SUMIFS('Hire Cycles'!$F$5:$F$1069,'Hire Cycles'!$A$5:$A$1069,A215,'Hire Cycles'!$B$5:$B$1069,C215,'Hire Cycles'!$G$5:$G$1069,1)</f>
        <v>60</v>
      </c>
      <c r="F215">
        <f>SUMIFS('Invoice Lines'!$J$5:$J$2542,'Invoice Lines'!$H$5:$H$2542,A215,'Invoice Lines'!$Q$5:$Q$2542,"HIRE-"&amp;C215,'Invoice Lines'!$M$5:$M$2542,1,'Invoice Lines'!$K$5:$K$2542,"&gt;0")</f>
        <v>60</v>
      </c>
      <c r="G215">
        <f>E215-F215</f>
        <v>0</v>
      </c>
      <c r="H215" s="9">
        <f>ROUND(G215*D215,2)</f>
        <v>0</v>
      </c>
      <c r="I215" s="9">
        <f>SUMIFS('Invoice Lines'!$K$5:$K$2542,'Invoice Lines'!$H$5:$H$2542,A215,'Invoice Lines'!$Q$5:$Q$2542,"HIRE-"&amp;C215,'Invoice Lines'!$M$5:$M$2542,1,'Invoice Lines'!$K$5:$K$2542,"&lt;0")</f>
        <v>0</v>
      </c>
      <c r="J215" t="n">
        <v>30</v>
      </c>
      <c r="K215" t="str">
        <f>IF(G215&gt;0,"Under-billed",IF(G215&lt;0,"Over-billed","Agrees"))</f>
        <v>Agrees</v>
      </c>
      <c r="L215" t="inlineStr"/>
    </row>
    <row r="216">
      <c r="A216" t="inlineStr">
        <is>
          <t>S0171</t>
        </is>
      </c>
      <c r="B216" t="inlineStr">
        <is>
          <t>Arjun Doyle</t>
        </is>
      </c>
      <c r="C216" t="inlineStr">
        <is>
          <t>FP</t>
        </is>
      </c>
      <c r="D216" s="9" t="n">
        <v>4.5</v>
      </c>
      <c r="E216">
        <f>SUMIFS('Hire Cycles'!$F$5:$F$1069,'Hire Cycles'!$A$5:$A$1069,A216,'Hire Cycles'!$B$5:$B$1069,C216,'Hire Cycles'!$G$5:$G$1069,1)</f>
        <v>328</v>
      </c>
      <c r="F216">
        <f>SUMIFS('Invoice Lines'!$J$5:$J$2542,'Invoice Lines'!$H$5:$H$2542,A216,'Invoice Lines'!$Q$5:$Q$2542,"HIRE-"&amp;C216,'Invoice Lines'!$M$5:$M$2542,1,'Invoice Lines'!$K$5:$K$2542,"&gt;0")</f>
        <v>328</v>
      </c>
      <c r="G216">
        <f>E216-F216</f>
        <v>0</v>
      </c>
      <c r="H216" s="9">
        <f>ROUND(G216*D216,2)</f>
        <v>0</v>
      </c>
      <c r="I216" s="9">
        <f>SUMIFS('Invoice Lines'!$K$5:$K$2542,'Invoice Lines'!$H$5:$H$2542,A216,'Invoice Lines'!$Q$5:$Q$2542,"HIRE-"&amp;C216,'Invoice Lines'!$M$5:$M$2542,1,'Invoice Lines'!$K$5:$K$2542,"&lt;0")</f>
        <v>0</v>
      </c>
      <c r="J216" t="n">
        <v>164</v>
      </c>
      <c r="K216" t="str">
        <f>IF(G216&gt;0,"Under-billed",IF(G216&lt;0,"Over-billed","Agrees"))</f>
        <v>Agrees</v>
      </c>
      <c r="L216" t="inlineStr"/>
    </row>
    <row r="217">
      <c r="A217" t="inlineStr">
        <is>
          <t>S0172</t>
        </is>
      </c>
      <c r="B217" t="inlineStr">
        <is>
          <t>Highpoint Projects</t>
        </is>
      </c>
      <c r="C217" t="inlineStr">
        <is>
          <t>FP</t>
        </is>
      </c>
      <c r="D217" s="9" t="n">
        <v>4.5</v>
      </c>
      <c r="E217">
        <f>SUMIFS('Hire Cycles'!$F$5:$F$1069,'Hire Cycles'!$A$5:$A$1069,A217,'Hire Cycles'!$B$5:$B$1069,C217,'Hire Cycles'!$G$5:$G$1069,1)</f>
        <v>207</v>
      </c>
      <c r="F217">
        <f>SUMIFS('Invoice Lines'!$J$5:$J$2542,'Invoice Lines'!$H$5:$H$2542,A217,'Invoice Lines'!$Q$5:$Q$2542,"HIRE-"&amp;C217,'Invoice Lines'!$M$5:$M$2542,1,'Invoice Lines'!$K$5:$K$2542,"&gt;0")</f>
        <v>207</v>
      </c>
      <c r="G217">
        <f>E217-F217</f>
        <v>0</v>
      </c>
      <c r="H217" s="9">
        <f>ROUND(G217*D217,2)</f>
        <v>0</v>
      </c>
      <c r="I217" s="9">
        <f>SUMIFS('Invoice Lines'!$K$5:$K$2542,'Invoice Lines'!$H$5:$H$2542,A217,'Invoice Lines'!$Q$5:$Q$2542,"HIRE-"&amp;C217,'Invoice Lines'!$M$5:$M$2542,1,'Invoice Lines'!$K$5:$K$2542,"&lt;0")</f>
        <v>0</v>
      </c>
      <c r="J217" t="n">
        <v>0</v>
      </c>
      <c r="K217" t="str">
        <f>IF(G217&gt;0,"Under-billed",IF(G217&lt;0,"Over-billed","Agrees"))</f>
        <v>Agrees</v>
      </c>
      <c r="L217" t="inlineStr"/>
    </row>
    <row r="218">
      <c r="A218" t="inlineStr">
        <is>
          <t>S0173</t>
        </is>
      </c>
      <c r="B218" t="inlineStr">
        <is>
          <t>Wattle Constructions Pty Ltd</t>
        </is>
      </c>
      <c r="C218" t="inlineStr">
        <is>
          <t>FP</t>
        </is>
      </c>
      <c r="D218" s="9" t="n">
        <v>4.5</v>
      </c>
      <c r="E218">
        <f>SUMIFS('Hire Cycles'!$F$5:$F$1069,'Hire Cycles'!$A$5:$A$1069,A218,'Hire Cycles'!$B$5:$B$1069,C218,'Hire Cycles'!$G$5:$G$1069,1)</f>
        <v>596</v>
      </c>
      <c r="F218">
        <f>SUMIFS('Invoice Lines'!$J$5:$J$2542,'Invoice Lines'!$H$5:$H$2542,A218,'Invoice Lines'!$Q$5:$Q$2542,"HIRE-"&amp;C218,'Invoice Lines'!$M$5:$M$2542,1,'Invoice Lines'!$K$5:$K$2542,"&gt;0")</f>
        <v>596</v>
      </c>
      <c r="G218">
        <f>E218-F218</f>
        <v>0</v>
      </c>
      <c r="H218" s="9">
        <f>ROUND(G218*D218,2)</f>
        <v>0</v>
      </c>
      <c r="I218" s="9">
        <f>SUMIFS('Invoice Lines'!$K$5:$K$2542,'Invoice Lines'!$H$5:$H$2542,A218,'Invoice Lines'!$Q$5:$Q$2542,"HIRE-"&amp;C218,'Invoice Lines'!$M$5:$M$2542,1,'Invoice Lines'!$K$5:$K$2542,"&lt;0")</f>
        <v>0</v>
      </c>
      <c r="J218" t="n">
        <v>149</v>
      </c>
      <c r="K218" t="str">
        <f>IF(G218&gt;0,"Under-billed",IF(G218&lt;0,"Over-billed","Agrees"))</f>
        <v>Agrees</v>
      </c>
      <c r="L218" t="inlineStr"/>
    </row>
    <row r="219">
      <c r="A219" t="inlineStr">
        <is>
          <t>S0174</t>
        </is>
      </c>
      <c r="B219" t="inlineStr">
        <is>
          <t>Oakridge Productions</t>
        </is>
      </c>
      <c r="C219" t="inlineStr">
        <is>
          <t>FP</t>
        </is>
      </c>
      <c r="D219" s="9" t="n">
        <v>4.5</v>
      </c>
      <c r="E219">
        <f>SUMIFS('Hire Cycles'!$F$5:$F$1069,'Hire Cycles'!$A$5:$A$1069,A219,'Hire Cycles'!$B$5:$B$1069,C219,'Hire Cycles'!$G$5:$G$1069,1)</f>
        <v>232</v>
      </c>
      <c r="F219">
        <f>SUMIFS('Invoice Lines'!$J$5:$J$2542,'Invoice Lines'!$H$5:$H$2542,A219,'Invoice Lines'!$Q$5:$Q$2542,"HIRE-"&amp;C219,'Invoice Lines'!$M$5:$M$2542,1,'Invoice Lines'!$K$5:$K$2542,"&gt;0")</f>
        <v>232</v>
      </c>
      <c r="G219">
        <f>E219-F219</f>
        <v>0</v>
      </c>
      <c r="H219" s="9">
        <f>ROUND(G219*D219,2)</f>
        <v>0</v>
      </c>
      <c r="I219" s="9">
        <f>SUMIFS('Invoice Lines'!$K$5:$K$2542,'Invoice Lines'!$H$5:$H$2542,A219,'Invoice Lines'!$Q$5:$Q$2542,"HIRE-"&amp;C219,'Invoice Lines'!$M$5:$M$2542,1,'Invoice Lines'!$K$5:$K$2542,"&lt;0")</f>
        <v>0</v>
      </c>
      <c r="J219" t="n">
        <v>0</v>
      </c>
      <c r="K219" t="str">
        <f>IF(G219&gt;0,"Under-billed",IF(G219&lt;0,"Over-billed","Agrees"))</f>
        <v>Agrees</v>
      </c>
      <c r="L219" t="inlineStr"/>
    </row>
    <row r="220">
      <c r="A220" t="inlineStr">
        <is>
          <t>S0175</t>
        </is>
      </c>
      <c r="B220" t="inlineStr">
        <is>
          <t>Banyule City Council</t>
        </is>
      </c>
      <c r="C220" t="inlineStr">
        <is>
          <t>FP</t>
        </is>
      </c>
      <c r="D220" s="9" t="n">
        <v>4.5</v>
      </c>
      <c r="E220">
        <f>SUMIFS('Hire Cycles'!$F$5:$F$1069,'Hire Cycles'!$A$5:$A$1069,A220,'Hire Cycles'!$B$5:$B$1069,C220,'Hire Cycles'!$G$5:$G$1069,1)</f>
        <v>645</v>
      </c>
      <c r="F220">
        <f>SUMIFS('Invoice Lines'!$J$5:$J$2542,'Invoice Lines'!$H$5:$H$2542,A220,'Invoice Lines'!$Q$5:$Q$2542,"HIRE-"&amp;C220,'Invoice Lines'!$M$5:$M$2542,1,'Invoice Lines'!$K$5:$K$2542,"&gt;0")</f>
        <v>645</v>
      </c>
      <c r="G220">
        <f>E220-F220</f>
        <v>0</v>
      </c>
      <c r="H220" s="9">
        <f>ROUND(G220*D220,2)</f>
        <v>0</v>
      </c>
      <c r="I220" s="9">
        <f>SUMIFS('Invoice Lines'!$K$5:$K$2542,'Invoice Lines'!$H$5:$H$2542,A220,'Invoice Lines'!$Q$5:$Q$2542,"HIRE-"&amp;C220,'Invoice Lines'!$M$5:$M$2542,1,'Invoice Lines'!$K$5:$K$2542,"&lt;0")</f>
        <v>0</v>
      </c>
      <c r="J220" t="n">
        <v>0</v>
      </c>
      <c r="K220" t="str">
        <f>IF(G220&gt;0,"Under-billed",IF(G220&lt;0,"Over-billed","Agrees"))</f>
        <v>Agrees</v>
      </c>
      <c r="L220" t="inlineStr"/>
    </row>
    <row r="221">
      <c r="A221" t="inlineStr">
        <is>
          <t>S0176</t>
        </is>
      </c>
      <c r="B221" t="inlineStr">
        <is>
          <t>Coastline Projects Pty Ltd</t>
        </is>
      </c>
      <c r="C221" t="inlineStr">
        <is>
          <t>FP</t>
        </is>
      </c>
      <c r="D221" s="9" t="n">
        <v>4.5</v>
      </c>
      <c r="E221">
        <f>SUMIFS('Hire Cycles'!$F$5:$F$1069,'Hire Cycles'!$A$5:$A$1069,A221,'Hire Cycles'!$B$5:$B$1069,C221,'Hire Cycles'!$G$5:$G$1069,1)</f>
        <v>316</v>
      </c>
      <c r="F221">
        <f>SUMIFS('Invoice Lines'!$J$5:$J$2542,'Invoice Lines'!$H$5:$H$2542,A221,'Invoice Lines'!$Q$5:$Q$2542,"HIRE-"&amp;C221,'Invoice Lines'!$M$5:$M$2542,1,'Invoice Lines'!$K$5:$K$2542,"&gt;0")</f>
        <v>316</v>
      </c>
      <c r="G221">
        <f>E221-F221</f>
        <v>0</v>
      </c>
      <c r="H221" s="9">
        <f>ROUND(G221*D221,2)</f>
        <v>0</v>
      </c>
      <c r="I221" s="9">
        <f>SUMIFS('Invoice Lines'!$K$5:$K$2542,'Invoice Lines'!$H$5:$H$2542,A221,'Invoice Lines'!$Q$5:$Q$2542,"HIRE-"&amp;C221,'Invoice Lines'!$M$5:$M$2542,1,'Invoice Lines'!$K$5:$K$2542,"&lt;0")</f>
        <v>0</v>
      </c>
      <c r="J221" t="n">
        <v>79</v>
      </c>
      <c r="K221" t="str">
        <f>IF(G221&gt;0,"Under-billed",IF(G221&lt;0,"Over-billed","Agrees"))</f>
        <v>Agrees</v>
      </c>
      <c r="L221" t="inlineStr"/>
    </row>
    <row r="222">
      <c r="A222" t="inlineStr">
        <is>
          <t>S0179</t>
        </is>
      </c>
      <c r="B222" t="inlineStr">
        <is>
          <t>Riverbend Homes Pty Ltd</t>
        </is>
      </c>
      <c r="C222" t="inlineStr">
        <is>
          <t>BR</t>
        </is>
      </c>
      <c r="D222" s="9" t="n">
        <v>3.2</v>
      </c>
      <c r="E222">
        <f>SUMIFS('Hire Cycles'!$F$5:$F$1069,'Hire Cycles'!$A$5:$A$1069,A222,'Hire Cycles'!$B$5:$B$1069,C222,'Hire Cycles'!$G$5:$G$1069,1)</f>
        <v>189</v>
      </c>
      <c r="F222">
        <f>SUMIFS('Invoice Lines'!$J$5:$J$2542,'Invoice Lines'!$H$5:$H$2542,A222,'Invoice Lines'!$Q$5:$Q$2542,"HIRE-"&amp;C222,'Invoice Lines'!$M$5:$M$2542,1,'Invoice Lines'!$K$5:$K$2542,"&gt;0")</f>
        <v>189</v>
      </c>
      <c r="G222">
        <f>E222-F222</f>
        <v>0</v>
      </c>
      <c r="H222" s="9">
        <f>ROUND(G222*D222,2)</f>
        <v>0</v>
      </c>
      <c r="I222" s="9">
        <f>SUMIFS('Invoice Lines'!$K$5:$K$2542,'Invoice Lines'!$H$5:$H$2542,A222,'Invoice Lines'!$Q$5:$Q$2542,"HIRE-"&amp;C222,'Invoice Lines'!$M$5:$M$2542,1,'Invoice Lines'!$K$5:$K$2542,"&lt;0")</f>
        <v>0</v>
      </c>
      <c r="J222" t="n">
        <v>0</v>
      </c>
      <c r="K222" t="str">
        <f>IF(G222&gt;0,"Under-billed",IF(G222&lt;0,"Over-billed","Agrees"))</f>
        <v>Agrees</v>
      </c>
      <c r="L222" t="inlineStr"/>
    </row>
    <row r="223">
      <c r="A223" t="inlineStr">
        <is>
          <t>S0179</t>
        </is>
      </c>
      <c r="B223" t="inlineStr">
        <is>
          <t>Riverbend Homes Pty Ltd</t>
        </is>
      </c>
      <c r="C223" t="inlineStr">
        <is>
          <t>FP</t>
        </is>
      </c>
      <c r="D223" s="9" t="n">
        <v>4.5</v>
      </c>
      <c r="E223">
        <f>SUMIFS('Hire Cycles'!$F$5:$F$1069,'Hire Cycles'!$A$5:$A$1069,A223,'Hire Cycles'!$B$5:$B$1069,C223,'Hire Cycles'!$G$5:$G$1069,1)</f>
        <v>2031</v>
      </c>
      <c r="F223">
        <f>SUMIFS('Invoice Lines'!$J$5:$J$2542,'Invoice Lines'!$H$5:$H$2542,A223,'Invoice Lines'!$Q$5:$Q$2542,"HIRE-"&amp;C223,'Invoice Lines'!$M$5:$M$2542,1,'Invoice Lines'!$K$5:$K$2542,"&gt;0")</f>
        <v>1839</v>
      </c>
      <c r="G223">
        <f>E223-F223</f>
        <v>192</v>
      </c>
      <c r="H223" s="9">
        <f>ROUND(G223*D223,2)</f>
        <v>864</v>
      </c>
      <c r="I223" s="9">
        <f>SUMIFS('Invoice Lines'!$K$5:$K$2542,'Invoice Lines'!$H$5:$H$2542,A223,'Invoice Lines'!$Q$5:$Q$2542,"HIRE-"&amp;C223,'Invoice Lines'!$M$5:$M$2542,1,'Invoice Lines'!$K$5:$K$2542,"&lt;0")</f>
        <v>0</v>
      </c>
      <c r="J223" t="n">
        <v>0</v>
      </c>
      <c r="K223" t="str">
        <f>IF(G223&gt;0,"Under-billed",IF(G223&lt;0,"Over-billed","Agrees"))</f>
        <v>Under-billed</v>
      </c>
      <c r="L223" t="inlineStr"/>
    </row>
    <row r="224">
      <c r="A224" t="inlineStr">
        <is>
          <t>S0180</t>
        </is>
      </c>
      <c r="B224" t="inlineStr">
        <is>
          <t>Bluegum Building Group</t>
        </is>
      </c>
      <c r="C224" t="inlineStr">
        <is>
          <t>BR</t>
        </is>
      </c>
      <c r="D224" s="9" t="n">
        <v>3.2</v>
      </c>
      <c r="E224">
        <f>SUMIFS('Hire Cycles'!$F$5:$F$1069,'Hire Cycles'!$A$5:$A$1069,A224,'Hire Cycles'!$B$5:$B$1069,C224,'Hire Cycles'!$G$5:$G$1069,1)</f>
        <v>128</v>
      </c>
      <c r="F224">
        <f>SUMIFS('Invoice Lines'!$J$5:$J$2542,'Invoice Lines'!$H$5:$H$2542,A224,'Invoice Lines'!$Q$5:$Q$2542,"HIRE-"&amp;C224,'Invoice Lines'!$M$5:$M$2542,1,'Invoice Lines'!$K$5:$K$2542,"&gt;0")</f>
        <v>128</v>
      </c>
      <c r="G224">
        <f>E224-F224</f>
        <v>0</v>
      </c>
      <c r="H224" s="9">
        <f>ROUND(G224*D224,2)</f>
        <v>0</v>
      </c>
      <c r="I224" s="9">
        <f>SUMIFS('Invoice Lines'!$K$5:$K$2542,'Invoice Lines'!$H$5:$H$2542,A224,'Invoice Lines'!$Q$5:$Q$2542,"HIRE-"&amp;C224,'Invoice Lines'!$M$5:$M$2542,1,'Invoice Lines'!$K$5:$K$2542,"&lt;0")</f>
        <v>0</v>
      </c>
      <c r="J224" t="n">
        <v>0</v>
      </c>
      <c r="K224" t="str">
        <f>IF(G224&gt;0,"Under-billed",IF(G224&lt;0,"Over-billed","Agrees"))</f>
        <v>Agrees</v>
      </c>
      <c r="L224" t="inlineStr"/>
    </row>
    <row r="225">
      <c r="A225" t="inlineStr">
        <is>
          <t>S0180</t>
        </is>
      </c>
      <c r="B225" t="inlineStr">
        <is>
          <t>Bluegum Building Group</t>
        </is>
      </c>
      <c r="C225" t="inlineStr">
        <is>
          <t>FP</t>
        </is>
      </c>
      <c r="D225" s="9" t="n">
        <v>4.5</v>
      </c>
      <c r="E225">
        <f>SUMIFS('Hire Cycles'!$F$5:$F$1069,'Hire Cycles'!$A$5:$A$1069,A225,'Hire Cycles'!$B$5:$B$1069,C225,'Hire Cycles'!$G$5:$G$1069,1)</f>
        <v>272</v>
      </c>
      <c r="F225">
        <f>SUMIFS('Invoice Lines'!$J$5:$J$2542,'Invoice Lines'!$H$5:$H$2542,A225,'Invoice Lines'!$Q$5:$Q$2542,"HIRE-"&amp;C225,'Invoice Lines'!$M$5:$M$2542,1,'Invoice Lines'!$K$5:$K$2542,"&gt;0")</f>
        <v>272</v>
      </c>
      <c r="G225">
        <f>E225-F225</f>
        <v>0</v>
      </c>
      <c r="H225" s="9">
        <f>ROUND(G225*D225,2)</f>
        <v>0</v>
      </c>
      <c r="I225" s="9">
        <f>SUMIFS('Invoice Lines'!$K$5:$K$2542,'Invoice Lines'!$H$5:$H$2542,A225,'Invoice Lines'!$Q$5:$Q$2542,"HIRE-"&amp;C225,'Invoice Lines'!$M$5:$M$2542,1,'Invoice Lines'!$K$5:$K$2542,"&lt;0")</f>
        <v>0</v>
      </c>
      <c r="J225" t="n">
        <v>0</v>
      </c>
      <c r="K225" t="str">
        <f>IF(G225&gt;0,"Under-billed",IF(G225&lt;0,"Over-billed","Agrees"))</f>
        <v>Agrees</v>
      </c>
      <c r="L225" t="inlineStr"/>
    </row>
    <row r="226">
      <c r="A226" t="inlineStr">
        <is>
          <t>S0181</t>
        </is>
      </c>
      <c r="B226" t="inlineStr">
        <is>
          <t>Wattle Constructions Pty Ltd</t>
        </is>
      </c>
      <c r="C226" t="inlineStr">
        <is>
          <t>FP</t>
        </is>
      </c>
      <c r="D226" s="9" t="n">
        <v>4.5</v>
      </c>
      <c r="E226">
        <f>SUMIFS('Hire Cycles'!$F$5:$F$1069,'Hire Cycles'!$A$5:$A$1069,A226,'Hire Cycles'!$B$5:$B$1069,C226,'Hire Cycles'!$G$5:$G$1069,1)</f>
        <v>1098</v>
      </c>
      <c r="F226">
        <f>SUMIFS('Invoice Lines'!$J$5:$J$2542,'Invoice Lines'!$H$5:$H$2542,A226,'Invoice Lines'!$Q$5:$Q$2542,"HIRE-"&amp;C226,'Invoice Lines'!$M$5:$M$2542,1,'Invoice Lines'!$K$5:$K$2542,"&gt;0")</f>
        <v>1098</v>
      </c>
      <c r="G226">
        <f>E226-F226</f>
        <v>0</v>
      </c>
      <c r="H226" s="9">
        <f>ROUND(G226*D226,2)</f>
        <v>0</v>
      </c>
      <c r="I226" s="9">
        <f>SUMIFS('Invoice Lines'!$K$5:$K$2542,'Invoice Lines'!$H$5:$H$2542,A226,'Invoice Lines'!$Q$5:$Q$2542,"HIRE-"&amp;C226,'Invoice Lines'!$M$5:$M$2542,1,'Invoice Lines'!$K$5:$K$2542,"&lt;0")</f>
        <v>0</v>
      </c>
      <c r="J226" t="n">
        <v>0</v>
      </c>
      <c r="K226" t="str">
        <f>IF(G226&gt;0,"Under-billed",IF(G226&lt;0,"Over-billed","Agrees"))</f>
        <v>Agrees</v>
      </c>
      <c r="L226" t="inlineStr"/>
    </row>
    <row r="227">
      <c r="A227" t="inlineStr">
        <is>
          <t>S0182</t>
        </is>
      </c>
      <c r="B227" t="inlineStr">
        <is>
          <t>Highpoint Projects</t>
        </is>
      </c>
      <c r="C227" t="inlineStr">
        <is>
          <t>FP</t>
        </is>
      </c>
      <c r="D227" s="9" t="n">
        <v>4.5</v>
      </c>
      <c r="E227">
        <f>SUMIFS('Hire Cycles'!$F$5:$F$1069,'Hire Cycles'!$A$5:$A$1069,A227,'Hire Cycles'!$B$5:$B$1069,C227,'Hire Cycles'!$G$5:$G$1069,1)</f>
        <v>2664</v>
      </c>
      <c r="F227">
        <f>SUMIFS('Invoice Lines'!$J$5:$J$2542,'Invoice Lines'!$H$5:$H$2542,A227,'Invoice Lines'!$Q$5:$Q$2542,"HIRE-"&amp;C227,'Invoice Lines'!$M$5:$M$2542,1,'Invoice Lines'!$K$5:$K$2542,"&gt;0")</f>
        <v>2664</v>
      </c>
      <c r="G227">
        <f>E227-F227</f>
        <v>0</v>
      </c>
      <c r="H227" s="9">
        <f>ROUND(G227*D227,2)</f>
        <v>0</v>
      </c>
      <c r="I227" s="9">
        <f>SUMIFS('Invoice Lines'!$K$5:$K$2542,'Invoice Lines'!$H$5:$H$2542,A227,'Invoice Lines'!$Q$5:$Q$2542,"HIRE-"&amp;C227,'Invoice Lines'!$M$5:$M$2542,1,'Invoice Lines'!$K$5:$K$2542,"&lt;0")</f>
        <v>0</v>
      </c>
      <c r="J227" t="n">
        <v>111</v>
      </c>
      <c r="K227" t="str">
        <f>IF(G227&gt;0,"Under-billed",IF(G227&lt;0,"Over-billed","Agrees"))</f>
        <v>Agrees</v>
      </c>
      <c r="L227" t="inlineStr"/>
    </row>
    <row r="228">
      <c r="A228" t="inlineStr">
        <is>
          <t>S0183</t>
        </is>
      </c>
      <c r="B228" t="inlineStr">
        <is>
          <t>Sam Murphy</t>
        </is>
      </c>
      <c r="C228" t="inlineStr">
        <is>
          <t>FP</t>
        </is>
      </c>
      <c r="D228" s="9" t="n">
        <v>4.5</v>
      </c>
      <c r="E228">
        <f>SUMIFS('Hire Cycles'!$F$5:$F$1069,'Hire Cycles'!$A$5:$A$1069,A228,'Hire Cycles'!$B$5:$B$1069,C228,'Hire Cycles'!$G$5:$G$1069,1)</f>
        <v>390</v>
      </c>
      <c r="F228">
        <f>SUMIFS('Invoice Lines'!$J$5:$J$2542,'Invoice Lines'!$H$5:$H$2542,A228,'Invoice Lines'!$Q$5:$Q$2542,"HIRE-"&amp;C228,'Invoice Lines'!$M$5:$M$2542,1,'Invoice Lines'!$K$5:$K$2542,"&gt;0")</f>
        <v>390</v>
      </c>
      <c r="G228">
        <f>E228-F228</f>
        <v>0</v>
      </c>
      <c r="H228" s="9">
        <f>ROUND(G228*D228,2)</f>
        <v>0</v>
      </c>
      <c r="I228" s="9">
        <f>SUMIFS('Invoice Lines'!$K$5:$K$2542,'Invoice Lines'!$H$5:$H$2542,A228,'Invoice Lines'!$Q$5:$Q$2542,"HIRE-"&amp;C228,'Invoice Lines'!$M$5:$M$2542,1,'Invoice Lines'!$K$5:$K$2542,"&lt;0")</f>
        <v>0</v>
      </c>
      <c r="J228" t="n">
        <v>0</v>
      </c>
      <c r="K228" t="str">
        <f>IF(G228&gt;0,"Under-billed",IF(G228&lt;0,"Over-billed","Agrees"))</f>
        <v>Agrees</v>
      </c>
      <c r="L228" t="inlineStr"/>
    </row>
    <row r="229">
      <c r="A229" t="inlineStr">
        <is>
          <t>S0184</t>
        </is>
      </c>
      <c r="B229" t="inlineStr">
        <is>
          <t>Cobalt Developments Pty Ltd</t>
        </is>
      </c>
      <c r="C229" t="inlineStr">
        <is>
          <t>FP</t>
        </is>
      </c>
      <c r="D229" s="9" t="n">
        <v>4.5</v>
      </c>
      <c r="E229">
        <f>SUMIFS('Hire Cycles'!$F$5:$F$1069,'Hire Cycles'!$A$5:$A$1069,A229,'Hire Cycles'!$B$5:$B$1069,C229,'Hire Cycles'!$G$5:$G$1069,1)</f>
        <v>220</v>
      </c>
      <c r="F229">
        <f>SUMIFS('Invoice Lines'!$J$5:$J$2542,'Invoice Lines'!$H$5:$H$2542,A229,'Invoice Lines'!$Q$5:$Q$2542,"HIRE-"&amp;C229,'Invoice Lines'!$M$5:$M$2542,1,'Invoice Lines'!$K$5:$K$2542,"&gt;0")</f>
        <v>220</v>
      </c>
      <c r="G229">
        <f>E229-F229</f>
        <v>0</v>
      </c>
      <c r="H229" s="9">
        <f>ROUND(G229*D229,2)</f>
        <v>0</v>
      </c>
      <c r="I229" s="9">
        <f>SUMIFS('Invoice Lines'!$K$5:$K$2542,'Invoice Lines'!$H$5:$H$2542,A229,'Invoice Lines'!$Q$5:$Q$2542,"HIRE-"&amp;C229,'Invoice Lines'!$M$5:$M$2542,1,'Invoice Lines'!$K$5:$K$2542,"&lt;0")</f>
        <v>0</v>
      </c>
      <c r="J229" t="n">
        <v>0</v>
      </c>
      <c r="K229" t="str">
        <f>IF(G229&gt;0,"Under-billed",IF(G229&lt;0,"Over-billed","Agrees"))</f>
        <v>Agrees</v>
      </c>
      <c r="L229" t="inlineStr"/>
    </row>
    <row r="230">
      <c r="A230" t="inlineStr">
        <is>
          <t>S0185</t>
        </is>
      </c>
      <c r="B230" t="inlineStr">
        <is>
          <t>Bluegum Construction Pty Ltd</t>
        </is>
      </c>
      <c r="C230" t="inlineStr">
        <is>
          <t>FP</t>
        </is>
      </c>
      <c r="D230" s="9" t="n">
        <v>4.5</v>
      </c>
      <c r="E230">
        <f>SUMIFS('Hire Cycles'!$F$5:$F$1069,'Hire Cycles'!$A$5:$A$1069,A230,'Hire Cycles'!$B$5:$B$1069,C230,'Hire Cycles'!$G$5:$G$1069,1)</f>
        <v>270</v>
      </c>
      <c r="F230">
        <f>SUMIFS('Invoice Lines'!$J$5:$J$2542,'Invoice Lines'!$H$5:$H$2542,A230,'Invoice Lines'!$Q$5:$Q$2542,"HIRE-"&amp;C230,'Invoice Lines'!$M$5:$M$2542,1,'Invoice Lines'!$K$5:$K$2542,"&gt;0")</f>
        <v>270</v>
      </c>
      <c r="G230">
        <f>E230-F230</f>
        <v>0</v>
      </c>
      <c r="H230" s="9">
        <f>ROUND(G230*D230,2)</f>
        <v>0</v>
      </c>
      <c r="I230" s="9">
        <f>SUMIFS('Invoice Lines'!$K$5:$K$2542,'Invoice Lines'!$H$5:$H$2542,A230,'Invoice Lines'!$Q$5:$Q$2542,"HIRE-"&amp;C230,'Invoice Lines'!$M$5:$M$2542,1,'Invoice Lines'!$K$5:$K$2542,"&lt;0")</f>
        <v>0</v>
      </c>
      <c r="J230" t="n">
        <v>0</v>
      </c>
      <c r="K230" t="str">
        <f>IF(G230&gt;0,"Under-billed",IF(G230&lt;0,"Over-billed","Agrees"))</f>
        <v>Agrees</v>
      </c>
      <c r="L230" t="inlineStr"/>
    </row>
    <row r="231">
      <c r="A231" t="inlineStr">
        <is>
          <t>S0186</t>
        </is>
      </c>
      <c r="B231" t="inlineStr">
        <is>
          <t>Eastlink Projects</t>
        </is>
      </c>
      <c r="C231" t="inlineStr">
        <is>
          <t>FP</t>
        </is>
      </c>
      <c r="D231" s="9" t="n">
        <v>4.5</v>
      </c>
      <c r="E231">
        <f>SUMIFS('Hire Cycles'!$F$5:$F$1069,'Hire Cycles'!$A$5:$A$1069,A231,'Hire Cycles'!$B$5:$B$1069,C231,'Hire Cycles'!$G$5:$G$1069,1)</f>
        <v>710</v>
      </c>
      <c r="F231">
        <f>SUMIFS('Invoice Lines'!$J$5:$J$2542,'Invoice Lines'!$H$5:$H$2542,A231,'Invoice Lines'!$Q$5:$Q$2542,"HIRE-"&amp;C231,'Invoice Lines'!$M$5:$M$2542,1,'Invoice Lines'!$K$5:$K$2542,"&gt;0")</f>
        <v>710</v>
      </c>
      <c r="G231">
        <f>E231-F231</f>
        <v>0</v>
      </c>
      <c r="H231" s="9">
        <f>ROUND(G231*D231,2)</f>
        <v>0</v>
      </c>
      <c r="I231" s="9">
        <f>SUMIFS('Invoice Lines'!$K$5:$K$2542,'Invoice Lines'!$H$5:$H$2542,A231,'Invoice Lines'!$Q$5:$Q$2542,"HIRE-"&amp;C231,'Invoice Lines'!$M$5:$M$2542,1,'Invoice Lines'!$K$5:$K$2542,"&lt;0")</f>
        <v>0</v>
      </c>
      <c r="J231" t="n">
        <v>0</v>
      </c>
      <c r="K231" t="str">
        <f>IF(G231&gt;0,"Under-billed",IF(G231&lt;0,"Over-billed","Agrees"))</f>
        <v>Agrees</v>
      </c>
      <c r="L231" t="inlineStr"/>
    </row>
    <row r="232">
      <c r="A232" t="inlineStr">
        <is>
          <t>S0187</t>
        </is>
      </c>
      <c r="B232" t="inlineStr">
        <is>
          <t>Eastlink Developments</t>
        </is>
      </c>
      <c r="C232" t="inlineStr">
        <is>
          <t>FP</t>
        </is>
      </c>
      <c r="D232" s="9" t="n">
        <v>4.5</v>
      </c>
      <c r="E232">
        <f>SUMIFS('Hire Cycles'!$F$5:$F$1069,'Hire Cycles'!$A$5:$A$1069,A232,'Hire Cycles'!$B$5:$B$1069,C232,'Hire Cycles'!$G$5:$G$1069,1)</f>
        <v>2880</v>
      </c>
      <c r="F232">
        <f>SUMIFS('Invoice Lines'!$J$5:$J$2542,'Invoice Lines'!$H$5:$H$2542,A232,'Invoice Lines'!$Q$5:$Q$2542,"HIRE-"&amp;C232,'Invoice Lines'!$M$5:$M$2542,1,'Invoice Lines'!$K$5:$K$2542,"&gt;0")</f>
        <v>2400</v>
      </c>
      <c r="G232">
        <f>E232-F232</f>
        <v>480</v>
      </c>
      <c r="H232" s="9">
        <f>ROUND(G232*D232,2)</f>
        <v>2160</v>
      </c>
      <c r="I232" s="9">
        <f>SUMIFS('Invoice Lines'!$K$5:$K$2542,'Invoice Lines'!$H$5:$H$2542,A232,'Invoice Lines'!$Q$5:$Q$2542,"HIRE-"&amp;C232,'Invoice Lines'!$M$5:$M$2542,1,'Invoice Lines'!$K$5:$K$2542,"&lt;0")</f>
        <v>0</v>
      </c>
      <c r="J232" t="n">
        <v>360</v>
      </c>
      <c r="K232" t="str">
        <f>IF(G232&gt;0,"Under-billed",IF(G232&lt;0,"Over-billed","Agrees"))</f>
        <v>Under-billed</v>
      </c>
      <c r="L232" t="inlineStr"/>
    </row>
    <row r="233">
      <c r="A233" t="inlineStr">
        <is>
          <t>S0188</t>
        </is>
      </c>
      <c r="B233" t="inlineStr">
        <is>
          <t>Lakeside Builders Pty Ltd</t>
        </is>
      </c>
      <c r="C233" t="inlineStr">
        <is>
          <t>FP</t>
        </is>
      </c>
      <c r="D233" s="9" t="n">
        <v>4.5</v>
      </c>
      <c r="E233">
        <f>SUMIFS('Hire Cycles'!$F$5:$F$1069,'Hire Cycles'!$A$5:$A$1069,A233,'Hire Cycles'!$B$5:$B$1069,C233,'Hire Cycles'!$G$5:$G$1069,1)</f>
        <v>144</v>
      </c>
      <c r="F233">
        <f>SUMIFS('Invoice Lines'!$J$5:$J$2542,'Invoice Lines'!$H$5:$H$2542,A233,'Invoice Lines'!$Q$5:$Q$2542,"HIRE-"&amp;C233,'Invoice Lines'!$M$5:$M$2542,1,'Invoice Lines'!$K$5:$K$2542,"&gt;0")</f>
        <v>144</v>
      </c>
      <c r="G233">
        <f>E233-F233</f>
        <v>0</v>
      </c>
      <c r="H233" s="9">
        <f>ROUND(G233*D233,2)</f>
        <v>0</v>
      </c>
      <c r="I233" s="9">
        <f>SUMIFS('Invoice Lines'!$K$5:$K$2542,'Invoice Lines'!$H$5:$H$2542,A233,'Invoice Lines'!$Q$5:$Q$2542,"HIRE-"&amp;C233,'Invoice Lines'!$M$5:$M$2542,1,'Invoice Lines'!$K$5:$K$2542,"&lt;0")</f>
        <v>0</v>
      </c>
      <c r="J233" t="n">
        <v>0</v>
      </c>
      <c r="K233" t="str">
        <f>IF(G233&gt;0,"Under-billed",IF(G233&lt;0,"Over-billed","Agrees"))</f>
        <v>Agrees</v>
      </c>
      <c r="L233" t="inlineStr"/>
    </row>
    <row r="234">
      <c r="A234" t="inlineStr">
        <is>
          <t>S0189</t>
        </is>
      </c>
      <c r="B234" t="inlineStr">
        <is>
          <t>Riverbend Homes Pty Ltd</t>
        </is>
      </c>
      <c r="C234" t="inlineStr">
        <is>
          <t>FP</t>
        </is>
      </c>
      <c r="D234" s="9" t="n">
        <v>4.5</v>
      </c>
      <c r="E234">
        <f>SUMIFS('Hire Cycles'!$F$5:$F$1069,'Hire Cycles'!$A$5:$A$1069,A234,'Hire Cycles'!$B$5:$B$1069,C234,'Hire Cycles'!$G$5:$G$1069,1)</f>
        <v>312</v>
      </c>
      <c r="F234">
        <f>SUMIFS('Invoice Lines'!$J$5:$J$2542,'Invoice Lines'!$H$5:$H$2542,A234,'Invoice Lines'!$Q$5:$Q$2542,"HIRE-"&amp;C234,'Invoice Lines'!$M$5:$M$2542,1,'Invoice Lines'!$K$5:$K$2542,"&gt;0")</f>
        <v>0</v>
      </c>
      <c r="G234">
        <f>E234-F234</f>
        <v>312</v>
      </c>
      <c r="H234" s="9">
        <f>ROUND(G234*D234,2)</f>
        <v>1404</v>
      </c>
      <c r="I234" s="9">
        <f>SUMIFS('Invoice Lines'!$K$5:$K$2542,'Invoice Lines'!$H$5:$H$2542,A234,'Invoice Lines'!$Q$5:$Q$2542,"HIRE-"&amp;C234,'Invoice Lines'!$M$5:$M$2542,1,'Invoice Lines'!$K$5:$K$2542,"&lt;0")</f>
        <v>0</v>
      </c>
      <c r="J234" t="n">
        <v>24</v>
      </c>
      <c r="K234" t="str">
        <f>IF(G234&gt;0,"Under-billed",IF(G234&lt;0,"Over-billed","Agrees"))</f>
        <v>Under-billed</v>
      </c>
      <c r="L234" t="inlineStr"/>
    </row>
    <row r="235">
      <c r="A235" t="inlineStr">
        <is>
          <t>S0191</t>
        </is>
      </c>
      <c r="B235" t="inlineStr">
        <is>
          <t>Norfolk Constructions Pty Ltd</t>
        </is>
      </c>
      <c r="C235" t="inlineStr">
        <is>
          <t>FP</t>
        </is>
      </c>
      <c r="D235" s="9" t="n">
        <v>4.5</v>
      </c>
      <c r="E235">
        <f>SUMIFS('Hire Cycles'!$F$5:$F$1069,'Hire Cycles'!$A$5:$A$1069,A235,'Hire Cycles'!$B$5:$B$1069,C235,'Hire Cycles'!$G$5:$G$1069,1)</f>
        <v>228</v>
      </c>
      <c r="F235">
        <f>SUMIFS('Invoice Lines'!$J$5:$J$2542,'Invoice Lines'!$H$5:$H$2542,A235,'Invoice Lines'!$Q$5:$Q$2542,"HIRE-"&amp;C235,'Invoice Lines'!$M$5:$M$2542,1,'Invoice Lines'!$K$5:$K$2542,"&gt;0")</f>
        <v>228</v>
      </c>
      <c r="G235">
        <f>E235-F235</f>
        <v>0</v>
      </c>
      <c r="H235" s="9">
        <f>ROUND(G235*D235,2)</f>
        <v>0</v>
      </c>
      <c r="I235" s="9">
        <f>SUMIFS('Invoice Lines'!$K$5:$K$2542,'Invoice Lines'!$H$5:$H$2542,A235,'Invoice Lines'!$Q$5:$Q$2542,"HIRE-"&amp;C235,'Invoice Lines'!$M$5:$M$2542,1,'Invoice Lines'!$K$5:$K$2542,"&lt;0")</f>
        <v>0</v>
      </c>
      <c r="J235" t="n">
        <v>0</v>
      </c>
      <c r="K235" t="str">
        <f>IF(G235&gt;0,"Under-billed",IF(G235&lt;0,"Over-billed","Agrees"))</f>
        <v>Agrees</v>
      </c>
      <c r="L235" t="inlineStr"/>
    </row>
    <row r="236">
      <c r="A236" t="inlineStr">
        <is>
          <t>S0192</t>
        </is>
      </c>
      <c r="B236" t="inlineStr">
        <is>
          <t>Summit Homes Pty Ltd</t>
        </is>
      </c>
      <c r="C236" t="inlineStr">
        <is>
          <t>FP</t>
        </is>
      </c>
      <c r="D236" s="9" t="n">
        <v>4.5</v>
      </c>
      <c r="E236">
        <f>SUMIFS('Hire Cycles'!$F$5:$F$1069,'Hire Cycles'!$A$5:$A$1069,A236,'Hire Cycles'!$B$5:$B$1069,C236,'Hire Cycles'!$G$5:$G$1069,1)</f>
        <v>298</v>
      </c>
      <c r="F236">
        <f>SUMIFS('Invoice Lines'!$J$5:$J$2542,'Invoice Lines'!$H$5:$H$2542,A236,'Invoice Lines'!$Q$5:$Q$2542,"HIRE-"&amp;C236,'Invoice Lines'!$M$5:$M$2542,1,'Invoice Lines'!$K$5:$K$2542,"&gt;0")</f>
        <v>298</v>
      </c>
      <c r="G236">
        <f>E236-F236</f>
        <v>0</v>
      </c>
      <c r="H236" s="9">
        <f>ROUND(G236*D236,2)</f>
        <v>0</v>
      </c>
      <c r="I236" s="9">
        <f>SUMIFS('Invoice Lines'!$K$5:$K$2542,'Invoice Lines'!$H$5:$H$2542,A236,'Invoice Lines'!$Q$5:$Q$2542,"HIRE-"&amp;C236,'Invoice Lines'!$M$5:$M$2542,1,'Invoice Lines'!$K$5:$K$2542,"&lt;0")</f>
        <v>0</v>
      </c>
      <c r="J236" t="n">
        <v>0</v>
      </c>
      <c r="K236" t="str">
        <f>IF(G236&gt;0,"Under-billed",IF(G236&lt;0,"Over-billed","Agrees"))</f>
        <v>Agrees</v>
      </c>
      <c r="L236" t="inlineStr"/>
    </row>
    <row r="237">
      <c r="A237" t="inlineStr">
        <is>
          <t>S0193</t>
        </is>
      </c>
      <c r="B237" t="inlineStr">
        <is>
          <t>Ironbark Events Pty Ltd</t>
        </is>
      </c>
      <c r="C237" t="inlineStr">
        <is>
          <t>FP</t>
        </is>
      </c>
      <c r="D237" s="9" t="n">
        <v>4.5</v>
      </c>
      <c r="E237">
        <f>SUMIFS('Hire Cycles'!$F$5:$F$1069,'Hire Cycles'!$A$5:$A$1069,A237,'Hire Cycles'!$B$5:$B$1069,C237,'Hire Cycles'!$G$5:$G$1069,1)</f>
        <v>219</v>
      </c>
      <c r="F237">
        <f>SUMIFS('Invoice Lines'!$J$5:$J$2542,'Invoice Lines'!$H$5:$H$2542,A237,'Invoice Lines'!$Q$5:$Q$2542,"HIRE-"&amp;C237,'Invoice Lines'!$M$5:$M$2542,1,'Invoice Lines'!$K$5:$K$2542,"&gt;0")</f>
        <v>219</v>
      </c>
      <c r="G237">
        <f>E237-F237</f>
        <v>0</v>
      </c>
      <c r="H237" s="9">
        <f>ROUND(G237*D237,2)</f>
        <v>0</v>
      </c>
      <c r="I237" s="9">
        <f>SUMIFS('Invoice Lines'!$K$5:$K$2542,'Invoice Lines'!$H$5:$H$2542,A237,'Invoice Lines'!$Q$5:$Q$2542,"HIRE-"&amp;C237,'Invoice Lines'!$M$5:$M$2542,1,'Invoice Lines'!$K$5:$K$2542,"&lt;0")</f>
        <v>0</v>
      </c>
      <c r="J237" t="n">
        <v>0</v>
      </c>
      <c r="K237" t="str">
        <f>IF(G237&gt;0,"Under-billed",IF(G237&lt;0,"Over-billed","Agrees"))</f>
        <v>Agrees</v>
      </c>
      <c r="L237" t="inlineStr"/>
    </row>
    <row r="238">
      <c r="A238" t="inlineStr">
        <is>
          <t>S0194</t>
        </is>
      </c>
      <c r="B238" t="inlineStr">
        <is>
          <t>Oakridge Productions</t>
        </is>
      </c>
      <c r="C238" t="inlineStr">
        <is>
          <t>FP</t>
        </is>
      </c>
      <c r="D238" s="9" t="n">
        <v>4.5</v>
      </c>
      <c r="E238">
        <f>SUMIFS('Hire Cycles'!$F$5:$F$1069,'Hire Cycles'!$A$5:$A$1069,A238,'Hire Cycles'!$B$5:$B$1069,C238,'Hire Cycles'!$G$5:$G$1069,1)</f>
        <v>198</v>
      </c>
      <c r="F238">
        <f>SUMIFS('Invoice Lines'!$J$5:$J$2542,'Invoice Lines'!$H$5:$H$2542,A238,'Invoice Lines'!$Q$5:$Q$2542,"HIRE-"&amp;C238,'Invoice Lines'!$M$5:$M$2542,1,'Invoice Lines'!$K$5:$K$2542,"&gt;0")</f>
        <v>198</v>
      </c>
      <c r="G238">
        <f>E238-F238</f>
        <v>0</v>
      </c>
      <c r="H238" s="9">
        <f>ROUND(G238*D238,2)</f>
        <v>0</v>
      </c>
      <c r="I238" s="9">
        <f>SUMIFS('Invoice Lines'!$K$5:$K$2542,'Invoice Lines'!$H$5:$H$2542,A238,'Invoice Lines'!$Q$5:$Q$2542,"HIRE-"&amp;C238,'Invoice Lines'!$M$5:$M$2542,1,'Invoice Lines'!$K$5:$K$2542,"&lt;0")</f>
        <v>0</v>
      </c>
      <c r="J238" t="n">
        <v>0</v>
      </c>
      <c r="K238" t="str">
        <f>IF(G238&gt;0,"Under-billed",IF(G238&lt;0,"Over-billed","Agrees"))</f>
        <v>Agrees</v>
      </c>
      <c r="L238" t="inlineStr"/>
    </row>
    <row r="239">
      <c r="A239" t="inlineStr">
        <is>
          <t>S0195</t>
        </is>
      </c>
      <c r="B239" t="inlineStr">
        <is>
          <t>Highpoint Projects</t>
        </is>
      </c>
      <c r="C239" t="inlineStr">
        <is>
          <t>FP</t>
        </is>
      </c>
      <c r="D239" s="9" t="n">
        <v>4.5</v>
      </c>
      <c r="E239">
        <f>SUMIFS('Hire Cycles'!$F$5:$F$1069,'Hire Cycles'!$A$5:$A$1069,A239,'Hire Cycles'!$B$5:$B$1069,C239,'Hire Cycles'!$G$5:$G$1069,1)</f>
        <v>258</v>
      </c>
      <c r="F239">
        <f>SUMIFS('Invoice Lines'!$J$5:$J$2542,'Invoice Lines'!$H$5:$H$2542,A239,'Invoice Lines'!$Q$5:$Q$2542,"HIRE-"&amp;C239,'Invoice Lines'!$M$5:$M$2542,1,'Invoice Lines'!$K$5:$K$2542,"&gt;0")</f>
        <v>258</v>
      </c>
      <c r="G239">
        <f>E239-F239</f>
        <v>0</v>
      </c>
      <c r="H239" s="9">
        <f>ROUND(G239*D239,2)</f>
        <v>0</v>
      </c>
      <c r="I239" s="9">
        <f>SUMIFS('Invoice Lines'!$K$5:$K$2542,'Invoice Lines'!$H$5:$H$2542,A239,'Invoice Lines'!$Q$5:$Q$2542,"HIRE-"&amp;C239,'Invoice Lines'!$M$5:$M$2542,1,'Invoice Lines'!$K$5:$K$2542,"&lt;0")</f>
        <v>0</v>
      </c>
      <c r="J239" t="n">
        <v>0</v>
      </c>
      <c r="K239" t="str">
        <f>IF(G239&gt;0,"Under-billed",IF(G239&lt;0,"Over-billed","Agrees"))</f>
        <v>Agrees</v>
      </c>
      <c r="L239" t="inlineStr">
        <is>
          <t>Yes</t>
        </is>
      </c>
    </row>
    <row r="240">
      <c r="A240" t="inlineStr">
        <is>
          <t>S0196</t>
        </is>
      </c>
      <c r="B240" t="inlineStr">
        <is>
          <t>Kingston City Council</t>
        </is>
      </c>
      <c r="C240" t="inlineStr">
        <is>
          <t>FP</t>
        </is>
      </c>
      <c r="D240" s="9" t="n">
        <v>4.5</v>
      </c>
      <c r="E240">
        <f>SUMIFS('Hire Cycles'!$F$5:$F$1069,'Hire Cycles'!$A$5:$A$1069,A240,'Hire Cycles'!$B$5:$B$1069,C240,'Hire Cycles'!$G$5:$G$1069,1)</f>
        <v>1952</v>
      </c>
      <c r="F240">
        <f>SUMIFS('Invoice Lines'!$J$5:$J$2542,'Invoice Lines'!$H$5:$H$2542,A240,'Invoice Lines'!$Q$5:$Q$2542,"HIRE-"&amp;C240,'Invoice Lines'!$M$5:$M$2542,1,'Invoice Lines'!$K$5:$K$2542,"&gt;0")</f>
        <v>1952</v>
      </c>
      <c r="G240">
        <f>E240-F240</f>
        <v>0</v>
      </c>
      <c r="H240" s="9">
        <f>ROUND(G240*D240,2)</f>
        <v>0</v>
      </c>
      <c r="I240" s="9">
        <f>SUMIFS('Invoice Lines'!$K$5:$K$2542,'Invoice Lines'!$H$5:$H$2542,A240,'Invoice Lines'!$Q$5:$Q$2542,"HIRE-"&amp;C240,'Invoice Lines'!$M$5:$M$2542,1,'Invoice Lines'!$K$5:$K$2542,"&lt;0")</f>
        <v>0</v>
      </c>
      <c r="J240" t="n">
        <v>0</v>
      </c>
      <c r="K240" t="str">
        <f>IF(G240&gt;0,"Under-billed",IF(G240&lt;0,"Over-billed","Agrees"))</f>
        <v>Agrees</v>
      </c>
      <c r="L240" t="inlineStr">
        <is>
          <t>Yes</t>
        </is>
      </c>
    </row>
    <row r="241">
      <c r="A241" t="inlineStr">
        <is>
          <t>S0197</t>
        </is>
      </c>
      <c r="B241" t="inlineStr">
        <is>
          <t>Parkview Homes Pty Ltd</t>
        </is>
      </c>
      <c r="C241" t="inlineStr">
        <is>
          <t>BR</t>
        </is>
      </c>
      <c r="D241" s="9" t="n">
        <v>3.2</v>
      </c>
      <c r="E241">
        <f>SUMIFS('Hire Cycles'!$F$5:$F$1069,'Hire Cycles'!$A$5:$A$1069,A241,'Hire Cycles'!$B$5:$B$1069,C241,'Hire Cycles'!$G$5:$G$1069,1)</f>
        <v>44</v>
      </c>
      <c r="F241">
        <f>SUMIFS('Invoice Lines'!$J$5:$J$2542,'Invoice Lines'!$H$5:$H$2542,A241,'Invoice Lines'!$Q$5:$Q$2542,"HIRE-"&amp;C241,'Invoice Lines'!$M$5:$M$2542,1,'Invoice Lines'!$K$5:$K$2542,"&gt;0")</f>
        <v>44</v>
      </c>
      <c r="G241">
        <f>E241-F241</f>
        <v>0</v>
      </c>
      <c r="H241" s="9">
        <f>ROUND(G241*D241,2)</f>
        <v>0</v>
      </c>
      <c r="I241" s="9">
        <f>SUMIFS('Invoice Lines'!$K$5:$K$2542,'Invoice Lines'!$H$5:$H$2542,A241,'Invoice Lines'!$Q$5:$Q$2542,"HIRE-"&amp;C241,'Invoice Lines'!$M$5:$M$2542,1,'Invoice Lines'!$K$5:$K$2542,"&lt;0")</f>
        <v>0</v>
      </c>
      <c r="J241" t="n">
        <v>0</v>
      </c>
      <c r="K241" t="str">
        <f>IF(G241&gt;0,"Under-billed",IF(G241&lt;0,"Over-billed","Agrees"))</f>
        <v>Agrees</v>
      </c>
      <c r="L241" t="inlineStr"/>
    </row>
    <row r="242">
      <c r="A242" t="inlineStr">
        <is>
          <t>S0197</t>
        </is>
      </c>
      <c r="B242" t="inlineStr">
        <is>
          <t>Parkview Homes Pty Ltd</t>
        </is>
      </c>
      <c r="C242" t="inlineStr">
        <is>
          <t>FP</t>
        </is>
      </c>
      <c r="D242" s="9" t="n">
        <v>4.5</v>
      </c>
      <c r="E242">
        <f>SUMIFS('Hire Cycles'!$F$5:$F$1069,'Hire Cycles'!$A$5:$A$1069,A242,'Hire Cycles'!$B$5:$B$1069,C242,'Hire Cycles'!$G$5:$G$1069,1)</f>
        <v>1042</v>
      </c>
      <c r="F242">
        <f>SUMIFS('Invoice Lines'!$J$5:$J$2542,'Invoice Lines'!$H$5:$H$2542,A242,'Invoice Lines'!$Q$5:$Q$2542,"HIRE-"&amp;C242,'Invoice Lines'!$M$5:$M$2542,1,'Invoice Lines'!$K$5:$K$2542,"&gt;0")</f>
        <v>1080</v>
      </c>
      <c r="G242">
        <f>E242-F242</f>
        <v>-38</v>
      </c>
      <c r="H242" s="9">
        <f>ROUND(G242*D242,2)</f>
        <v>-171</v>
      </c>
      <c r="I242" s="9">
        <f>SUMIFS('Invoice Lines'!$K$5:$K$2542,'Invoice Lines'!$H$5:$H$2542,A242,'Invoice Lines'!$Q$5:$Q$2542,"HIRE-"&amp;C242,'Invoice Lines'!$M$5:$M$2542,1,'Invoice Lines'!$K$5:$K$2542,"&lt;0")</f>
        <v>0</v>
      </c>
      <c r="J242" t="n">
        <v>0</v>
      </c>
      <c r="K242" t="str">
        <f>IF(G242&gt;0,"Under-billed",IF(G242&lt;0,"Over-billed","Agrees"))</f>
        <v>Over-billed</v>
      </c>
      <c r="L242" t="inlineStr"/>
    </row>
    <row r="243">
      <c r="A243" t="inlineStr">
        <is>
          <t>S0198</t>
        </is>
      </c>
      <c r="B243" t="inlineStr">
        <is>
          <t>Bluegum Building Group</t>
        </is>
      </c>
      <c r="C243" t="inlineStr">
        <is>
          <t>FP</t>
        </is>
      </c>
      <c r="D243" s="9" t="n">
        <v>4.5</v>
      </c>
      <c r="E243">
        <f>SUMIFS('Hire Cycles'!$F$5:$F$1069,'Hire Cycles'!$A$5:$A$1069,A243,'Hire Cycles'!$B$5:$B$1069,C243,'Hire Cycles'!$G$5:$G$1069,1)</f>
        <v>0</v>
      </c>
      <c r="F243">
        <f>SUMIFS('Invoice Lines'!$J$5:$J$2542,'Invoice Lines'!$H$5:$H$2542,A243,'Invoice Lines'!$Q$5:$Q$2542,"HIRE-"&amp;C243,'Invoice Lines'!$M$5:$M$2542,1,'Invoice Lines'!$K$5:$K$2542,"&gt;0")</f>
        <v>0</v>
      </c>
      <c r="G243">
        <f>E243-F243</f>
        <v>0</v>
      </c>
      <c r="H243" s="9">
        <f>ROUND(G243*D243,2)</f>
        <v>0</v>
      </c>
      <c r="I243" s="9">
        <f>SUMIFS('Invoice Lines'!$K$5:$K$2542,'Invoice Lines'!$H$5:$H$2542,A243,'Invoice Lines'!$Q$5:$Q$2542,"HIRE-"&amp;C243,'Invoice Lines'!$M$5:$M$2542,1,'Invoice Lines'!$K$5:$K$2542,"&lt;0")</f>
        <v>0</v>
      </c>
      <c r="J243" t="n">
        <v>168</v>
      </c>
      <c r="K243" t="str">
        <f>IF(G243&gt;0,"Under-billed",IF(G243&lt;0,"Over-billed","Agrees"))</f>
        <v>Agrees</v>
      </c>
      <c r="L243" t="inlineStr"/>
    </row>
    <row r="244">
      <c r="A244" t="inlineStr">
        <is>
          <t>S0199</t>
        </is>
      </c>
      <c r="B244" t="inlineStr">
        <is>
          <t>Maribyrnong City Council</t>
        </is>
      </c>
      <c r="C244" t="inlineStr">
        <is>
          <t>FP</t>
        </is>
      </c>
      <c r="D244" s="9" t="n">
        <v>4.5</v>
      </c>
      <c r="E244">
        <f>SUMIFS('Hire Cycles'!$F$5:$F$1069,'Hire Cycles'!$A$5:$A$1069,A244,'Hire Cycles'!$B$5:$B$1069,C244,'Hire Cycles'!$G$5:$G$1069,1)</f>
        <v>88</v>
      </c>
      <c r="F244">
        <f>SUMIFS('Invoice Lines'!$J$5:$J$2542,'Invoice Lines'!$H$5:$H$2542,A244,'Invoice Lines'!$Q$5:$Q$2542,"HIRE-"&amp;C244,'Invoice Lines'!$M$5:$M$2542,1,'Invoice Lines'!$K$5:$K$2542,"&gt;0")</f>
        <v>88</v>
      </c>
      <c r="G244">
        <f>E244-F244</f>
        <v>0</v>
      </c>
      <c r="H244" s="9">
        <f>ROUND(G244*D244,2)</f>
        <v>0</v>
      </c>
      <c r="I244" s="9">
        <f>SUMIFS('Invoice Lines'!$K$5:$K$2542,'Invoice Lines'!$H$5:$H$2542,A244,'Invoice Lines'!$Q$5:$Q$2542,"HIRE-"&amp;C244,'Invoice Lines'!$M$5:$M$2542,1,'Invoice Lines'!$K$5:$K$2542,"&lt;0")</f>
        <v>0</v>
      </c>
      <c r="J244" t="n">
        <v>0</v>
      </c>
      <c r="K244" t="str">
        <f>IF(G244&gt;0,"Under-billed",IF(G244&lt;0,"Over-billed","Agrees"))</f>
        <v>Agrees</v>
      </c>
      <c r="L244" t="inlineStr"/>
    </row>
    <row r="245">
      <c r="A245" t="inlineStr">
        <is>
          <t>S0200</t>
        </is>
      </c>
      <c r="B245" t="inlineStr">
        <is>
          <t>Banksia Projects Pty Ltd</t>
        </is>
      </c>
      <c r="C245" t="inlineStr">
        <is>
          <t>FP</t>
        </is>
      </c>
      <c r="D245" s="9" t="n">
        <v>4.5</v>
      </c>
      <c r="E245">
        <f>SUMIFS('Hire Cycles'!$F$5:$F$1069,'Hire Cycles'!$A$5:$A$1069,A245,'Hire Cycles'!$B$5:$B$1069,C245,'Hire Cycles'!$G$5:$G$1069,1)</f>
        <v>3132</v>
      </c>
      <c r="F245">
        <f>SUMIFS('Invoice Lines'!$J$5:$J$2542,'Invoice Lines'!$H$5:$H$2542,A245,'Invoice Lines'!$Q$5:$Q$2542,"HIRE-"&amp;C245,'Invoice Lines'!$M$5:$M$2542,1,'Invoice Lines'!$K$5:$K$2542,"&gt;0")</f>
        <v>3132</v>
      </c>
      <c r="G245">
        <f>E245-F245</f>
        <v>0</v>
      </c>
      <c r="H245" s="9">
        <f>ROUND(G245*D245,2)</f>
        <v>0</v>
      </c>
      <c r="I245" s="9">
        <f>SUMIFS('Invoice Lines'!$K$5:$K$2542,'Invoice Lines'!$H$5:$H$2542,A245,'Invoice Lines'!$Q$5:$Q$2542,"HIRE-"&amp;C245,'Invoice Lines'!$M$5:$M$2542,1,'Invoice Lines'!$K$5:$K$2542,"&lt;0")</f>
        <v>0</v>
      </c>
      <c r="J245" t="n">
        <v>0</v>
      </c>
      <c r="K245" t="str">
        <f>IF(G245&gt;0,"Under-billed",IF(G245&lt;0,"Over-billed","Agrees"))</f>
        <v>Agrees</v>
      </c>
      <c r="L245" t="inlineStr"/>
    </row>
    <row r="246">
      <c r="A246" t="inlineStr">
        <is>
          <t>S0201</t>
        </is>
      </c>
      <c r="B246" t="inlineStr">
        <is>
          <t>Norfolk Constructions Pty Ltd</t>
        </is>
      </c>
      <c r="C246" t="inlineStr">
        <is>
          <t>FP</t>
        </is>
      </c>
      <c r="D246" s="9" t="n">
        <v>4.5</v>
      </c>
      <c r="E246">
        <f>SUMIFS('Hire Cycles'!$F$5:$F$1069,'Hire Cycles'!$A$5:$A$1069,A246,'Hire Cycles'!$B$5:$B$1069,C246,'Hire Cycles'!$G$5:$G$1069,1)</f>
        <v>22</v>
      </c>
      <c r="F246">
        <f>SUMIFS('Invoice Lines'!$J$5:$J$2542,'Invoice Lines'!$H$5:$H$2542,A246,'Invoice Lines'!$Q$5:$Q$2542,"HIRE-"&amp;C246,'Invoice Lines'!$M$5:$M$2542,1,'Invoice Lines'!$K$5:$K$2542,"&gt;0")</f>
        <v>22</v>
      </c>
      <c r="G246">
        <f>E246-F246</f>
        <v>0</v>
      </c>
      <c r="H246" s="9">
        <f>ROUND(G246*D246,2)</f>
        <v>0</v>
      </c>
      <c r="I246" s="9">
        <f>SUMIFS('Invoice Lines'!$K$5:$K$2542,'Invoice Lines'!$H$5:$H$2542,A246,'Invoice Lines'!$Q$5:$Q$2542,"HIRE-"&amp;C246,'Invoice Lines'!$M$5:$M$2542,1,'Invoice Lines'!$K$5:$K$2542,"&lt;0")</f>
        <v>0</v>
      </c>
      <c r="J246" t="n">
        <v>0</v>
      </c>
      <c r="K246" t="str">
        <f>IF(G246&gt;0,"Under-billed",IF(G246&lt;0,"Over-billed","Agrees"))</f>
        <v>Agrees</v>
      </c>
      <c r="L246" t="inlineStr"/>
    </row>
    <row r="247">
      <c r="A247" t="inlineStr">
        <is>
          <t>S0202</t>
        </is>
      </c>
      <c r="B247" t="inlineStr">
        <is>
          <t>Maribyrnong City Council</t>
        </is>
      </c>
      <c r="C247" t="inlineStr">
        <is>
          <t>BR</t>
        </is>
      </c>
      <c r="D247" s="9" t="n">
        <v>3.2</v>
      </c>
      <c r="E247">
        <f>SUMIFS('Hire Cycles'!$F$5:$F$1069,'Hire Cycles'!$A$5:$A$1069,A247,'Hire Cycles'!$B$5:$B$1069,C247,'Hire Cycles'!$G$5:$G$1069,1)</f>
        <v>288</v>
      </c>
      <c r="F247">
        <f>SUMIFS('Invoice Lines'!$J$5:$J$2542,'Invoice Lines'!$H$5:$H$2542,A247,'Invoice Lines'!$Q$5:$Q$2542,"HIRE-"&amp;C247,'Invoice Lines'!$M$5:$M$2542,1,'Invoice Lines'!$K$5:$K$2542,"&gt;0")</f>
        <v>288</v>
      </c>
      <c r="G247">
        <f>E247-F247</f>
        <v>0</v>
      </c>
      <c r="H247" s="9">
        <f>ROUND(G247*D247,2)</f>
        <v>0</v>
      </c>
      <c r="I247" s="9">
        <f>SUMIFS('Invoice Lines'!$K$5:$K$2542,'Invoice Lines'!$H$5:$H$2542,A247,'Invoice Lines'!$Q$5:$Q$2542,"HIRE-"&amp;C247,'Invoice Lines'!$M$5:$M$2542,1,'Invoice Lines'!$K$5:$K$2542,"&lt;0")</f>
        <v>0</v>
      </c>
      <c r="J247" t="n">
        <v>0</v>
      </c>
      <c r="K247" t="str">
        <f>IF(G247&gt;0,"Under-billed",IF(G247&lt;0,"Over-billed","Agrees"))</f>
        <v>Agrees</v>
      </c>
      <c r="L247" t="inlineStr"/>
    </row>
    <row r="248">
      <c r="A248" t="inlineStr">
        <is>
          <t>S0202</t>
        </is>
      </c>
      <c r="B248" t="inlineStr">
        <is>
          <t>Maribyrnong City Council</t>
        </is>
      </c>
      <c r="C248" t="inlineStr">
        <is>
          <t>FP</t>
        </is>
      </c>
      <c r="D248" s="9" t="n">
        <v>4.5</v>
      </c>
      <c r="E248">
        <f>SUMIFS('Hire Cycles'!$F$5:$F$1069,'Hire Cycles'!$A$5:$A$1069,A248,'Hire Cycles'!$B$5:$B$1069,C248,'Hire Cycles'!$G$5:$G$1069,1)</f>
        <v>672</v>
      </c>
      <c r="F248">
        <f>SUMIFS('Invoice Lines'!$J$5:$J$2542,'Invoice Lines'!$H$5:$H$2542,A248,'Invoice Lines'!$Q$5:$Q$2542,"HIRE-"&amp;C248,'Invoice Lines'!$M$5:$M$2542,1,'Invoice Lines'!$K$5:$K$2542,"&gt;0")</f>
        <v>672</v>
      </c>
      <c r="G248">
        <f>E248-F248</f>
        <v>0</v>
      </c>
      <c r="H248" s="9">
        <f>ROUND(G248*D248,2)</f>
        <v>0</v>
      </c>
      <c r="I248" s="9">
        <f>SUMIFS('Invoice Lines'!$K$5:$K$2542,'Invoice Lines'!$H$5:$H$2542,A248,'Invoice Lines'!$Q$5:$Q$2542,"HIRE-"&amp;C248,'Invoice Lines'!$M$5:$M$2542,1,'Invoice Lines'!$K$5:$K$2542,"&lt;0")</f>
        <v>0</v>
      </c>
      <c r="J248" t="n">
        <v>0</v>
      </c>
      <c r="K248" t="str">
        <f>IF(G248&gt;0,"Under-billed",IF(G248&lt;0,"Over-billed","Agrees"))</f>
        <v>Agrees</v>
      </c>
      <c r="L248" t="inlineStr">
        <is>
          <t>Yes</t>
        </is>
      </c>
    </row>
    <row r="249">
      <c r="A249" t="inlineStr">
        <is>
          <t>S0203</t>
        </is>
      </c>
      <c r="B249" t="inlineStr">
        <is>
          <t>Grace Martin</t>
        </is>
      </c>
      <c r="C249" t="inlineStr">
        <is>
          <t>BR</t>
        </is>
      </c>
      <c r="D249" s="9" t="n">
        <v>3.2</v>
      </c>
      <c r="E249">
        <f>SUMIFS('Hire Cycles'!$F$5:$F$1069,'Hire Cycles'!$A$5:$A$1069,A249,'Hire Cycles'!$B$5:$B$1069,C249,'Hire Cycles'!$G$5:$G$1069,1)</f>
        <v>60</v>
      </c>
      <c r="F249">
        <f>SUMIFS('Invoice Lines'!$J$5:$J$2542,'Invoice Lines'!$H$5:$H$2542,A249,'Invoice Lines'!$Q$5:$Q$2542,"HIRE-"&amp;C249,'Invoice Lines'!$M$5:$M$2542,1,'Invoice Lines'!$K$5:$K$2542,"&gt;0")</f>
        <v>24</v>
      </c>
      <c r="G249">
        <f>E249-F249</f>
        <v>36</v>
      </c>
      <c r="H249" s="9">
        <f>ROUND(G249*D249,2)</f>
        <v>115.2</v>
      </c>
      <c r="I249" s="9">
        <f>SUMIFS('Invoice Lines'!$K$5:$K$2542,'Invoice Lines'!$H$5:$H$2542,A249,'Invoice Lines'!$Q$5:$Q$2542,"HIRE-"&amp;C249,'Invoice Lines'!$M$5:$M$2542,1,'Invoice Lines'!$K$5:$K$2542,"&lt;0")</f>
        <v>0</v>
      </c>
      <c r="J249" t="n">
        <v>0</v>
      </c>
      <c r="K249" t="str">
        <f>IF(G249&gt;0,"Under-billed",IF(G249&lt;0,"Over-billed","Agrees"))</f>
        <v>Under-billed</v>
      </c>
      <c r="L249" t="inlineStr"/>
    </row>
    <row r="250">
      <c r="A250" t="inlineStr">
        <is>
          <t>S0203</t>
        </is>
      </c>
      <c r="B250" t="inlineStr">
        <is>
          <t>Grace Martin</t>
        </is>
      </c>
      <c r="C250" t="inlineStr">
        <is>
          <t>FP</t>
        </is>
      </c>
      <c r="D250" s="9" t="n">
        <v>4.5</v>
      </c>
      <c r="E250">
        <f>SUMIFS('Hire Cycles'!$F$5:$F$1069,'Hire Cycles'!$A$5:$A$1069,A250,'Hire Cycles'!$B$5:$B$1069,C250,'Hire Cycles'!$G$5:$G$1069,1)</f>
        <v>280</v>
      </c>
      <c r="F250">
        <f>SUMIFS('Invoice Lines'!$J$5:$J$2542,'Invoice Lines'!$H$5:$H$2542,A250,'Invoice Lines'!$Q$5:$Q$2542,"HIRE-"&amp;C250,'Invoice Lines'!$M$5:$M$2542,1,'Invoice Lines'!$K$5:$K$2542,"&gt;0")</f>
        <v>168</v>
      </c>
      <c r="G250">
        <f>E250-F250</f>
        <v>112</v>
      </c>
      <c r="H250" s="9">
        <f>ROUND(G250*D250,2)</f>
        <v>504</v>
      </c>
      <c r="I250" s="9">
        <f>SUMIFS('Invoice Lines'!$K$5:$K$2542,'Invoice Lines'!$H$5:$H$2542,A250,'Invoice Lines'!$Q$5:$Q$2542,"HIRE-"&amp;C250,'Invoice Lines'!$M$5:$M$2542,1,'Invoice Lines'!$K$5:$K$2542,"&lt;0")</f>
        <v>0</v>
      </c>
      <c r="J250" t="n">
        <v>0</v>
      </c>
      <c r="K250" t="str">
        <f>IF(G250&gt;0,"Under-billed",IF(G250&lt;0,"Over-billed","Agrees"))</f>
        <v>Under-billed</v>
      </c>
      <c r="L250" t="inlineStr"/>
    </row>
    <row r="251">
      <c r="A251" t="inlineStr">
        <is>
          <t>S0204</t>
        </is>
      </c>
      <c r="B251" t="inlineStr">
        <is>
          <t>Parkview Homes Pty Ltd</t>
        </is>
      </c>
      <c r="C251" t="inlineStr">
        <is>
          <t>FP</t>
        </is>
      </c>
      <c r="D251" s="9" t="n">
        <v>4.5</v>
      </c>
      <c r="E251">
        <f>SUMIFS('Hire Cycles'!$F$5:$F$1069,'Hire Cycles'!$A$5:$A$1069,A251,'Hire Cycles'!$B$5:$B$1069,C251,'Hire Cycles'!$G$5:$G$1069,1)</f>
        <v>740</v>
      </c>
      <c r="F251">
        <f>SUMIFS('Invoice Lines'!$J$5:$J$2542,'Invoice Lines'!$H$5:$H$2542,A251,'Invoice Lines'!$Q$5:$Q$2542,"HIRE-"&amp;C251,'Invoice Lines'!$M$5:$M$2542,1,'Invoice Lines'!$K$5:$K$2542,"&gt;0")</f>
        <v>740</v>
      </c>
      <c r="G251">
        <f>E251-F251</f>
        <v>0</v>
      </c>
      <c r="H251" s="9">
        <f>ROUND(G251*D251,2)</f>
        <v>0</v>
      </c>
      <c r="I251" s="9">
        <f>SUMIFS('Invoice Lines'!$K$5:$K$2542,'Invoice Lines'!$H$5:$H$2542,A251,'Invoice Lines'!$Q$5:$Q$2542,"HIRE-"&amp;C251,'Invoice Lines'!$M$5:$M$2542,1,'Invoice Lines'!$K$5:$K$2542,"&lt;0")</f>
        <v>0</v>
      </c>
      <c r="J251" t="n">
        <v>0</v>
      </c>
      <c r="K251" t="str">
        <f>IF(G251&gt;0,"Under-billed",IF(G251&lt;0,"Over-billed","Agrees"))</f>
        <v>Agrees</v>
      </c>
      <c r="L251" t="inlineStr"/>
    </row>
    <row r="252">
      <c r="A252" t="inlineStr">
        <is>
          <t>S0205</t>
        </is>
      </c>
      <c r="B252" t="inlineStr">
        <is>
          <t>Silverleaf Building Group Pty Ltd</t>
        </is>
      </c>
      <c r="C252" t="inlineStr">
        <is>
          <t>FP</t>
        </is>
      </c>
      <c r="D252" s="9" t="n">
        <v>4.5</v>
      </c>
      <c r="E252">
        <f>SUMIFS('Hire Cycles'!$F$5:$F$1069,'Hire Cycles'!$A$5:$A$1069,A252,'Hire Cycles'!$B$5:$B$1069,C252,'Hire Cycles'!$G$5:$G$1069,1)</f>
        <v>2210</v>
      </c>
      <c r="F252">
        <f>SUMIFS('Invoice Lines'!$J$5:$J$2542,'Invoice Lines'!$H$5:$H$2542,A252,'Invoice Lines'!$Q$5:$Q$2542,"HIRE-"&amp;C252,'Invoice Lines'!$M$5:$M$2542,1,'Invoice Lines'!$K$5:$K$2542,"&gt;0")</f>
        <v>1854</v>
      </c>
      <c r="G252">
        <f>E252-F252</f>
        <v>356</v>
      </c>
      <c r="H252" s="9">
        <f>ROUND(G252*D252,2)</f>
        <v>1602</v>
      </c>
      <c r="I252" s="9">
        <f>SUMIFS('Invoice Lines'!$K$5:$K$2542,'Invoice Lines'!$H$5:$H$2542,A252,'Invoice Lines'!$Q$5:$Q$2542,"HIRE-"&amp;C252,'Invoice Lines'!$M$5:$M$2542,1,'Invoice Lines'!$K$5:$K$2542,"&lt;0")</f>
        <v>0</v>
      </c>
      <c r="J252" t="n">
        <v>0</v>
      </c>
      <c r="K252" t="str">
        <f>IF(G252&gt;0,"Under-billed",IF(G252&lt;0,"Over-billed","Agrees"))</f>
        <v>Under-billed</v>
      </c>
      <c r="L252" t="inlineStr"/>
    </row>
    <row r="253">
      <c r="A253" t="inlineStr">
        <is>
          <t>S0206</t>
        </is>
      </c>
      <c r="B253" t="inlineStr">
        <is>
          <t>Westside Productions</t>
        </is>
      </c>
      <c r="C253" t="inlineStr">
        <is>
          <t>FP</t>
        </is>
      </c>
      <c r="D253" s="9" t="n">
        <v>4.5</v>
      </c>
      <c r="E253">
        <f>SUMIFS('Hire Cycles'!$F$5:$F$1069,'Hire Cycles'!$A$5:$A$1069,A253,'Hire Cycles'!$B$5:$B$1069,C253,'Hire Cycles'!$G$5:$G$1069,1)</f>
        <v>356</v>
      </c>
      <c r="F253">
        <f>SUMIFS('Invoice Lines'!$J$5:$J$2542,'Invoice Lines'!$H$5:$H$2542,A253,'Invoice Lines'!$Q$5:$Q$2542,"HIRE-"&amp;C253,'Invoice Lines'!$M$5:$M$2542,1,'Invoice Lines'!$K$5:$K$2542,"&gt;0")</f>
        <v>356</v>
      </c>
      <c r="G253">
        <f>E253-F253</f>
        <v>0</v>
      </c>
      <c r="H253" s="9">
        <f>ROUND(G253*D253,2)</f>
        <v>0</v>
      </c>
      <c r="I253" s="9">
        <f>SUMIFS('Invoice Lines'!$K$5:$K$2542,'Invoice Lines'!$H$5:$H$2542,A253,'Invoice Lines'!$Q$5:$Q$2542,"HIRE-"&amp;C253,'Invoice Lines'!$M$5:$M$2542,1,'Invoice Lines'!$K$5:$K$2542,"&lt;0")</f>
        <v>0</v>
      </c>
      <c r="J253" t="n">
        <v>0</v>
      </c>
      <c r="K253" t="str">
        <f>IF(G253&gt;0,"Under-billed",IF(G253&lt;0,"Over-billed","Agrees"))</f>
        <v>Agrees</v>
      </c>
      <c r="L253" t="inlineStr"/>
    </row>
    <row r="254">
      <c r="A254" t="inlineStr">
        <is>
          <t>S0207</t>
        </is>
      </c>
      <c r="B254" t="inlineStr">
        <is>
          <t>Granite Projects Pty Ltd</t>
        </is>
      </c>
      <c r="C254" t="inlineStr">
        <is>
          <t>FP</t>
        </is>
      </c>
      <c r="D254" s="9" t="n">
        <v>4.5</v>
      </c>
      <c r="E254">
        <f>SUMIFS('Hire Cycles'!$F$5:$F$1069,'Hire Cycles'!$A$5:$A$1069,A254,'Hire Cycles'!$B$5:$B$1069,C254,'Hire Cycles'!$G$5:$G$1069,1)</f>
        <v>490</v>
      </c>
      <c r="F254">
        <f>SUMIFS('Invoice Lines'!$J$5:$J$2542,'Invoice Lines'!$H$5:$H$2542,A254,'Invoice Lines'!$Q$5:$Q$2542,"HIRE-"&amp;C254,'Invoice Lines'!$M$5:$M$2542,1,'Invoice Lines'!$K$5:$K$2542,"&gt;0")</f>
        <v>490</v>
      </c>
      <c r="G254">
        <f>E254-F254</f>
        <v>0</v>
      </c>
      <c r="H254" s="9">
        <f>ROUND(G254*D254,2)</f>
        <v>0</v>
      </c>
      <c r="I254" s="9">
        <f>SUMIFS('Invoice Lines'!$K$5:$K$2542,'Invoice Lines'!$H$5:$H$2542,A254,'Invoice Lines'!$Q$5:$Q$2542,"HIRE-"&amp;C254,'Invoice Lines'!$M$5:$M$2542,1,'Invoice Lines'!$K$5:$K$2542,"&lt;0")</f>
        <v>0</v>
      </c>
      <c r="J254" t="n">
        <v>0</v>
      </c>
      <c r="K254" t="str">
        <f>IF(G254&gt;0,"Under-billed",IF(G254&lt;0,"Over-billed","Agrees"))</f>
        <v>Agrees</v>
      </c>
      <c r="L254" t="inlineStr"/>
    </row>
    <row r="255">
      <c r="A255" t="inlineStr">
        <is>
          <t>S0208</t>
        </is>
      </c>
      <c r="B255" t="inlineStr">
        <is>
          <t>Westside Strata Management Pty Ltd</t>
        </is>
      </c>
      <c r="C255" t="inlineStr">
        <is>
          <t>FP</t>
        </is>
      </c>
      <c r="D255" s="9" t="n">
        <v>4.5</v>
      </c>
      <c r="E255">
        <f>SUMIFS('Hire Cycles'!$F$5:$F$1069,'Hire Cycles'!$A$5:$A$1069,A255,'Hire Cycles'!$B$5:$B$1069,C255,'Hire Cycles'!$G$5:$G$1069,1)</f>
        <v>648</v>
      </c>
      <c r="F255">
        <f>SUMIFS('Invoice Lines'!$J$5:$J$2542,'Invoice Lines'!$H$5:$H$2542,A255,'Invoice Lines'!$Q$5:$Q$2542,"HIRE-"&amp;C255,'Invoice Lines'!$M$5:$M$2542,1,'Invoice Lines'!$K$5:$K$2542,"&gt;0")</f>
        <v>648</v>
      </c>
      <c r="G255">
        <f>E255-F255</f>
        <v>0</v>
      </c>
      <c r="H255" s="9">
        <f>ROUND(G255*D255,2)</f>
        <v>0</v>
      </c>
      <c r="I255" s="9">
        <f>SUMIFS('Invoice Lines'!$K$5:$K$2542,'Invoice Lines'!$H$5:$H$2542,A255,'Invoice Lines'!$Q$5:$Q$2542,"HIRE-"&amp;C255,'Invoice Lines'!$M$5:$M$2542,1,'Invoice Lines'!$K$5:$K$2542,"&lt;0")</f>
        <v>0</v>
      </c>
      <c r="J255" t="n">
        <v>0</v>
      </c>
      <c r="K255" t="str">
        <f>IF(G255&gt;0,"Under-billed",IF(G255&lt;0,"Over-billed","Agrees"))</f>
        <v>Agrees</v>
      </c>
      <c r="L255" t="inlineStr"/>
    </row>
    <row r="256">
      <c r="A256" t="inlineStr">
        <is>
          <t>S0209</t>
        </is>
      </c>
      <c r="B256" t="inlineStr">
        <is>
          <t>Granite Developments Pty Ltd</t>
        </is>
      </c>
      <c r="C256" t="inlineStr">
        <is>
          <t>BR</t>
        </is>
      </c>
      <c r="D256" s="9" t="n">
        <v>3.2</v>
      </c>
      <c r="E256">
        <f>SUMIFS('Hire Cycles'!$F$5:$F$1069,'Hire Cycles'!$A$5:$A$1069,A256,'Hire Cycles'!$B$5:$B$1069,C256,'Hire Cycles'!$G$5:$G$1069,1)</f>
        <v>75</v>
      </c>
      <c r="F256">
        <f>SUMIFS('Invoice Lines'!$J$5:$J$2542,'Invoice Lines'!$H$5:$H$2542,A256,'Invoice Lines'!$Q$5:$Q$2542,"HIRE-"&amp;C256,'Invoice Lines'!$M$5:$M$2542,1,'Invoice Lines'!$K$5:$K$2542,"&gt;0")</f>
        <v>75</v>
      </c>
      <c r="G256">
        <f>E256-F256</f>
        <v>0</v>
      </c>
      <c r="H256" s="9">
        <f>ROUND(G256*D256,2)</f>
        <v>0</v>
      </c>
      <c r="I256" s="9">
        <f>SUMIFS('Invoice Lines'!$K$5:$K$2542,'Invoice Lines'!$H$5:$H$2542,A256,'Invoice Lines'!$Q$5:$Q$2542,"HIRE-"&amp;C256,'Invoice Lines'!$M$5:$M$2542,1,'Invoice Lines'!$K$5:$K$2542,"&lt;0")</f>
        <v>0</v>
      </c>
      <c r="J256" t="n">
        <v>0</v>
      </c>
      <c r="K256" t="str">
        <f>IF(G256&gt;0,"Under-billed",IF(G256&lt;0,"Over-billed","Agrees"))</f>
        <v>Agrees</v>
      </c>
      <c r="L256" t="inlineStr"/>
    </row>
    <row r="257">
      <c r="A257" t="inlineStr">
        <is>
          <t>S0209</t>
        </is>
      </c>
      <c r="B257" t="inlineStr">
        <is>
          <t>Granite Developments Pty Ltd</t>
        </is>
      </c>
      <c r="C257" t="inlineStr">
        <is>
          <t>FP</t>
        </is>
      </c>
      <c r="D257" s="9" t="n">
        <v>4.5</v>
      </c>
      <c r="E257">
        <f>SUMIFS('Hire Cycles'!$F$5:$F$1069,'Hire Cycles'!$A$5:$A$1069,A257,'Hire Cycles'!$B$5:$B$1069,C257,'Hire Cycles'!$G$5:$G$1069,1)</f>
        <v>500</v>
      </c>
      <c r="F257">
        <f>SUMIFS('Invoice Lines'!$J$5:$J$2542,'Invoice Lines'!$H$5:$H$2542,A257,'Invoice Lines'!$Q$5:$Q$2542,"HIRE-"&amp;C257,'Invoice Lines'!$M$5:$M$2542,1,'Invoice Lines'!$K$5:$K$2542,"&gt;0")</f>
        <v>500</v>
      </c>
      <c r="G257">
        <f>E257-F257</f>
        <v>0</v>
      </c>
      <c r="H257" s="9">
        <f>ROUND(G257*D257,2)</f>
        <v>0</v>
      </c>
      <c r="I257" s="9">
        <f>SUMIFS('Invoice Lines'!$K$5:$K$2542,'Invoice Lines'!$H$5:$H$2542,A257,'Invoice Lines'!$Q$5:$Q$2542,"HIRE-"&amp;C257,'Invoice Lines'!$M$5:$M$2542,1,'Invoice Lines'!$K$5:$K$2542,"&lt;0")</f>
        <v>0</v>
      </c>
      <c r="J257" t="n">
        <v>0</v>
      </c>
      <c r="K257" t="str">
        <f>IF(G257&gt;0,"Under-billed",IF(G257&lt;0,"Over-billed","Agrees"))</f>
        <v>Agrees</v>
      </c>
      <c r="L257" t="inlineStr"/>
    </row>
    <row r="258">
      <c r="A258" t="inlineStr">
        <is>
          <t>S0210</t>
        </is>
      </c>
      <c r="B258" t="inlineStr">
        <is>
          <t>Highpoint Projects</t>
        </is>
      </c>
      <c r="C258" t="inlineStr">
        <is>
          <t>FP</t>
        </is>
      </c>
      <c r="D258" s="9" t="n">
        <v>4.5</v>
      </c>
      <c r="E258">
        <f>SUMIFS('Hire Cycles'!$F$5:$F$1069,'Hire Cycles'!$A$5:$A$1069,A258,'Hire Cycles'!$B$5:$B$1069,C258,'Hire Cycles'!$G$5:$G$1069,1)</f>
        <v>196</v>
      </c>
      <c r="F258">
        <f>SUMIFS('Invoice Lines'!$J$5:$J$2542,'Invoice Lines'!$H$5:$H$2542,A258,'Invoice Lines'!$Q$5:$Q$2542,"HIRE-"&amp;C258,'Invoice Lines'!$M$5:$M$2542,1,'Invoice Lines'!$K$5:$K$2542,"&gt;0")</f>
        <v>196</v>
      </c>
      <c r="G258">
        <f>E258-F258</f>
        <v>0</v>
      </c>
      <c r="H258" s="9">
        <f>ROUND(G258*D258,2)</f>
        <v>0</v>
      </c>
      <c r="I258" s="9">
        <f>SUMIFS('Invoice Lines'!$K$5:$K$2542,'Invoice Lines'!$H$5:$H$2542,A258,'Invoice Lines'!$Q$5:$Q$2542,"HIRE-"&amp;C258,'Invoice Lines'!$M$5:$M$2542,1,'Invoice Lines'!$K$5:$K$2542,"&lt;0")</f>
        <v>0</v>
      </c>
      <c r="J258" t="n">
        <v>0</v>
      </c>
      <c r="K258" t="str">
        <f>IF(G258&gt;0,"Under-billed",IF(G258&lt;0,"Over-billed","Agrees"))</f>
        <v>Agrees</v>
      </c>
      <c r="L258" t="inlineStr"/>
    </row>
    <row r="259">
      <c r="A259" t="inlineStr">
        <is>
          <t>S0211</t>
        </is>
      </c>
      <c r="B259" t="inlineStr">
        <is>
          <t>Summit Homes Pty Ltd</t>
        </is>
      </c>
      <c r="C259" t="inlineStr">
        <is>
          <t>BR</t>
        </is>
      </c>
      <c r="D259" s="9" t="n">
        <v>3.2</v>
      </c>
      <c r="E259">
        <f>SUMIFS('Hire Cycles'!$F$5:$F$1069,'Hire Cycles'!$A$5:$A$1069,A259,'Hire Cycles'!$B$5:$B$1069,C259,'Hire Cycles'!$G$5:$G$1069,1)</f>
        <v>105</v>
      </c>
      <c r="F259">
        <f>SUMIFS('Invoice Lines'!$J$5:$J$2542,'Invoice Lines'!$H$5:$H$2542,A259,'Invoice Lines'!$Q$5:$Q$2542,"HIRE-"&amp;C259,'Invoice Lines'!$M$5:$M$2542,1,'Invoice Lines'!$K$5:$K$2542,"&gt;0")</f>
        <v>105</v>
      </c>
      <c r="G259">
        <f>E259-F259</f>
        <v>0</v>
      </c>
      <c r="H259" s="9">
        <f>ROUND(G259*D259,2)</f>
        <v>0</v>
      </c>
      <c r="I259" s="9">
        <f>SUMIFS('Invoice Lines'!$K$5:$K$2542,'Invoice Lines'!$H$5:$H$2542,A259,'Invoice Lines'!$Q$5:$Q$2542,"HIRE-"&amp;C259,'Invoice Lines'!$M$5:$M$2542,1,'Invoice Lines'!$K$5:$K$2542,"&lt;0")</f>
        <v>0</v>
      </c>
      <c r="J259" t="n">
        <v>0</v>
      </c>
      <c r="K259" t="str">
        <f>IF(G259&gt;0,"Under-billed",IF(G259&lt;0,"Over-billed","Agrees"))</f>
        <v>Agrees</v>
      </c>
      <c r="L259" t="inlineStr"/>
    </row>
    <row r="260">
      <c r="A260" t="inlineStr">
        <is>
          <t>S0211</t>
        </is>
      </c>
      <c r="B260" t="inlineStr">
        <is>
          <t>Summit Homes Pty Ltd</t>
        </is>
      </c>
      <c r="C260" t="inlineStr">
        <is>
          <t>FP</t>
        </is>
      </c>
      <c r="D260" s="9" t="n">
        <v>4.5</v>
      </c>
      <c r="E260">
        <f>SUMIFS('Hire Cycles'!$F$5:$F$1069,'Hire Cycles'!$A$5:$A$1069,A260,'Hire Cycles'!$B$5:$B$1069,C260,'Hire Cycles'!$G$5:$G$1069,1)</f>
        <v>125</v>
      </c>
      <c r="F260">
        <f>SUMIFS('Invoice Lines'!$J$5:$J$2542,'Invoice Lines'!$H$5:$H$2542,A260,'Invoice Lines'!$Q$5:$Q$2542,"HIRE-"&amp;C260,'Invoice Lines'!$M$5:$M$2542,1,'Invoice Lines'!$K$5:$K$2542,"&gt;0")</f>
        <v>125</v>
      </c>
      <c r="G260">
        <f>E260-F260</f>
        <v>0</v>
      </c>
      <c r="H260" s="9">
        <f>ROUND(G260*D260,2)</f>
        <v>0</v>
      </c>
      <c r="I260" s="9">
        <f>SUMIFS('Invoice Lines'!$K$5:$K$2542,'Invoice Lines'!$H$5:$H$2542,A260,'Invoice Lines'!$Q$5:$Q$2542,"HIRE-"&amp;C260,'Invoice Lines'!$M$5:$M$2542,1,'Invoice Lines'!$K$5:$K$2542,"&lt;0")</f>
        <v>0</v>
      </c>
      <c r="J260" t="n">
        <v>0</v>
      </c>
      <c r="K260" t="str">
        <f>IF(G260&gt;0,"Under-billed",IF(G260&lt;0,"Over-billed","Agrees"))</f>
        <v>Agrees</v>
      </c>
      <c r="L260" t="inlineStr"/>
    </row>
    <row r="261">
      <c r="A261" t="inlineStr">
        <is>
          <t>S0212</t>
        </is>
      </c>
      <c r="B261" t="inlineStr">
        <is>
          <t>Mei Ali</t>
        </is>
      </c>
      <c r="C261" t="inlineStr">
        <is>
          <t>BR</t>
        </is>
      </c>
      <c r="D261" s="9" t="n">
        <v>3.2</v>
      </c>
      <c r="E261">
        <f>SUMIFS('Hire Cycles'!$F$5:$F$1069,'Hire Cycles'!$A$5:$A$1069,A261,'Hire Cycles'!$B$5:$B$1069,C261,'Hire Cycles'!$G$5:$G$1069,1)</f>
        <v>24</v>
      </c>
      <c r="F261">
        <f>SUMIFS('Invoice Lines'!$J$5:$J$2542,'Invoice Lines'!$H$5:$H$2542,A261,'Invoice Lines'!$Q$5:$Q$2542,"HIRE-"&amp;C261,'Invoice Lines'!$M$5:$M$2542,1,'Invoice Lines'!$K$5:$K$2542,"&gt;0")</f>
        <v>24</v>
      </c>
      <c r="G261">
        <f>E261-F261</f>
        <v>0</v>
      </c>
      <c r="H261" s="9">
        <f>ROUND(G261*D261,2)</f>
        <v>0</v>
      </c>
      <c r="I261" s="9">
        <f>SUMIFS('Invoice Lines'!$K$5:$K$2542,'Invoice Lines'!$H$5:$H$2542,A261,'Invoice Lines'!$Q$5:$Q$2542,"HIRE-"&amp;C261,'Invoice Lines'!$M$5:$M$2542,1,'Invoice Lines'!$K$5:$K$2542,"&lt;0")</f>
        <v>0</v>
      </c>
      <c r="J261" t="n">
        <v>0</v>
      </c>
      <c r="K261" t="str">
        <f>IF(G261&gt;0,"Under-billed",IF(G261&lt;0,"Over-billed","Agrees"))</f>
        <v>Agrees</v>
      </c>
      <c r="L261" t="inlineStr"/>
    </row>
    <row r="262">
      <c r="A262" t="inlineStr">
        <is>
          <t>S0212</t>
        </is>
      </c>
      <c r="B262" t="inlineStr">
        <is>
          <t>Mei Ali</t>
        </is>
      </c>
      <c r="C262" t="inlineStr">
        <is>
          <t>FP</t>
        </is>
      </c>
      <c r="D262" s="9" t="n">
        <v>4.5</v>
      </c>
      <c r="E262">
        <f>SUMIFS('Hire Cycles'!$F$5:$F$1069,'Hire Cycles'!$A$5:$A$1069,A262,'Hire Cycles'!$B$5:$B$1069,C262,'Hire Cycles'!$G$5:$G$1069,1)</f>
        <v>372</v>
      </c>
      <c r="F262">
        <f>SUMIFS('Invoice Lines'!$J$5:$J$2542,'Invoice Lines'!$H$5:$H$2542,A262,'Invoice Lines'!$Q$5:$Q$2542,"HIRE-"&amp;C262,'Invoice Lines'!$M$5:$M$2542,1,'Invoice Lines'!$K$5:$K$2542,"&gt;0")</f>
        <v>372</v>
      </c>
      <c r="G262">
        <f>E262-F262</f>
        <v>0</v>
      </c>
      <c r="H262" s="9">
        <f>ROUND(G262*D262,2)</f>
        <v>0</v>
      </c>
      <c r="I262" s="9">
        <f>SUMIFS('Invoice Lines'!$K$5:$K$2542,'Invoice Lines'!$H$5:$H$2542,A262,'Invoice Lines'!$Q$5:$Q$2542,"HIRE-"&amp;C262,'Invoice Lines'!$M$5:$M$2542,1,'Invoice Lines'!$K$5:$K$2542,"&lt;0")</f>
        <v>-683.93</v>
      </c>
      <c r="J262" t="n">
        <v>0</v>
      </c>
      <c r="K262" t="str">
        <f>IF(G262&gt;0,"Under-billed",IF(G262&lt;0,"Over-billed","Agrees"))</f>
        <v>Agrees</v>
      </c>
      <c r="L262" t="inlineStr"/>
    </row>
    <row r="263">
      <c r="A263" t="inlineStr">
        <is>
          <t>S0213</t>
        </is>
      </c>
      <c r="B263" t="inlineStr">
        <is>
          <t>Oakridge Festivals</t>
        </is>
      </c>
      <c r="C263" t="inlineStr">
        <is>
          <t>FP</t>
        </is>
      </c>
      <c r="D263" s="9" t="n">
        <v>4.5</v>
      </c>
      <c r="E263">
        <f>SUMIFS('Hire Cycles'!$F$5:$F$1069,'Hire Cycles'!$A$5:$A$1069,A263,'Hire Cycles'!$B$5:$B$1069,C263,'Hire Cycles'!$G$5:$G$1069,1)</f>
        <v>312</v>
      </c>
      <c r="F263">
        <f>SUMIFS('Invoice Lines'!$J$5:$J$2542,'Invoice Lines'!$H$5:$H$2542,A263,'Invoice Lines'!$Q$5:$Q$2542,"HIRE-"&amp;C263,'Invoice Lines'!$M$5:$M$2542,1,'Invoice Lines'!$K$5:$K$2542,"&gt;0")</f>
        <v>0</v>
      </c>
      <c r="G263">
        <f>E263-F263</f>
        <v>312</v>
      </c>
      <c r="H263" s="9">
        <f>ROUND(G263*D263,2)</f>
        <v>1404</v>
      </c>
      <c r="I263" s="9">
        <f>SUMIFS('Invoice Lines'!$K$5:$K$2542,'Invoice Lines'!$H$5:$H$2542,A263,'Invoice Lines'!$Q$5:$Q$2542,"HIRE-"&amp;C263,'Invoice Lines'!$M$5:$M$2542,1,'Invoice Lines'!$K$5:$K$2542,"&lt;0")</f>
        <v>0</v>
      </c>
      <c r="J263" t="n">
        <v>12</v>
      </c>
      <c r="K263" t="str">
        <f>IF(G263&gt;0,"Under-billed",IF(G263&lt;0,"Over-billed","Agrees"))</f>
        <v>Under-billed</v>
      </c>
      <c r="L263" t="inlineStr"/>
    </row>
    <row r="264">
      <c r="A264" t="inlineStr">
        <is>
          <t>S0214</t>
        </is>
      </c>
      <c r="B264" t="inlineStr">
        <is>
          <t>Bluegum Construction Pty Ltd</t>
        </is>
      </c>
      <c r="C264" t="inlineStr">
        <is>
          <t>FP</t>
        </is>
      </c>
      <c r="D264" s="9" t="n">
        <v>4.5</v>
      </c>
      <c r="E264">
        <f>SUMIFS('Hire Cycles'!$F$5:$F$1069,'Hire Cycles'!$A$5:$A$1069,A264,'Hire Cycles'!$B$5:$B$1069,C264,'Hire Cycles'!$G$5:$G$1069,1)</f>
        <v>1029</v>
      </c>
      <c r="F264">
        <f>SUMIFS('Invoice Lines'!$J$5:$J$2542,'Invoice Lines'!$H$5:$H$2542,A264,'Invoice Lines'!$Q$5:$Q$2542,"HIRE-"&amp;C264,'Invoice Lines'!$M$5:$M$2542,1,'Invoice Lines'!$K$5:$K$2542,"&gt;0")</f>
        <v>1029</v>
      </c>
      <c r="G264">
        <f>E264-F264</f>
        <v>0</v>
      </c>
      <c r="H264" s="9">
        <f>ROUND(G264*D264,2)</f>
        <v>0</v>
      </c>
      <c r="I264" s="9">
        <f>SUMIFS('Invoice Lines'!$K$5:$K$2542,'Invoice Lines'!$H$5:$H$2542,A264,'Invoice Lines'!$Q$5:$Q$2542,"HIRE-"&amp;C264,'Invoice Lines'!$M$5:$M$2542,1,'Invoice Lines'!$K$5:$K$2542,"&lt;0")</f>
        <v>0</v>
      </c>
      <c r="J264" t="n">
        <v>0</v>
      </c>
      <c r="K264" t="str">
        <f>IF(G264&gt;0,"Under-billed",IF(G264&lt;0,"Over-billed","Agrees"))</f>
        <v>Agrees</v>
      </c>
      <c r="L264" t="inlineStr"/>
    </row>
    <row r="265">
      <c r="A265" t="inlineStr">
        <is>
          <t>S0215</t>
        </is>
      </c>
      <c r="B265" t="inlineStr">
        <is>
          <t>Summit Building Group</t>
        </is>
      </c>
      <c r="C265" t="inlineStr">
        <is>
          <t>BR</t>
        </is>
      </c>
      <c r="D265" s="9" t="n">
        <v>3.2</v>
      </c>
      <c r="E265">
        <f>SUMIFS('Hire Cycles'!$F$5:$F$1069,'Hire Cycles'!$A$5:$A$1069,A265,'Hire Cycles'!$B$5:$B$1069,C265,'Hire Cycles'!$G$5:$G$1069,1)</f>
        <v>468</v>
      </c>
      <c r="F265">
        <f>SUMIFS('Invoice Lines'!$J$5:$J$2542,'Invoice Lines'!$H$5:$H$2542,A265,'Invoice Lines'!$Q$5:$Q$2542,"HIRE-"&amp;C265,'Invoice Lines'!$M$5:$M$2542,1,'Invoice Lines'!$K$5:$K$2542,"&gt;0")</f>
        <v>396</v>
      </c>
      <c r="G265">
        <f>E265-F265</f>
        <v>72</v>
      </c>
      <c r="H265" s="9">
        <f>ROUND(G265*D265,2)</f>
        <v>230.4</v>
      </c>
      <c r="I265" s="9">
        <f>SUMIFS('Invoice Lines'!$K$5:$K$2542,'Invoice Lines'!$H$5:$H$2542,A265,'Invoice Lines'!$Q$5:$Q$2542,"HIRE-"&amp;C265,'Invoice Lines'!$M$5:$M$2542,1,'Invoice Lines'!$K$5:$K$2542,"&lt;0")</f>
        <v>0</v>
      </c>
      <c r="J265" t="n">
        <v>0</v>
      </c>
      <c r="K265" t="str">
        <f>IF(G265&gt;0,"Under-billed",IF(G265&lt;0,"Over-billed","Agrees"))</f>
        <v>Under-billed</v>
      </c>
      <c r="L265" t="inlineStr"/>
    </row>
    <row r="266">
      <c r="A266" t="inlineStr">
        <is>
          <t>S0215</t>
        </is>
      </c>
      <c r="B266" t="inlineStr">
        <is>
          <t>Summit Building Group</t>
        </is>
      </c>
      <c r="C266" t="inlineStr">
        <is>
          <t>FP</t>
        </is>
      </c>
      <c r="D266" s="9" t="n">
        <v>4.5</v>
      </c>
      <c r="E266">
        <f>SUMIFS('Hire Cycles'!$F$5:$F$1069,'Hire Cycles'!$A$5:$A$1069,A266,'Hire Cycles'!$B$5:$B$1069,C266,'Hire Cycles'!$G$5:$G$1069,1)</f>
        <v>2366</v>
      </c>
      <c r="F266">
        <f>SUMIFS('Invoice Lines'!$J$5:$J$2542,'Invoice Lines'!$H$5:$H$2542,A266,'Invoice Lines'!$Q$5:$Q$2542,"HIRE-"&amp;C266,'Invoice Lines'!$M$5:$M$2542,1,'Invoice Lines'!$K$5:$K$2542,"&gt;0")</f>
        <v>2002</v>
      </c>
      <c r="G266">
        <f>E266-F266</f>
        <v>364</v>
      </c>
      <c r="H266" s="9">
        <f>ROUND(G266*D266,2)</f>
        <v>1638</v>
      </c>
      <c r="I266" s="9">
        <f>SUMIFS('Invoice Lines'!$K$5:$K$2542,'Invoice Lines'!$H$5:$H$2542,A266,'Invoice Lines'!$Q$5:$Q$2542,"HIRE-"&amp;C266,'Invoice Lines'!$M$5:$M$2542,1,'Invoice Lines'!$K$5:$K$2542,"&lt;0")</f>
        <v>0</v>
      </c>
      <c r="J266" t="n">
        <v>0</v>
      </c>
      <c r="K266" t="str">
        <f>IF(G266&gt;0,"Under-billed",IF(G266&lt;0,"Over-billed","Agrees"))</f>
        <v>Under-billed</v>
      </c>
      <c r="L266" t="inlineStr"/>
    </row>
    <row r="267">
      <c r="A267" t="inlineStr">
        <is>
          <t>S0216</t>
        </is>
      </c>
      <c r="B267" t="inlineStr">
        <is>
          <t>Ironbark Constructions</t>
        </is>
      </c>
      <c r="C267" t="inlineStr">
        <is>
          <t>FP</t>
        </is>
      </c>
      <c r="D267" s="9" t="n">
        <v>4.5</v>
      </c>
      <c r="E267">
        <f>SUMIFS('Hire Cycles'!$F$5:$F$1069,'Hire Cycles'!$A$5:$A$1069,A267,'Hire Cycles'!$B$5:$B$1069,C267,'Hire Cycles'!$G$5:$G$1069,1)</f>
        <v>2346</v>
      </c>
      <c r="F267">
        <f>SUMIFS('Invoice Lines'!$J$5:$J$2542,'Invoice Lines'!$H$5:$H$2542,A267,'Invoice Lines'!$Q$5:$Q$2542,"HIRE-"&amp;C267,'Invoice Lines'!$M$5:$M$2542,1,'Invoice Lines'!$K$5:$K$2542,"&gt;0")</f>
        <v>2346</v>
      </c>
      <c r="G267">
        <f>E267-F267</f>
        <v>0</v>
      </c>
      <c r="H267" s="9">
        <f>ROUND(G267*D267,2)</f>
        <v>0</v>
      </c>
      <c r="I267" s="9">
        <f>SUMIFS('Invoice Lines'!$K$5:$K$2542,'Invoice Lines'!$H$5:$H$2542,A267,'Invoice Lines'!$Q$5:$Q$2542,"HIRE-"&amp;C267,'Invoice Lines'!$M$5:$M$2542,1,'Invoice Lines'!$K$5:$K$2542,"&lt;0")</f>
        <v>0</v>
      </c>
      <c r="J267" t="n">
        <v>0</v>
      </c>
      <c r="K267" t="str">
        <f>IF(G267&gt;0,"Under-billed",IF(G267&lt;0,"Over-billed","Agrees"))</f>
        <v>Agrees</v>
      </c>
      <c r="L267" t="inlineStr"/>
    </row>
    <row r="268">
      <c r="A268" t="inlineStr">
        <is>
          <t>S0217</t>
        </is>
      </c>
      <c r="B268" t="inlineStr">
        <is>
          <t>Wattle Homes Pty Ltd</t>
        </is>
      </c>
      <c r="C268" t="inlineStr">
        <is>
          <t>FP</t>
        </is>
      </c>
      <c r="D268" s="9" t="n">
        <v>4.5</v>
      </c>
      <c r="E268">
        <f>SUMIFS('Hire Cycles'!$F$5:$F$1069,'Hire Cycles'!$A$5:$A$1069,A268,'Hire Cycles'!$B$5:$B$1069,C268,'Hire Cycles'!$G$5:$G$1069,1)</f>
        <v>640</v>
      </c>
      <c r="F268">
        <f>SUMIFS('Invoice Lines'!$J$5:$J$2542,'Invoice Lines'!$H$5:$H$2542,A268,'Invoice Lines'!$Q$5:$Q$2542,"HIRE-"&amp;C268,'Invoice Lines'!$M$5:$M$2542,1,'Invoice Lines'!$K$5:$K$2542,"&gt;0")</f>
        <v>640</v>
      </c>
      <c r="G268">
        <f>E268-F268</f>
        <v>0</v>
      </c>
      <c r="H268" s="9">
        <f>ROUND(G268*D268,2)</f>
        <v>0</v>
      </c>
      <c r="I268" s="9">
        <f>SUMIFS('Invoice Lines'!$K$5:$K$2542,'Invoice Lines'!$H$5:$H$2542,A268,'Invoice Lines'!$Q$5:$Q$2542,"HIRE-"&amp;C268,'Invoice Lines'!$M$5:$M$2542,1,'Invoice Lines'!$K$5:$K$2542,"&lt;0")</f>
        <v>0</v>
      </c>
      <c r="J268" t="n">
        <v>0</v>
      </c>
      <c r="K268" t="str">
        <f>IF(G268&gt;0,"Under-billed",IF(G268&lt;0,"Over-billed","Agrees"))</f>
        <v>Agrees</v>
      </c>
      <c r="L268" t="inlineStr"/>
    </row>
    <row r="269">
      <c r="A269" t="inlineStr">
        <is>
          <t>S0218</t>
        </is>
      </c>
      <c r="B269" t="inlineStr">
        <is>
          <t>Silverleaf Building Group Pty Ltd</t>
        </is>
      </c>
      <c r="C269" t="inlineStr">
        <is>
          <t>BR</t>
        </is>
      </c>
      <c r="D269" s="9" t="n">
        <v>3.2</v>
      </c>
      <c r="E269">
        <f>SUMIFS('Hire Cycles'!$F$5:$F$1069,'Hire Cycles'!$A$5:$A$1069,A269,'Hire Cycles'!$B$5:$B$1069,C269,'Hire Cycles'!$G$5:$G$1069,1)</f>
        <v>52</v>
      </c>
      <c r="F269">
        <f>SUMIFS('Invoice Lines'!$J$5:$J$2542,'Invoice Lines'!$H$5:$H$2542,A269,'Invoice Lines'!$Q$5:$Q$2542,"HIRE-"&amp;C269,'Invoice Lines'!$M$5:$M$2542,1,'Invoice Lines'!$K$5:$K$2542,"&gt;0")</f>
        <v>52</v>
      </c>
      <c r="G269">
        <f>E269-F269</f>
        <v>0</v>
      </c>
      <c r="H269" s="9">
        <f>ROUND(G269*D269,2)</f>
        <v>0</v>
      </c>
      <c r="I269" s="9">
        <f>SUMIFS('Invoice Lines'!$K$5:$K$2542,'Invoice Lines'!$H$5:$H$2542,A269,'Invoice Lines'!$Q$5:$Q$2542,"HIRE-"&amp;C269,'Invoice Lines'!$M$5:$M$2542,1,'Invoice Lines'!$K$5:$K$2542,"&lt;0")</f>
        <v>0</v>
      </c>
      <c r="J269" t="n">
        <v>0</v>
      </c>
      <c r="K269" t="str">
        <f>IF(G269&gt;0,"Under-billed",IF(G269&lt;0,"Over-billed","Agrees"))</f>
        <v>Agrees</v>
      </c>
      <c r="L269" t="inlineStr"/>
    </row>
    <row r="270">
      <c r="A270" t="inlineStr">
        <is>
          <t>S0218</t>
        </is>
      </c>
      <c r="B270" t="inlineStr">
        <is>
          <t>Silverleaf Building Group Pty Ltd</t>
        </is>
      </c>
      <c r="C270" t="inlineStr">
        <is>
          <t>FP</t>
        </is>
      </c>
      <c r="D270" s="9" t="n">
        <v>4.5</v>
      </c>
      <c r="E270">
        <f>SUMIFS('Hire Cycles'!$F$5:$F$1069,'Hire Cycles'!$A$5:$A$1069,A270,'Hire Cycles'!$B$5:$B$1069,C270,'Hire Cycles'!$G$5:$G$1069,1)</f>
        <v>476</v>
      </c>
      <c r="F270">
        <f>SUMIFS('Invoice Lines'!$J$5:$J$2542,'Invoice Lines'!$H$5:$H$2542,A270,'Invoice Lines'!$Q$5:$Q$2542,"HIRE-"&amp;C270,'Invoice Lines'!$M$5:$M$2542,1,'Invoice Lines'!$K$5:$K$2542,"&gt;0")</f>
        <v>476</v>
      </c>
      <c r="G270">
        <f>E270-F270</f>
        <v>0</v>
      </c>
      <c r="H270" s="9">
        <f>ROUND(G270*D270,2)</f>
        <v>0</v>
      </c>
      <c r="I270" s="9">
        <f>SUMIFS('Invoice Lines'!$K$5:$K$2542,'Invoice Lines'!$H$5:$H$2542,A270,'Invoice Lines'!$Q$5:$Q$2542,"HIRE-"&amp;C270,'Invoice Lines'!$M$5:$M$2542,1,'Invoice Lines'!$K$5:$K$2542,"&lt;0")</f>
        <v>-315.22</v>
      </c>
      <c r="J270" t="n">
        <v>0</v>
      </c>
      <c r="K270" t="str">
        <f>IF(G270&gt;0,"Under-billed",IF(G270&lt;0,"Over-billed","Agrees"))</f>
        <v>Agrees</v>
      </c>
      <c r="L270" t="inlineStr"/>
    </row>
    <row r="271">
      <c r="A271" t="inlineStr">
        <is>
          <t>S0219</t>
        </is>
      </c>
      <c r="B271" t="inlineStr">
        <is>
          <t>Cobalt Constructions Pty Ltd</t>
        </is>
      </c>
      <c r="C271" t="inlineStr">
        <is>
          <t>FP</t>
        </is>
      </c>
      <c r="D271" s="9" t="n">
        <v>4.5</v>
      </c>
      <c r="E271">
        <f>SUMIFS('Hire Cycles'!$F$5:$F$1069,'Hire Cycles'!$A$5:$A$1069,A271,'Hire Cycles'!$B$5:$B$1069,C271,'Hire Cycles'!$G$5:$G$1069,1)</f>
        <v>0</v>
      </c>
      <c r="F271">
        <f>SUMIFS('Invoice Lines'!$J$5:$J$2542,'Invoice Lines'!$H$5:$H$2542,A271,'Invoice Lines'!$Q$5:$Q$2542,"HIRE-"&amp;C271,'Invoice Lines'!$M$5:$M$2542,1,'Invoice Lines'!$K$5:$K$2542,"&gt;0")</f>
        <v>0</v>
      </c>
      <c r="G271">
        <f>E271-F271</f>
        <v>0</v>
      </c>
      <c r="H271" s="9">
        <f>ROUND(G271*D271,2)</f>
        <v>0</v>
      </c>
      <c r="I271" s="9">
        <f>SUMIFS('Invoice Lines'!$K$5:$K$2542,'Invoice Lines'!$H$5:$H$2542,A271,'Invoice Lines'!$Q$5:$Q$2542,"HIRE-"&amp;C271,'Invoice Lines'!$M$5:$M$2542,1,'Invoice Lines'!$K$5:$K$2542,"&lt;0")</f>
        <v>0</v>
      </c>
      <c r="J271" t="n">
        <v>440</v>
      </c>
      <c r="K271" t="str">
        <f>IF(G271&gt;0,"Under-billed",IF(G271&lt;0,"Over-billed","Agrees"))</f>
        <v>Agrees</v>
      </c>
      <c r="L271" t="inlineStr"/>
    </row>
    <row r="272">
      <c r="A272" t="inlineStr">
        <is>
          <t>S0220</t>
        </is>
      </c>
      <c r="B272" t="inlineStr">
        <is>
          <t>Ethan Walker</t>
        </is>
      </c>
      <c r="C272" t="inlineStr">
        <is>
          <t>FP</t>
        </is>
      </c>
      <c r="D272" s="9" t="n">
        <v>4.5</v>
      </c>
      <c r="E272">
        <f>SUMIFS('Hire Cycles'!$F$5:$F$1069,'Hire Cycles'!$A$5:$A$1069,A272,'Hire Cycles'!$B$5:$B$1069,C272,'Hire Cycles'!$G$5:$G$1069,1)</f>
        <v>3078</v>
      </c>
      <c r="F272">
        <f>SUMIFS('Invoice Lines'!$J$5:$J$2542,'Invoice Lines'!$H$5:$H$2542,A272,'Invoice Lines'!$Q$5:$Q$2542,"HIRE-"&amp;C272,'Invoice Lines'!$M$5:$M$2542,1,'Invoice Lines'!$K$5:$K$2542,"&gt;0")</f>
        <v>3078</v>
      </c>
      <c r="G272">
        <f>E272-F272</f>
        <v>0</v>
      </c>
      <c r="H272" s="9">
        <f>ROUND(G272*D272,2)</f>
        <v>0</v>
      </c>
      <c r="I272" s="9">
        <f>SUMIFS('Invoice Lines'!$K$5:$K$2542,'Invoice Lines'!$H$5:$H$2542,A272,'Invoice Lines'!$Q$5:$Q$2542,"HIRE-"&amp;C272,'Invoice Lines'!$M$5:$M$2542,1,'Invoice Lines'!$K$5:$K$2542,"&lt;0")</f>
        <v>0</v>
      </c>
      <c r="J272" t="n">
        <v>0</v>
      </c>
      <c r="K272" t="str">
        <f>IF(G272&gt;0,"Under-billed",IF(G272&lt;0,"Over-billed","Agrees"))</f>
        <v>Agrees</v>
      </c>
      <c r="L272" t="inlineStr"/>
    </row>
    <row r="273">
      <c r="A273" t="inlineStr">
        <is>
          <t>S0221</t>
        </is>
      </c>
      <c r="B273" t="inlineStr">
        <is>
          <t>Summit Homes Pty Ltd</t>
        </is>
      </c>
      <c r="C273" t="inlineStr">
        <is>
          <t>FP</t>
        </is>
      </c>
      <c r="D273" s="9" t="n">
        <v>4.5</v>
      </c>
      <c r="E273">
        <f>SUMIFS('Hire Cycles'!$F$5:$F$1069,'Hire Cycles'!$A$5:$A$1069,A273,'Hire Cycles'!$B$5:$B$1069,C273,'Hire Cycles'!$G$5:$G$1069,1)</f>
        <v>336</v>
      </c>
      <c r="F273">
        <f>SUMIFS('Invoice Lines'!$J$5:$J$2542,'Invoice Lines'!$H$5:$H$2542,A273,'Invoice Lines'!$Q$5:$Q$2542,"HIRE-"&amp;C273,'Invoice Lines'!$M$5:$M$2542,1,'Invoice Lines'!$K$5:$K$2542,"&gt;0")</f>
        <v>168</v>
      </c>
      <c r="G273">
        <f>E273-F273</f>
        <v>168</v>
      </c>
      <c r="H273" s="9">
        <f>ROUND(G273*D273,2)</f>
        <v>756</v>
      </c>
      <c r="I273" s="9">
        <f>SUMIFS('Invoice Lines'!$K$5:$K$2542,'Invoice Lines'!$H$5:$H$2542,A273,'Invoice Lines'!$Q$5:$Q$2542,"HIRE-"&amp;C273,'Invoice Lines'!$M$5:$M$2542,1,'Invoice Lines'!$K$5:$K$2542,"&lt;0")</f>
        <v>0</v>
      </c>
      <c r="J273" t="n">
        <v>42</v>
      </c>
      <c r="K273" t="str">
        <f>IF(G273&gt;0,"Under-billed",IF(G273&lt;0,"Over-billed","Agrees"))</f>
        <v>Under-billed</v>
      </c>
      <c r="L273" t="inlineStr"/>
    </row>
    <row r="274">
      <c r="A274" t="inlineStr">
        <is>
          <t>S0222</t>
        </is>
      </c>
      <c r="B274" t="inlineStr">
        <is>
          <t>Eastlink Constructions</t>
        </is>
      </c>
      <c r="C274" t="inlineStr">
        <is>
          <t>FP</t>
        </is>
      </c>
      <c r="D274" s="9" t="n">
        <v>4.5</v>
      </c>
      <c r="E274">
        <f>SUMIFS('Hire Cycles'!$F$5:$F$1069,'Hire Cycles'!$A$5:$A$1069,A274,'Hire Cycles'!$B$5:$B$1069,C274,'Hire Cycles'!$G$5:$G$1069,1)</f>
        <v>976</v>
      </c>
      <c r="F274">
        <f>SUMIFS('Invoice Lines'!$J$5:$J$2542,'Invoice Lines'!$H$5:$H$2542,A274,'Invoice Lines'!$Q$5:$Q$2542,"HIRE-"&amp;C274,'Invoice Lines'!$M$5:$M$2542,1,'Invoice Lines'!$K$5:$K$2542,"&gt;0")</f>
        <v>488</v>
      </c>
      <c r="G274">
        <f>E274-F274</f>
        <v>488</v>
      </c>
      <c r="H274" s="9">
        <f>ROUND(G274*D274,2)</f>
        <v>2196</v>
      </c>
      <c r="I274" s="9">
        <f>SUMIFS('Invoice Lines'!$K$5:$K$2542,'Invoice Lines'!$H$5:$H$2542,A274,'Invoice Lines'!$Q$5:$Q$2542,"HIRE-"&amp;C274,'Invoice Lines'!$M$5:$M$2542,1,'Invoice Lines'!$K$5:$K$2542,"&lt;0")</f>
        <v>0</v>
      </c>
      <c r="J274" t="n">
        <v>0</v>
      </c>
      <c r="K274" t="str">
        <f>IF(G274&gt;0,"Under-billed",IF(G274&lt;0,"Over-billed","Agrees"))</f>
        <v>Under-billed</v>
      </c>
      <c r="L274" t="inlineStr"/>
    </row>
    <row r="275">
      <c r="A275" t="inlineStr">
        <is>
          <t>S0223</t>
        </is>
      </c>
      <c r="B275" t="inlineStr">
        <is>
          <t>Arjun Doyle</t>
        </is>
      </c>
      <c r="C275" t="inlineStr">
        <is>
          <t>FP</t>
        </is>
      </c>
      <c r="D275" s="9" t="n">
        <v>4.5</v>
      </c>
      <c r="E275">
        <f>SUMIFS('Hire Cycles'!$F$5:$F$1069,'Hire Cycles'!$A$5:$A$1069,A275,'Hire Cycles'!$B$5:$B$1069,C275,'Hire Cycles'!$G$5:$G$1069,1)</f>
        <v>225</v>
      </c>
      <c r="F275">
        <f>SUMIFS('Invoice Lines'!$J$5:$J$2542,'Invoice Lines'!$H$5:$H$2542,A275,'Invoice Lines'!$Q$5:$Q$2542,"HIRE-"&amp;C275,'Invoice Lines'!$M$5:$M$2542,1,'Invoice Lines'!$K$5:$K$2542,"&gt;0")</f>
        <v>225</v>
      </c>
      <c r="G275">
        <f>E275-F275</f>
        <v>0</v>
      </c>
      <c r="H275" s="9">
        <f>ROUND(G275*D275,2)</f>
        <v>0</v>
      </c>
      <c r="I275" s="9">
        <f>SUMIFS('Invoice Lines'!$K$5:$K$2542,'Invoice Lines'!$H$5:$H$2542,A275,'Invoice Lines'!$Q$5:$Q$2542,"HIRE-"&amp;C275,'Invoice Lines'!$M$5:$M$2542,1,'Invoice Lines'!$K$5:$K$2542,"&lt;0")</f>
        <v>0</v>
      </c>
      <c r="J275" t="n">
        <v>0</v>
      </c>
      <c r="K275" t="str">
        <f>IF(G275&gt;0,"Under-billed",IF(G275&lt;0,"Over-billed","Agrees"))</f>
        <v>Agrees</v>
      </c>
      <c r="L275" t="inlineStr"/>
    </row>
    <row r="276">
      <c r="A276" t="inlineStr">
        <is>
          <t>S0224</t>
        </is>
      </c>
      <c r="B276" t="inlineStr">
        <is>
          <t>Wattle Constructions Pty Ltd</t>
        </is>
      </c>
      <c r="C276" t="inlineStr">
        <is>
          <t>FP</t>
        </is>
      </c>
      <c r="D276" s="9" t="n">
        <v>4.5</v>
      </c>
      <c r="E276">
        <f>SUMIFS('Hire Cycles'!$F$5:$F$1069,'Hire Cycles'!$A$5:$A$1069,A276,'Hire Cycles'!$B$5:$B$1069,C276,'Hire Cycles'!$G$5:$G$1069,1)</f>
        <v>155</v>
      </c>
      <c r="F276">
        <f>SUMIFS('Invoice Lines'!$J$5:$J$2542,'Invoice Lines'!$H$5:$H$2542,A276,'Invoice Lines'!$Q$5:$Q$2542,"HIRE-"&amp;C276,'Invoice Lines'!$M$5:$M$2542,1,'Invoice Lines'!$K$5:$K$2542,"&gt;0")</f>
        <v>155</v>
      </c>
      <c r="G276">
        <f>E276-F276</f>
        <v>0</v>
      </c>
      <c r="H276" s="9">
        <f>ROUND(G276*D276,2)</f>
        <v>0</v>
      </c>
      <c r="I276" s="9">
        <f>SUMIFS('Invoice Lines'!$K$5:$K$2542,'Invoice Lines'!$H$5:$H$2542,A276,'Invoice Lines'!$Q$5:$Q$2542,"HIRE-"&amp;C276,'Invoice Lines'!$M$5:$M$2542,1,'Invoice Lines'!$K$5:$K$2542,"&lt;0")</f>
        <v>0</v>
      </c>
      <c r="J276" t="n">
        <v>0</v>
      </c>
      <c r="K276" t="str">
        <f>IF(G276&gt;0,"Under-billed",IF(G276&lt;0,"Over-billed","Agrees"))</f>
        <v>Agrees</v>
      </c>
      <c r="L276" t="inlineStr"/>
    </row>
    <row r="277">
      <c r="A277" t="inlineStr">
        <is>
          <t>S0225</t>
        </is>
      </c>
      <c r="B277" t="inlineStr">
        <is>
          <t>Arjun Smith</t>
        </is>
      </c>
      <c r="C277" t="inlineStr">
        <is>
          <t>BR</t>
        </is>
      </c>
      <c r="D277" s="9" t="n">
        <v>3.2</v>
      </c>
      <c r="E277">
        <f>SUMIFS('Hire Cycles'!$F$5:$F$1069,'Hire Cycles'!$A$5:$A$1069,A277,'Hire Cycles'!$B$5:$B$1069,C277,'Hire Cycles'!$G$5:$G$1069,1)</f>
        <v>64</v>
      </c>
      <c r="F277">
        <f>SUMIFS('Invoice Lines'!$J$5:$J$2542,'Invoice Lines'!$H$5:$H$2542,A277,'Invoice Lines'!$Q$5:$Q$2542,"HIRE-"&amp;C277,'Invoice Lines'!$M$5:$M$2542,1,'Invoice Lines'!$K$5:$K$2542,"&gt;0")</f>
        <v>0</v>
      </c>
      <c r="G277">
        <f>E277-F277</f>
        <v>64</v>
      </c>
      <c r="H277" s="9">
        <f>ROUND(G277*D277,2)</f>
        <v>204.8</v>
      </c>
      <c r="I277" s="9">
        <f>SUMIFS('Invoice Lines'!$K$5:$K$2542,'Invoice Lines'!$H$5:$H$2542,A277,'Invoice Lines'!$Q$5:$Q$2542,"HIRE-"&amp;C277,'Invoice Lines'!$M$5:$M$2542,1,'Invoice Lines'!$K$5:$K$2542,"&lt;0")</f>
        <v>0</v>
      </c>
      <c r="J277" t="n">
        <v>0</v>
      </c>
      <c r="K277" t="str">
        <f>IF(G277&gt;0,"Under-billed",IF(G277&lt;0,"Over-billed","Agrees"))</f>
        <v>Under-billed</v>
      </c>
      <c r="L277" t="inlineStr"/>
    </row>
    <row r="278">
      <c r="A278" t="inlineStr">
        <is>
          <t>S0225</t>
        </is>
      </c>
      <c r="B278" t="inlineStr">
        <is>
          <t>Arjun Smith</t>
        </is>
      </c>
      <c r="C278" t="inlineStr">
        <is>
          <t>FP</t>
        </is>
      </c>
      <c r="D278" s="9" t="n">
        <v>4.5</v>
      </c>
      <c r="E278">
        <f>SUMIFS('Hire Cycles'!$F$5:$F$1069,'Hire Cycles'!$A$5:$A$1069,A278,'Hire Cycles'!$B$5:$B$1069,C278,'Hire Cycles'!$G$5:$G$1069,1)</f>
        <v>336</v>
      </c>
      <c r="F278">
        <f>SUMIFS('Invoice Lines'!$J$5:$J$2542,'Invoice Lines'!$H$5:$H$2542,A278,'Invoice Lines'!$Q$5:$Q$2542,"HIRE-"&amp;C278,'Invoice Lines'!$M$5:$M$2542,1,'Invoice Lines'!$K$5:$K$2542,"&gt;0")</f>
        <v>336</v>
      </c>
      <c r="G278">
        <f>E278-F278</f>
        <v>0</v>
      </c>
      <c r="H278" s="9">
        <f>ROUND(G278*D278,2)</f>
        <v>0</v>
      </c>
      <c r="I278" s="9">
        <f>SUMIFS('Invoice Lines'!$K$5:$K$2542,'Invoice Lines'!$H$5:$H$2542,A278,'Invoice Lines'!$Q$5:$Q$2542,"HIRE-"&amp;C278,'Invoice Lines'!$M$5:$M$2542,1,'Invoice Lines'!$K$5:$K$2542,"&lt;0")</f>
        <v>0</v>
      </c>
      <c r="J278" t="n">
        <v>0</v>
      </c>
      <c r="K278" t="str">
        <f>IF(G278&gt;0,"Under-billed",IF(G278&lt;0,"Over-billed","Agrees"))</f>
        <v>Agrees</v>
      </c>
      <c r="L278" t="inlineStr"/>
    </row>
    <row r="279">
      <c r="A279" t="inlineStr">
        <is>
          <t>S0226</t>
        </is>
      </c>
      <c r="B279" t="inlineStr">
        <is>
          <t>Noah Kelly</t>
        </is>
      </c>
      <c r="C279" t="inlineStr">
        <is>
          <t>FP</t>
        </is>
      </c>
      <c r="D279" s="9" t="n">
        <v>4.5</v>
      </c>
      <c r="E279">
        <f>SUMIFS('Hire Cycles'!$F$5:$F$1069,'Hire Cycles'!$A$5:$A$1069,A279,'Hire Cycles'!$B$5:$B$1069,C279,'Hire Cycles'!$G$5:$G$1069,1)</f>
        <v>109</v>
      </c>
      <c r="F279">
        <f>SUMIFS('Invoice Lines'!$J$5:$J$2542,'Invoice Lines'!$H$5:$H$2542,A279,'Invoice Lines'!$Q$5:$Q$2542,"HIRE-"&amp;C279,'Invoice Lines'!$M$5:$M$2542,1,'Invoice Lines'!$K$5:$K$2542,"&gt;0")</f>
        <v>109</v>
      </c>
      <c r="G279">
        <f>E279-F279</f>
        <v>0</v>
      </c>
      <c r="H279" s="9">
        <f>ROUND(G279*D279,2)</f>
        <v>0</v>
      </c>
      <c r="I279" s="9">
        <f>SUMIFS('Invoice Lines'!$K$5:$K$2542,'Invoice Lines'!$H$5:$H$2542,A279,'Invoice Lines'!$Q$5:$Q$2542,"HIRE-"&amp;C279,'Invoice Lines'!$M$5:$M$2542,1,'Invoice Lines'!$K$5:$K$2542,"&lt;0")</f>
        <v>0</v>
      </c>
      <c r="J279" t="n">
        <v>0</v>
      </c>
      <c r="K279" t="str">
        <f>IF(G279&gt;0,"Under-billed",IF(G279&lt;0,"Over-billed","Agrees"))</f>
        <v>Agrees</v>
      </c>
      <c r="L279" t="inlineStr"/>
    </row>
    <row r="280">
      <c r="A280" t="inlineStr">
        <is>
          <t>S0227</t>
        </is>
      </c>
      <c r="B280" t="inlineStr">
        <is>
          <t>Eastlink Constructions</t>
        </is>
      </c>
      <c r="C280" t="inlineStr">
        <is>
          <t>FP</t>
        </is>
      </c>
      <c r="D280" s="9" t="n">
        <v>4.5</v>
      </c>
      <c r="E280">
        <f>SUMIFS('Hire Cycles'!$F$5:$F$1069,'Hire Cycles'!$A$5:$A$1069,A280,'Hire Cycles'!$B$5:$B$1069,C280,'Hire Cycles'!$G$5:$G$1069,1)</f>
        <v>372</v>
      </c>
      <c r="F280">
        <f>SUMIFS('Invoice Lines'!$J$5:$J$2542,'Invoice Lines'!$H$5:$H$2542,A280,'Invoice Lines'!$Q$5:$Q$2542,"HIRE-"&amp;C280,'Invoice Lines'!$M$5:$M$2542,1,'Invoice Lines'!$K$5:$K$2542,"&gt;0")</f>
        <v>372</v>
      </c>
      <c r="G280">
        <f>E280-F280</f>
        <v>0</v>
      </c>
      <c r="H280" s="9">
        <f>ROUND(G280*D280,2)</f>
        <v>0</v>
      </c>
      <c r="I280" s="9">
        <f>SUMIFS('Invoice Lines'!$K$5:$K$2542,'Invoice Lines'!$H$5:$H$2542,A280,'Invoice Lines'!$Q$5:$Q$2542,"HIRE-"&amp;C280,'Invoice Lines'!$M$5:$M$2542,1,'Invoice Lines'!$K$5:$K$2542,"&lt;0")</f>
        <v>0</v>
      </c>
      <c r="J280" t="n">
        <v>0</v>
      </c>
      <c r="K280" t="str">
        <f>IF(G280&gt;0,"Under-billed",IF(G280&lt;0,"Over-billed","Agrees"))</f>
        <v>Agrees</v>
      </c>
      <c r="L280" t="inlineStr"/>
    </row>
    <row r="281">
      <c r="A281" t="inlineStr">
        <is>
          <t>S0228</t>
        </is>
      </c>
      <c r="B281" t="inlineStr">
        <is>
          <t>Wattle Constructions Pty Ltd</t>
        </is>
      </c>
      <c r="C281" t="inlineStr">
        <is>
          <t>BR</t>
        </is>
      </c>
      <c r="D281" s="9" t="n">
        <v>3.2</v>
      </c>
      <c r="E281">
        <f>SUMIFS('Hire Cycles'!$F$5:$F$1069,'Hire Cycles'!$A$5:$A$1069,A281,'Hire Cycles'!$B$5:$B$1069,C281,'Hire Cycles'!$G$5:$G$1069,1)</f>
        <v>132</v>
      </c>
      <c r="F281">
        <f>SUMIFS('Invoice Lines'!$J$5:$J$2542,'Invoice Lines'!$H$5:$H$2542,A281,'Invoice Lines'!$Q$5:$Q$2542,"HIRE-"&amp;C281,'Invoice Lines'!$M$5:$M$2542,1,'Invoice Lines'!$K$5:$K$2542,"&gt;0")</f>
        <v>84</v>
      </c>
      <c r="G281">
        <f>E281-F281</f>
        <v>48</v>
      </c>
      <c r="H281" s="9">
        <f>ROUND(G281*D281,2)</f>
        <v>153.6</v>
      </c>
      <c r="I281" s="9">
        <f>SUMIFS('Invoice Lines'!$K$5:$K$2542,'Invoice Lines'!$H$5:$H$2542,A281,'Invoice Lines'!$Q$5:$Q$2542,"HIRE-"&amp;C281,'Invoice Lines'!$M$5:$M$2542,1,'Invoice Lines'!$K$5:$K$2542,"&lt;0")</f>
        <v>0</v>
      </c>
      <c r="J281" t="n">
        <v>0</v>
      </c>
      <c r="K281" t="str">
        <f>IF(G281&gt;0,"Under-billed",IF(G281&lt;0,"Over-billed","Agrees"))</f>
        <v>Under-billed</v>
      </c>
      <c r="L281" t="inlineStr"/>
    </row>
    <row r="282">
      <c r="A282" t="inlineStr">
        <is>
          <t>S0228</t>
        </is>
      </c>
      <c r="B282" t="inlineStr">
        <is>
          <t>Wattle Constructions Pty Ltd</t>
        </is>
      </c>
      <c r="C282" t="inlineStr">
        <is>
          <t>FP</t>
        </is>
      </c>
      <c r="D282" s="9" t="n">
        <v>4.5</v>
      </c>
      <c r="E282">
        <f>SUMIFS('Hire Cycles'!$F$5:$F$1069,'Hire Cycles'!$A$5:$A$1069,A282,'Hire Cycles'!$B$5:$B$1069,C282,'Hire Cycles'!$G$5:$G$1069,1)</f>
        <v>1694</v>
      </c>
      <c r="F282">
        <f>SUMIFS('Invoice Lines'!$J$5:$J$2542,'Invoice Lines'!$H$5:$H$2542,A282,'Invoice Lines'!$Q$5:$Q$2542,"HIRE-"&amp;C282,'Invoice Lines'!$M$5:$M$2542,1,'Invoice Lines'!$K$5:$K$2542,"&gt;0")</f>
        <v>1694</v>
      </c>
      <c r="G282">
        <f>E282-F282</f>
        <v>0</v>
      </c>
      <c r="H282" s="9">
        <f>ROUND(G282*D282,2)</f>
        <v>0</v>
      </c>
      <c r="I282" s="9">
        <f>SUMIFS('Invoice Lines'!$K$5:$K$2542,'Invoice Lines'!$H$5:$H$2542,A282,'Invoice Lines'!$Q$5:$Q$2542,"HIRE-"&amp;C282,'Invoice Lines'!$M$5:$M$2542,1,'Invoice Lines'!$K$5:$K$2542,"&lt;0")</f>
        <v>0</v>
      </c>
      <c r="J282" t="n">
        <v>0</v>
      </c>
      <c r="K282" t="str">
        <f>IF(G282&gt;0,"Under-billed",IF(G282&lt;0,"Over-billed","Agrees"))</f>
        <v>Agrees</v>
      </c>
      <c r="L282" t="inlineStr"/>
    </row>
    <row r="283">
      <c r="A283" t="inlineStr">
        <is>
          <t>S0229</t>
        </is>
      </c>
      <c r="B283" t="inlineStr">
        <is>
          <t>Ember Productions Pty Ltd</t>
        </is>
      </c>
      <c r="C283" t="inlineStr">
        <is>
          <t>FP</t>
        </is>
      </c>
      <c r="D283" s="9" t="n">
        <v>4.5</v>
      </c>
      <c r="E283">
        <f>SUMIFS('Hire Cycles'!$F$5:$F$1069,'Hire Cycles'!$A$5:$A$1069,A283,'Hire Cycles'!$B$5:$B$1069,C283,'Hire Cycles'!$G$5:$G$1069,1)</f>
        <v>80</v>
      </c>
      <c r="F283">
        <f>SUMIFS('Invoice Lines'!$J$5:$J$2542,'Invoice Lines'!$H$5:$H$2542,A283,'Invoice Lines'!$Q$5:$Q$2542,"HIRE-"&amp;C283,'Invoice Lines'!$M$5:$M$2542,1,'Invoice Lines'!$K$5:$K$2542,"&gt;0")</f>
        <v>80</v>
      </c>
      <c r="G283">
        <f>E283-F283</f>
        <v>0</v>
      </c>
      <c r="H283" s="9">
        <f>ROUND(G283*D283,2)</f>
        <v>0</v>
      </c>
      <c r="I283" s="9">
        <f>SUMIFS('Invoice Lines'!$K$5:$K$2542,'Invoice Lines'!$H$5:$H$2542,A283,'Invoice Lines'!$Q$5:$Q$2542,"HIRE-"&amp;C283,'Invoice Lines'!$M$5:$M$2542,1,'Invoice Lines'!$K$5:$K$2542,"&lt;0")</f>
        <v>0</v>
      </c>
      <c r="J283" t="n">
        <v>0</v>
      </c>
      <c r="K283" t="str">
        <f>IF(G283&gt;0,"Under-billed",IF(G283&lt;0,"Over-billed","Agrees"))</f>
        <v>Agrees</v>
      </c>
      <c r="L283" t="inlineStr"/>
    </row>
    <row r="284">
      <c r="A284" t="inlineStr">
        <is>
          <t>S0230</t>
        </is>
      </c>
      <c r="B284" t="inlineStr">
        <is>
          <t>Summit Homes Pty Ltd</t>
        </is>
      </c>
      <c r="C284" t="inlineStr">
        <is>
          <t>FP</t>
        </is>
      </c>
      <c r="D284" s="9" t="n">
        <v>4.5</v>
      </c>
      <c r="E284">
        <f>SUMIFS('Hire Cycles'!$F$5:$F$1069,'Hire Cycles'!$A$5:$A$1069,A284,'Hire Cycles'!$B$5:$B$1069,C284,'Hire Cycles'!$G$5:$G$1069,1)</f>
        <v>150</v>
      </c>
      <c r="F284">
        <f>SUMIFS('Invoice Lines'!$J$5:$J$2542,'Invoice Lines'!$H$5:$H$2542,A284,'Invoice Lines'!$Q$5:$Q$2542,"HIRE-"&amp;C284,'Invoice Lines'!$M$5:$M$2542,1,'Invoice Lines'!$K$5:$K$2542,"&gt;0")</f>
        <v>150</v>
      </c>
      <c r="G284">
        <f>E284-F284</f>
        <v>0</v>
      </c>
      <c r="H284" s="9">
        <f>ROUND(G284*D284,2)</f>
        <v>0</v>
      </c>
      <c r="I284" s="9">
        <f>SUMIFS('Invoice Lines'!$K$5:$K$2542,'Invoice Lines'!$H$5:$H$2542,A284,'Invoice Lines'!$Q$5:$Q$2542,"HIRE-"&amp;C284,'Invoice Lines'!$M$5:$M$2542,1,'Invoice Lines'!$K$5:$K$2542,"&lt;0")</f>
        <v>0</v>
      </c>
      <c r="J284" t="n">
        <v>0</v>
      </c>
      <c r="K284" t="str">
        <f>IF(G284&gt;0,"Under-billed",IF(G284&lt;0,"Over-billed","Agrees"))</f>
        <v>Agrees</v>
      </c>
      <c r="L284" t="inlineStr"/>
    </row>
    <row r="285">
      <c r="A285" t="inlineStr">
        <is>
          <t>S0231</t>
        </is>
      </c>
      <c r="B285" t="inlineStr">
        <is>
          <t>Lakeside Constructions Pty Ltd</t>
        </is>
      </c>
      <c r="C285" t="inlineStr">
        <is>
          <t>FP</t>
        </is>
      </c>
      <c r="D285" s="9" t="n">
        <v>4.5</v>
      </c>
      <c r="E285">
        <f>SUMIFS('Hire Cycles'!$F$5:$F$1069,'Hire Cycles'!$A$5:$A$1069,A285,'Hire Cycles'!$B$5:$B$1069,C285,'Hire Cycles'!$G$5:$G$1069,1)</f>
        <v>4375</v>
      </c>
      <c r="F285">
        <f>SUMIFS('Invoice Lines'!$J$5:$J$2542,'Invoice Lines'!$H$5:$H$2542,A285,'Invoice Lines'!$Q$5:$Q$2542,"HIRE-"&amp;C285,'Invoice Lines'!$M$5:$M$2542,1,'Invoice Lines'!$K$5:$K$2542,"&gt;0")</f>
        <v>3875</v>
      </c>
      <c r="G285">
        <f>E285-F285</f>
        <v>500</v>
      </c>
      <c r="H285" s="9">
        <f>ROUND(G285*D285,2)</f>
        <v>2250</v>
      </c>
      <c r="I285" s="9">
        <f>SUMIFS('Invoice Lines'!$K$5:$K$2542,'Invoice Lines'!$H$5:$H$2542,A285,'Invoice Lines'!$Q$5:$Q$2542,"HIRE-"&amp;C285,'Invoice Lines'!$M$5:$M$2542,1,'Invoice Lines'!$K$5:$K$2542,"&lt;0")</f>
        <v>0</v>
      </c>
      <c r="J285" t="n">
        <v>0</v>
      </c>
      <c r="K285" t="str">
        <f>IF(G285&gt;0,"Under-billed",IF(G285&lt;0,"Over-billed","Agrees"))</f>
        <v>Under-billed</v>
      </c>
      <c r="L285" t="inlineStr"/>
    </row>
    <row r="286">
      <c r="A286" t="inlineStr">
        <is>
          <t>S0232</t>
        </is>
      </c>
      <c r="B286" t="inlineStr">
        <is>
          <t>Ironbark Constructions</t>
        </is>
      </c>
      <c r="C286" t="inlineStr">
        <is>
          <t>FP</t>
        </is>
      </c>
      <c r="D286" s="9" t="n">
        <v>4.5</v>
      </c>
      <c r="E286">
        <f>SUMIFS('Hire Cycles'!$F$5:$F$1069,'Hire Cycles'!$A$5:$A$1069,A286,'Hire Cycles'!$B$5:$B$1069,C286,'Hire Cycles'!$G$5:$G$1069,1)</f>
        <v>1331</v>
      </c>
      <c r="F286">
        <f>SUMIFS('Invoice Lines'!$J$5:$J$2542,'Invoice Lines'!$H$5:$H$2542,A286,'Invoice Lines'!$Q$5:$Q$2542,"HIRE-"&amp;C286,'Invoice Lines'!$M$5:$M$2542,1,'Invoice Lines'!$K$5:$K$2542,"&gt;0")</f>
        <v>1331</v>
      </c>
      <c r="G286">
        <f>E286-F286</f>
        <v>0</v>
      </c>
      <c r="H286" s="9">
        <f>ROUND(G286*D286,2)</f>
        <v>0</v>
      </c>
      <c r="I286" s="9">
        <f>SUMIFS('Invoice Lines'!$K$5:$K$2542,'Invoice Lines'!$H$5:$H$2542,A286,'Invoice Lines'!$Q$5:$Q$2542,"HIRE-"&amp;C286,'Invoice Lines'!$M$5:$M$2542,1,'Invoice Lines'!$K$5:$K$2542,"&lt;0")</f>
        <v>0</v>
      </c>
      <c r="J286" t="n">
        <v>0</v>
      </c>
      <c r="K286" t="str">
        <f>IF(G286&gt;0,"Under-billed",IF(G286&lt;0,"Over-billed","Agrees"))</f>
        <v>Agrees</v>
      </c>
      <c r="L286" t="inlineStr">
        <is>
          <t>Yes</t>
        </is>
      </c>
    </row>
    <row r="287">
      <c r="A287" t="inlineStr">
        <is>
          <t>S0233</t>
        </is>
      </c>
      <c r="B287" t="inlineStr">
        <is>
          <t>Lakeside Constructions Pty Ltd</t>
        </is>
      </c>
      <c r="C287" t="inlineStr">
        <is>
          <t>ST</t>
        </is>
      </c>
      <c r="D287" s="9" t="n">
        <v>95</v>
      </c>
      <c r="E287">
        <f>SUMIFS('Hire Cycles'!$F$5:$F$1069,'Hire Cycles'!$A$5:$A$1069,A287,'Hire Cycles'!$B$5:$B$1069,C287,'Hire Cycles'!$G$5:$G$1069,1)</f>
        <v>34</v>
      </c>
      <c r="F287">
        <f>SUMIFS('Invoice Lines'!$J$5:$J$2542,'Invoice Lines'!$H$5:$H$2542,A287,'Invoice Lines'!$Q$5:$Q$2542,"HIRE-"&amp;C287,'Invoice Lines'!$M$5:$M$2542,1,'Invoice Lines'!$K$5:$K$2542,"&gt;0")</f>
        <v>32</v>
      </c>
      <c r="G287">
        <f>E287-F287</f>
        <v>2</v>
      </c>
      <c r="H287" s="9">
        <f>ROUND(G287*D287,2)</f>
        <v>190</v>
      </c>
      <c r="I287" s="9">
        <f>SUMIFS('Invoice Lines'!$K$5:$K$2542,'Invoice Lines'!$H$5:$H$2542,A287,'Invoice Lines'!$Q$5:$Q$2542,"HIRE-"&amp;C287,'Invoice Lines'!$M$5:$M$2542,1,'Invoice Lines'!$K$5:$K$2542,"&lt;0")</f>
        <v>0</v>
      </c>
      <c r="J287" t="n">
        <v>0</v>
      </c>
      <c r="K287" t="str">
        <f>IF(G287&gt;0,"Under-billed",IF(G287&lt;0,"Over-billed","Agrees"))</f>
        <v>Under-billed</v>
      </c>
      <c r="L287" t="inlineStr"/>
    </row>
    <row r="288">
      <c r="A288" t="inlineStr">
        <is>
          <t>S0234</t>
        </is>
      </c>
      <c r="B288" t="inlineStr">
        <is>
          <t>Wattle Constructions Pty Ltd</t>
        </is>
      </c>
      <c r="C288" t="inlineStr">
        <is>
          <t>ST</t>
        </is>
      </c>
      <c r="D288" s="9" t="n">
        <v>95</v>
      </c>
      <c r="E288">
        <f>SUMIFS('Hire Cycles'!$F$5:$F$1069,'Hire Cycles'!$A$5:$A$1069,A288,'Hire Cycles'!$B$5:$B$1069,C288,'Hire Cycles'!$G$5:$G$1069,1)</f>
        <v>5</v>
      </c>
      <c r="F288">
        <f>SUMIFS('Invoice Lines'!$J$5:$J$2542,'Invoice Lines'!$H$5:$H$2542,A288,'Invoice Lines'!$Q$5:$Q$2542,"HIRE-"&amp;C288,'Invoice Lines'!$M$5:$M$2542,1,'Invoice Lines'!$K$5:$K$2542,"&gt;0")</f>
        <v>5</v>
      </c>
      <c r="G288">
        <f>E288-F288</f>
        <v>0</v>
      </c>
      <c r="H288" s="9">
        <f>ROUND(G288*D288,2)</f>
        <v>0</v>
      </c>
      <c r="I288" s="9">
        <f>SUMIFS('Invoice Lines'!$K$5:$K$2542,'Invoice Lines'!$H$5:$H$2542,A288,'Invoice Lines'!$Q$5:$Q$2542,"HIRE-"&amp;C288,'Invoice Lines'!$M$5:$M$2542,1,'Invoice Lines'!$K$5:$K$2542,"&lt;0")</f>
        <v>0</v>
      </c>
      <c r="J288" t="n">
        <v>0</v>
      </c>
      <c r="K288" t="str">
        <f>IF(G288&gt;0,"Under-billed",IF(G288&lt;0,"Over-billed","Agrees"))</f>
        <v>Agrees</v>
      </c>
      <c r="L288" t="inlineStr"/>
    </row>
    <row r="289">
      <c r="A289" t="inlineStr">
        <is>
          <t>S0235</t>
        </is>
      </c>
      <c r="B289" t="inlineStr">
        <is>
          <t>Eastlink Constructions</t>
        </is>
      </c>
      <c r="C289" t="inlineStr">
        <is>
          <t>ST</t>
        </is>
      </c>
      <c r="D289" s="9" t="n">
        <v>95</v>
      </c>
      <c r="E289">
        <f>SUMIFS('Hire Cycles'!$F$5:$F$1069,'Hire Cycles'!$A$5:$A$1069,A289,'Hire Cycles'!$B$5:$B$1069,C289,'Hire Cycles'!$G$5:$G$1069,1)</f>
        <v>9</v>
      </c>
      <c r="F289">
        <f>SUMIFS('Invoice Lines'!$J$5:$J$2542,'Invoice Lines'!$H$5:$H$2542,A289,'Invoice Lines'!$Q$5:$Q$2542,"HIRE-"&amp;C289,'Invoice Lines'!$M$5:$M$2542,1,'Invoice Lines'!$K$5:$K$2542,"&gt;0")</f>
        <v>9</v>
      </c>
      <c r="G289">
        <f>E289-F289</f>
        <v>0</v>
      </c>
      <c r="H289" s="9">
        <f>ROUND(G289*D289,2)</f>
        <v>0</v>
      </c>
      <c r="I289" s="9">
        <f>SUMIFS('Invoice Lines'!$K$5:$K$2542,'Invoice Lines'!$H$5:$H$2542,A289,'Invoice Lines'!$Q$5:$Q$2542,"HIRE-"&amp;C289,'Invoice Lines'!$M$5:$M$2542,1,'Invoice Lines'!$K$5:$K$2542,"&lt;0")</f>
        <v>0</v>
      </c>
      <c r="J289" t="n">
        <v>0</v>
      </c>
      <c r="K289" t="str">
        <f>IF(G289&gt;0,"Under-billed",IF(G289&lt;0,"Over-billed","Agrees"))</f>
        <v>Agrees</v>
      </c>
      <c r="L289" t="inlineStr"/>
    </row>
    <row r="290">
      <c r="A290" t="inlineStr">
        <is>
          <t>S0236</t>
        </is>
      </c>
      <c r="B290" t="inlineStr">
        <is>
          <t>Sofia Singh</t>
        </is>
      </c>
      <c r="C290" t="inlineStr">
        <is>
          <t>ST</t>
        </is>
      </c>
      <c r="D290" s="9" t="n">
        <v>95</v>
      </c>
      <c r="E290">
        <f>SUMIFS('Hire Cycles'!$F$5:$F$1069,'Hire Cycles'!$A$5:$A$1069,A290,'Hire Cycles'!$B$5:$B$1069,C290,'Hire Cycles'!$G$5:$G$1069,1)</f>
        <v>8</v>
      </c>
      <c r="F290">
        <f>SUMIFS('Invoice Lines'!$J$5:$J$2542,'Invoice Lines'!$H$5:$H$2542,A290,'Invoice Lines'!$Q$5:$Q$2542,"HIRE-"&amp;C290,'Invoice Lines'!$M$5:$M$2542,1,'Invoice Lines'!$K$5:$K$2542,"&gt;0")</f>
        <v>8</v>
      </c>
      <c r="G290">
        <f>E290-F290</f>
        <v>0</v>
      </c>
      <c r="H290" s="9">
        <f>ROUND(G290*D290,2)</f>
        <v>0</v>
      </c>
      <c r="I290" s="9">
        <f>SUMIFS('Invoice Lines'!$K$5:$K$2542,'Invoice Lines'!$H$5:$H$2542,A290,'Invoice Lines'!$Q$5:$Q$2542,"HIRE-"&amp;C290,'Invoice Lines'!$M$5:$M$2542,1,'Invoice Lines'!$K$5:$K$2542,"&lt;0")</f>
        <v>0</v>
      </c>
      <c r="J290" t="n">
        <v>0</v>
      </c>
      <c r="K290" t="str">
        <f>IF(G290&gt;0,"Under-billed",IF(G290&lt;0,"Over-billed","Agrees"))</f>
        <v>Agrees</v>
      </c>
      <c r="L290" t="inlineStr"/>
    </row>
    <row r="291">
      <c r="A291" t="inlineStr">
        <is>
          <t>S0237</t>
        </is>
      </c>
      <c r="B291" t="inlineStr">
        <is>
          <t>Highpoint Constructions</t>
        </is>
      </c>
      <c r="C291" t="inlineStr">
        <is>
          <t>ST</t>
        </is>
      </c>
      <c r="D291" s="9" t="n">
        <v>95</v>
      </c>
      <c r="E291">
        <f>SUMIFS('Hire Cycles'!$F$5:$F$1069,'Hire Cycles'!$A$5:$A$1069,A291,'Hire Cycles'!$B$5:$B$1069,C291,'Hire Cycles'!$G$5:$G$1069,1)</f>
        <v>13</v>
      </c>
      <c r="F291">
        <f>SUMIFS('Invoice Lines'!$J$5:$J$2542,'Invoice Lines'!$H$5:$H$2542,A291,'Invoice Lines'!$Q$5:$Q$2542,"HIRE-"&amp;C291,'Invoice Lines'!$M$5:$M$2542,1,'Invoice Lines'!$K$5:$K$2542,"&gt;0")</f>
        <v>13</v>
      </c>
      <c r="G291">
        <f>E291-F291</f>
        <v>0</v>
      </c>
      <c r="H291" s="9">
        <f>ROUND(G291*D291,2)</f>
        <v>0</v>
      </c>
      <c r="I291" s="9">
        <f>SUMIFS('Invoice Lines'!$K$5:$K$2542,'Invoice Lines'!$H$5:$H$2542,A291,'Invoice Lines'!$Q$5:$Q$2542,"HIRE-"&amp;C291,'Invoice Lines'!$M$5:$M$2542,1,'Invoice Lines'!$K$5:$K$2542,"&lt;0")</f>
        <v>0</v>
      </c>
      <c r="J291" t="n">
        <v>0</v>
      </c>
      <c r="K291" t="str">
        <f>IF(G291&gt;0,"Under-billed",IF(G291&lt;0,"Over-billed","Agrees"))</f>
        <v>Agrees</v>
      </c>
      <c r="L291" t="inlineStr"/>
    </row>
    <row r="292">
      <c r="A292" t="inlineStr">
        <is>
          <t>S0238</t>
        </is>
      </c>
      <c r="B292" t="inlineStr">
        <is>
          <t>Bayside Homes Pty Ltd</t>
        </is>
      </c>
      <c r="C292" t="inlineStr">
        <is>
          <t>ST</t>
        </is>
      </c>
      <c r="D292" s="9" t="n">
        <v>95</v>
      </c>
      <c r="E292">
        <f>SUMIFS('Hire Cycles'!$F$5:$F$1069,'Hire Cycles'!$A$5:$A$1069,A292,'Hire Cycles'!$B$5:$B$1069,C292,'Hire Cycles'!$G$5:$G$1069,1)</f>
        <v>7</v>
      </c>
      <c r="F292">
        <f>SUMIFS('Invoice Lines'!$J$5:$J$2542,'Invoice Lines'!$H$5:$H$2542,A292,'Invoice Lines'!$Q$5:$Q$2542,"HIRE-"&amp;C292,'Invoice Lines'!$M$5:$M$2542,1,'Invoice Lines'!$K$5:$K$2542,"&gt;0")</f>
        <v>7</v>
      </c>
      <c r="G292">
        <f>E292-F292</f>
        <v>0</v>
      </c>
      <c r="H292" s="9">
        <f>ROUND(G292*D292,2)</f>
        <v>0</v>
      </c>
      <c r="I292" s="9">
        <f>SUMIFS('Invoice Lines'!$K$5:$K$2542,'Invoice Lines'!$H$5:$H$2542,A292,'Invoice Lines'!$Q$5:$Q$2542,"HIRE-"&amp;C292,'Invoice Lines'!$M$5:$M$2542,1,'Invoice Lines'!$K$5:$K$2542,"&lt;0")</f>
        <v>0</v>
      </c>
      <c r="J292" t="n">
        <v>0</v>
      </c>
      <c r="K292" t="str">
        <f>IF(G292&gt;0,"Under-billed",IF(G292&lt;0,"Over-billed","Agrees"))</f>
        <v>Agrees</v>
      </c>
      <c r="L292" t="inlineStr"/>
    </row>
    <row r="293">
      <c r="A293" t="inlineStr">
        <is>
          <t>S0239</t>
        </is>
      </c>
      <c r="B293" t="inlineStr">
        <is>
          <t>Harbour Homes</t>
        </is>
      </c>
      <c r="C293" t="inlineStr">
        <is>
          <t>ST</t>
        </is>
      </c>
      <c r="D293" s="9" t="n">
        <v>95</v>
      </c>
      <c r="E293">
        <f>SUMIFS('Hire Cycles'!$F$5:$F$1069,'Hire Cycles'!$A$5:$A$1069,A293,'Hire Cycles'!$B$5:$B$1069,C293,'Hire Cycles'!$G$5:$G$1069,1)</f>
        <v>7</v>
      </c>
      <c r="F293">
        <f>SUMIFS('Invoice Lines'!$J$5:$J$2542,'Invoice Lines'!$H$5:$H$2542,A293,'Invoice Lines'!$Q$5:$Q$2542,"HIRE-"&amp;C293,'Invoice Lines'!$M$5:$M$2542,1,'Invoice Lines'!$K$5:$K$2542,"&gt;0")</f>
        <v>7</v>
      </c>
      <c r="G293">
        <f>E293-F293</f>
        <v>0</v>
      </c>
      <c r="H293" s="9">
        <f>ROUND(G293*D293,2)</f>
        <v>0</v>
      </c>
      <c r="I293" s="9">
        <f>SUMIFS('Invoice Lines'!$K$5:$K$2542,'Invoice Lines'!$H$5:$H$2542,A293,'Invoice Lines'!$Q$5:$Q$2542,"HIRE-"&amp;C293,'Invoice Lines'!$M$5:$M$2542,1,'Invoice Lines'!$K$5:$K$2542,"&lt;0")</f>
        <v>0</v>
      </c>
      <c r="J293" t="n">
        <v>0</v>
      </c>
      <c r="K293" t="str">
        <f>IF(G293&gt;0,"Under-billed",IF(G293&lt;0,"Over-billed","Agrees"))</f>
        <v>Agrees</v>
      </c>
      <c r="L293" t="inlineStr"/>
    </row>
    <row r="294">
      <c r="A294" t="inlineStr">
        <is>
          <t>S0240</t>
        </is>
      </c>
      <c r="B294" t="inlineStr">
        <is>
          <t>Grace Martin</t>
        </is>
      </c>
      <c r="C294" t="inlineStr">
        <is>
          <t>ST</t>
        </is>
      </c>
      <c r="D294" s="9" t="n">
        <v>95</v>
      </c>
      <c r="E294">
        <f>SUMIFS('Hire Cycles'!$F$5:$F$1069,'Hire Cycles'!$A$5:$A$1069,A294,'Hire Cycles'!$B$5:$B$1069,C294,'Hire Cycles'!$G$5:$G$1069,1)</f>
        <v>17</v>
      </c>
      <c r="F294">
        <f>SUMIFS('Invoice Lines'!$J$5:$J$2542,'Invoice Lines'!$H$5:$H$2542,A294,'Invoice Lines'!$Q$5:$Q$2542,"HIRE-"&amp;C294,'Invoice Lines'!$M$5:$M$2542,1,'Invoice Lines'!$K$5:$K$2542,"&gt;0")</f>
        <v>17</v>
      </c>
      <c r="G294">
        <f>E294-F294</f>
        <v>0</v>
      </c>
      <c r="H294" s="9">
        <f>ROUND(G294*D294,2)</f>
        <v>0</v>
      </c>
      <c r="I294" s="9">
        <f>SUMIFS('Invoice Lines'!$K$5:$K$2542,'Invoice Lines'!$H$5:$H$2542,A294,'Invoice Lines'!$Q$5:$Q$2542,"HIRE-"&amp;C294,'Invoice Lines'!$M$5:$M$2542,1,'Invoice Lines'!$K$5:$K$2542,"&lt;0")</f>
        <v>0</v>
      </c>
      <c r="J294" t="n">
        <v>0</v>
      </c>
      <c r="K294" t="str">
        <f>IF(G294&gt;0,"Under-billed",IF(G294&lt;0,"Over-billed","Agrees"))</f>
        <v>Agrees</v>
      </c>
      <c r="L294" t="inlineStr"/>
    </row>
    <row r="295">
      <c r="A295" t="inlineStr">
        <is>
          <t>S0241</t>
        </is>
      </c>
      <c r="B295" t="inlineStr">
        <is>
          <t>Leo Jones</t>
        </is>
      </c>
      <c r="C295" t="inlineStr">
        <is>
          <t>ST</t>
        </is>
      </c>
      <c r="D295" s="9" t="n">
        <v>95</v>
      </c>
      <c r="E295">
        <f>SUMIFS('Hire Cycles'!$F$5:$F$1069,'Hire Cycles'!$A$5:$A$1069,A295,'Hire Cycles'!$B$5:$B$1069,C295,'Hire Cycles'!$G$5:$G$1069,1)</f>
        <v>6</v>
      </c>
      <c r="F295">
        <f>SUMIFS('Invoice Lines'!$J$5:$J$2542,'Invoice Lines'!$H$5:$H$2542,A295,'Invoice Lines'!$Q$5:$Q$2542,"HIRE-"&amp;C295,'Invoice Lines'!$M$5:$M$2542,1,'Invoice Lines'!$K$5:$K$2542,"&gt;0")</f>
        <v>6</v>
      </c>
      <c r="G295">
        <f>E295-F295</f>
        <v>0</v>
      </c>
      <c r="H295" s="9">
        <f>ROUND(G295*D295,2)</f>
        <v>0</v>
      </c>
      <c r="I295" s="9">
        <f>SUMIFS('Invoice Lines'!$K$5:$K$2542,'Invoice Lines'!$H$5:$H$2542,A295,'Invoice Lines'!$Q$5:$Q$2542,"HIRE-"&amp;C295,'Invoice Lines'!$M$5:$M$2542,1,'Invoice Lines'!$K$5:$K$2542,"&lt;0")</f>
        <v>0</v>
      </c>
      <c r="J295" t="n">
        <v>0</v>
      </c>
      <c r="K295" t="str">
        <f>IF(G295&gt;0,"Under-billed",IF(G295&lt;0,"Over-billed","Agrees"))</f>
        <v>Agrees</v>
      </c>
      <c r="L295" t="inlineStr"/>
    </row>
    <row r="296">
      <c r="A296" t="inlineStr">
        <is>
          <t>S0242</t>
        </is>
      </c>
      <c r="B296" t="inlineStr">
        <is>
          <t>Eastlink Developments</t>
        </is>
      </c>
      <c r="C296" t="inlineStr">
        <is>
          <t>ST</t>
        </is>
      </c>
      <c r="D296" s="9" t="n">
        <v>95</v>
      </c>
      <c r="E296">
        <f>SUMIFS('Hire Cycles'!$F$5:$F$1069,'Hire Cycles'!$A$5:$A$1069,A296,'Hire Cycles'!$B$5:$B$1069,C296,'Hire Cycles'!$G$5:$G$1069,1)</f>
        <v>12</v>
      </c>
      <c r="F296">
        <f>SUMIFS('Invoice Lines'!$J$5:$J$2542,'Invoice Lines'!$H$5:$H$2542,A296,'Invoice Lines'!$Q$5:$Q$2542,"HIRE-"&amp;C296,'Invoice Lines'!$M$5:$M$2542,1,'Invoice Lines'!$K$5:$K$2542,"&gt;0")</f>
        <v>12</v>
      </c>
      <c r="G296">
        <f>E296-F296</f>
        <v>0</v>
      </c>
      <c r="H296" s="9">
        <f>ROUND(G296*D296,2)</f>
        <v>0</v>
      </c>
      <c r="I296" s="9">
        <f>SUMIFS('Invoice Lines'!$K$5:$K$2542,'Invoice Lines'!$H$5:$H$2542,A296,'Invoice Lines'!$Q$5:$Q$2542,"HIRE-"&amp;C296,'Invoice Lines'!$M$5:$M$2542,1,'Invoice Lines'!$K$5:$K$2542,"&lt;0")</f>
        <v>0</v>
      </c>
      <c r="J296" t="n">
        <v>0</v>
      </c>
      <c r="K296" t="str">
        <f>IF(G296&gt;0,"Under-billed",IF(G296&lt;0,"Over-billed","Agrees"))</f>
        <v>Agrees</v>
      </c>
      <c r="L296" t="inlineStr"/>
    </row>
    <row r="297">
      <c r="A297" t="inlineStr">
        <is>
          <t>S0243</t>
        </is>
      </c>
      <c r="B297" t="inlineStr">
        <is>
          <t>Mia Walker</t>
        </is>
      </c>
      <c r="C297" t="inlineStr">
        <is>
          <t>ST</t>
        </is>
      </c>
      <c r="D297" s="9" t="n">
        <v>95</v>
      </c>
      <c r="E297">
        <f>SUMIFS('Hire Cycles'!$F$5:$F$1069,'Hire Cycles'!$A$5:$A$1069,A297,'Hire Cycles'!$B$5:$B$1069,C297,'Hire Cycles'!$G$5:$G$1069,1)</f>
        <v>14</v>
      </c>
      <c r="F297">
        <f>SUMIFS('Invoice Lines'!$J$5:$J$2542,'Invoice Lines'!$H$5:$H$2542,A297,'Invoice Lines'!$Q$5:$Q$2542,"HIRE-"&amp;C297,'Invoice Lines'!$M$5:$M$2542,1,'Invoice Lines'!$K$5:$K$2542,"&gt;0")</f>
        <v>14</v>
      </c>
      <c r="G297">
        <f>E297-F297</f>
        <v>0</v>
      </c>
      <c r="H297" s="9">
        <f>ROUND(G297*D297,2)</f>
        <v>0</v>
      </c>
      <c r="I297" s="9">
        <f>SUMIFS('Invoice Lines'!$K$5:$K$2542,'Invoice Lines'!$H$5:$H$2542,A297,'Invoice Lines'!$Q$5:$Q$2542,"HIRE-"&amp;C297,'Invoice Lines'!$M$5:$M$2542,1,'Invoice Lines'!$K$5:$K$2542,"&lt;0")</f>
        <v>0</v>
      </c>
      <c r="J297" t="n">
        <v>0</v>
      </c>
      <c r="K297" t="str">
        <f>IF(G297&gt;0,"Under-billed",IF(G297&lt;0,"Over-billed","Agrees"))</f>
        <v>Agrees</v>
      </c>
      <c r="L297" t="inlineStr"/>
    </row>
    <row r="298">
      <c r="A298" t="inlineStr">
        <is>
          <t>S0244</t>
        </is>
      </c>
      <c r="B298" t="inlineStr">
        <is>
          <t>Juniper Developments Pty Ltd</t>
        </is>
      </c>
      <c r="C298" t="inlineStr">
        <is>
          <t>ST</t>
        </is>
      </c>
      <c r="D298" s="9" t="n">
        <v>95</v>
      </c>
      <c r="E298">
        <f>SUMIFS('Hire Cycles'!$F$5:$F$1069,'Hire Cycles'!$A$5:$A$1069,A298,'Hire Cycles'!$B$5:$B$1069,C298,'Hire Cycles'!$G$5:$G$1069,1)</f>
        <v>7</v>
      </c>
      <c r="F298">
        <f>SUMIFS('Invoice Lines'!$J$5:$J$2542,'Invoice Lines'!$H$5:$H$2542,A298,'Invoice Lines'!$Q$5:$Q$2542,"HIRE-"&amp;C298,'Invoice Lines'!$M$5:$M$2542,1,'Invoice Lines'!$K$5:$K$2542,"&gt;0")</f>
        <v>7</v>
      </c>
      <c r="G298">
        <f>E298-F298</f>
        <v>0</v>
      </c>
      <c r="H298" s="9">
        <f>ROUND(G298*D298,2)</f>
        <v>0</v>
      </c>
      <c r="I298" s="9">
        <f>SUMIFS('Invoice Lines'!$K$5:$K$2542,'Invoice Lines'!$H$5:$H$2542,A298,'Invoice Lines'!$Q$5:$Q$2542,"HIRE-"&amp;C298,'Invoice Lines'!$M$5:$M$2542,1,'Invoice Lines'!$K$5:$K$2542,"&lt;0")</f>
        <v>0</v>
      </c>
      <c r="J298" t="n">
        <v>0</v>
      </c>
      <c r="K298" t="str">
        <f>IF(G298&gt;0,"Under-billed",IF(G298&lt;0,"Over-billed","Agrees"))</f>
        <v>Agrees</v>
      </c>
      <c r="L298" t="inlineStr"/>
    </row>
    <row r="299">
      <c r="A299" t="inlineStr">
        <is>
          <t>S0245</t>
        </is>
      </c>
      <c r="B299" t="inlineStr">
        <is>
          <t>Priya Walker</t>
        </is>
      </c>
      <c r="C299" t="inlineStr">
        <is>
          <t>ST</t>
        </is>
      </c>
      <c r="D299" s="9" t="n">
        <v>95</v>
      </c>
      <c r="E299">
        <f>SUMIFS('Hire Cycles'!$F$5:$F$1069,'Hire Cycles'!$A$5:$A$1069,A299,'Hire Cycles'!$B$5:$B$1069,C299,'Hire Cycles'!$G$5:$G$1069,1)</f>
        <v>36</v>
      </c>
      <c r="F299">
        <f>SUMIFS('Invoice Lines'!$J$5:$J$2542,'Invoice Lines'!$H$5:$H$2542,A299,'Invoice Lines'!$Q$5:$Q$2542,"HIRE-"&amp;C299,'Invoice Lines'!$M$5:$M$2542,1,'Invoice Lines'!$K$5:$K$2542,"&gt;0")</f>
        <v>20</v>
      </c>
      <c r="G299">
        <f>E299-F299</f>
        <v>16</v>
      </c>
      <c r="H299" s="9">
        <f>ROUND(G299*D299,2)</f>
        <v>1520</v>
      </c>
      <c r="I299" s="9">
        <f>SUMIFS('Invoice Lines'!$K$5:$K$2542,'Invoice Lines'!$H$5:$H$2542,A299,'Invoice Lines'!$Q$5:$Q$2542,"HIRE-"&amp;C299,'Invoice Lines'!$M$5:$M$2542,1,'Invoice Lines'!$K$5:$K$2542,"&lt;0")</f>
        <v>0</v>
      </c>
      <c r="J299" t="n">
        <v>0</v>
      </c>
      <c r="K299" t="str">
        <f>IF(G299&gt;0,"Under-billed",IF(G299&lt;0,"Over-billed","Agrees"))</f>
        <v>Under-billed</v>
      </c>
      <c r="L299" t="inlineStr"/>
    </row>
    <row r="300">
      <c r="A300" t="inlineStr">
        <is>
          <t>S0246</t>
        </is>
      </c>
      <c r="B300" t="inlineStr">
        <is>
          <t>Bluegum Body Corporate Pty Ltd</t>
        </is>
      </c>
      <c r="C300" t="inlineStr">
        <is>
          <t>ST</t>
        </is>
      </c>
      <c r="D300" s="9" t="n">
        <v>95</v>
      </c>
      <c r="E300">
        <f>SUMIFS('Hire Cycles'!$F$5:$F$1069,'Hire Cycles'!$A$5:$A$1069,A300,'Hire Cycles'!$B$5:$B$1069,C300,'Hire Cycles'!$G$5:$G$1069,1)</f>
        <v>28</v>
      </c>
      <c r="F300">
        <f>SUMIFS('Invoice Lines'!$J$5:$J$2542,'Invoice Lines'!$H$5:$H$2542,A300,'Invoice Lines'!$Q$5:$Q$2542,"HIRE-"&amp;C300,'Invoice Lines'!$M$5:$M$2542,1,'Invoice Lines'!$K$5:$K$2542,"&gt;0")</f>
        <v>28</v>
      </c>
      <c r="G300">
        <f>E300-F300</f>
        <v>0</v>
      </c>
      <c r="H300" s="9">
        <f>ROUND(G300*D300,2)</f>
        <v>0</v>
      </c>
      <c r="I300" s="9">
        <f>SUMIFS('Invoice Lines'!$K$5:$K$2542,'Invoice Lines'!$H$5:$H$2542,A300,'Invoice Lines'!$Q$5:$Q$2542,"HIRE-"&amp;C300,'Invoice Lines'!$M$5:$M$2542,1,'Invoice Lines'!$K$5:$K$2542,"&lt;0")</f>
        <v>0</v>
      </c>
      <c r="J300" t="n">
        <v>0</v>
      </c>
      <c r="K300" t="str">
        <f>IF(G300&gt;0,"Under-billed",IF(G300&lt;0,"Over-billed","Agrees"))</f>
        <v>Agrees</v>
      </c>
      <c r="L300" t="inlineStr"/>
    </row>
    <row r="301">
      <c r="A301" t="inlineStr">
        <is>
          <t>S0247</t>
        </is>
      </c>
      <c r="B301" t="inlineStr">
        <is>
          <t>Harbor Strata Management</t>
        </is>
      </c>
      <c r="C301" t="inlineStr">
        <is>
          <t>ST</t>
        </is>
      </c>
      <c r="D301" s="9" t="n">
        <v>95</v>
      </c>
      <c r="E301">
        <f>SUMIFS('Hire Cycles'!$F$5:$F$1069,'Hire Cycles'!$A$5:$A$1069,A301,'Hire Cycles'!$B$5:$B$1069,C301,'Hire Cycles'!$G$5:$G$1069,1)</f>
        <v>34</v>
      </c>
      <c r="F301">
        <f>SUMIFS('Invoice Lines'!$J$5:$J$2542,'Invoice Lines'!$H$5:$H$2542,A301,'Invoice Lines'!$Q$5:$Q$2542,"HIRE-"&amp;C301,'Invoice Lines'!$M$5:$M$2542,1,'Invoice Lines'!$K$5:$K$2542,"&gt;0")</f>
        <v>34</v>
      </c>
      <c r="G301">
        <f>E301-F301</f>
        <v>0</v>
      </c>
      <c r="H301" s="9">
        <f>ROUND(G301*D301,2)</f>
        <v>0</v>
      </c>
      <c r="I301" s="9">
        <f>SUMIFS('Invoice Lines'!$K$5:$K$2542,'Invoice Lines'!$H$5:$H$2542,A301,'Invoice Lines'!$Q$5:$Q$2542,"HIRE-"&amp;C301,'Invoice Lines'!$M$5:$M$2542,1,'Invoice Lines'!$K$5:$K$2542,"&lt;0")</f>
        <v>0</v>
      </c>
      <c r="J301" t="n">
        <v>0</v>
      </c>
      <c r="K301" t="str">
        <f>IF(G301&gt;0,"Under-billed",IF(G301&lt;0,"Over-billed","Agrees"))</f>
        <v>Agrees</v>
      </c>
      <c r="L301" t="inlineStr"/>
    </row>
    <row r="302">
      <c r="A302" t="inlineStr">
        <is>
          <t>S0248</t>
        </is>
      </c>
      <c r="B302" t="inlineStr">
        <is>
          <t>Metro Projects Pty Ltd</t>
        </is>
      </c>
      <c r="C302" t="inlineStr">
        <is>
          <t>ST</t>
        </is>
      </c>
      <c r="D302" s="9" t="n">
        <v>95</v>
      </c>
      <c r="E302">
        <f>SUMIFS('Hire Cycles'!$F$5:$F$1069,'Hire Cycles'!$A$5:$A$1069,A302,'Hire Cycles'!$B$5:$B$1069,C302,'Hire Cycles'!$G$5:$G$1069,1)</f>
        <v>18</v>
      </c>
      <c r="F302">
        <f>SUMIFS('Invoice Lines'!$J$5:$J$2542,'Invoice Lines'!$H$5:$H$2542,A302,'Invoice Lines'!$Q$5:$Q$2542,"HIRE-"&amp;C302,'Invoice Lines'!$M$5:$M$2542,1,'Invoice Lines'!$K$5:$K$2542,"&gt;0")</f>
        <v>18</v>
      </c>
      <c r="G302">
        <f>E302-F302</f>
        <v>0</v>
      </c>
      <c r="H302" s="9">
        <f>ROUND(G302*D302,2)</f>
        <v>0</v>
      </c>
      <c r="I302" s="9">
        <f>SUMIFS('Invoice Lines'!$K$5:$K$2542,'Invoice Lines'!$H$5:$H$2542,A302,'Invoice Lines'!$Q$5:$Q$2542,"HIRE-"&amp;C302,'Invoice Lines'!$M$5:$M$2542,1,'Invoice Lines'!$K$5:$K$2542,"&lt;0")</f>
        <v>0</v>
      </c>
      <c r="J302" t="n">
        <v>0</v>
      </c>
      <c r="K302" t="str">
        <f>IF(G302&gt;0,"Under-billed",IF(G302&lt;0,"Over-billed","Agrees"))</f>
        <v>Agrees</v>
      </c>
      <c r="L302" t="inlineStr"/>
    </row>
    <row r="303">
      <c r="A303" t="inlineStr">
        <is>
          <t>S0249</t>
        </is>
      </c>
      <c r="B303" t="inlineStr">
        <is>
          <t>Arjun Rossi</t>
        </is>
      </c>
      <c r="C303" t="inlineStr">
        <is>
          <t>ST</t>
        </is>
      </c>
      <c r="D303" s="9" t="n">
        <v>95</v>
      </c>
      <c r="E303">
        <f>SUMIFS('Hire Cycles'!$F$5:$F$1069,'Hire Cycles'!$A$5:$A$1069,A303,'Hire Cycles'!$B$5:$B$1069,C303,'Hire Cycles'!$G$5:$G$1069,1)</f>
        <v>4</v>
      </c>
      <c r="F303">
        <f>SUMIFS('Invoice Lines'!$J$5:$J$2542,'Invoice Lines'!$H$5:$H$2542,A303,'Invoice Lines'!$Q$5:$Q$2542,"HIRE-"&amp;C303,'Invoice Lines'!$M$5:$M$2542,1,'Invoice Lines'!$K$5:$K$2542,"&gt;0")</f>
        <v>4</v>
      </c>
      <c r="G303">
        <f>E303-F303</f>
        <v>0</v>
      </c>
      <c r="H303" s="9">
        <f>ROUND(G303*D303,2)</f>
        <v>0</v>
      </c>
      <c r="I303" s="9">
        <f>SUMIFS('Invoice Lines'!$K$5:$K$2542,'Invoice Lines'!$H$5:$H$2542,A303,'Invoice Lines'!$Q$5:$Q$2542,"HIRE-"&amp;C303,'Invoice Lines'!$M$5:$M$2542,1,'Invoice Lines'!$K$5:$K$2542,"&lt;0")</f>
        <v>0</v>
      </c>
      <c r="J303" t="n">
        <v>0</v>
      </c>
      <c r="K303" t="str">
        <f>IF(G303&gt;0,"Under-billed",IF(G303&lt;0,"Over-billed","Agrees"))</f>
        <v>Agrees</v>
      </c>
      <c r="L303" t="inlineStr"/>
    </row>
    <row r="304">
      <c r="A304" t="inlineStr">
        <is>
          <t>S0250</t>
        </is>
      </c>
      <c r="B304" t="inlineStr">
        <is>
          <t>Arjun Smith</t>
        </is>
      </c>
      <c r="C304" t="inlineStr">
        <is>
          <t>ST</t>
        </is>
      </c>
      <c r="D304" s="9" t="n">
        <v>95</v>
      </c>
      <c r="E304">
        <f>SUMIFS('Hire Cycles'!$F$5:$F$1069,'Hire Cycles'!$A$5:$A$1069,A304,'Hire Cycles'!$B$5:$B$1069,C304,'Hire Cycles'!$G$5:$G$1069,1)</f>
        <v>3</v>
      </c>
      <c r="F304">
        <f>SUMIFS('Invoice Lines'!$J$5:$J$2542,'Invoice Lines'!$H$5:$H$2542,A304,'Invoice Lines'!$Q$5:$Q$2542,"HIRE-"&amp;C304,'Invoice Lines'!$M$5:$M$2542,1,'Invoice Lines'!$K$5:$K$2542,"&gt;0")</f>
        <v>3</v>
      </c>
      <c r="G304">
        <f>E304-F304</f>
        <v>0</v>
      </c>
      <c r="H304" s="9">
        <f>ROUND(G304*D304,2)</f>
        <v>0</v>
      </c>
      <c r="I304" s="9">
        <f>SUMIFS('Invoice Lines'!$K$5:$K$2542,'Invoice Lines'!$H$5:$H$2542,A304,'Invoice Lines'!$Q$5:$Q$2542,"HIRE-"&amp;C304,'Invoice Lines'!$M$5:$M$2542,1,'Invoice Lines'!$K$5:$K$2542,"&lt;0")</f>
        <v>0</v>
      </c>
      <c r="J304" t="n">
        <v>0</v>
      </c>
      <c r="K304" t="str">
        <f>IF(G304&gt;0,"Under-billed",IF(G304&lt;0,"Over-billed","Agrees"))</f>
        <v>Agrees</v>
      </c>
      <c r="L304" t="inlineStr"/>
    </row>
    <row r="305">
      <c r="A305" t="inlineStr">
        <is>
          <t>S0251</t>
        </is>
      </c>
      <c r="B305" t="inlineStr">
        <is>
          <t>Granite Constructions</t>
        </is>
      </c>
      <c r="C305" t="inlineStr">
        <is>
          <t>ST</t>
        </is>
      </c>
      <c r="D305" s="9" t="n">
        <v>95</v>
      </c>
      <c r="E305">
        <f>SUMIFS('Hire Cycles'!$F$5:$F$1069,'Hire Cycles'!$A$5:$A$1069,A305,'Hire Cycles'!$B$5:$B$1069,C305,'Hire Cycles'!$G$5:$G$1069,1)</f>
        <v>17</v>
      </c>
      <c r="F305">
        <f>SUMIFS('Invoice Lines'!$J$5:$J$2542,'Invoice Lines'!$H$5:$H$2542,A305,'Invoice Lines'!$Q$5:$Q$2542,"HIRE-"&amp;C305,'Invoice Lines'!$M$5:$M$2542,1,'Invoice Lines'!$K$5:$K$2542,"&gt;0")</f>
        <v>13</v>
      </c>
      <c r="G305">
        <f>E305-F305</f>
        <v>4</v>
      </c>
      <c r="H305" s="9">
        <f>ROUND(G305*D305,2)</f>
        <v>380</v>
      </c>
      <c r="I305" s="9">
        <f>SUMIFS('Invoice Lines'!$K$5:$K$2542,'Invoice Lines'!$H$5:$H$2542,A305,'Invoice Lines'!$Q$5:$Q$2542,"HIRE-"&amp;C305,'Invoice Lines'!$M$5:$M$2542,1,'Invoice Lines'!$K$5:$K$2542,"&lt;0")</f>
        <v>0</v>
      </c>
      <c r="J305" t="n">
        <v>0</v>
      </c>
      <c r="K305" t="str">
        <f>IF(G305&gt;0,"Under-billed",IF(G305&lt;0,"Over-billed","Agrees"))</f>
        <v>Under-billed</v>
      </c>
      <c r="L305" t="inlineStr"/>
    </row>
    <row r="306">
      <c r="A306" t="inlineStr">
        <is>
          <t>S0252</t>
        </is>
      </c>
      <c r="B306" t="inlineStr">
        <is>
          <t>Westside Strata Management Pty Ltd</t>
        </is>
      </c>
      <c r="C306" t="inlineStr">
        <is>
          <t>ST</t>
        </is>
      </c>
      <c r="D306" s="9" t="n">
        <v>95</v>
      </c>
      <c r="E306">
        <f>SUMIFS('Hire Cycles'!$F$5:$F$1069,'Hire Cycles'!$A$5:$A$1069,A306,'Hire Cycles'!$B$5:$B$1069,C306,'Hire Cycles'!$G$5:$G$1069,1)</f>
        <v>9</v>
      </c>
      <c r="F306">
        <f>SUMIFS('Invoice Lines'!$J$5:$J$2542,'Invoice Lines'!$H$5:$H$2542,A306,'Invoice Lines'!$Q$5:$Q$2542,"HIRE-"&amp;C306,'Invoice Lines'!$M$5:$M$2542,1,'Invoice Lines'!$K$5:$K$2542,"&gt;0")</f>
        <v>9</v>
      </c>
      <c r="G306">
        <f>E306-F306</f>
        <v>0</v>
      </c>
      <c r="H306" s="9">
        <f>ROUND(G306*D306,2)</f>
        <v>0</v>
      </c>
      <c r="I306" s="9">
        <f>SUMIFS('Invoice Lines'!$K$5:$K$2542,'Invoice Lines'!$H$5:$H$2542,A306,'Invoice Lines'!$Q$5:$Q$2542,"HIRE-"&amp;C306,'Invoice Lines'!$M$5:$M$2542,1,'Invoice Lines'!$K$5:$K$2542,"&lt;0")</f>
        <v>0</v>
      </c>
      <c r="J306" t="n">
        <v>0</v>
      </c>
      <c r="K306" t="str">
        <f>IF(G306&gt;0,"Under-billed",IF(G306&lt;0,"Over-billed","Agrees"))</f>
        <v>Agrees</v>
      </c>
      <c r="L306" t="inlineStr"/>
    </row>
    <row r="307">
      <c r="A307" t="inlineStr">
        <is>
          <t>S0253</t>
        </is>
      </c>
      <c r="B307" t="inlineStr">
        <is>
          <t>Grace Kelly</t>
        </is>
      </c>
      <c r="C307" t="inlineStr">
        <is>
          <t>ST</t>
        </is>
      </c>
      <c r="D307" s="9" t="n">
        <v>95</v>
      </c>
      <c r="E307">
        <f>SUMIFS('Hire Cycles'!$F$5:$F$1069,'Hire Cycles'!$A$5:$A$1069,A307,'Hire Cycles'!$B$5:$B$1069,C307,'Hire Cycles'!$G$5:$G$1069,1)</f>
        <v>21</v>
      </c>
      <c r="F307">
        <f>SUMIFS('Invoice Lines'!$J$5:$J$2542,'Invoice Lines'!$H$5:$H$2542,A307,'Invoice Lines'!$Q$5:$Q$2542,"HIRE-"&amp;C307,'Invoice Lines'!$M$5:$M$2542,1,'Invoice Lines'!$K$5:$K$2542,"&gt;0")</f>
        <v>21</v>
      </c>
      <c r="G307">
        <f>E307-F307</f>
        <v>0</v>
      </c>
      <c r="H307" s="9">
        <f>ROUND(G307*D307,2)</f>
        <v>0</v>
      </c>
      <c r="I307" s="9">
        <f>SUMIFS('Invoice Lines'!$K$5:$K$2542,'Invoice Lines'!$H$5:$H$2542,A307,'Invoice Lines'!$Q$5:$Q$2542,"HIRE-"&amp;C307,'Invoice Lines'!$M$5:$M$2542,1,'Invoice Lines'!$K$5:$K$2542,"&lt;0")</f>
        <v>0</v>
      </c>
      <c r="J307" t="n">
        <v>0</v>
      </c>
      <c r="K307" t="str">
        <f>IF(G307&gt;0,"Under-billed",IF(G307&lt;0,"Over-billed","Agrees"))</f>
        <v>Agrees</v>
      </c>
      <c r="L307" t="inlineStr"/>
    </row>
    <row r="308">
      <c r="A308" t="inlineStr">
        <is>
          <t>S0254</t>
        </is>
      </c>
      <c r="B308" t="inlineStr">
        <is>
          <t>Northgate Building Group</t>
        </is>
      </c>
      <c r="C308" t="inlineStr">
        <is>
          <t>ST</t>
        </is>
      </c>
      <c r="D308" s="9" t="n">
        <v>95</v>
      </c>
      <c r="E308">
        <f>SUMIFS('Hire Cycles'!$F$5:$F$1069,'Hire Cycles'!$A$5:$A$1069,A308,'Hire Cycles'!$B$5:$B$1069,C308,'Hire Cycles'!$G$5:$G$1069,1)</f>
        <v>14</v>
      </c>
      <c r="F308">
        <f>SUMIFS('Invoice Lines'!$J$5:$J$2542,'Invoice Lines'!$H$5:$H$2542,A308,'Invoice Lines'!$Q$5:$Q$2542,"HIRE-"&amp;C308,'Invoice Lines'!$M$5:$M$2542,1,'Invoice Lines'!$K$5:$K$2542,"&gt;0")</f>
        <v>14</v>
      </c>
      <c r="G308">
        <f>E308-F308</f>
        <v>0</v>
      </c>
      <c r="H308" s="9">
        <f>ROUND(G308*D308,2)</f>
        <v>0</v>
      </c>
      <c r="I308" s="9">
        <f>SUMIFS('Invoice Lines'!$K$5:$K$2542,'Invoice Lines'!$H$5:$H$2542,A308,'Invoice Lines'!$Q$5:$Q$2542,"HIRE-"&amp;C308,'Invoice Lines'!$M$5:$M$2542,1,'Invoice Lines'!$K$5:$K$2542,"&lt;0")</f>
        <v>0</v>
      </c>
      <c r="J308" t="n">
        <v>0</v>
      </c>
      <c r="K308" t="str">
        <f>IF(G308&gt;0,"Under-billed",IF(G308&lt;0,"Over-billed","Agrees"))</f>
        <v>Agrees</v>
      </c>
      <c r="L308" t="inlineStr"/>
    </row>
    <row r="309">
      <c r="A309" t="inlineStr">
        <is>
          <t>S0255</t>
        </is>
      </c>
      <c r="B309" t="inlineStr">
        <is>
          <t>Norfolk Constructions Pty Ltd</t>
        </is>
      </c>
      <c r="C309" t="inlineStr">
        <is>
          <t>ST</t>
        </is>
      </c>
      <c r="D309" s="9" t="n">
        <v>95</v>
      </c>
      <c r="E309">
        <f>SUMIFS('Hire Cycles'!$F$5:$F$1069,'Hire Cycles'!$A$5:$A$1069,A309,'Hire Cycles'!$B$5:$B$1069,C309,'Hire Cycles'!$G$5:$G$1069,1)</f>
        <v>9</v>
      </c>
      <c r="F309">
        <f>SUMIFS('Invoice Lines'!$J$5:$J$2542,'Invoice Lines'!$H$5:$H$2542,A309,'Invoice Lines'!$Q$5:$Q$2542,"HIRE-"&amp;C309,'Invoice Lines'!$M$5:$M$2542,1,'Invoice Lines'!$K$5:$K$2542,"&gt;0")</f>
        <v>9</v>
      </c>
      <c r="G309">
        <f>E309-F309</f>
        <v>0</v>
      </c>
      <c r="H309" s="9">
        <f>ROUND(G309*D309,2)</f>
        <v>0</v>
      </c>
      <c r="I309" s="9">
        <f>SUMIFS('Invoice Lines'!$K$5:$K$2542,'Invoice Lines'!$H$5:$H$2542,A309,'Invoice Lines'!$Q$5:$Q$2542,"HIRE-"&amp;C309,'Invoice Lines'!$M$5:$M$2542,1,'Invoice Lines'!$K$5:$K$2542,"&lt;0")</f>
        <v>0</v>
      </c>
      <c r="J309" t="n">
        <v>0</v>
      </c>
      <c r="K309" t="str">
        <f>IF(G309&gt;0,"Under-billed",IF(G309&lt;0,"Over-billed","Agrees"))</f>
        <v>Agrees</v>
      </c>
      <c r="L309" t="inlineStr"/>
    </row>
    <row r="310">
      <c r="A310" t="inlineStr">
        <is>
          <t>S0256</t>
        </is>
      </c>
      <c r="B310" t="inlineStr">
        <is>
          <t>Southbank Body Corporate Pty Ltd</t>
        </is>
      </c>
      <c r="C310" t="inlineStr">
        <is>
          <t>ST</t>
        </is>
      </c>
      <c r="D310" s="9" t="n">
        <v>95</v>
      </c>
      <c r="E310">
        <f>SUMIFS('Hire Cycles'!$F$5:$F$1069,'Hire Cycles'!$A$5:$A$1069,A310,'Hire Cycles'!$B$5:$B$1069,C310,'Hire Cycles'!$G$5:$G$1069,1)</f>
        <v>14</v>
      </c>
      <c r="F310">
        <f>SUMIFS('Invoice Lines'!$J$5:$J$2542,'Invoice Lines'!$H$5:$H$2542,A310,'Invoice Lines'!$Q$5:$Q$2542,"HIRE-"&amp;C310,'Invoice Lines'!$M$5:$M$2542,1,'Invoice Lines'!$K$5:$K$2542,"&gt;0")</f>
        <v>14</v>
      </c>
      <c r="G310">
        <f>E310-F310</f>
        <v>0</v>
      </c>
      <c r="H310" s="9">
        <f>ROUND(G310*D310,2)</f>
        <v>0</v>
      </c>
      <c r="I310" s="9">
        <f>SUMIFS('Invoice Lines'!$K$5:$K$2542,'Invoice Lines'!$H$5:$H$2542,A310,'Invoice Lines'!$Q$5:$Q$2542,"HIRE-"&amp;C310,'Invoice Lines'!$M$5:$M$2542,1,'Invoice Lines'!$K$5:$K$2542,"&lt;0")</f>
        <v>0</v>
      </c>
      <c r="J310" t="n">
        <v>0</v>
      </c>
      <c r="K310" t="str">
        <f>IF(G310&gt;0,"Under-billed",IF(G310&lt;0,"Over-billed","Agrees"))</f>
        <v>Agrees</v>
      </c>
      <c r="L310" t="inlineStr"/>
    </row>
    <row r="311">
      <c r="A311" t="inlineStr">
        <is>
          <t>S0257</t>
        </is>
      </c>
      <c r="B311" t="inlineStr">
        <is>
          <t>Ethan Walker</t>
        </is>
      </c>
      <c r="C311" t="inlineStr">
        <is>
          <t>ST</t>
        </is>
      </c>
      <c r="D311" s="9" t="n">
        <v>95</v>
      </c>
      <c r="E311">
        <f>SUMIFS('Hire Cycles'!$F$5:$F$1069,'Hire Cycles'!$A$5:$A$1069,A311,'Hire Cycles'!$B$5:$B$1069,C311,'Hire Cycles'!$G$5:$G$1069,1)</f>
        <v>12</v>
      </c>
      <c r="F311">
        <f>SUMIFS('Invoice Lines'!$J$5:$J$2542,'Invoice Lines'!$H$5:$H$2542,A311,'Invoice Lines'!$Q$5:$Q$2542,"HIRE-"&amp;C311,'Invoice Lines'!$M$5:$M$2542,1,'Invoice Lines'!$K$5:$K$2542,"&gt;0")</f>
        <v>12</v>
      </c>
      <c r="G311">
        <f>E311-F311</f>
        <v>0</v>
      </c>
      <c r="H311" s="9">
        <f>ROUND(G311*D311,2)</f>
        <v>0</v>
      </c>
      <c r="I311" s="9">
        <f>SUMIFS('Invoice Lines'!$K$5:$K$2542,'Invoice Lines'!$H$5:$H$2542,A311,'Invoice Lines'!$Q$5:$Q$2542,"HIRE-"&amp;C311,'Invoice Lines'!$M$5:$M$2542,1,'Invoice Lines'!$K$5:$K$2542,"&lt;0")</f>
        <v>0</v>
      </c>
      <c r="J311" t="n">
        <v>0</v>
      </c>
      <c r="K311" t="str">
        <f>IF(G311&gt;0,"Under-billed",IF(G311&lt;0,"Over-billed","Agrees"))</f>
        <v>Agrees</v>
      </c>
      <c r="L311" t="inlineStr"/>
    </row>
    <row r="312">
      <c r="A312" t="inlineStr">
        <is>
          <t>S0258</t>
        </is>
      </c>
      <c r="B312" t="inlineStr">
        <is>
          <t>Noah Singh</t>
        </is>
      </c>
      <c r="C312" t="inlineStr">
        <is>
          <t>ST</t>
        </is>
      </c>
      <c r="D312" s="9" t="n">
        <v>95</v>
      </c>
      <c r="E312">
        <f>SUMIFS('Hire Cycles'!$F$5:$F$1069,'Hire Cycles'!$A$5:$A$1069,A312,'Hire Cycles'!$B$5:$B$1069,C312,'Hire Cycles'!$G$5:$G$1069,1)</f>
        <v>26</v>
      </c>
      <c r="F312">
        <f>SUMIFS('Invoice Lines'!$J$5:$J$2542,'Invoice Lines'!$H$5:$H$2542,A312,'Invoice Lines'!$Q$5:$Q$2542,"HIRE-"&amp;C312,'Invoice Lines'!$M$5:$M$2542,1,'Invoice Lines'!$K$5:$K$2542,"&gt;0")</f>
        <v>26</v>
      </c>
      <c r="G312">
        <f>E312-F312</f>
        <v>0</v>
      </c>
      <c r="H312" s="9">
        <f>ROUND(G312*D312,2)</f>
        <v>0</v>
      </c>
      <c r="I312" s="9">
        <f>SUMIFS('Invoice Lines'!$K$5:$K$2542,'Invoice Lines'!$H$5:$H$2542,A312,'Invoice Lines'!$Q$5:$Q$2542,"HIRE-"&amp;C312,'Invoice Lines'!$M$5:$M$2542,1,'Invoice Lines'!$K$5:$K$2542,"&lt;0")</f>
        <v>0</v>
      </c>
      <c r="J312" t="n">
        <v>0</v>
      </c>
      <c r="K312" t="str">
        <f>IF(G312&gt;0,"Under-billed",IF(G312&lt;0,"Over-billed","Agrees"))</f>
        <v>Agrees</v>
      </c>
      <c r="L312" t="inlineStr"/>
    </row>
    <row r="313">
      <c r="A313" t="inlineStr">
        <is>
          <t>S0259</t>
        </is>
      </c>
      <c r="B313" t="inlineStr">
        <is>
          <t>Fairway Owners Corporation Services</t>
        </is>
      </c>
      <c r="C313" t="inlineStr">
        <is>
          <t>ST</t>
        </is>
      </c>
      <c r="D313" s="9" t="n">
        <v>95</v>
      </c>
      <c r="E313">
        <f>SUMIFS('Hire Cycles'!$F$5:$F$1069,'Hire Cycles'!$A$5:$A$1069,A313,'Hire Cycles'!$B$5:$B$1069,C313,'Hire Cycles'!$G$5:$G$1069,1)</f>
        <v>6</v>
      </c>
      <c r="F313">
        <f>SUMIFS('Invoice Lines'!$J$5:$J$2542,'Invoice Lines'!$H$5:$H$2542,A313,'Invoice Lines'!$Q$5:$Q$2542,"HIRE-"&amp;C313,'Invoice Lines'!$M$5:$M$2542,1,'Invoice Lines'!$K$5:$K$2542,"&gt;0")</f>
        <v>6</v>
      </c>
      <c r="G313">
        <f>E313-F313</f>
        <v>0</v>
      </c>
      <c r="H313" s="9">
        <f>ROUND(G313*D313,2)</f>
        <v>0</v>
      </c>
      <c r="I313" s="9">
        <f>SUMIFS('Invoice Lines'!$K$5:$K$2542,'Invoice Lines'!$H$5:$H$2542,A313,'Invoice Lines'!$Q$5:$Q$2542,"HIRE-"&amp;C313,'Invoice Lines'!$M$5:$M$2542,1,'Invoice Lines'!$K$5:$K$2542,"&lt;0")</f>
        <v>0</v>
      </c>
      <c r="J313" t="n">
        <v>0</v>
      </c>
      <c r="K313" t="str">
        <f>IF(G313&gt;0,"Under-billed",IF(G313&lt;0,"Over-billed","Agrees"))</f>
        <v>Agrees</v>
      </c>
      <c r="L313" t="inlineStr"/>
    </row>
    <row r="314">
      <c r="A314" t="inlineStr">
        <is>
          <t>S0260</t>
        </is>
      </c>
      <c r="B314" t="inlineStr">
        <is>
          <t>Ella Wilson</t>
        </is>
      </c>
      <c r="C314" t="inlineStr">
        <is>
          <t>ST</t>
        </is>
      </c>
      <c r="D314" s="9" t="n">
        <v>95</v>
      </c>
      <c r="E314">
        <f>SUMIFS('Hire Cycles'!$F$5:$F$1069,'Hire Cycles'!$A$5:$A$1069,A314,'Hire Cycles'!$B$5:$B$1069,C314,'Hire Cycles'!$G$5:$G$1069,1)</f>
        <v>4</v>
      </c>
      <c r="F314">
        <f>SUMIFS('Invoice Lines'!$J$5:$J$2542,'Invoice Lines'!$H$5:$H$2542,A314,'Invoice Lines'!$Q$5:$Q$2542,"HIRE-"&amp;C314,'Invoice Lines'!$M$5:$M$2542,1,'Invoice Lines'!$K$5:$K$2542,"&gt;0")</f>
        <v>4</v>
      </c>
      <c r="G314">
        <f>E314-F314</f>
        <v>0</v>
      </c>
      <c r="H314" s="9">
        <f>ROUND(G314*D314,2)</f>
        <v>0</v>
      </c>
      <c r="I314" s="9">
        <f>SUMIFS('Invoice Lines'!$K$5:$K$2542,'Invoice Lines'!$H$5:$H$2542,A314,'Invoice Lines'!$Q$5:$Q$2542,"HIRE-"&amp;C314,'Invoice Lines'!$M$5:$M$2542,1,'Invoice Lines'!$K$5:$K$2542,"&lt;0")</f>
        <v>0</v>
      </c>
      <c r="J314" t="n">
        <v>0</v>
      </c>
      <c r="K314" t="str">
        <f>IF(G314&gt;0,"Under-billed",IF(G314&lt;0,"Over-billed","Agrees"))</f>
        <v>Agrees</v>
      </c>
      <c r="L314" t="inlineStr"/>
    </row>
    <row r="315">
      <c r="A315" t="inlineStr">
        <is>
          <t>S0261</t>
        </is>
      </c>
      <c r="B315" t="inlineStr">
        <is>
          <t>Harbour Strata Management</t>
        </is>
      </c>
      <c r="C315" t="inlineStr">
        <is>
          <t>ST</t>
        </is>
      </c>
      <c r="D315" s="9" t="n">
        <v>95</v>
      </c>
      <c r="E315">
        <f>SUMIFS('Hire Cycles'!$F$5:$F$1069,'Hire Cycles'!$A$5:$A$1069,A315,'Hire Cycles'!$B$5:$B$1069,C315,'Hire Cycles'!$G$5:$G$1069,1)</f>
        <v>36</v>
      </c>
      <c r="F315">
        <f>SUMIFS('Invoice Lines'!$J$5:$J$2542,'Invoice Lines'!$H$5:$H$2542,A315,'Invoice Lines'!$Q$5:$Q$2542,"HIRE-"&amp;C315,'Invoice Lines'!$M$5:$M$2542,1,'Invoice Lines'!$K$5:$K$2542,"&gt;0")</f>
        <v>20</v>
      </c>
      <c r="G315">
        <f>E315-F315</f>
        <v>16</v>
      </c>
      <c r="H315" s="9">
        <f>ROUND(G315*D315,2)</f>
        <v>1520</v>
      </c>
      <c r="I315" s="9">
        <f>SUMIFS('Invoice Lines'!$K$5:$K$2542,'Invoice Lines'!$H$5:$H$2542,A315,'Invoice Lines'!$Q$5:$Q$2542,"HIRE-"&amp;C315,'Invoice Lines'!$M$5:$M$2542,1,'Invoice Lines'!$K$5:$K$2542,"&lt;0")</f>
        <v>0</v>
      </c>
      <c r="J315" t="n">
        <v>0</v>
      </c>
      <c r="K315" t="str">
        <f>IF(G315&gt;0,"Under-billed",IF(G315&lt;0,"Over-billed","Agrees"))</f>
        <v>Under-billed</v>
      </c>
      <c r="L315" t="inlineStr"/>
    </row>
    <row r="316">
      <c r="A316" t="inlineStr">
        <is>
          <t>S0262</t>
        </is>
      </c>
      <c r="B316" t="inlineStr">
        <is>
          <t>Highpoint Projects</t>
        </is>
      </c>
      <c r="C316" t="inlineStr">
        <is>
          <t>ST</t>
        </is>
      </c>
      <c r="D316" s="9" t="n">
        <v>95</v>
      </c>
      <c r="E316">
        <f>SUMIFS('Hire Cycles'!$F$5:$F$1069,'Hire Cycles'!$A$5:$A$1069,A316,'Hire Cycles'!$B$5:$B$1069,C316,'Hire Cycles'!$G$5:$G$1069,1)</f>
        <v>18</v>
      </c>
      <c r="F316">
        <f>SUMIFS('Invoice Lines'!$J$5:$J$2542,'Invoice Lines'!$H$5:$H$2542,A316,'Invoice Lines'!$Q$5:$Q$2542,"HIRE-"&amp;C316,'Invoice Lines'!$M$5:$M$2542,1,'Invoice Lines'!$K$5:$K$2542,"&gt;0")</f>
        <v>18</v>
      </c>
      <c r="G316">
        <f>E316-F316</f>
        <v>0</v>
      </c>
      <c r="H316" s="9">
        <f>ROUND(G316*D316,2)</f>
        <v>0</v>
      </c>
      <c r="I316" s="9">
        <f>SUMIFS('Invoice Lines'!$K$5:$K$2542,'Invoice Lines'!$H$5:$H$2542,A316,'Invoice Lines'!$Q$5:$Q$2542,"HIRE-"&amp;C316,'Invoice Lines'!$M$5:$M$2542,1,'Invoice Lines'!$K$5:$K$2542,"&lt;0")</f>
        <v>0</v>
      </c>
      <c r="J316" t="n">
        <v>0</v>
      </c>
      <c r="K316" t="str">
        <f>IF(G316&gt;0,"Under-billed",IF(G316&lt;0,"Over-billed","Agrees"))</f>
        <v>Agrees</v>
      </c>
      <c r="L316" t="inlineStr"/>
    </row>
    <row r="317">
      <c r="A317" t="inlineStr">
        <is>
          <t>S0263</t>
        </is>
      </c>
      <c r="B317" t="inlineStr">
        <is>
          <t>Riverbend Homes Pty Ltd</t>
        </is>
      </c>
      <c r="C317" t="inlineStr">
        <is>
          <t>ST</t>
        </is>
      </c>
      <c r="D317" s="9" t="n">
        <v>95</v>
      </c>
      <c r="E317">
        <f>SUMIFS('Hire Cycles'!$F$5:$F$1069,'Hire Cycles'!$A$5:$A$1069,A317,'Hire Cycles'!$B$5:$B$1069,C317,'Hire Cycles'!$G$5:$G$1069,1)</f>
        <v>39</v>
      </c>
      <c r="F317">
        <f>SUMIFS('Invoice Lines'!$J$5:$J$2542,'Invoice Lines'!$H$5:$H$2542,A317,'Invoice Lines'!$Q$5:$Q$2542,"HIRE-"&amp;C317,'Invoice Lines'!$M$5:$M$2542,1,'Invoice Lines'!$K$5:$K$2542,"&gt;0")</f>
        <v>39</v>
      </c>
      <c r="G317">
        <f>E317-F317</f>
        <v>0</v>
      </c>
      <c r="H317" s="9">
        <f>ROUND(G317*D317,2)</f>
        <v>0</v>
      </c>
      <c r="I317" s="9">
        <f>SUMIFS('Invoice Lines'!$K$5:$K$2542,'Invoice Lines'!$H$5:$H$2542,A317,'Invoice Lines'!$Q$5:$Q$2542,"HIRE-"&amp;C317,'Invoice Lines'!$M$5:$M$2542,1,'Invoice Lines'!$K$5:$K$2542,"&lt;0")</f>
        <v>0</v>
      </c>
      <c r="J317" t="n">
        <v>0</v>
      </c>
      <c r="K317" t="str">
        <f>IF(G317&gt;0,"Under-billed",IF(G317&lt;0,"Over-billed","Agrees"))</f>
        <v>Agrees</v>
      </c>
      <c r="L317" t="inlineStr"/>
    </row>
    <row r="318">
      <c r="A318" t="inlineStr">
        <is>
          <t>S0264</t>
        </is>
      </c>
      <c r="B318" t="inlineStr">
        <is>
          <t>Arjun Doyle</t>
        </is>
      </c>
      <c r="C318" t="inlineStr">
        <is>
          <t>ST</t>
        </is>
      </c>
      <c r="D318" s="9" t="n">
        <v>95</v>
      </c>
      <c r="E318">
        <f>SUMIFS('Hire Cycles'!$F$5:$F$1069,'Hire Cycles'!$A$5:$A$1069,A318,'Hire Cycles'!$B$5:$B$1069,C318,'Hire Cycles'!$G$5:$G$1069,1)</f>
        <v>12</v>
      </c>
      <c r="F318">
        <f>SUMIFS('Invoice Lines'!$J$5:$J$2542,'Invoice Lines'!$H$5:$H$2542,A318,'Invoice Lines'!$Q$5:$Q$2542,"HIRE-"&amp;C318,'Invoice Lines'!$M$5:$M$2542,1,'Invoice Lines'!$K$5:$K$2542,"&gt;0")</f>
        <v>12</v>
      </c>
      <c r="G318">
        <f>E318-F318</f>
        <v>0</v>
      </c>
      <c r="H318" s="9">
        <f>ROUND(G318*D318,2)</f>
        <v>0</v>
      </c>
      <c r="I318" s="9">
        <f>SUMIFS('Invoice Lines'!$K$5:$K$2542,'Invoice Lines'!$H$5:$H$2542,A318,'Invoice Lines'!$Q$5:$Q$2542,"HIRE-"&amp;C318,'Invoice Lines'!$M$5:$M$2542,1,'Invoice Lines'!$K$5:$K$2542,"&lt;0")</f>
        <v>0</v>
      </c>
      <c r="J318" t="n">
        <v>0</v>
      </c>
      <c r="K318" t="str">
        <f>IF(G318&gt;0,"Under-billed",IF(G318&lt;0,"Over-billed","Agrees"))</f>
        <v>Agrees</v>
      </c>
      <c r="L318" t="inlineStr"/>
    </row>
    <row r="319">
      <c r="A319" t="inlineStr">
        <is>
          <t>S0265</t>
        </is>
      </c>
      <c r="B319" t="inlineStr">
        <is>
          <t>Metro Developments</t>
        </is>
      </c>
      <c r="C319" t="inlineStr">
        <is>
          <t>ST</t>
        </is>
      </c>
      <c r="D319" s="9" t="n">
        <v>95</v>
      </c>
      <c r="E319">
        <f>SUMIFS('Hire Cycles'!$F$5:$F$1069,'Hire Cycles'!$A$5:$A$1069,A319,'Hire Cycles'!$B$5:$B$1069,C319,'Hire Cycles'!$G$5:$G$1069,1)</f>
        <v>17</v>
      </c>
      <c r="F319">
        <f>SUMIFS('Invoice Lines'!$J$5:$J$2542,'Invoice Lines'!$H$5:$H$2542,A319,'Invoice Lines'!$Q$5:$Q$2542,"HIRE-"&amp;C319,'Invoice Lines'!$M$5:$M$2542,1,'Invoice Lines'!$K$5:$K$2542,"&gt;0")</f>
        <v>17</v>
      </c>
      <c r="G319">
        <f>E319-F319</f>
        <v>0</v>
      </c>
      <c r="H319" s="9">
        <f>ROUND(G319*D319,2)</f>
        <v>0</v>
      </c>
      <c r="I319" s="9">
        <f>SUMIFS('Invoice Lines'!$K$5:$K$2542,'Invoice Lines'!$H$5:$H$2542,A319,'Invoice Lines'!$Q$5:$Q$2542,"HIRE-"&amp;C319,'Invoice Lines'!$M$5:$M$2542,1,'Invoice Lines'!$K$5:$K$2542,"&lt;0")</f>
        <v>0</v>
      </c>
      <c r="J319" t="n">
        <v>0</v>
      </c>
      <c r="K319" t="str">
        <f>IF(G319&gt;0,"Under-billed",IF(G319&lt;0,"Over-billed","Agrees"))</f>
        <v>Agrees</v>
      </c>
      <c r="L319" t="inlineStr"/>
    </row>
    <row r="320">
      <c r="A320" t="inlineStr">
        <is>
          <t>S0266</t>
        </is>
      </c>
      <c r="B320" t="inlineStr">
        <is>
          <t>Cobalt Constructions Pty Ltd</t>
        </is>
      </c>
      <c r="C320" t="inlineStr">
        <is>
          <t>ST</t>
        </is>
      </c>
      <c r="D320" s="9" t="n">
        <v>95</v>
      </c>
      <c r="E320">
        <f>SUMIFS('Hire Cycles'!$F$5:$F$1069,'Hire Cycles'!$A$5:$A$1069,A320,'Hire Cycles'!$B$5:$B$1069,C320,'Hire Cycles'!$G$5:$G$1069,1)</f>
        <v>48</v>
      </c>
      <c r="F320">
        <f>SUMIFS('Invoice Lines'!$J$5:$J$2542,'Invoice Lines'!$H$5:$H$2542,A320,'Invoice Lines'!$Q$5:$Q$2542,"HIRE-"&amp;C320,'Invoice Lines'!$M$5:$M$2542,1,'Invoice Lines'!$K$5:$K$2542,"&gt;0")</f>
        <v>48</v>
      </c>
      <c r="G320">
        <f>E320-F320</f>
        <v>0</v>
      </c>
      <c r="H320" s="9">
        <f>ROUND(G320*D320,2)</f>
        <v>0</v>
      </c>
      <c r="I320" s="9">
        <f>SUMIFS('Invoice Lines'!$K$5:$K$2542,'Invoice Lines'!$H$5:$H$2542,A320,'Invoice Lines'!$Q$5:$Q$2542,"HIRE-"&amp;C320,'Invoice Lines'!$M$5:$M$2542,1,'Invoice Lines'!$K$5:$K$2542,"&lt;0")</f>
        <v>0</v>
      </c>
      <c r="J320" t="n">
        <v>12</v>
      </c>
      <c r="K320" t="str">
        <f>IF(G320&gt;0,"Under-billed",IF(G320&lt;0,"Over-billed","Agrees"))</f>
        <v>Agrees</v>
      </c>
      <c r="L320" t="inlineStr"/>
    </row>
    <row r="321">
      <c r="A321" t="inlineStr">
        <is>
          <t>S0267</t>
        </is>
      </c>
      <c r="B321" t="inlineStr">
        <is>
          <t>Mei Ali</t>
        </is>
      </c>
      <c r="C321" t="inlineStr">
        <is>
          <t>ST</t>
        </is>
      </c>
      <c r="D321" s="9" t="n">
        <v>95</v>
      </c>
      <c r="E321">
        <f>SUMIFS('Hire Cycles'!$F$5:$F$1069,'Hire Cycles'!$A$5:$A$1069,A321,'Hire Cycles'!$B$5:$B$1069,C321,'Hire Cycles'!$G$5:$G$1069,1)</f>
        <v>16</v>
      </c>
      <c r="F321">
        <f>SUMIFS('Invoice Lines'!$J$5:$J$2542,'Invoice Lines'!$H$5:$H$2542,A321,'Invoice Lines'!$Q$5:$Q$2542,"HIRE-"&amp;C321,'Invoice Lines'!$M$5:$M$2542,1,'Invoice Lines'!$K$5:$K$2542,"&gt;0")</f>
        <v>16</v>
      </c>
      <c r="G321">
        <f>E321-F321</f>
        <v>0</v>
      </c>
      <c r="H321" s="9">
        <f>ROUND(G321*D321,2)</f>
        <v>0</v>
      </c>
      <c r="I321" s="9">
        <f>SUMIFS('Invoice Lines'!$K$5:$K$2542,'Invoice Lines'!$H$5:$H$2542,A321,'Invoice Lines'!$Q$5:$Q$2542,"HIRE-"&amp;C321,'Invoice Lines'!$M$5:$M$2542,1,'Invoice Lines'!$K$5:$K$2542,"&lt;0")</f>
        <v>0</v>
      </c>
      <c r="J321" t="n">
        <v>4</v>
      </c>
      <c r="K321" t="str">
        <f>IF(G321&gt;0,"Under-billed",IF(G321&lt;0,"Over-billed","Agrees"))</f>
        <v>Agrees</v>
      </c>
      <c r="L321" t="inlineStr"/>
    </row>
    <row r="322">
      <c r="A322" t="inlineStr">
        <is>
          <t>S0268</t>
        </is>
      </c>
      <c r="B322" t="inlineStr">
        <is>
          <t>Harbour Homes</t>
        </is>
      </c>
      <c r="C322" t="inlineStr">
        <is>
          <t>ST</t>
        </is>
      </c>
      <c r="D322" s="9" t="n">
        <v>95</v>
      </c>
      <c r="E322">
        <f>SUMIFS('Hire Cycles'!$F$5:$F$1069,'Hire Cycles'!$A$5:$A$1069,A322,'Hire Cycles'!$B$5:$B$1069,C322,'Hire Cycles'!$G$5:$G$1069,1)</f>
        <v>78</v>
      </c>
      <c r="F322">
        <f>SUMIFS('Invoice Lines'!$J$5:$J$2542,'Invoice Lines'!$H$5:$H$2542,A322,'Invoice Lines'!$Q$5:$Q$2542,"HIRE-"&amp;C322,'Invoice Lines'!$M$5:$M$2542,1,'Invoice Lines'!$K$5:$K$2542,"&gt;0")</f>
        <v>78</v>
      </c>
      <c r="G322">
        <f>E322-F322</f>
        <v>0</v>
      </c>
      <c r="H322" s="9">
        <f>ROUND(G322*D322,2)</f>
        <v>0</v>
      </c>
      <c r="I322" s="9">
        <f>SUMIFS('Invoice Lines'!$K$5:$K$2542,'Invoice Lines'!$H$5:$H$2542,A322,'Invoice Lines'!$Q$5:$Q$2542,"HIRE-"&amp;C322,'Invoice Lines'!$M$5:$M$2542,1,'Invoice Lines'!$K$5:$K$2542,"&lt;0")</f>
        <v>0</v>
      </c>
      <c r="J322" t="n">
        <v>0</v>
      </c>
      <c r="K322" t="str">
        <f>IF(G322&gt;0,"Under-billed",IF(G322&lt;0,"Over-billed","Agrees"))</f>
        <v>Agrees</v>
      </c>
      <c r="L322" t="inlineStr"/>
    </row>
    <row r="323">
      <c r="A323" t="inlineStr">
        <is>
          <t>S0269</t>
        </is>
      </c>
      <c r="B323" t="inlineStr">
        <is>
          <t>Coastline Strata Management Pty Ltd</t>
        </is>
      </c>
      <c r="C323" t="inlineStr">
        <is>
          <t>ST</t>
        </is>
      </c>
      <c r="D323" s="9" t="n">
        <v>95</v>
      </c>
      <c r="E323">
        <f>SUMIFS('Hire Cycles'!$F$5:$F$1069,'Hire Cycles'!$A$5:$A$1069,A323,'Hire Cycles'!$B$5:$B$1069,C323,'Hire Cycles'!$G$5:$G$1069,1)</f>
        <v>8</v>
      </c>
      <c r="F323">
        <f>SUMIFS('Invoice Lines'!$J$5:$J$2542,'Invoice Lines'!$H$5:$H$2542,A323,'Invoice Lines'!$Q$5:$Q$2542,"HIRE-"&amp;C323,'Invoice Lines'!$M$5:$M$2542,1,'Invoice Lines'!$K$5:$K$2542,"&gt;0")</f>
        <v>8</v>
      </c>
      <c r="G323">
        <f>E323-F323</f>
        <v>0</v>
      </c>
      <c r="H323" s="9">
        <f>ROUND(G323*D323,2)</f>
        <v>0</v>
      </c>
      <c r="I323" s="9">
        <f>SUMIFS('Invoice Lines'!$K$5:$K$2542,'Invoice Lines'!$H$5:$H$2542,A323,'Invoice Lines'!$Q$5:$Q$2542,"HIRE-"&amp;C323,'Invoice Lines'!$M$5:$M$2542,1,'Invoice Lines'!$K$5:$K$2542,"&lt;0")</f>
        <v>0</v>
      </c>
      <c r="J323" t="n">
        <v>0</v>
      </c>
      <c r="K323" t="str">
        <f>IF(G323&gt;0,"Under-billed",IF(G323&lt;0,"Over-billed","Agrees"))</f>
        <v>Agrees</v>
      </c>
      <c r="L323" t="inlineStr"/>
    </row>
    <row r="324">
      <c r="A324" t="inlineStr">
        <is>
          <t>S0270</t>
        </is>
      </c>
      <c r="B324" t="inlineStr">
        <is>
          <t>Sam Murphy</t>
        </is>
      </c>
      <c r="C324" t="inlineStr">
        <is>
          <t>ST</t>
        </is>
      </c>
      <c r="D324" s="9" t="n">
        <v>95</v>
      </c>
      <c r="E324">
        <f>SUMIFS('Hire Cycles'!$F$5:$F$1069,'Hire Cycles'!$A$5:$A$1069,A324,'Hire Cycles'!$B$5:$B$1069,C324,'Hire Cycles'!$G$5:$G$1069,1)</f>
        <v>30</v>
      </c>
      <c r="F324">
        <f>SUMIFS('Invoice Lines'!$J$5:$J$2542,'Invoice Lines'!$H$5:$H$2542,A324,'Invoice Lines'!$Q$5:$Q$2542,"HIRE-"&amp;C324,'Invoice Lines'!$M$5:$M$2542,1,'Invoice Lines'!$K$5:$K$2542,"&gt;0")</f>
        <v>6</v>
      </c>
      <c r="G324">
        <f>E324-F324</f>
        <v>24</v>
      </c>
      <c r="H324" s="9">
        <f>ROUND(G324*D324,2)</f>
        <v>2280</v>
      </c>
      <c r="I324" s="9">
        <f>SUMIFS('Invoice Lines'!$K$5:$K$2542,'Invoice Lines'!$H$5:$H$2542,A324,'Invoice Lines'!$Q$5:$Q$2542,"HIRE-"&amp;C324,'Invoice Lines'!$M$5:$M$2542,1,'Invoice Lines'!$K$5:$K$2542,"&lt;0")</f>
        <v>0</v>
      </c>
      <c r="J324" t="n">
        <v>0</v>
      </c>
      <c r="K324" t="str">
        <f>IF(G324&gt;0,"Under-billed",IF(G324&lt;0,"Over-billed","Agrees"))</f>
        <v>Under-billed</v>
      </c>
      <c r="L324" t="inlineStr"/>
    </row>
    <row r="325">
      <c r="A325" t="inlineStr">
        <is>
          <t>S0271</t>
        </is>
      </c>
      <c r="B325" t="inlineStr">
        <is>
          <t>Northgate Builders Pty Ltd</t>
        </is>
      </c>
      <c r="C325" t="inlineStr">
        <is>
          <t>ST</t>
        </is>
      </c>
      <c r="D325" s="9" t="n">
        <v>95</v>
      </c>
      <c r="E325">
        <f>SUMIFS('Hire Cycles'!$F$5:$F$1069,'Hire Cycles'!$A$5:$A$1069,A325,'Hire Cycles'!$B$5:$B$1069,C325,'Hire Cycles'!$G$5:$G$1069,1)</f>
        <v>52</v>
      </c>
      <c r="F325">
        <f>SUMIFS('Invoice Lines'!$J$5:$J$2542,'Invoice Lines'!$H$5:$H$2542,A325,'Invoice Lines'!$Q$5:$Q$2542,"HIRE-"&amp;C325,'Invoice Lines'!$M$5:$M$2542,1,'Invoice Lines'!$K$5:$K$2542,"&gt;0")</f>
        <v>52</v>
      </c>
      <c r="G325">
        <f>E325-F325</f>
        <v>0</v>
      </c>
      <c r="H325" s="9">
        <f>ROUND(G325*D325,2)</f>
        <v>0</v>
      </c>
      <c r="I325" s="9">
        <f>SUMIFS('Invoice Lines'!$K$5:$K$2542,'Invoice Lines'!$H$5:$H$2542,A325,'Invoice Lines'!$Q$5:$Q$2542,"HIRE-"&amp;C325,'Invoice Lines'!$M$5:$M$2542,1,'Invoice Lines'!$K$5:$K$2542,"&lt;0")</f>
        <v>0</v>
      </c>
      <c r="J325" t="n">
        <v>0</v>
      </c>
      <c r="K325" t="str">
        <f>IF(G325&gt;0,"Under-billed",IF(G325&lt;0,"Over-billed","Agrees"))</f>
        <v>Agrees</v>
      </c>
      <c r="L325" t="inlineStr"/>
    </row>
    <row r="326">
      <c r="A326" t="inlineStr">
        <is>
          <t>S0272</t>
        </is>
      </c>
      <c r="B326" t="inlineStr">
        <is>
          <t>Ethan Walker</t>
        </is>
      </c>
      <c r="C326" t="inlineStr">
        <is>
          <t>ST</t>
        </is>
      </c>
      <c r="D326" s="9" t="n">
        <v>95</v>
      </c>
      <c r="E326">
        <f>SUMIFS('Hire Cycles'!$F$5:$F$1069,'Hire Cycles'!$A$5:$A$1069,A326,'Hire Cycles'!$B$5:$B$1069,C326,'Hire Cycles'!$G$5:$G$1069,1)</f>
        <v>4</v>
      </c>
      <c r="F326">
        <f>SUMIFS('Invoice Lines'!$J$5:$J$2542,'Invoice Lines'!$H$5:$H$2542,A326,'Invoice Lines'!$Q$5:$Q$2542,"HIRE-"&amp;C326,'Invoice Lines'!$M$5:$M$2542,1,'Invoice Lines'!$K$5:$K$2542,"&gt;0")</f>
        <v>4</v>
      </c>
      <c r="G326">
        <f>E326-F326</f>
        <v>0</v>
      </c>
      <c r="H326" s="9">
        <f>ROUND(G326*D326,2)</f>
        <v>0</v>
      </c>
      <c r="I326" s="9">
        <f>SUMIFS('Invoice Lines'!$K$5:$K$2542,'Invoice Lines'!$H$5:$H$2542,A326,'Invoice Lines'!$Q$5:$Q$2542,"HIRE-"&amp;C326,'Invoice Lines'!$M$5:$M$2542,1,'Invoice Lines'!$K$5:$K$2542,"&lt;0")</f>
        <v>0</v>
      </c>
      <c r="J326" t="n">
        <v>0</v>
      </c>
      <c r="K326" t="str">
        <f>IF(G326&gt;0,"Under-billed",IF(G326&lt;0,"Over-billed","Agrees"))</f>
        <v>Agrees</v>
      </c>
      <c r="L326" t="inlineStr"/>
    </row>
    <row r="327">
      <c r="A327" t="inlineStr">
        <is>
          <t>S0273</t>
        </is>
      </c>
      <c r="B327" t="inlineStr">
        <is>
          <t>Ella Wilson</t>
        </is>
      </c>
      <c r="C327" t="inlineStr">
        <is>
          <t>ST</t>
        </is>
      </c>
      <c r="D327" s="9" t="n">
        <v>95</v>
      </c>
      <c r="E327">
        <f>SUMIFS('Hire Cycles'!$F$5:$F$1069,'Hire Cycles'!$A$5:$A$1069,A327,'Hire Cycles'!$B$5:$B$1069,C327,'Hire Cycles'!$G$5:$G$1069,1)</f>
        <v>14</v>
      </c>
      <c r="F327">
        <f>SUMIFS('Invoice Lines'!$J$5:$J$2542,'Invoice Lines'!$H$5:$H$2542,A327,'Invoice Lines'!$Q$5:$Q$2542,"HIRE-"&amp;C327,'Invoice Lines'!$M$5:$M$2542,1,'Invoice Lines'!$K$5:$K$2542,"&gt;0")</f>
        <v>14</v>
      </c>
      <c r="G327">
        <f>E327-F327</f>
        <v>0</v>
      </c>
      <c r="H327" s="9">
        <f>ROUND(G327*D327,2)</f>
        <v>0</v>
      </c>
      <c r="I327" s="9">
        <f>SUMIFS('Invoice Lines'!$K$5:$K$2542,'Invoice Lines'!$H$5:$H$2542,A327,'Invoice Lines'!$Q$5:$Q$2542,"HIRE-"&amp;C327,'Invoice Lines'!$M$5:$M$2542,1,'Invoice Lines'!$K$5:$K$2542,"&lt;0")</f>
        <v>0</v>
      </c>
      <c r="J327" t="n">
        <v>0</v>
      </c>
      <c r="K327" t="str">
        <f>IF(G327&gt;0,"Under-billed",IF(G327&lt;0,"Over-billed","Agrees"))</f>
        <v>Agrees</v>
      </c>
      <c r="L327" t="inlineStr"/>
    </row>
    <row r="328">
      <c r="A328" t="inlineStr">
        <is>
          <t>S0274</t>
        </is>
      </c>
      <c r="B328" t="inlineStr">
        <is>
          <t>Lucas Kelly</t>
        </is>
      </c>
      <c r="C328" t="inlineStr">
        <is>
          <t>ST</t>
        </is>
      </c>
      <c r="D328" s="9" t="n">
        <v>95</v>
      </c>
      <c r="E328">
        <f>SUMIFS('Hire Cycles'!$F$5:$F$1069,'Hire Cycles'!$A$5:$A$1069,A328,'Hire Cycles'!$B$5:$B$1069,C328,'Hire Cycles'!$G$5:$G$1069,1)</f>
        <v>17</v>
      </c>
      <c r="F328">
        <f>SUMIFS('Invoice Lines'!$J$5:$J$2542,'Invoice Lines'!$H$5:$H$2542,A328,'Invoice Lines'!$Q$5:$Q$2542,"HIRE-"&amp;C328,'Invoice Lines'!$M$5:$M$2542,1,'Invoice Lines'!$K$5:$K$2542,"&gt;0")</f>
        <v>17</v>
      </c>
      <c r="G328">
        <f>E328-F328</f>
        <v>0</v>
      </c>
      <c r="H328" s="9">
        <f>ROUND(G328*D328,2)</f>
        <v>0</v>
      </c>
      <c r="I328" s="9">
        <f>SUMIFS('Invoice Lines'!$K$5:$K$2542,'Invoice Lines'!$H$5:$H$2542,A328,'Invoice Lines'!$Q$5:$Q$2542,"HIRE-"&amp;C328,'Invoice Lines'!$M$5:$M$2542,1,'Invoice Lines'!$K$5:$K$2542,"&lt;0")</f>
        <v>0</v>
      </c>
      <c r="J328" t="n">
        <v>0</v>
      </c>
      <c r="K328" t="str">
        <f>IF(G328&gt;0,"Under-billed",IF(G328&lt;0,"Over-billed","Agrees"))</f>
        <v>Agrees</v>
      </c>
      <c r="L328" t="inlineStr"/>
    </row>
    <row r="329">
      <c r="A329" t="inlineStr">
        <is>
          <t>S0275</t>
        </is>
      </c>
      <c r="B329" t="inlineStr">
        <is>
          <t>Juniper Constructions</t>
        </is>
      </c>
      <c r="C329" t="inlineStr">
        <is>
          <t>ST</t>
        </is>
      </c>
      <c r="D329" s="9" t="n">
        <v>95</v>
      </c>
      <c r="E329">
        <f>SUMIFS('Hire Cycles'!$F$5:$F$1069,'Hire Cycles'!$A$5:$A$1069,A329,'Hire Cycles'!$B$5:$B$1069,C329,'Hire Cycles'!$G$5:$G$1069,1)</f>
        <v>28</v>
      </c>
      <c r="F329">
        <f>SUMIFS('Invoice Lines'!$J$5:$J$2542,'Invoice Lines'!$H$5:$H$2542,A329,'Invoice Lines'!$Q$5:$Q$2542,"HIRE-"&amp;C329,'Invoice Lines'!$M$5:$M$2542,1,'Invoice Lines'!$K$5:$K$2542,"&gt;0")</f>
        <v>28</v>
      </c>
      <c r="G329">
        <f>E329-F329</f>
        <v>0</v>
      </c>
      <c r="H329" s="9">
        <f>ROUND(G329*D329,2)</f>
        <v>0</v>
      </c>
      <c r="I329" s="9">
        <f>SUMIFS('Invoice Lines'!$K$5:$K$2542,'Invoice Lines'!$H$5:$H$2542,A329,'Invoice Lines'!$Q$5:$Q$2542,"HIRE-"&amp;C329,'Invoice Lines'!$M$5:$M$2542,1,'Invoice Lines'!$K$5:$K$2542,"&lt;0")</f>
        <v>0</v>
      </c>
      <c r="J329" t="n">
        <v>0</v>
      </c>
      <c r="K329" t="str">
        <f>IF(G329&gt;0,"Under-billed",IF(G329&lt;0,"Over-billed","Agrees"))</f>
        <v>Agrees</v>
      </c>
      <c r="L329" t="inlineStr"/>
    </row>
    <row r="330">
      <c r="A330" t="inlineStr">
        <is>
          <t>S0276</t>
        </is>
      </c>
      <c r="B330" t="inlineStr">
        <is>
          <t>Olivia Wilson</t>
        </is>
      </c>
      <c r="C330" t="inlineStr">
        <is>
          <t>ST</t>
        </is>
      </c>
      <c r="D330" s="9" t="n">
        <v>95</v>
      </c>
      <c r="E330">
        <f>SUMIFS('Hire Cycles'!$F$5:$F$1069,'Hire Cycles'!$A$5:$A$1069,A330,'Hire Cycles'!$B$5:$B$1069,C330,'Hire Cycles'!$G$5:$G$1069,1)</f>
        <v>14</v>
      </c>
      <c r="F330">
        <f>SUMIFS('Invoice Lines'!$J$5:$J$2542,'Invoice Lines'!$H$5:$H$2542,A330,'Invoice Lines'!$Q$5:$Q$2542,"HIRE-"&amp;C330,'Invoice Lines'!$M$5:$M$2542,1,'Invoice Lines'!$K$5:$K$2542,"&gt;0")</f>
        <v>6</v>
      </c>
      <c r="G330">
        <f>E330-F330</f>
        <v>8</v>
      </c>
      <c r="H330" s="9">
        <f>ROUND(G330*D330,2)</f>
        <v>760</v>
      </c>
      <c r="I330" s="9">
        <f>SUMIFS('Invoice Lines'!$K$5:$K$2542,'Invoice Lines'!$H$5:$H$2542,A330,'Invoice Lines'!$Q$5:$Q$2542,"HIRE-"&amp;C330,'Invoice Lines'!$M$5:$M$2542,1,'Invoice Lines'!$K$5:$K$2542,"&lt;0")</f>
        <v>0</v>
      </c>
      <c r="J330" t="n">
        <v>0</v>
      </c>
      <c r="K330" t="str">
        <f>IF(G330&gt;0,"Under-billed",IF(G330&lt;0,"Over-billed","Agrees"))</f>
        <v>Under-billed</v>
      </c>
      <c r="L330" t="inlineStr"/>
    </row>
    <row r="331">
      <c r="A331" t="inlineStr">
        <is>
          <t>S0278</t>
        </is>
      </c>
      <c r="B331" t="inlineStr">
        <is>
          <t>Fairway Owners Corporation Services</t>
        </is>
      </c>
      <c r="C331" t="inlineStr">
        <is>
          <t>ST</t>
        </is>
      </c>
      <c r="D331" s="9" t="n">
        <v>95</v>
      </c>
      <c r="E331">
        <f>SUMIFS('Hire Cycles'!$F$5:$F$1069,'Hire Cycles'!$A$5:$A$1069,A331,'Hire Cycles'!$B$5:$B$1069,C331,'Hire Cycles'!$G$5:$G$1069,1)</f>
        <v>34</v>
      </c>
      <c r="F331">
        <f>SUMIFS('Invoice Lines'!$J$5:$J$2542,'Invoice Lines'!$H$5:$H$2542,A331,'Invoice Lines'!$Q$5:$Q$2542,"HIRE-"&amp;C331,'Invoice Lines'!$M$5:$M$2542,1,'Invoice Lines'!$K$5:$K$2542,"&gt;0")</f>
        <v>34</v>
      </c>
      <c r="G331">
        <f>E331-F331</f>
        <v>0</v>
      </c>
      <c r="H331" s="9">
        <f>ROUND(G331*D331,2)</f>
        <v>0</v>
      </c>
      <c r="I331" s="9">
        <f>SUMIFS('Invoice Lines'!$K$5:$K$2542,'Invoice Lines'!$H$5:$H$2542,A331,'Invoice Lines'!$Q$5:$Q$2542,"HIRE-"&amp;C331,'Invoice Lines'!$M$5:$M$2542,1,'Invoice Lines'!$K$5:$K$2542,"&lt;0")</f>
        <v>0</v>
      </c>
      <c r="J331" t="n">
        <v>0</v>
      </c>
      <c r="K331" t="str">
        <f>IF(G331&gt;0,"Under-billed",IF(G331&lt;0,"Over-billed","Agrees"))</f>
        <v>Agrees</v>
      </c>
      <c r="L331" t="inlineStr"/>
    </row>
    <row r="332">
      <c r="A332" t="inlineStr">
        <is>
          <t>S0279</t>
        </is>
      </c>
      <c r="B332" t="inlineStr">
        <is>
          <t>Fairway Body Corporate Pty Ltd</t>
        </is>
      </c>
      <c r="C332" t="inlineStr">
        <is>
          <t>ST</t>
        </is>
      </c>
      <c r="D332" s="9" t="n">
        <v>95</v>
      </c>
      <c r="E332">
        <f>SUMIFS('Hire Cycles'!$F$5:$F$1069,'Hire Cycles'!$A$5:$A$1069,A332,'Hire Cycles'!$B$5:$B$1069,C332,'Hire Cycles'!$G$5:$G$1069,1)</f>
        <v>26</v>
      </c>
      <c r="F332">
        <f>SUMIFS('Invoice Lines'!$J$5:$J$2542,'Invoice Lines'!$H$5:$H$2542,A332,'Invoice Lines'!$Q$5:$Q$2542,"HIRE-"&amp;C332,'Invoice Lines'!$M$5:$M$2542,1,'Invoice Lines'!$K$5:$K$2542,"&gt;0")</f>
        <v>18</v>
      </c>
      <c r="G332">
        <f>E332-F332</f>
        <v>8</v>
      </c>
      <c r="H332" s="9">
        <f>ROUND(G332*D332,2)</f>
        <v>760</v>
      </c>
      <c r="I332" s="9">
        <f>SUMIFS('Invoice Lines'!$K$5:$K$2542,'Invoice Lines'!$H$5:$H$2542,A332,'Invoice Lines'!$Q$5:$Q$2542,"HIRE-"&amp;C332,'Invoice Lines'!$M$5:$M$2542,1,'Invoice Lines'!$K$5:$K$2542,"&lt;0")</f>
        <v>0</v>
      </c>
      <c r="J332" t="n">
        <v>0</v>
      </c>
      <c r="K332" t="str">
        <f>IF(G332&gt;0,"Under-billed",IF(G332&lt;0,"Over-billed","Agrees"))</f>
        <v>Under-billed</v>
      </c>
      <c r="L332" t="inlineStr"/>
    </row>
    <row r="333">
      <c r="A333" t="inlineStr">
        <is>
          <t>S0280</t>
        </is>
      </c>
      <c r="B333" t="inlineStr">
        <is>
          <t>Leo Hughes</t>
        </is>
      </c>
      <c r="C333" t="inlineStr">
        <is>
          <t>ST</t>
        </is>
      </c>
      <c r="D333" s="9" t="n">
        <v>95</v>
      </c>
      <c r="E333">
        <f>SUMIFS('Hire Cycles'!$F$5:$F$1069,'Hire Cycles'!$A$5:$A$1069,A333,'Hire Cycles'!$B$5:$B$1069,C333,'Hire Cycles'!$G$5:$G$1069,1)</f>
        <v>10</v>
      </c>
      <c r="F333">
        <f>SUMIFS('Invoice Lines'!$J$5:$J$2542,'Invoice Lines'!$H$5:$H$2542,A333,'Invoice Lines'!$Q$5:$Q$2542,"HIRE-"&amp;C333,'Invoice Lines'!$M$5:$M$2542,1,'Invoice Lines'!$K$5:$K$2542,"&gt;0")</f>
        <v>10</v>
      </c>
      <c r="G333">
        <f>E333-F333</f>
        <v>0</v>
      </c>
      <c r="H333" s="9">
        <f>ROUND(G333*D333,2)</f>
        <v>0</v>
      </c>
      <c r="I333" s="9">
        <f>SUMIFS('Invoice Lines'!$K$5:$K$2542,'Invoice Lines'!$H$5:$H$2542,A333,'Invoice Lines'!$Q$5:$Q$2542,"HIRE-"&amp;C333,'Invoice Lines'!$M$5:$M$2542,1,'Invoice Lines'!$K$5:$K$2542,"&lt;0")</f>
        <v>0</v>
      </c>
      <c r="J333" t="n">
        <v>0</v>
      </c>
      <c r="K333" t="str">
        <f>IF(G333&gt;0,"Under-billed",IF(G333&lt;0,"Over-billed","Agrees"))</f>
        <v>Agrees</v>
      </c>
      <c r="L333" t="inlineStr"/>
    </row>
    <row r="334">
      <c r="A334" t="inlineStr">
        <is>
          <t>S0281</t>
        </is>
      </c>
      <c r="B334" t="inlineStr">
        <is>
          <t>Summit Projects Pty Ltd</t>
        </is>
      </c>
      <c r="C334" t="inlineStr">
        <is>
          <t>ST</t>
        </is>
      </c>
      <c r="D334" s="9" t="n">
        <v>95</v>
      </c>
      <c r="E334">
        <f>SUMIFS('Hire Cycles'!$F$5:$F$1069,'Hire Cycles'!$A$5:$A$1069,A334,'Hire Cycles'!$B$5:$B$1069,C334,'Hire Cycles'!$G$5:$G$1069,1)</f>
        <v>8</v>
      </c>
      <c r="F334">
        <f>SUMIFS('Invoice Lines'!$J$5:$J$2542,'Invoice Lines'!$H$5:$H$2542,A334,'Invoice Lines'!$Q$5:$Q$2542,"HIRE-"&amp;C334,'Invoice Lines'!$M$5:$M$2542,1,'Invoice Lines'!$K$5:$K$2542,"&gt;0")</f>
        <v>8</v>
      </c>
      <c r="G334">
        <f>E334-F334</f>
        <v>0</v>
      </c>
      <c r="H334" s="9">
        <f>ROUND(G334*D334,2)</f>
        <v>0</v>
      </c>
      <c r="I334" s="9">
        <f>SUMIFS('Invoice Lines'!$K$5:$K$2542,'Invoice Lines'!$H$5:$H$2542,A334,'Invoice Lines'!$Q$5:$Q$2542,"HIRE-"&amp;C334,'Invoice Lines'!$M$5:$M$2542,1,'Invoice Lines'!$K$5:$K$2542,"&lt;0")</f>
        <v>0</v>
      </c>
      <c r="J334" t="n">
        <v>0</v>
      </c>
      <c r="K334" t="str">
        <f>IF(G334&gt;0,"Under-billed",IF(G334&lt;0,"Over-billed","Agrees"))</f>
        <v>Agrees</v>
      </c>
      <c r="L334" t="inlineStr"/>
    </row>
    <row r="335">
      <c r="A335" t="inlineStr">
        <is>
          <t>S0282</t>
        </is>
      </c>
      <c r="B335" t="inlineStr">
        <is>
          <t>Fairway Developments</t>
        </is>
      </c>
      <c r="C335" t="inlineStr">
        <is>
          <t>ST</t>
        </is>
      </c>
      <c r="D335" s="9" t="n">
        <v>95</v>
      </c>
      <c r="E335">
        <f>SUMIFS('Hire Cycles'!$F$5:$F$1069,'Hire Cycles'!$A$5:$A$1069,A335,'Hire Cycles'!$B$5:$B$1069,C335,'Hire Cycles'!$G$5:$G$1069,1)</f>
        <v>13</v>
      </c>
      <c r="F335">
        <f>SUMIFS('Invoice Lines'!$J$5:$J$2542,'Invoice Lines'!$H$5:$H$2542,A335,'Invoice Lines'!$Q$5:$Q$2542,"HIRE-"&amp;C335,'Invoice Lines'!$M$5:$M$2542,1,'Invoice Lines'!$K$5:$K$2542,"&gt;0")</f>
        <v>9</v>
      </c>
      <c r="G335">
        <f>E335-F335</f>
        <v>4</v>
      </c>
      <c r="H335" s="9">
        <f>ROUND(G335*D335,2)</f>
        <v>380</v>
      </c>
      <c r="I335" s="9">
        <f>SUMIFS('Invoice Lines'!$K$5:$K$2542,'Invoice Lines'!$H$5:$H$2542,A335,'Invoice Lines'!$Q$5:$Q$2542,"HIRE-"&amp;C335,'Invoice Lines'!$M$5:$M$2542,1,'Invoice Lines'!$K$5:$K$2542,"&lt;0")</f>
        <v>0</v>
      </c>
      <c r="J335" t="n">
        <v>0</v>
      </c>
      <c r="K335" t="str">
        <f>IF(G335&gt;0,"Under-billed",IF(G335&lt;0,"Over-billed","Agrees"))</f>
        <v>Under-billed</v>
      </c>
      <c r="L335" t="inlineStr"/>
    </row>
    <row r="336">
      <c r="A336" t="inlineStr">
        <is>
          <t>S0283</t>
        </is>
      </c>
      <c r="B336" t="inlineStr">
        <is>
          <t>Bluegum Construction Pty Ltd</t>
        </is>
      </c>
      <c r="C336" t="inlineStr">
        <is>
          <t>ST</t>
        </is>
      </c>
      <c r="D336" s="9" t="n">
        <v>95</v>
      </c>
      <c r="E336">
        <f>SUMIFS('Hire Cycles'!$F$5:$F$1069,'Hire Cycles'!$A$5:$A$1069,A336,'Hire Cycles'!$B$5:$B$1069,C336,'Hire Cycles'!$G$5:$G$1069,1)</f>
        <v>14</v>
      </c>
      <c r="F336">
        <f>SUMIFS('Invoice Lines'!$J$5:$J$2542,'Invoice Lines'!$H$5:$H$2542,A336,'Invoice Lines'!$Q$5:$Q$2542,"HIRE-"&amp;C336,'Invoice Lines'!$M$5:$M$2542,1,'Invoice Lines'!$K$5:$K$2542,"&gt;0")</f>
        <v>14</v>
      </c>
      <c r="G336">
        <f>E336-F336</f>
        <v>0</v>
      </c>
      <c r="H336" s="9">
        <f>ROUND(G336*D336,2)</f>
        <v>0</v>
      </c>
      <c r="I336" s="9">
        <f>SUMIFS('Invoice Lines'!$K$5:$K$2542,'Invoice Lines'!$H$5:$H$2542,A336,'Invoice Lines'!$Q$5:$Q$2542,"HIRE-"&amp;C336,'Invoice Lines'!$M$5:$M$2542,1,'Invoice Lines'!$K$5:$K$2542,"&lt;0")</f>
        <v>0</v>
      </c>
      <c r="J336" t="n">
        <v>0</v>
      </c>
      <c r="K336" t="str">
        <f>IF(G336&gt;0,"Under-billed",IF(G336&lt;0,"Over-billed","Agrees"))</f>
        <v>Agrees</v>
      </c>
      <c r="L336" t="inlineStr"/>
    </row>
    <row r="337">
      <c r="A337" t="inlineStr">
        <is>
          <t>S0284</t>
        </is>
      </c>
      <c r="B337" t="inlineStr">
        <is>
          <t>Westside Owners Corporation Services Pty Ltd</t>
        </is>
      </c>
      <c r="C337" t="inlineStr">
        <is>
          <t>ST</t>
        </is>
      </c>
      <c r="D337" s="9" t="n">
        <v>95</v>
      </c>
      <c r="E337">
        <f>SUMIFS('Hire Cycles'!$F$5:$F$1069,'Hire Cycles'!$A$5:$A$1069,A337,'Hire Cycles'!$B$5:$B$1069,C337,'Hire Cycles'!$G$5:$G$1069,1)</f>
        <v>18</v>
      </c>
      <c r="F337">
        <f>SUMIFS('Invoice Lines'!$J$5:$J$2542,'Invoice Lines'!$H$5:$H$2542,A337,'Invoice Lines'!$Q$5:$Q$2542,"HIRE-"&amp;C337,'Invoice Lines'!$M$5:$M$2542,1,'Invoice Lines'!$K$5:$K$2542,"&gt;0")</f>
        <v>18</v>
      </c>
      <c r="G337">
        <f>E337-F337</f>
        <v>0</v>
      </c>
      <c r="H337" s="9">
        <f>ROUND(G337*D337,2)</f>
        <v>0</v>
      </c>
      <c r="I337" s="9">
        <f>SUMIFS('Invoice Lines'!$K$5:$K$2542,'Invoice Lines'!$H$5:$H$2542,A337,'Invoice Lines'!$Q$5:$Q$2542,"HIRE-"&amp;C337,'Invoice Lines'!$M$5:$M$2542,1,'Invoice Lines'!$K$5:$K$2542,"&lt;0")</f>
        <v>0</v>
      </c>
      <c r="J337" t="n">
        <v>0</v>
      </c>
      <c r="K337" t="str">
        <f>IF(G337&gt;0,"Under-billed",IF(G337&lt;0,"Over-billed","Agrees"))</f>
        <v>Agrees</v>
      </c>
      <c r="L337" t="inlineStr"/>
    </row>
    <row r="338">
      <c r="A338" t="inlineStr">
        <is>
          <t>S0285</t>
        </is>
      </c>
      <c r="B338" t="inlineStr">
        <is>
          <t>Cobalt Developments Pty Ltd</t>
        </is>
      </c>
      <c r="C338" t="inlineStr">
        <is>
          <t>ST</t>
        </is>
      </c>
      <c r="D338" s="9" t="n">
        <v>95</v>
      </c>
      <c r="E338">
        <f>SUMIFS('Hire Cycles'!$F$5:$F$1069,'Hire Cycles'!$A$5:$A$1069,A338,'Hire Cycles'!$B$5:$B$1069,C338,'Hire Cycles'!$G$5:$G$1069,1)</f>
        <v>3</v>
      </c>
      <c r="F338">
        <f>SUMIFS('Invoice Lines'!$J$5:$J$2542,'Invoice Lines'!$H$5:$H$2542,A338,'Invoice Lines'!$Q$5:$Q$2542,"HIRE-"&amp;C338,'Invoice Lines'!$M$5:$M$2542,1,'Invoice Lines'!$K$5:$K$2542,"&gt;0")</f>
        <v>3</v>
      </c>
      <c r="G338">
        <f>E338-F338</f>
        <v>0</v>
      </c>
      <c r="H338" s="9">
        <f>ROUND(G338*D338,2)</f>
        <v>0</v>
      </c>
      <c r="I338" s="9">
        <f>SUMIFS('Invoice Lines'!$K$5:$K$2542,'Invoice Lines'!$H$5:$H$2542,A338,'Invoice Lines'!$Q$5:$Q$2542,"HIRE-"&amp;C338,'Invoice Lines'!$M$5:$M$2542,1,'Invoice Lines'!$K$5:$K$2542,"&lt;0")</f>
        <v>0</v>
      </c>
      <c r="J338" t="n">
        <v>0</v>
      </c>
      <c r="K338" t="str">
        <f>IF(G338&gt;0,"Under-billed",IF(G338&lt;0,"Over-billed","Agrees"))</f>
        <v>Agrees</v>
      </c>
      <c r="L338" t="inlineStr"/>
    </row>
    <row r="339">
      <c r="A339" t="inlineStr">
        <is>
          <t>S0286</t>
        </is>
      </c>
      <c r="B339" t="inlineStr">
        <is>
          <t>Coastline Developments Pty Ltd</t>
        </is>
      </c>
      <c r="C339" t="inlineStr">
        <is>
          <t>ST</t>
        </is>
      </c>
      <c r="D339" s="9" t="n">
        <v>95</v>
      </c>
      <c r="E339">
        <f>SUMIFS('Hire Cycles'!$F$5:$F$1069,'Hire Cycles'!$A$5:$A$1069,A339,'Hire Cycles'!$B$5:$B$1069,C339,'Hire Cycles'!$G$5:$G$1069,1)</f>
        <v>10</v>
      </c>
      <c r="F339">
        <f>SUMIFS('Invoice Lines'!$J$5:$J$2542,'Invoice Lines'!$H$5:$H$2542,A339,'Invoice Lines'!$Q$5:$Q$2542,"HIRE-"&amp;C339,'Invoice Lines'!$M$5:$M$2542,1,'Invoice Lines'!$K$5:$K$2542,"&gt;0")</f>
        <v>10</v>
      </c>
      <c r="G339">
        <f>E339-F339</f>
        <v>0</v>
      </c>
      <c r="H339" s="9">
        <f>ROUND(G339*D339,2)</f>
        <v>0</v>
      </c>
      <c r="I339" s="9">
        <f>SUMIFS('Invoice Lines'!$K$5:$K$2542,'Invoice Lines'!$H$5:$H$2542,A339,'Invoice Lines'!$Q$5:$Q$2542,"HIRE-"&amp;C339,'Invoice Lines'!$M$5:$M$2542,1,'Invoice Lines'!$K$5:$K$2542,"&lt;0")</f>
        <v>0</v>
      </c>
      <c r="J339" t="n">
        <v>0</v>
      </c>
      <c r="K339" t="str">
        <f>IF(G339&gt;0,"Under-billed",IF(G339&lt;0,"Over-billed","Agrees"))</f>
        <v>Agrees</v>
      </c>
      <c r="L339" t="inlineStr"/>
    </row>
    <row r="340">
      <c r="A340" t="inlineStr">
        <is>
          <t>S0287</t>
        </is>
      </c>
      <c r="B340" t="inlineStr">
        <is>
          <t>Banksia Projects Pty Ltd</t>
        </is>
      </c>
      <c r="C340" t="inlineStr">
        <is>
          <t>ST</t>
        </is>
      </c>
      <c r="D340" s="9" t="n">
        <v>95</v>
      </c>
      <c r="E340">
        <f>SUMIFS('Hire Cycles'!$F$5:$F$1069,'Hire Cycles'!$A$5:$A$1069,A340,'Hire Cycles'!$B$5:$B$1069,C340,'Hire Cycles'!$G$5:$G$1069,1)</f>
        <v>4</v>
      </c>
      <c r="F340">
        <f>SUMIFS('Invoice Lines'!$J$5:$J$2542,'Invoice Lines'!$H$5:$H$2542,A340,'Invoice Lines'!$Q$5:$Q$2542,"HIRE-"&amp;C340,'Invoice Lines'!$M$5:$M$2542,1,'Invoice Lines'!$K$5:$K$2542,"&gt;0")</f>
        <v>4</v>
      </c>
      <c r="G340">
        <f>E340-F340</f>
        <v>0</v>
      </c>
      <c r="H340" s="9">
        <f>ROUND(G340*D340,2)</f>
        <v>0</v>
      </c>
      <c r="I340" s="9">
        <f>SUMIFS('Invoice Lines'!$K$5:$K$2542,'Invoice Lines'!$H$5:$H$2542,A340,'Invoice Lines'!$Q$5:$Q$2542,"HIRE-"&amp;C340,'Invoice Lines'!$M$5:$M$2542,1,'Invoice Lines'!$K$5:$K$2542,"&lt;0")</f>
        <v>0</v>
      </c>
      <c r="J340" t="n">
        <v>0</v>
      </c>
      <c r="K340" t="str">
        <f>IF(G340&gt;0,"Under-billed",IF(G340&lt;0,"Over-billed","Agrees"))</f>
        <v>Agrees</v>
      </c>
      <c r="L340" t="inlineStr"/>
    </row>
    <row r="341">
      <c r="A341" t="inlineStr">
        <is>
          <t>S0288</t>
        </is>
      </c>
      <c r="B341" t="inlineStr">
        <is>
          <t>Summit Building Group</t>
        </is>
      </c>
      <c r="C341" t="inlineStr">
        <is>
          <t>ST</t>
        </is>
      </c>
      <c r="D341" s="9" t="n">
        <v>95</v>
      </c>
      <c r="E341">
        <f>SUMIFS('Hire Cycles'!$F$5:$F$1069,'Hire Cycles'!$A$5:$A$1069,A341,'Hire Cycles'!$B$5:$B$1069,C341,'Hire Cycles'!$G$5:$G$1069,1)</f>
        <v>15</v>
      </c>
      <c r="F341">
        <f>SUMIFS('Invoice Lines'!$J$5:$J$2542,'Invoice Lines'!$H$5:$H$2542,A341,'Invoice Lines'!$Q$5:$Q$2542,"HIRE-"&amp;C341,'Invoice Lines'!$M$5:$M$2542,1,'Invoice Lines'!$K$5:$K$2542,"&gt;0")</f>
        <v>15</v>
      </c>
      <c r="G341">
        <f>E341-F341</f>
        <v>0</v>
      </c>
      <c r="H341" s="9">
        <f>ROUND(G341*D341,2)</f>
        <v>0</v>
      </c>
      <c r="I341" s="9">
        <f>SUMIFS('Invoice Lines'!$K$5:$K$2542,'Invoice Lines'!$H$5:$H$2542,A341,'Invoice Lines'!$Q$5:$Q$2542,"HIRE-"&amp;C341,'Invoice Lines'!$M$5:$M$2542,1,'Invoice Lines'!$K$5:$K$2542,"&lt;0")</f>
        <v>0</v>
      </c>
      <c r="J341" t="n">
        <v>0</v>
      </c>
      <c r="K341" t="str">
        <f>IF(G341&gt;0,"Under-billed",IF(G341&lt;0,"Over-billed","Agrees"))</f>
        <v>Agrees</v>
      </c>
      <c r="L341" t="inlineStr"/>
    </row>
    <row r="342">
      <c r="A342" t="inlineStr">
        <is>
          <t>S0289</t>
        </is>
      </c>
      <c r="B342" t="inlineStr">
        <is>
          <t>Olivia Hughes</t>
        </is>
      </c>
      <c r="C342" t="inlineStr">
        <is>
          <t>ST</t>
        </is>
      </c>
      <c r="D342" s="9" t="n">
        <v>95</v>
      </c>
      <c r="E342">
        <f>SUMIFS('Hire Cycles'!$F$5:$F$1069,'Hire Cycles'!$A$5:$A$1069,A342,'Hire Cycles'!$B$5:$B$1069,C342,'Hire Cycles'!$G$5:$G$1069,1)</f>
        <v>4</v>
      </c>
      <c r="F342">
        <f>SUMIFS('Invoice Lines'!$J$5:$J$2542,'Invoice Lines'!$H$5:$H$2542,A342,'Invoice Lines'!$Q$5:$Q$2542,"HIRE-"&amp;C342,'Invoice Lines'!$M$5:$M$2542,1,'Invoice Lines'!$K$5:$K$2542,"&gt;0")</f>
        <v>4</v>
      </c>
      <c r="G342">
        <f>E342-F342</f>
        <v>0</v>
      </c>
      <c r="H342" s="9">
        <f>ROUND(G342*D342,2)</f>
        <v>0</v>
      </c>
      <c r="I342" s="9">
        <f>SUMIFS('Invoice Lines'!$K$5:$K$2542,'Invoice Lines'!$H$5:$H$2542,A342,'Invoice Lines'!$Q$5:$Q$2542,"HIRE-"&amp;C342,'Invoice Lines'!$M$5:$M$2542,1,'Invoice Lines'!$K$5:$K$2542,"&lt;0")</f>
        <v>0</v>
      </c>
      <c r="J342" t="n">
        <v>0</v>
      </c>
      <c r="K342" t="str">
        <f>IF(G342&gt;0,"Under-billed",IF(G342&lt;0,"Over-billed","Agrees"))</f>
        <v>Agrees</v>
      </c>
      <c r="L342" t="inlineStr"/>
    </row>
    <row r="343">
      <c r="A343" t="inlineStr">
        <is>
          <t>S0290</t>
        </is>
      </c>
      <c r="B343" t="inlineStr">
        <is>
          <t>Isla Brown</t>
        </is>
      </c>
      <c r="C343" t="inlineStr">
        <is>
          <t>ST</t>
        </is>
      </c>
      <c r="D343" s="9" t="n">
        <v>95</v>
      </c>
      <c r="E343">
        <f>SUMIFS('Hire Cycles'!$F$5:$F$1069,'Hire Cycles'!$A$5:$A$1069,A343,'Hire Cycles'!$B$5:$B$1069,C343,'Hire Cycles'!$G$5:$G$1069,1)</f>
        <v>36</v>
      </c>
      <c r="F343">
        <f>SUMIFS('Invoice Lines'!$J$5:$J$2542,'Invoice Lines'!$H$5:$H$2542,A343,'Invoice Lines'!$Q$5:$Q$2542,"HIRE-"&amp;C343,'Invoice Lines'!$M$5:$M$2542,1,'Invoice Lines'!$K$5:$K$2542,"&gt;0")</f>
        <v>36</v>
      </c>
      <c r="G343">
        <f>E343-F343</f>
        <v>0</v>
      </c>
      <c r="H343" s="9">
        <f>ROUND(G343*D343,2)</f>
        <v>0</v>
      </c>
      <c r="I343" s="9">
        <f>SUMIFS('Invoice Lines'!$K$5:$K$2542,'Invoice Lines'!$H$5:$H$2542,A343,'Invoice Lines'!$Q$5:$Q$2542,"HIRE-"&amp;C343,'Invoice Lines'!$M$5:$M$2542,1,'Invoice Lines'!$K$5:$K$2542,"&lt;0")</f>
        <v>0</v>
      </c>
      <c r="J343" t="n">
        <v>0</v>
      </c>
      <c r="K343" t="str">
        <f>IF(G343&gt;0,"Under-billed",IF(G343&lt;0,"Over-billed","Agrees"))</f>
        <v>Agrees</v>
      </c>
      <c r="L343" t="inlineStr"/>
    </row>
    <row r="344">
      <c r="A344" t="inlineStr">
        <is>
          <t>S0291</t>
        </is>
      </c>
      <c r="B344" t="inlineStr">
        <is>
          <t>Ella Brown</t>
        </is>
      </c>
      <c r="C344" t="inlineStr">
        <is>
          <t>ST</t>
        </is>
      </c>
      <c r="D344" s="9" t="n">
        <v>95</v>
      </c>
      <c r="E344">
        <f>SUMIFS('Hire Cycles'!$F$5:$F$1069,'Hire Cycles'!$A$5:$A$1069,A344,'Hire Cycles'!$B$5:$B$1069,C344,'Hire Cycles'!$G$5:$G$1069,1)</f>
        <v>4</v>
      </c>
      <c r="F344">
        <f>SUMIFS('Invoice Lines'!$J$5:$J$2542,'Invoice Lines'!$H$5:$H$2542,A344,'Invoice Lines'!$Q$5:$Q$2542,"HIRE-"&amp;C344,'Invoice Lines'!$M$5:$M$2542,1,'Invoice Lines'!$K$5:$K$2542,"&gt;0")</f>
        <v>4</v>
      </c>
      <c r="G344">
        <f>E344-F344</f>
        <v>0</v>
      </c>
      <c r="H344" s="9">
        <f>ROUND(G344*D344,2)</f>
        <v>0</v>
      </c>
      <c r="I344" s="9">
        <f>SUMIFS('Invoice Lines'!$K$5:$K$2542,'Invoice Lines'!$H$5:$H$2542,A344,'Invoice Lines'!$Q$5:$Q$2542,"HIRE-"&amp;C344,'Invoice Lines'!$M$5:$M$2542,1,'Invoice Lines'!$K$5:$K$2542,"&lt;0")</f>
        <v>0</v>
      </c>
      <c r="J344" t="n">
        <v>0</v>
      </c>
      <c r="K344" t="str">
        <f>IF(G344&gt;0,"Under-billed",IF(G344&lt;0,"Over-billed","Agrees"))</f>
        <v>Agrees</v>
      </c>
      <c r="L344" t="inlineStr"/>
    </row>
    <row r="345">
      <c r="A345" t="inlineStr">
        <is>
          <t>S0292</t>
        </is>
      </c>
      <c r="B345" t="inlineStr">
        <is>
          <t>Zoe Williams</t>
        </is>
      </c>
      <c r="C345" t="inlineStr">
        <is>
          <t>ST</t>
        </is>
      </c>
      <c r="D345" s="9" t="n">
        <v>95</v>
      </c>
      <c r="E345">
        <f>SUMIFS('Hire Cycles'!$F$5:$F$1069,'Hire Cycles'!$A$5:$A$1069,A345,'Hire Cycles'!$B$5:$B$1069,C345,'Hire Cycles'!$G$5:$G$1069,1)</f>
        <v>7</v>
      </c>
      <c r="F345">
        <f>SUMIFS('Invoice Lines'!$J$5:$J$2542,'Invoice Lines'!$H$5:$H$2542,A345,'Invoice Lines'!$Q$5:$Q$2542,"HIRE-"&amp;C345,'Invoice Lines'!$M$5:$M$2542,1,'Invoice Lines'!$K$5:$K$2542,"&gt;0")</f>
        <v>3</v>
      </c>
      <c r="G345">
        <f>E345-F345</f>
        <v>4</v>
      </c>
      <c r="H345" s="9">
        <f>ROUND(G345*D345,2)</f>
        <v>380</v>
      </c>
      <c r="I345" s="9">
        <f>SUMIFS('Invoice Lines'!$K$5:$K$2542,'Invoice Lines'!$H$5:$H$2542,A345,'Invoice Lines'!$Q$5:$Q$2542,"HIRE-"&amp;C345,'Invoice Lines'!$M$5:$M$2542,1,'Invoice Lines'!$K$5:$K$2542,"&lt;0")</f>
        <v>0</v>
      </c>
      <c r="J345" t="n">
        <v>0</v>
      </c>
      <c r="K345" t="str">
        <f>IF(G345&gt;0,"Under-billed",IF(G345&lt;0,"Over-billed","Agrees"))</f>
        <v>Under-billed</v>
      </c>
      <c r="L345" t="inlineStr"/>
    </row>
    <row r="346">
      <c r="A346" t="inlineStr">
        <is>
          <t>S0293</t>
        </is>
      </c>
      <c r="B346" t="inlineStr">
        <is>
          <t>Leo Jones</t>
        </is>
      </c>
      <c r="C346" t="inlineStr">
        <is>
          <t>ST</t>
        </is>
      </c>
      <c r="D346" s="9" t="n">
        <v>95</v>
      </c>
      <c r="E346">
        <f>SUMIFS('Hire Cycles'!$F$5:$F$1069,'Hire Cycles'!$A$5:$A$1069,A346,'Hire Cycles'!$B$5:$B$1069,C346,'Hire Cycles'!$G$5:$G$1069,1)</f>
        <v>30</v>
      </c>
      <c r="F346">
        <f>SUMIFS('Invoice Lines'!$J$5:$J$2542,'Invoice Lines'!$H$5:$H$2542,A346,'Invoice Lines'!$Q$5:$Q$2542,"HIRE-"&amp;C346,'Invoice Lines'!$M$5:$M$2542,1,'Invoice Lines'!$K$5:$K$2542,"&gt;0")</f>
        <v>6</v>
      </c>
      <c r="G346">
        <f>E346-F346</f>
        <v>24</v>
      </c>
      <c r="H346" s="9">
        <f>ROUND(G346*D346,2)</f>
        <v>2280</v>
      </c>
      <c r="I346" s="9">
        <f>SUMIFS('Invoice Lines'!$K$5:$K$2542,'Invoice Lines'!$H$5:$H$2542,A346,'Invoice Lines'!$Q$5:$Q$2542,"HIRE-"&amp;C346,'Invoice Lines'!$M$5:$M$2542,1,'Invoice Lines'!$K$5:$K$2542,"&lt;0")</f>
        <v>0</v>
      </c>
      <c r="J346" t="n">
        <v>0</v>
      </c>
      <c r="K346" t="str">
        <f>IF(G346&gt;0,"Under-billed",IF(G346&lt;0,"Over-billed","Agrees"))</f>
        <v>Under-billed</v>
      </c>
      <c r="L346" t="inlineStr"/>
    </row>
    <row r="347">
      <c r="A347" t="inlineStr">
        <is>
          <t>S0294</t>
        </is>
      </c>
      <c r="B347" t="inlineStr">
        <is>
          <t>Summit Builders Pty Ltd</t>
        </is>
      </c>
      <c r="C347" t="inlineStr">
        <is>
          <t>ST</t>
        </is>
      </c>
      <c r="D347" s="9" t="n">
        <v>95</v>
      </c>
      <c r="E347">
        <f>SUMIFS('Hire Cycles'!$F$5:$F$1069,'Hire Cycles'!$A$5:$A$1069,A347,'Hire Cycles'!$B$5:$B$1069,C347,'Hire Cycles'!$G$5:$G$1069,1)</f>
        <v>28</v>
      </c>
      <c r="F347">
        <f>SUMIFS('Invoice Lines'!$J$5:$J$2542,'Invoice Lines'!$H$5:$H$2542,A347,'Invoice Lines'!$Q$5:$Q$2542,"HIRE-"&amp;C347,'Invoice Lines'!$M$5:$M$2542,1,'Invoice Lines'!$K$5:$K$2542,"&gt;0")</f>
        <v>28</v>
      </c>
      <c r="G347">
        <f>E347-F347</f>
        <v>0</v>
      </c>
      <c r="H347" s="9">
        <f>ROUND(G347*D347,2)</f>
        <v>0</v>
      </c>
      <c r="I347" s="9">
        <f>SUMIFS('Invoice Lines'!$K$5:$K$2542,'Invoice Lines'!$H$5:$H$2542,A347,'Invoice Lines'!$Q$5:$Q$2542,"HIRE-"&amp;C347,'Invoice Lines'!$M$5:$M$2542,1,'Invoice Lines'!$K$5:$K$2542,"&lt;0")</f>
        <v>0</v>
      </c>
      <c r="J347" t="n">
        <v>0</v>
      </c>
      <c r="K347" t="str">
        <f>IF(G347&gt;0,"Under-billed",IF(G347&lt;0,"Over-billed","Agrees"))</f>
        <v>Agrees</v>
      </c>
      <c r="L347" t="inlineStr"/>
    </row>
    <row r="348">
      <c r="A348" t="inlineStr">
        <is>
          <t>S0295</t>
        </is>
      </c>
      <c r="B348" t="inlineStr">
        <is>
          <t>Noah Ali</t>
        </is>
      </c>
      <c r="C348" t="inlineStr">
        <is>
          <t>ST</t>
        </is>
      </c>
      <c r="D348" s="9" t="n">
        <v>95</v>
      </c>
      <c r="E348">
        <f>SUMIFS('Hire Cycles'!$F$5:$F$1069,'Hire Cycles'!$A$5:$A$1069,A348,'Hire Cycles'!$B$5:$B$1069,C348,'Hire Cycles'!$G$5:$G$1069,1)</f>
        <v>4</v>
      </c>
      <c r="F348">
        <f>SUMIFS('Invoice Lines'!$J$5:$J$2542,'Invoice Lines'!$H$5:$H$2542,A348,'Invoice Lines'!$Q$5:$Q$2542,"HIRE-"&amp;C348,'Invoice Lines'!$M$5:$M$2542,1,'Invoice Lines'!$K$5:$K$2542,"&gt;0")</f>
        <v>4</v>
      </c>
      <c r="G348">
        <f>E348-F348</f>
        <v>0</v>
      </c>
      <c r="H348" s="9">
        <f>ROUND(G348*D348,2)</f>
        <v>0</v>
      </c>
      <c r="I348" s="9">
        <f>SUMIFS('Invoice Lines'!$K$5:$K$2542,'Invoice Lines'!$H$5:$H$2542,A348,'Invoice Lines'!$Q$5:$Q$2542,"HIRE-"&amp;C348,'Invoice Lines'!$M$5:$M$2542,1,'Invoice Lines'!$K$5:$K$2542,"&lt;0")</f>
        <v>0</v>
      </c>
      <c r="J348" t="n">
        <v>0</v>
      </c>
      <c r="K348" t="str">
        <f>IF(G348&gt;0,"Under-billed",IF(G348&lt;0,"Over-billed","Agrees"))</f>
        <v>Agrees</v>
      </c>
      <c r="L348" t="inlineStr"/>
    </row>
    <row r="349">
      <c r="A349" t="inlineStr">
        <is>
          <t>S0296</t>
        </is>
      </c>
      <c r="B349" t="inlineStr">
        <is>
          <t>Parkview Homes Pty Ltd</t>
        </is>
      </c>
      <c r="C349" t="inlineStr">
        <is>
          <t>ST</t>
        </is>
      </c>
      <c r="D349" s="9" t="n">
        <v>95</v>
      </c>
      <c r="E349">
        <f>SUMIFS('Hire Cycles'!$F$5:$F$1069,'Hire Cycles'!$A$5:$A$1069,A349,'Hire Cycles'!$B$5:$B$1069,C349,'Hire Cycles'!$G$5:$G$1069,1)</f>
        <v>10</v>
      </c>
      <c r="F349">
        <f>SUMIFS('Invoice Lines'!$J$5:$J$2542,'Invoice Lines'!$H$5:$H$2542,A349,'Invoice Lines'!$Q$5:$Q$2542,"HIRE-"&amp;C349,'Invoice Lines'!$M$5:$M$2542,1,'Invoice Lines'!$K$5:$K$2542,"&gt;0")</f>
        <v>10</v>
      </c>
      <c r="G349">
        <f>E349-F349</f>
        <v>0</v>
      </c>
      <c r="H349" s="9">
        <f>ROUND(G349*D349,2)</f>
        <v>0</v>
      </c>
      <c r="I349" s="9">
        <f>SUMIFS('Invoice Lines'!$K$5:$K$2542,'Invoice Lines'!$H$5:$H$2542,A349,'Invoice Lines'!$Q$5:$Q$2542,"HIRE-"&amp;C349,'Invoice Lines'!$M$5:$M$2542,1,'Invoice Lines'!$K$5:$K$2542,"&lt;0")</f>
        <v>0</v>
      </c>
      <c r="J349" t="n">
        <v>0</v>
      </c>
      <c r="K349" t="str">
        <f>IF(G349&gt;0,"Under-billed",IF(G349&lt;0,"Over-billed","Agrees"))</f>
        <v>Agrees</v>
      </c>
      <c r="L349" t="inlineStr"/>
    </row>
    <row r="350">
      <c r="A350" t="inlineStr">
        <is>
          <t>S0297</t>
        </is>
      </c>
      <c r="B350" t="inlineStr">
        <is>
          <t>Ethan Walker</t>
        </is>
      </c>
      <c r="C350" t="inlineStr">
        <is>
          <t>TK</t>
        </is>
      </c>
      <c r="D350" s="9" t="n">
        <v>35</v>
      </c>
      <c r="E350">
        <f>SUMIFS('Hire Cycles'!$F$5:$F$1069,'Hire Cycles'!$A$5:$A$1069,A350,'Hire Cycles'!$B$5:$B$1069,C350,'Hire Cycles'!$G$5:$G$1069,1)</f>
        <v>6</v>
      </c>
      <c r="F350">
        <f>SUMIFS('Invoice Lines'!$J$5:$J$2542,'Invoice Lines'!$H$5:$H$2542,A350,'Invoice Lines'!$Q$5:$Q$2542,"HIRE-"&amp;C350,'Invoice Lines'!$M$5:$M$2542,1,'Invoice Lines'!$K$5:$K$2542,"&gt;0")</f>
        <v>6</v>
      </c>
      <c r="G350">
        <f>E350-F350</f>
        <v>0</v>
      </c>
      <c r="H350" s="9">
        <f>ROUND(G350*D350,2)</f>
        <v>0</v>
      </c>
      <c r="I350" s="9">
        <f>SUMIFS('Invoice Lines'!$K$5:$K$2542,'Invoice Lines'!$H$5:$H$2542,A350,'Invoice Lines'!$Q$5:$Q$2542,"HIRE-"&amp;C350,'Invoice Lines'!$M$5:$M$2542,1,'Invoice Lines'!$K$5:$K$2542,"&lt;0")</f>
        <v>0</v>
      </c>
      <c r="J350" t="n">
        <v>0</v>
      </c>
      <c r="K350" t="str">
        <f>IF(G350&gt;0,"Under-billed",IF(G350&lt;0,"Over-billed","Agrees"))</f>
        <v>Agrees</v>
      </c>
      <c r="L350" t="inlineStr"/>
    </row>
    <row r="351">
      <c r="A351" t="inlineStr">
        <is>
          <t>S0298</t>
        </is>
      </c>
      <c r="B351" t="inlineStr">
        <is>
          <t>Silverleaf Insurance Repairs Pty Ltd</t>
        </is>
      </c>
      <c r="C351" t="inlineStr">
        <is>
          <t>TK</t>
        </is>
      </c>
      <c r="D351" s="9" t="n">
        <v>35</v>
      </c>
      <c r="E351">
        <f>SUMIFS('Hire Cycles'!$F$5:$F$1069,'Hire Cycles'!$A$5:$A$1069,A351,'Hire Cycles'!$B$5:$B$1069,C351,'Hire Cycles'!$G$5:$G$1069,1)</f>
        <v>14</v>
      </c>
      <c r="F351">
        <f>SUMIFS('Invoice Lines'!$J$5:$J$2542,'Invoice Lines'!$H$5:$H$2542,A351,'Invoice Lines'!$Q$5:$Q$2542,"HIRE-"&amp;C351,'Invoice Lines'!$M$5:$M$2542,1,'Invoice Lines'!$K$5:$K$2542,"&gt;0")</f>
        <v>14</v>
      </c>
      <c r="G351">
        <f>E351-F351</f>
        <v>0</v>
      </c>
      <c r="H351" s="9">
        <f>ROUND(G351*D351,2)</f>
        <v>0</v>
      </c>
      <c r="I351" s="9">
        <f>SUMIFS('Invoice Lines'!$K$5:$K$2542,'Invoice Lines'!$H$5:$H$2542,A351,'Invoice Lines'!$Q$5:$Q$2542,"HIRE-"&amp;C351,'Invoice Lines'!$M$5:$M$2542,1,'Invoice Lines'!$K$5:$K$2542,"&lt;0")</f>
        <v>0</v>
      </c>
      <c r="J351" t="n">
        <v>0</v>
      </c>
      <c r="K351" t="str">
        <f>IF(G351&gt;0,"Under-billed",IF(G351&lt;0,"Over-billed","Agrees"))</f>
        <v>Agrees</v>
      </c>
      <c r="L351" t="inlineStr"/>
    </row>
    <row r="352">
      <c r="A352" t="inlineStr">
        <is>
          <t>S0301</t>
        </is>
      </c>
      <c r="B352" t="inlineStr">
        <is>
          <t>Noah Williams</t>
        </is>
      </c>
      <c r="C352" t="inlineStr">
        <is>
          <t>TK</t>
        </is>
      </c>
      <c r="D352" s="9" t="n">
        <v>35</v>
      </c>
      <c r="E352">
        <f>SUMIFS('Hire Cycles'!$F$5:$F$1069,'Hire Cycles'!$A$5:$A$1069,A352,'Hire Cycles'!$B$5:$B$1069,C352,'Hire Cycles'!$G$5:$G$1069,1)</f>
        <v>4</v>
      </c>
      <c r="F352">
        <f>SUMIFS('Invoice Lines'!$J$5:$J$2542,'Invoice Lines'!$H$5:$H$2542,A352,'Invoice Lines'!$Q$5:$Q$2542,"HIRE-"&amp;C352,'Invoice Lines'!$M$5:$M$2542,1,'Invoice Lines'!$K$5:$K$2542,"&gt;0")</f>
        <v>4</v>
      </c>
      <c r="G352">
        <f>E352-F352</f>
        <v>0</v>
      </c>
      <c r="H352" s="9">
        <f>ROUND(G352*D352,2)</f>
        <v>0</v>
      </c>
      <c r="I352" s="9">
        <f>SUMIFS('Invoice Lines'!$K$5:$K$2542,'Invoice Lines'!$H$5:$H$2542,A352,'Invoice Lines'!$Q$5:$Q$2542,"HIRE-"&amp;C352,'Invoice Lines'!$M$5:$M$2542,1,'Invoice Lines'!$K$5:$K$2542,"&lt;0")</f>
        <v>0</v>
      </c>
      <c r="J352" t="n">
        <v>0</v>
      </c>
      <c r="K352" t="str">
        <f>IF(G352&gt;0,"Under-billed",IF(G352&lt;0,"Over-billed","Agrees"))</f>
        <v>Agrees</v>
      </c>
      <c r="L352" t="inlineStr"/>
    </row>
    <row r="353">
      <c r="A353" t="inlineStr">
        <is>
          <t>S0302</t>
        </is>
      </c>
      <c r="B353" t="inlineStr">
        <is>
          <t>Noah Williams</t>
        </is>
      </c>
      <c r="C353" t="inlineStr">
        <is>
          <t>TK</t>
        </is>
      </c>
      <c r="D353" s="9" t="n">
        <v>35</v>
      </c>
      <c r="E353">
        <f>SUMIFS('Hire Cycles'!$F$5:$F$1069,'Hire Cycles'!$A$5:$A$1069,A353,'Hire Cycles'!$B$5:$B$1069,C353,'Hire Cycles'!$G$5:$G$1069,1)</f>
        <v>10</v>
      </c>
      <c r="F353">
        <f>SUMIFS('Invoice Lines'!$J$5:$J$2542,'Invoice Lines'!$H$5:$H$2542,A353,'Invoice Lines'!$Q$5:$Q$2542,"HIRE-"&amp;C353,'Invoice Lines'!$M$5:$M$2542,1,'Invoice Lines'!$K$5:$K$2542,"&gt;0")</f>
        <v>10</v>
      </c>
      <c r="G353">
        <f>E353-F353</f>
        <v>0</v>
      </c>
      <c r="H353" s="9">
        <f>ROUND(G353*D353,2)</f>
        <v>0</v>
      </c>
      <c r="I353" s="9">
        <f>SUMIFS('Invoice Lines'!$K$5:$K$2542,'Invoice Lines'!$H$5:$H$2542,A353,'Invoice Lines'!$Q$5:$Q$2542,"HIRE-"&amp;C353,'Invoice Lines'!$M$5:$M$2542,1,'Invoice Lines'!$K$5:$K$2542,"&lt;0")</f>
        <v>0</v>
      </c>
      <c r="J353" t="n">
        <v>0</v>
      </c>
      <c r="K353" t="str">
        <f>IF(G353&gt;0,"Under-billed",IF(G353&lt;0,"Over-billed","Agrees"))</f>
        <v>Agrees</v>
      </c>
      <c r="L353" t="inlineStr"/>
    </row>
    <row r="354">
      <c r="A354" t="inlineStr">
        <is>
          <t>S0303</t>
        </is>
      </c>
      <c r="B354" t="inlineStr">
        <is>
          <t>Leo Jones</t>
        </is>
      </c>
      <c r="C354" t="inlineStr">
        <is>
          <t>TK</t>
        </is>
      </c>
      <c r="D354" s="9" t="n">
        <v>35</v>
      </c>
      <c r="E354">
        <f>SUMIFS('Hire Cycles'!$F$5:$F$1069,'Hire Cycles'!$A$5:$A$1069,A354,'Hire Cycles'!$B$5:$B$1069,C354,'Hire Cycles'!$G$5:$G$1069,1)</f>
        <v>15</v>
      </c>
      <c r="F354">
        <f>SUMIFS('Invoice Lines'!$J$5:$J$2542,'Invoice Lines'!$H$5:$H$2542,A354,'Invoice Lines'!$Q$5:$Q$2542,"HIRE-"&amp;C354,'Invoice Lines'!$M$5:$M$2542,1,'Invoice Lines'!$K$5:$K$2542,"&gt;0")</f>
        <v>15</v>
      </c>
      <c r="G354">
        <f>E354-F354</f>
        <v>0</v>
      </c>
      <c r="H354" s="9">
        <f>ROUND(G354*D354,2)</f>
        <v>0</v>
      </c>
      <c r="I354" s="9">
        <f>SUMIFS('Invoice Lines'!$K$5:$K$2542,'Invoice Lines'!$H$5:$H$2542,A354,'Invoice Lines'!$Q$5:$Q$2542,"HIRE-"&amp;C354,'Invoice Lines'!$M$5:$M$2542,1,'Invoice Lines'!$K$5:$K$2542,"&lt;0")</f>
        <v>0</v>
      </c>
      <c r="J354" t="n">
        <v>0</v>
      </c>
      <c r="K354" t="str">
        <f>IF(G354&gt;0,"Under-billed",IF(G354&lt;0,"Over-billed","Agrees"))</f>
        <v>Agrees</v>
      </c>
      <c r="L354" t="inlineStr"/>
    </row>
    <row r="355">
      <c r="A355" t="inlineStr">
        <is>
          <t>S0305</t>
        </is>
      </c>
      <c r="B355" t="inlineStr">
        <is>
          <t>Banksia Claims Services Pty Ltd</t>
        </is>
      </c>
      <c r="C355" t="inlineStr">
        <is>
          <t>TK</t>
        </is>
      </c>
      <c r="D355" s="9" t="n">
        <v>35</v>
      </c>
      <c r="E355">
        <f>SUMIFS('Hire Cycles'!$F$5:$F$1069,'Hire Cycles'!$A$5:$A$1069,A355,'Hire Cycles'!$B$5:$B$1069,C355,'Hire Cycles'!$G$5:$G$1069,1)</f>
        <v>6</v>
      </c>
      <c r="F355">
        <f>SUMIFS('Invoice Lines'!$J$5:$J$2542,'Invoice Lines'!$H$5:$H$2542,A355,'Invoice Lines'!$Q$5:$Q$2542,"HIRE-"&amp;C355,'Invoice Lines'!$M$5:$M$2542,1,'Invoice Lines'!$K$5:$K$2542,"&gt;0")</f>
        <v>6</v>
      </c>
      <c r="G355">
        <f>E355-F355</f>
        <v>0</v>
      </c>
      <c r="H355" s="9">
        <f>ROUND(G355*D355,2)</f>
        <v>0</v>
      </c>
      <c r="I355" s="9">
        <f>SUMIFS('Invoice Lines'!$K$5:$K$2542,'Invoice Lines'!$H$5:$H$2542,A355,'Invoice Lines'!$Q$5:$Q$2542,"HIRE-"&amp;C355,'Invoice Lines'!$M$5:$M$2542,1,'Invoice Lines'!$K$5:$K$2542,"&lt;0")</f>
        <v>0</v>
      </c>
      <c r="J355" t="n">
        <v>0</v>
      </c>
      <c r="K355" t="str">
        <f>IF(G355&gt;0,"Under-billed",IF(G355&lt;0,"Over-billed","Agrees"))</f>
        <v>Agrees</v>
      </c>
      <c r="L355" t="inlineStr"/>
    </row>
    <row r="356">
      <c r="A356" t="inlineStr">
        <is>
          <t>S0314</t>
        </is>
      </c>
      <c r="B356" t="inlineStr">
        <is>
          <t>Highpoint Insurance Repairs Pty Ltd</t>
        </is>
      </c>
      <c r="C356" t="inlineStr">
        <is>
          <t>TK</t>
        </is>
      </c>
      <c r="D356" s="9" t="n">
        <v>35</v>
      </c>
      <c r="E356">
        <f>SUMIFS('Hire Cycles'!$F$5:$F$1069,'Hire Cycles'!$A$5:$A$1069,A356,'Hire Cycles'!$B$5:$B$1069,C356,'Hire Cycles'!$G$5:$G$1069,1)</f>
        <v>5</v>
      </c>
      <c r="F356">
        <f>SUMIFS('Invoice Lines'!$J$5:$J$2542,'Invoice Lines'!$H$5:$H$2542,A356,'Invoice Lines'!$Q$5:$Q$2542,"HIRE-"&amp;C356,'Invoice Lines'!$M$5:$M$2542,1,'Invoice Lines'!$K$5:$K$2542,"&gt;0")</f>
        <v>5</v>
      </c>
      <c r="G356">
        <f>E356-F356</f>
        <v>0</v>
      </c>
      <c r="H356" s="9">
        <f>ROUND(G356*D356,2)</f>
        <v>0</v>
      </c>
      <c r="I356" s="9">
        <f>SUMIFS('Invoice Lines'!$K$5:$K$2542,'Invoice Lines'!$H$5:$H$2542,A356,'Invoice Lines'!$Q$5:$Q$2542,"HIRE-"&amp;C356,'Invoice Lines'!$M$5:$M$2542,1,'Invoice Lines'!$K$5:$K$2542,"&lt;0")</f>
        <v>0</v>
      </c>
      <c r="J356" t="n">
        <v>0</v>
      </c>
      <c r="K356" t="str">
        <f>IF(G356&gt;0,"Under-billed",IF(G356&lt;0,"Over-billed","Agrees"))</f>
        <v>Agrees</v>
      </c>
      <c r="L356" t="inlineStr"/>
    </row>
    <row r="357">
      <c r="A357" t="inlineStr">
        <is>
          <t>S0320</t>
        </is>
      </c>
      <c r="B357" t="inlineStr">
        <is>
          <t>Wattle Constructions Pty Ltd</t>
        </is>
      </c>
      <c r="C357" t="inlineStr">
        <is>
          <t>TK</t>
        </is>
      </c>
      <c r="D357" s="9" t="n">
        <v>35</v>
      </c>
      <c r="E357">
        <f>SUMIFS('Hire Cycles'!$F$5:$F$1069,'Hire Cycles'!$A$5:$A$1069,A357,'Hire Cycles'!$B$5:$B$1069,C357,'Hire Cycles'!$G$5:$G$1069,1)</f>
        <v>4</v>
      </c>
      <c r="F357">
        <f>SUMIFS('Invoice Lines'!$J$5:$J$2542,'Invoice Lines'!$H$5:$H$2542,A357,'Invoice Lines'!$Q$5:$Q$2542,"HIRE-"&amp;C357,'Invoice Lines'!$M$5:$M$2542,1,'Invoice Lines'!$K$5:$K$2542,"&gt;0")</f>
        <v>4</v>
      </c>
      <c r="G357">
        <f>E357-F357</f>
        <v>0</v>
      </c>
      <c r="H357" s="9">
        <f>ROUND(G357*D357,2)</f>
        <v>0</v>
      </c>
      <c r="I357" s="9">
        <f>SUMIFS('Invoice Lines'!$K$5:$K$2542,'Invoice Lines'!$H$5:$H$2542,A357,'Invoice Lines'!$Q$5:$Q$2542,"HIRE-"&amp;C357,'Invoice Lines'!$M$5:$M$2542,1,'Invoice Lines'!$K$5:$K$2542,"&lt;0")</f>
        <v>0</v>
      </c>
      <c r="J357" t="n">
        <v>1</v>
      </c>
      <c r="K357" t="str">
        <f>IF(G357&gt;0,"Under-billed",IF(G357&lt;0,"Over-billed","Agrees"))</f>
        <v>Agrees</v>
      </c>
      <c r="L357" t="inlineStr"/>
    </row>
    <row r="358">
      <c r="A358" t="inlineStr">
        <is>
          <t>S0324</t>
        </is>
      </c>
      <c r="B358" t="inlineStr">
        <is>
          <t>Banksia Strata Management</t>
        </is>
      </c>
      <c r="C358" t="inlineStr">
        <is>
          <t>TK</t>
        </is>
      </c>
      <c r="D358" s="9" t="n">
        <v>35</v>
      </c>
      <c r="E358">
        <f>SUMIFS('Hire Cycles'!$F$5:$F$1069,'Hire Cycles'!$A$5:$A$1069,A358,'Hire Cycles'!$B$5:$B$1069,C358,'Hire Cycles'!$G$5:$G$1069,1)</f>
        <v>8</v>
      </c>
      <c r="F358">
        <f>SUMIFS('Invoice Lines'!$J$5:$J$2542,'Invoice Lines'!$H$5:$H$2542,A358,'Invoice Lines'!$Q$5:$Q$2542,"HIRE-"&amp;C358,'Invoice Lines'!$M$5:$M$2542,1,'Invoice Lines'!$K$5:$K$2542,"&gt;0")</f>
        <v>8</v>
      </c>
      <c r="G358">
        <f>E358-F358</f>
        <v>0</v>
      </c>
      <c r="H358" s="9">
        <f>ROUND(G358*D358,2)</f>
        <v>0</v>
      </c>
      <c r="I358" s="9">
        <f>SUMIFS('Invoice Lines'!$K$5:$K$2542,'Invoice Lines'!$H$5:$H$2542,A358,'Invoice Lines'!$Q$5:$Q$2542,"HIRE-"&amp;C358,'Invoice Lines'!$M$5:$M$2542,1,'Invoice Lines'!$K$5:$K$2542,"&lt;0")</f>
        <v>0</v>
      </c>
      <c r="J358" t="n">
        <v>0</v>
      </c>
      <c r="K358" t="str">
        <f>IF(G358&gt;0,"Under-billed",IF(G358&lt;0,"Over-billed","Agrees"))</f>
        <v>Agrees</v>
      </c>
      <c r="L358" t="inlineStr"/>
    </row>
    <row r="359">
      <c r="A359" t="inlineStr">
        <is>
          <t>S0330</t>
        </is>
      </c>
      <c r="B359" t="inlineStr">
        <is>
          <t>Coastline Claims Services</t>
        </is>
      </c>
      <c r="C359" t="inlineStr">
        <is>
          <t>TK</t>
        </is>
      </c>
      <c r="D359" s="9" t="n">
        <v>35</v>
      </c>
      <c r="E359">
        <f>SUMIFS('Hire Cycles'!$F$5:$F$1069,'Hire Cycles'!$A$5:$A$1069,A359,'Hire Cycles'!$B$5:$B$1069,C359,'Hire Cycles'!$G$5:$G$1069,1)</f>
        <v>8</v>
      </c>
      <c r="F359">
        <f>SUMIFS('Invoice Lines'!$J$5:$J$2542,'Invoice Lines'!$H$5:$H$2542,A359,'Invoice Lines'!$Q$5:$Q$2542,"HIRE-"&amp;C359,'Invoice Lines'!$M$5:$M$2542,1,'Invoice Lines'!$K$5:$K$2542,"&gt;0")</f>
        <v>8</v>
      </c>
      <c r="G359">
        <f>E359-F359</f>
        <v>0</v>
      </c>
      <c r="H359" s="9">
        <f>ROUND(G359*D359,2)</f>
        <v>0</v>
      </c>
      <c r="I359" s="9">
        <f>SUMIFS('Invoice Lines'!$K$5:$K$2542,'Invoice Lines'!$H$5:$H$2542,A359,'Invoice Lines'!$Q$5:$Q$2542,"HIRE-"&amp;C359,'Invoice Lines'!$M$5:$M$2542,1,'Invoice Lines'!$K$5:$K$2542,"&lt;0")</f>
        <v>0</v>
      </c>
      <c r="J359" t="n">
        <v>0</v>
      </c>
      <c r="K359" t="str">
        <f>IF(G359&gt;0,"Under-billed",IF(G359&lt;0,"Over-billed","Agrees"))</f>
        <v>Agrees</v>
      </c>
      <c r="L359" t="inlineStr"/>
    </row>
    <row r="360">
      <c r="A360" t="inlineStr">
        <is>
          <t>S0331</t>
        </is>
      </c>
      <c r="B360" t="inlineStr">
        <is>
          <t>Redline Claims Services</t>
        </is>
      </c>
      <c r="C360" t="inlineStr">
        <is>
          <t>TK</t>
        </is>
      </c>
      <c r="D360" s="9" t="n">
        <v>35</v>
      </c>
      <c r="E360">
        <f>SUMIFS('Hire Cycles'!$F$5:$F$1069,'Hire Cycles'!$A$5:$A$1069,A360,'Hire Cycles'!$B$5:$B$1069,C360,'Hire Cycles'!$G$5:$G$1069,1)</f>
        <v>4</v>
      </c>
      <c r="F360">
        <f>SUMIFS('Invoice Lines'!$J$5:$J$2542,'Invoice Lines'!$H$5:$H$2542,A360,'Invoice Lines'!$Q$5:$Q$2542,"HIRE-"&amp;C360,'Invoice Lines'!$M$5:$M$2542,1,'Invoice Lines'!$K$5:$K$2542,"&gt;0")</f>
        <v>4</v>
      </c>
      <c r="G360">
        <f>E360-F360</f>
        <v>0</v>
      </c>
      <c r="H360" s="9">
        <f>ROUND(G360*D360,2)</f>
        <v>0</v>
      </c>
      <c r="I360" s="9">
        <f>SUMIFS('Invoice Lines'!$K$5:$K$2542,'Invoice Lines'!$H$5:$H$2542,A360,'Invoice Lines'!$Q$5:$Q$2542,"HIRE-"&amp;C360,'Invoice Lines'!$M$5:$M$2542,1,'Invoice Lines'!$K$5:$K$2542,"&lt;0")</f>
        <v>0</v>
      </c>
      <c r="J360" t="n">
        <v>0</v>
      </c>
      <c r="K360" t="str">
        <f>IF(G360&gt;0,"Under-billed",IF(G360&lt;0,"Over-billed","Agrees"))</f>
        <v>Agrees</v>
      </c>
      <c r="L360" t="inlineStr"/>
    </row>
    <row r="361">
      <c r="A361" t="inlineStr">
        <is>
          <t>S0332</t>
        </is>
      </c>
      <c r="B361" t="inlineStr">
        <is>
          <t>Banksia Claims Services Pty Ltd</t>
        </is>
      </c>
      <c r="C361" t="inlineStr">
        <is>
          <t>TK</t>
        </is>
      </c>
      <c r="D361" s="9" t="n">
        <v>35</v>
      </c>
      <c r="E361">
        <f>SUMIFS('Hire Cycles'!$F$5:$F$1069,'Hire Cycles'!$A$5:$A$1069,A361,'Hire Cycles'!$B$5:$B$1069,C361,'Hire Cycles'!$G$5:$G$1069,1)</f>
        <v>18</v>
      </c>
      <c r="F361">
        <f>SUMIFS('Invoice Lines'!$J$5:$J$2542,'Invoice Lines'!$H$5:$H$2542,A361,'Invoice Lines'!$Q$5:$Q$2542,"HIRE-"&amp;C361,'Invoice Lines'!$M$5:$M$2542,1,'Invoice Lines'!$K$5:$K$2542,"&gt;0")</f>
        <v>18</v>
      </c>
      <c r="G361">
        <f>E361-F361</f>
        <v>0</v>
      </c>
      <c r="H361" s="9">
        <f>ROUND(G361*D361,2)</f>
        <v>0</v>
      </c>
      <c r="I361" s="9">
        <f>SUMIFS('Invoice Lines'!$K$5:$K$2542,'Invoice Lines'!$H$5:$H$2542,A361,'Invoice Lines'!$Q$5:$Q$2542,"HIRE-"&amp;C361,'Invoice Lines'!$M$5:$M$2542,1,'Invoice Lines'!$K$5:$K$2542,"&lt;0")</f>
        <v>0</v>
      </c>
      <c r="J361" t="n">
        <v>0</v>
      </c>
      <c r="K361" t="str">
        <f>IF(G361&gt;0,"Under-billed",IF(G361&lt;0,"Over-billed","Agrees"))</f>
        <v>Agrees</v>
      </c>
      <c r="L361" t="inlineStr"/>
    </row>
    <row r="362">
      <c r="A362" t="inlineStr">
        <is>
          <t>S0334</t>
        </is>
      </c>
      <c r="B362" t="inlineStr">
        <is>
          <t>Mei Ali</t>
        </is>
      </c>
      <c r="C362" t="inlineStr">
        <is>
          <t>TK</t>
        </is>
      </c>
      <c r="D362" s="9" t="n">
        <v>35</v>
      </c>
      <c r="E362">
        <f>SUMIFS('Hire Cycles'!$F$5:$F$1069,'Hire Cycles'!$A$5:$A$1069,A362,'Hire Cycles'!$B$5:$B$1069,C362,'Hire Cycles'!$G$5:$G$1069,1)</f>
        <v>12</v>
      </c>
      <c r="F362">
        <f>SUMIFS('Invoice Lines'!$J$5:$J$2542,'Invoice Lines'!$H$5:$H$2542,A362,'Invoice Lines'!$Q$5:$Q$2542,"HIRE-"&amp;C362,'Invoice Lines'!$M$5:$M$2542,1,'Invoice Lines'!$K$5:$K$2542,"&gt;0")</f>
        <v>12</v>
      </c>
      <c r="G362">
        <f>E362-F362</f>
        <v>0</v>
      </c>
      <c r="H362" s="9">
        <f>ROUND(G362*D362,2)</f>
        <v>0</v>
      </c>
      <c r="I362" s="9">
        <f>SUMIFS('Invoice Lines'!$K$5:$K$2542,'Invoice Lines'!$H$5:$H$2542,A362,'Invoice Lines'!$Q$5:$Q$2542,"HIRE-"&amp;C362,'Invoice Lines'!$M$5:$M$2542,1,'Invoice Lines'!$K$5:$K$2542,"&lt;0")</f>
        <v>0</v>
      </c>
      <c r="J362" t="n">
        <v>0</v>
      </c>
      <c r="K362" t="str">
        <f>IF(G362&gt;0,"Under-billed",IF(G362&lt;0,"Over-billed","Agrees"))</f>
        <v>Agrees</v>
      </c>
      <c r="L362" t="inlineStr"/>
    </row>
    <row r="363">
      <c r="A363" t="inlineStr">
        <is>
          <t>S0336</t>
        </is>
      </c>
      <c r="B363" t="inlineStr">
        <is>
          <t>Stonebridge Claims Services</t>
        </is>
      </c>
      <c r="C363" t="inlineStr">
        <is>
          <t>TK</t>
        </is>
      </c>
      <c r="D363" s="9" t="n">
        <v>35</v>
      </c>
      <c r="E363">
        <f>SUMIFS('Hire Cycles'!$F$5:$F$1069,'Hire Cycles'!$A$5:$A$1069,A363,'Hire Cycles'!$B$5:$B$1069,C363,'Hire Cycles'!$G$5:$G$1069,1)</f>
        <v>2</v>
      </c>
      <c r="F363">
        <f>SUMIFS('Invoice Lines'!$J$5:$J$2542,'Invoice Lines'!$H$5:$H$2542,A363,'Invoice Lines'!$Q$5:$Q$2542,"HIRE-"&amp;C363,'Invoice Lines'!$M$5:$M$2542,1,'Invoice Lines'!$K$5:$K$2542,"&gt;0")</f>
        <v>2</v>
      </c>
      <c r="G363">
        <f>E363-F363</f>
        <v>0</v>
      </c>
      <c r="H363" s="9">
        <f>ROUND(G363*D363,2)</f>
        <v>0</v>
      </c>
      <c r="I363" s="9">
        <f>SUMIFS('Invoice Lines'!$K$5:$K$2542,'Invoice Lines'!$H$5:$H$2542,A363,'Invoice Lines'!$Q$5:$Q$2542,"HIRE-"&amp;C363,'Invoice Lines'!$M$5:$M$2542,1,'Invoice Lines'!$K$5:$K$2542,"&lt;0")</f>
        <v>0</v>
      </c>
      <c r="J363" t="n">
        <v>0</v>
      </c>
      <c r="K363" t="str">
        <f>IF(G363&gt;0,"Under-billed",IF(G363&lt;0,"Over-billed","Agrees"))</f>
        <v>Agrees</v>
      </c>
      <c r="L363" t="inlineStr"/>
    </row>
    <row r="364">
      <c r="A364" t="inlineStr">
        <is>
          <t>S0337</t>
        </is>
      </c>
      <c r="B364" t="inlineStr">
        <is>
          <t>Coastline Developments Pty Ltd</t>
        </is>
      </c>
      <c r="C364" t="inlineStr">
        <is>
          <t>TK</t>
        </is>
      </c>
      <c r="D364" s="9" t="n">
        <v>35</v>
      </c>
      <c r="E364">
        <f>SUMIFS('Hire Cycles'!$F$5:$F$1069,'Hire Cycles'!$A$5:$A$1069,A364,'Hire Cycles'!$B$5:$B$1069,C364,'Hire Cycles'!$G$5:$G$1069,1)</f>
        <v>12</v>
      </c>
      <c r="F364">
        <f>SUMIFS('Invoice Lines'!$J$5:$J$2542,'Invoice Lines'!$H$5:$H$2542,A364,'Invoice Lines'!$Q$5:$Q$2542,"HIRE-"&amp;C364,'Invoice Lines'!$M$5:$M$2542,1,'Invoice Lines'!$K$5:$K$2542,"&gt;0")</f>
        <v>12</v>
      </c>
      <c r="G364">
        <f>E364-F364</f>
        <v>0</v>
      </c>
      <c r="H364" s="9">
        <f>ROUND(G364*D364,2)</f>
        <v>0</v>
      </c>
      <c r="I364" s="9">
        <f>SUMIFS('Invoice Lines'!$K$5:$K$2542,'Invoice Lines'!$H$5:$H$2542,A364,'Invoice Lines'!$Q$5:$Q$2542,"HIRE-"&amp;C364,'Invoice Lines'!$M$5:$M$2542,1,'Invoice Lines'!$K$5:$K$2542,"&lt;0")</f>
        <v>0</v>
      </c>
      <c r="J364" t="n">
        <v>0</v>
      </c>
      <c r="K364" t="str">
        <f>IF(G364&gt;0,"Under-billed",IF(G364&lt;0,"Over-billed","Agrees"))</f>
        <v>Agrees</v>
      </c>
      <c r="L364" t="inlineStr"/>
    </row>
    <row r="365">
      <c r="A365" t="inlineStr">
        <is>
          <t>S0338</t>
        </is>
      </c>
      <c r="B365" t="inlineStr">
        <is>
          <t>Bayside Owners Corporation Services Pty Ltd</t>
        </is>
      </c>
      <c r="C365" t="inlineStr">
        <is>
          <t>TK</t>
        </is>
      </c>
      <c r="D365" s="9" t="n">
        <v>35</v>
      </c>
      <c r="E365">
        <f>SUMIFS('Hire Cycles'!$F$5:$F$1069,'Hire Cycles'!$A$5:$A$1069,A365,'Hire Cycles'!$B$5:$B$1069,C365,'Hire Cycles'!$G$5:$G$1069,1)</f>
        <v>3</v>
      </c>
      <c r="F365">
        <f>SUMIFS('Invoice Lines'!$J$5:$J$2542,'Invoice Lines'!$H$5:$H$2542,A365,'Invoice Lines'!$Q$5:$Q$2542,"HIRE-"&amp;C365,'Invoice Lines'!$M$5:$M$2542,1,'Invoice Lines'!$K$5:$K$2542,"&gt;0")</f>
        <v>3</v>
      </c>
      <c r="G365">
        <f>E365-F365</f>
        <v>0</v>
      </c>
      <c r="H365" s="9">
        <f>ROUND(G365*D365,2)</f>
        <v>0</v>
      </c>
      <c r="I365" s="9">
        <f>SUMIFS('Invoice Lines'!$K$5:$K$2542,'Invoice Lines'!$H$5:$H$2542,A365,'Invoice Lines'!$Q$5:$Q$2542,"HIRE-"&amp;C365,'Invoice Lines'!$M$5:$M$2542,1,'Invoice Lines'!$K$5:$K$2542,"&lt;0")</f>
        <v>0</v>
      </c>
      <c r="J365" t="n">
        <v>0</v>
      </c>
      <c r="K365" t="str">
        <f>IF(G365&gt;0,"Under-billed",IF(G365&lt;0,"Over-billed","Agrees"))</f>
        <v>Agrees</v>
      </c>
      <c r="L365" t="inlineStr"/>
    </row>
    <row r="366">
      <c r="A366" t="inlineStr">
        <is>
          <t>S0340</t>
        </is>
      </c>
      <c r="B366" t="inlineStr">
        <is>
          <t>Parkview Projects Pty Ltd</t>
        </is>
      </c>
      <c r="C366" t="inlineStr">
        <is>
          <t>TK</t>
        </is>
      </c>
      <c r="D366" s="9" t="n">
        <v>35</v>
      </c>
      <c r="E366">
        <f>SUMIFS('Hire Cycles'!$F$5:$F$1069,'Hire Cycles'!$A$5:$A$1069,A366,'Hire Cycles'!$B$5:$B$1069,C366,'Hire Cycles'!$G$5:$G$1069,1)</f>
        <v>15</v>
      </c>
      <c r="F366">
        <f>SUMIFS('Invoice Lines'!$J$5:$J$2542,'Invoice Lines'!$H$5:$H$2542,A366,'Invoice Lines'!$Q$5:$Q$2542,"HIRE-"&amp;C366,'Invoice Lines'!$M$5:$M$2542,1,'Invoice Lines'!$K$5:$K$2542,"&gt;0")</f>
        <v>15</v>
      </c>
      <c r="G366">
        <f>E366-F366</f>
        <v>0</v>
      </c>
      <c r="H366" s="9">
        <f>ROUND(G366*D366,2)</f>
        <v>0</v>
      </c>
      <c r="I366" s="9">
        <f>SUMIFS('Invoice Lines'!$K$5:$K$2542,'Invoice Lines'!$H$5:$H$2542,A366,'Invoice Lines'!$Q$5:$Q$2542,"HIRE-"&amp;C366,'Invoice Lines'!$M$5:$M$2542,1,'Invoice Lines'!$K$5:$K$2542,"&lt;0")</f>
        <v>0</v>
      </c>
      <c r="J366" t="n">
        <v>0</v>
      </c>
      <c r="K366" t="str">
        <f>IF(G366&gt;0,"Under-billed",IF(G366&lt;0,"Over-billed","Agrees"))</f>
        <v>Agrees</v>
      </c>
      <c r="L366" t="inlineStr"/>
    </row>
    <row r="367">
      <c r="A367" t="inlineStr">
        <is>
          <t>S0343</t>
        </is>
      </c>
      <c r="B367" t="inlineStr">
        <is>
          <t>Highpoint Insurance Repairs Pty Ltd</t>
        </is>
      </c>
      <c r="C367" t="inlineStr">
        <is>
          <t>TK</t>
        </is>
      </c>
      <c r="D367" s="9" t="n">
        <v>35</v>
      </c>
      <c r="E367">
        <f>SUMIFS('Hire Cycles'!$F$5:$F$1069,'Hire Cycles'!$A$5:$A$1069,A367,'Hire Cycles'!$B$5:$B$1069,C367,'Hire Cycles'!$G$5:$G$1069,1)</f>
        <v>6</v>
      </c>
      <c r="F367">
        <f>SUMIFS('Invoice Lines'!$J$5:$J$2542,'Invoice Lines'!$H$5:$H$2542,A367,'Invoice Lines'!$Q$5:$Q$2542,"HIRE-"&amp;C367,'Invoice Lines'!$M$5:$M$2542,1,'Invoice Lines'!$K$5:$K$2542,"&gt;0")</f>
        <v>6</v>
      </c>
      <c r="G367">
        <f>E367-F367</f>
        <v>0</v>
      </c>
      <c r="H367" s="9">
        <f>ROUND(G367*D367,2)</f>
        <v>0</v>
      </c>
      <c r="I367" s="9">
        <f>SUMIFS('Invoice Lines'!$K$5:$K$2542,'Invoice Lines'!$H$5:$H$2542,A367,'Invoice Lines'!$Q$5:$Q$2542,"HIRE-"&amp;C367,'Invoice Lines'!$M$5:$M$2542,1,'Invoice Lines'!$K$5:$K$2542,"&lt;0")</f>
        <v>0</v>
      </c>
      <c r="J367" t="n">
        <v>0</v>
      </c>
      <c r="K367" t="str">
        <f>IF(G367&gt;0,"Under-billed",IF(G367&lt;0,"Over-billed","Agrees"))</f>
        <v>Agrees</v>
      </c>
      <c r="L367" t="inlineStr"/>
    </row>
    <row r="368">
      <c r="A368" t="inlineStr">
        <is>
          <t>S0346</t>
        </is>
      </c>
      <c r="B368" t="inlineStr">
        <is>
          <t>Mia Walker</t>
        </is>
      </c>
      <c r="C368" t="inlineStr">
        <is>
          <t>TK</t>
        </is>
      </c>
      <c r="D368" s="9" t="n">
        <v>35</v>
      </c>
      <c r="E368">
        <f>SUMIFS('Hire Cycles'!$F$5:$F$1069,'Hire Cycles'!$A$5:$A$1069,A368,'Hire Cycles'!$B$5:$B$1069,C368,'Hire Cycles'!$G$5:$G$1069,1)</f>
        <v>6</v>
      </c>
      <c r="F368">
        <f>SUMIFS('Invoice Lines'!$J$5:$J$2542,'Invoice Lines'!$H$5:$H$2542,A368,'Invoice Lines'!$Q$5:$Q$2542,"HIRE-"&amp;C368,'Invoice Lines'!$M$5:$M$2542,1,'Invoice Lines'!$K$5:$K$2542,"&gt;0")</f>
        <v>6</v>
      </c>
      <c r="G368">
        <f>E368-F368</f>
        <v>0</v>
      </c>
      <c r="H368" s="9">
        <f>ROUND(G368*D368,2)</f>
        <v>0</v>
      </c>
      <c r="I368" s="9">
        <f>SUMIFS('Invoice Lines'!$K$5:$K$2542,'Invoice Lines'!$H$5:$H$2542,A368,'Invoice Lines'!$Q$5:$Q$2542,"HIRE-"&amp;C368,'Invoice Lines'!$M$5:$M$2542,1,'Invoice Lines'!$K$5:$K$2542,"&lt;0")</f>
        <v>0</v>
      </c>
      <c r="J368" t="n">
        <v>0</v>
      </c>
      <c r="K368" t="str">
        <f>IF(G368&gt;0,"Under-billed",IF(G368&lt;0,"Over-billed","Agrees"))</f>
        <v>Agrees</v>
      </c>
      <c r="L368" t="inlineStr"/>
    </row>
    <row r="369">
      <c r="A369" t="inlineStr">
        <is>
          <t>S0347</t>
        </is>
      </c>
      <c r="B369" t="inlineStr">
        <is>
          <t>Banksia Strata Management</t>
        </is>
      </c>
      <c r="C369" t="inlineStr">
        <is>
          <t>TK</t>
        </is>
      </c>
      <c r="D369" s="9" t="n">
        <v>35</v>
      </c>
      <c r="E369">
        <f>SUMIFS('Hire Cycles'!$F$5:$F$1069,'Hire Cycles'!$A$5:$A$1069,A369,'Hire Cycles'!$B$5:$B$1069,C369,'Hire Cycles'!$G$5:$G$1069,1)</f>
        <v>3</v>
      </c>
      <c r="F369">
        <f>SUMIFS('Invoice Lines'!$J$5:$J$2542,'Invoice Lines'!$H$5:$H$2542,A369,'Invoice Lines'!$Q$5:$Q$2542,"HIRE-"&amp;C369,'Invoice Lines'!$M$5:$M$2542,1,'Invoice Lines'!$K$5:$K$2542,"&gt;0")</f>
        <v>3</v>
      </c>
      <c r="G369">
        <f>E369-F369</f>
        <v>0</v>
      </c>
      <c r="H369" s="9">
        <f>ROUND(G369*D369,2)</f>
        <v>0</v>
      </c>
      <c r="I369" s="9">
        <f>SUMIFS('Invoice Lines'!$K$5:$K$2542,'Invoice Lines'!$H$5:$H$2542,A369,'Invoice Lines'!$Q$5:$Q$2542,"HIRE-"&amp;C369,'Invoice Lines'!$M$5:$M$2542,1,'Invoice Lines'!$K$5:$K$2542,"&lt;0")</f>
        <v>0</v>
      </c>
      <c r="J369" t="n">
        <v>0</v>
      </c>
      <c r="K369" t="str">
        <f>IF(G369&gt;0,"Under-billed",IF(G369&lt;0,"Over-billed","Agrees"))</f>
        <v>Agrees</v>
      </c>
      <c r="L369" t="inlineStr"/>
    </row>
    <row r="370">
      <c r="A370" t="inlineStr">
        <is>
          <t>S0349</t>
        </is>
      </c>
      <c r="B370" t="inlineStr">
        <is>
          <t>Redline Claims Services</t>
        </is>
      </c>
      <c r="C370" t="inlineStr">
        <is>
          <t>TK</t>
        </is>
      </c>
      <c r="D370" s="9" t="n">
        <v>35</v>
      </c>
      <c r="E370">
        <f>SUMIFS('Hire Cycles'!$F$5:$F$1069,'Hire Cycles'!$A$5:$A$1069,A370,'Hire Cycles'!$B$5:$B$1069,C370,'Hire Cycles'!$G$5:$G$1069,1)</f>
        <v>0</v>
      </c>
      <c r="F370">
        <f>SUMIFS('Invoice Lines'!$J$5:$J$2542,'Invoice Lines'!$H$5:$H$2542,A370,'Invoice Lines'!$Q$5:$Q$2542,"HIRE-"&amp;C370,'Invoice Lines'!$M$5:$M$2542,1,'Invoice Lines'!$K$5:$K$2542,"&gt;0")</f>
        <v>0</v>
      </c>
      <c r="G370">
        <f>E370-F370</f>
        <v>0</v>
      </c>
      <c r="H370" s="9">
        <f>ROUND(G370*D370,2)</f>
        <v>0</v>
      </c>
      <c r="I370" s="9">
        <f>SUMIFS('Invoice Lines'!$K$5:$K$2542,'Invoice Lines'!$H$5:$H$2542,A370,'Invoice Lines'!$Q$5:$Q$2542,"HIRE-"&amp;C370,'Invoice Lines'!$M$5:$M$2542,1,'Invoice Lines'!$K$5:$K$2542,"&lt;0")</f>
        <v>0</v>
      </c>
      <c r="J370" t="n">
        <v>1</v>
      </c>
      <c r="K370" t="str">
        <f>IF(G370&gt;0,"Under-billed",IF(G370&lt;0,"Over-billed","Agrees"))</f>
        <v>Agrees</v>
      </c>
      <c r="L370" t="inlineStr"/>
    </row>
    <row r="371">
      <c r="A371" t="inlineStr">
        <is>
          <t>S0350</t>
        </is>
      </c>
      <c r="B371" t="inlineStr">
        <is>
          <t>Wattle Insurance Repairs Pty Ltd</t>
        </is>
      </c>
      <c r="C371" t="inlineStr">
        <is>
          <t>TK</t>
        </is>
      </c>
      <c r="D371" s="9" t="n">
        <v>35</v>
      </c>
      <c r="E371">
        <f>SUMIFS('Hire Cycles'!$F$5:$F$1069,'Hire Cycles'!$A$5:$A$1069,A371,'Hire Cycles'!$B$5:$B$1069,C371,'Hire Cycles'!$G$5:$G$1069,1)</f>
        <v>6</v>
      </c>
      <c r="F371">
        <f>SUMIFS('Invoice Lines'!$J$5:$J$2542,'Invoice Lines'!$H$5:$H$2542,A371,'Invoice Lines'!$Q$5:$Q$2542,"HIRE-"&amp;C371,'Invoice Lines'!$M$5:$M$2542,1,'Invoice Lines'!$K$5:$K$2542,"&gt;0")</f>
        <v>6</v>
      </c>
      <c r="G371">
        <f>E371-F371</f>
        <v>0</v>
      </c>
      <c r="H371" s="9">
        <f>ROUND(G371*D371,2)</f>
        <v>0</v>
      </c>
      <c r="I371" s="9">
        <f>SUMIFS('Invoice Lines'!$K$5:$K$2542,'Invoice Lines'!$H$5:$H$2542,A371,'Invoice Lines'!$Q$5:$Q$2542,"HIRE-"&amp;C371,'Invoice Lines'!$M$5:$M$2542,1,'Invoice Lines'!$K$5:$K$2542,"&lt;0")</f>
        <v>0</v>
      </c>
      <c r="J371" t="n">
        <v>0</v>
      </c>
      <c r="K371" t="str">
        <f>IF(G371&gt;0,"Under-billed",IF(G371&lt;0,"Over-billed","Agrees"))</f>
        <v>Agrees</v>
      </c>
      <c r="L371" t="inlineStr"/>
    </row>
    <row r="372">
      <c r="A372" t="inlineStr">
        <is>
          <t>S0355</t>
        </is>
      </c>
      <c r="B372" t="inlineStr">
        <is>
          <t>Noah Ali</t>
        </is>
      </c>
      <c r="C372" t="inlineStr">
        <is>
          <t>TK</t>
        </is>
      </c>
      <c r="D372" s="9" t="n">
        <v>35</v>
      </c>
      <c r="E372">
        <f>SUMIFS('Hire Cycles'!$F$5:$F$1069,'Hire Cycles'!$A$5:$A$1069,A372,'Hire Cycles'!$B$5:$B$1069,C372,'Hire Cycles'!$G$5:$G$1069,1)</f>
        <v>2</v>
      </c>
      <c r="F372">
        <f>SUMIFS('Invoice Lines'!$J$5:$J$2542,'Invoice Lines'!$H$5:$H$2542,A372,'Invoice Lines'!$Q$5:$Q$2542,"HIRE-"&amp;C372,'Invoice Lines'!$M$5:$M$2542,1,'Invoice Lines'!$K$5:$K$2542,"&gt;0")</f>
        <v>2</v>
      </c>
      <c r="G372">
        <f>E372-F372</f>
        <v>0</v>
      </c>
      <c r="H372" s="9">
        <f>ROUND(G372*D372,2)</f>
        <v>0</v>
      </c>
      <c r="I372" s="9">
        <f>SUMIFS('Invoice Lines'!$K$5:$K$2542,'Invoice Lines'!$H$5:$H$2542,A372,'Invoice Lines'!$Q$5:$Q$2542,"HIRE-"&amp;C372,'Invoice Lines'!$M$5:$M$2542,1,'Invoice Lines'!$K$5:$K$2542,"&lt;0")</f>
        <v>0</v>
      </c>
      <c r="J372" t="n">
        <v>0</v>
      </c>
      <c r="K372" t="str">
        <f>IF(G372&gt;0,"Under-billed",IF(G372&lt;0,"Over-billed","Agrees"))</f>
        <v>Agrees</v>
      </c>
      <c r="L372" t="inlineStr"/>
    </row>
    <row r="373">
      <c r="A373" t="inlineStr">
        <is>
          <t>S0356</t>
        </is>
      </c>
      <c r="B373" t="inlineStr">
        <is>
          <t>Ashford Constructions Pty Ltd</t>
        </is>
      </c>
      <c r="C373" t="inlineStr">
        <is>
          <t>TK</t>
        </is>
      </c>
      <c r="D373" s="9" t="n">
        <v>35</v>
      </c>
      <c r="E373">
        <f>SUMIFS('Hire Cycles'!$F$5:$F$1069,'Hire Cycles'!$A$5:$A$1069,A373,'Hire Cycles'!$B$5:$B$1069,C373,'Hire Cycles'!$G$5:$G$1069,1)</f>
        <v>0</v>
      </c>
      <c r="F373">
        <f>SUMIFS('Invoice Lines'!$J$5:$J$2542,'Invoice Lines'!$H$5:$H$2542,A373,'Invoice Lines'!$Q$5:$Q$2542,"HIRE-"&amp;C373,'Invoice Lines'!$M$5:$M$2542,1,'Invoice Lines'!$K$5:$K$2542,"&gt;0")</f>
        <v>0</v>
      </c>
      <c r="G373">
        <f>E373-F373</f>
        <v>0</v>
      </c>
      <c r="H373" s="9">
        <f>ROUND(G373*D373,2)</f>
        <v>0</v>
      </c>
      <c r="I373" s="9">
        <f>SUMIFS('Invoice Lines'!$K$5:$K$2542,'Invoice Lines'!$H$5:$H$2542,A373,'Invoice Lines'!$Q$5:$Q$2542,"HIRE-"&amp;C373,'Invoice Lines'!$M$5:$M$2542,1,'Invoice Lines'!$K$5:$K$2542,"&lt;0")</f>
        <v>0</v>
      </c>
      <c r="J373" t="n">
        <v>6</v>
      </c>
      <c r="K373" t="str">
        <f>IF(G373&gt;0,"Under-billed",IF(G373&lt;0,"Over-billed","Agrees"))</f>
        <v>Agrees</v>
      </c>
      <c r="L373" t="inlineStr"/>
    </row>
    <row r="374">
      <c r="A374" t="inlineStr">
        <is>
          <t>S0359</t>
        </is>
      </c>
      <c r="B374" t="inlineStr">
        <is>
          <t>Northgate Insurance Repairs</t>
        </is>
      </c>
      <c r="C374" t="inlineStr">
        <is>
          <t>TK</t>
        </is>
      </c>
      <c r="D374" s="9" t="n">
        <v>35</v>
      </c>
      <c r="E374">
        <f>SUMIFS('Hire Cycles'!$F$5:$F$1069,'Hire Cycles'!$A$5:$A$1069,A374,'Hire Cycles'!$B$5:$B$1069,C374,'Hire Cycles'!$G$5:$G$1069,1)</f>
        <v>0</v>
      </c>
      <c r="F374">
        <f>SUMIFS('Invoice Lines'!$J$5:$J$2542,'Invoice Lines'!$H$5:$H$2542,A374,'Invoice Lines'!$Q$5:$Q$2542,"HIRE-"&amp;C374,'Invoice Lines'!$M$5:$M$2542,1,'Invoice Lines'!$K$5:$K$2542,"&gt;0")</f>
        <v>0</v>
      </c>
      <c r="G374">
        <f>E374-F374</f>
        <v>0</v>
      </c>
      <c r="H374" s="9">
        <f>ROUND(G374*D374,2)</f>
        <v>0</v>
      </c>
      <c r="I374" s="9">
        <f>SUMIFS('Invoice Lines'!$K$5:$K$2542,'Invoice Lines'!$H$5:$H$2542,A374,'Invoice Lines'!$Q$5:$Q$2542,"HIRE-"&amp;C374,'Invoice Lines'!$M$5:$M$2542,1,'Invoice Lines'!$K$5:$K$2542,"&lt;0")</f>
        <v>0</v>
      </c>
      <c r="J374" t="n">
        <v>8</v>
      </c>
      <c r="K374" t="str">
        <f>IF(G374&gt;0,"Under-billed",IF(G374&lt;0,"Over-billed","Agrees"))</f>
        <v>Agrees</v>
      </c>
      <c r="L374" t="inlineStr"/>
    </row>
    <row r="375">
      <c r="A375" t="inlineStr">
        <is>
          <t>S0363</t>
        </is>
      </c>
      <c r="B375" t="inlineStr">
        <is>
          <t>Sofia Singh</t>
        </is>
      </c>
      <c r="C375" t="inlineStr">
        <is>
          <t>TK</t>
        </is>
      </c>
      <c r="D375" s="9" t="n">
        <v>35</v>
      </c>
      <c r="E375">
        <f>SUMIFS('Hire Cycles'!$F$5:$F$1069,'Hire Cycles'!$A$5:$A$1069,A375,'Hire Cycles'!$B$5:$B$1069,C375,'Hire Cycles'!$G$5:$G$1069,1)</f>
        <v>21</v>
      </c>
      <c r="F375">
        <f>SUMIFS('Invoice Lines'!$J$5:$J$2542,'Invoice Lines'!$H$5:$H$2542,A375,'Invoice Lines'!$Q$5:$Q$2542,"HIRE-"&amp;C375,'Invoice Lines'!$M$5:$M$2542,1,'Invoice Lines'!$K$5:$K$2542,"&gt;0")</f>
        <v>21</v>
      </c>
      <c r="G375">
        <f>E375-F375</f>
        <v>0</v>
      </c>
      <c r="H375" s="9">
        <f>ROUND(G375*D375,2)</f>
        <v>0</v>
      </c>
      <c r="I375" s="9">
        <f>SUMIFS('Invoice Lines'!$K$5:$K$2542,'Invoice Lines'!$H$5:$H$2542,A375,'Invoice Lines'!$Q$5:$Q$2542,"HIRE-"&amp;C375,'Invoice Lines'!$M$5:$M$2542,1,'Invoice Lines'!$K$5:$K$2542,"&lt;0")</f>
        <v>0</v>
      </c>
      <c r="J375" t="n">
        <v>0</v>
      </c>
      <c r="K375" t="str">
        <f>IF(G375&gt;0,"Under-billed",IF(G375&lt;0,"Over-billed","Agrees"))</f>
        <v>Agrees</v>
      </c>
      <c r="L375" t="inlineStr"/>
    </row>
    <row r="376">
      <c r="A376" t="inlineStr">
        <is>
          <t>S0369</t>
        </is>
      </c>
      <c r="B376" t="inlineStr">
        <is>
          <t>Bayside Homes Pty Ltd</t>
        </is>
      </c>
      <c r="C376" t="inlineStr">
        <is>
          <t>TK</t>
        </is>
      </c>
      <c r="D376" s="9" t="n">
        <v>35</v>
      </c>
      <c r="E376">
        <f>SUMIFS('Hire Cycles'!$F$5:$F$1069,'Hire Cycles'!$A$5:$A$1069,A376,'Hire Cycles'!$B$5:$B$1069,C376,'Hire Cycles'!$G$5:$G$1069,1)</f>
        <v>4</v>
      </c>
      <c r="F376">
        <f>SUMIFS('Invoice Lines'!$J$5:$J$2542,'Invoice Lines'!$H$5:$H$2542,A376,'Invoice Lines'!$Q$5:$Q$2542,"HIRE-"&amp;C376,'Invoice Lines'!$M$5:$M$2542,1,'Invoice Lines'!$K$5:$K$2542,"&gt;0")</f>
        <v>4</v>
      </c>
      <c r="G376">
        <f>E376-F376</f>
        <v>0</v>
      </c>
      <c r="H376" s="9">
        <f>ROUND(G376*D376,2)</f>
        <v>0</v>
      </c>
      <c r="I376" s="9">
        <f>SUMIFS('Invoice Lines'!$K$5:$K$2542,'Invoice Lines'!$H$5:$H$2542,A376,'Invoice Lines'!$Q$5:$Q$2542,"HIRE-"&amp;C376,'Invoice Lines'!$M$5:$M$2542,1,'Invoice Lines'!$K$5:$K$2542,"&lt;0")</f>
        <v>0</v>
      </c>
      <c r="J376" t="n">
        <v>0</v>
      </c>
      <c r="K376" t="str">
        <f>IF(G376&gt;0,"Under-billed",IF(G376&lt;0,"Over-billed","Agrees"))</f>
        <v>Agrees</v>
      </c>
      <c r="L376" t="inlineStr"/>
    </row>
    <row r="377">
      <c r="A377" t="inlineStr">
        <is>
          <t>S0373</t>
        </is>
      </c>
      <c r="B377" t="inlineStr">
        <is>
          <t>Banksia Claims Services Pty Ltd</t>
        </is>
      </c>
      <c r="C377" t="inlineStr">
        <is>
          <t>TK</t>
        </is>
      </c>
      <c r="D377" s="9" t="n">
        <v>35</v>
      </c>
      <c r="E377">
        <f>SUMIFS('Hire Cycles'!$F$5:$F$1069,'Hire Cycles'!$A$5:$A$1069,A377,'Hire Cycles'!$B$5:$B$1069,C377,'Hire Cycles'!$G$5:$G$1069,1)</f>
        <v>12</v>
      </c>
      <c r="F377">
        <f>SUMIFS('Invoice Lines'!$J$5:$J$2542,'Invoice Lines'!$H$5:$H$2542,A377,'Invoice Lines'!$Q$5:$Q$2542,"HIRE-"&amp;C377,'Invoice Lines'!$M$5:$M$2542,1,'Invoice Lines'!$K$5:$K$2542,"&gt;0")</f>
        <v>12</v>
      </c>
      <c r="G377">
        <f>E377-F377</f>
        <v>0</v>
      </c>
      <c r="H377" s="9">
        <f>ROUND(G377*D377,2)</f>
        <v>0</v>
      </c>
      <c r="I377" s="9">
        <f>SUMIFS('Invoice Lines'!$K$5:$K$2542,'Invoice Lines'!$H$5:$H$2542,A377,'Invoice Lines'!$Q$5:$Q$2542,"HIRE-"&amp;C377,'Invoice Lines'!$M$5:$M$2542,1,'Invoice Lines'!$K$5:$K$2542,"&lt;0")</f>
        <v>0</v>
      </c>
      <c r="J377" t="n">
        <v>0</v>
      </c>
      <c r="K377" t="str">
        <f>IF(G377&gt;0,"Under-billed",IF(G377&lt;0,"Over-billed","Agrees"))</f>
        <v>Agrees</v>
      </c>
      <c r="L377" t="inlineStr"/>
    </row>
    <row r="378">
      <c r="A378" t="inlineStr">
        <is>
          <t>S0375</t>
        </is>
      </c>
      <c r="B378" t="inlineStr">
        <is>
          <t>Granite Body Corporate Pty Ltd</t>
        </is>
      </c>
      <c r="C378" t="inlineStr">
        <is>
          <t>TK</t>
        </is>
      </c>
      <c r="D378" s="9" t="n">
        <v>35</v>
      </c>
      <c r="E378">
        <f>SUMIFS('Hire Cycles'!$F$5:$F$1069,'Hire Cycles'!$A$5:$A$1069,A378,'Hire Cycles'!$B$5:$B$1069,C378,'Hire Cycles'!$G$5:$G$1069,1)</f>
        <v>3</v>
      </c>
      <c r="F378">
        <f>SUMIFS('Invoice Lines'!$J$5:$J$2542,'Invoice Lines'!$H$5:$H$2542,A378,'Invoice Lines'!$Q$5:$Q$2542,"HIRE-"&amp;C378,'Invoice Lines'!$M$5:$M$2542,1,'Invoice Lines'!$K$5:$K$2542,"&gt;0")</f>
        <v>3</v>
      </c>
      <c r="G378">
        <f>E378-F378</f>
        <v>0</v>
      </c>
      <c r="H378" s="9">
        <f>ROUND(G378*D378,2)</f>
        <v>0</v>
      </c>
      <c r="I378" s="9">
        <f>SUMIFS('Invoice Lines'!$K$5:$K$2542,'Invoice Lines'!$H$5:$H$2542,A378,'Invoice Lines'!$Q$5:$Q$2542,"HIRE-"&amp;C378,'Invoice Lines'!$M$5:$M$2542,1,'Invoice Lines'!$K$5:$K$2542,"&lt;0")</f>
        <v>0</v>
      </c>
      <c r="J378" t="n">
        <v>0</v>
      </c>
      <c r="K378" t="str">
        <f>IF(G378&gt;0,"Under-billed",IF(G378&lt;0,"Over-billed","Agrees"))</f>
        <v>Agrees</v>
      </c>
      <c r="L378" t="inlineStr"/>
    </row>
    <row r="379">
      <c r="A379" t="inlineStr">
        <is>
          <t>S0376</t>
        </is>
      </c>
      <c r="B379" t="inlineStr">
        <is>
          <t>Northgate Insurance Repairs</t>
        </is>
      </c>
      <c r="C379" t="inlineStr">
        <is>
          <t>TK</t>
        </is>
      </c>
      <c r="D379" s="9" t="n">
        <v>35</v>
      </c>
      <c r="E379">
        <f>SUMIFS('Hire Cycles'!$F$5:$F$1069,'Hire Cycles'!$A$5:$A$1069,A379,'Hire Cycles'!$B$5:$B$1069,C379,'Hire Cycles'!$G$5:$G$1069,1)</f>
        <v>2</v>
      </c>
      <c r="F379">
        <f>SUMIFS('Invoice Lines'!$J$5:$J$2542,'Invoice Lines'!$H$5:$H$2542,A379,'Invoice Lines'!$Q$5:$Q$2542,"HIRE-"&amp;C379,'Invoice Lines'!$M$5:$M$2542,1,'Invoice Lines'!$K$5:$K$2542,"&gt;0")</f>
        <v>2</v>
      </c>
      <c r="G379">
        <f>E379-F379</f>
        <v>0</v>
      </c>
      <c r="H379" s="9">
        <f>ROUND(G379*D379,2)</f>
        <v>0</v>
      </c>
      <c r="I379" s="9">
        <f>SUMIFS('Invoice Lines'!$K$5:$K$2542,'Invoice Lines'!$H$5:$H$2542,A379,'Invoice Lines'!$Q$5:$Q$2542,"HIRE-"&amp;C379,'Invoice Lines'!$M$5:$M$2542,1,'Invoice Lines'!$K$5:$K$2542,"&lt;0")</f>
        <v>0</v>
      </c>
      <c r="J379" t="n">
        <v>0</v>
      </c>
      <c r="K379" t="str">
        <f>IF(G379&gt;0,"Under-billed",IF(G379&lt;0,"Over-billed","Agrees"))</f>
        <v>Agrees</v>
      </c>
      <c r="L379" t="inlineStr"/>
    </row>
    <row r="380">
      <c r="A380" t="inlineStr">
        <is>
          <t>S0377</t>
        </is>
      </c>
      <c r="B380" t="inlineStr">
        <is>
          <t>Zoe Williams</t>
        </is>
      </c>
      <c r="C380" t="inlineStr">
        <is>
          <t>TK</t>
        </is>
      </c>
      <c r="D380" s="9" t="n">
        <v>35</v>
      </c>
      <c r="E380">
        <f>SUMIFS('Hire Cycles'!$F$5:$F$1069,'Hire Cycles'!$A$5:$A$1069,A380,'Hire Cycles'!$B$5:$B$1069,C380,'Hire Cycles'!$G$5:$G$1069,1)</f>
        <v>10</v>
      </c>
      <c r="F380">
        <f>SUMIFS('Invoice Lines'!$J$5:$J$2542,'Invoice Lines'!$H$5:$H$2542,A380,'Invoice Lines'!$Q$5:$Q$2542,"HIRE-"&amp;C380,'Invoice Lines'!$M$5:$M$2542,1,'Invoice Lines'!$K$5:$K$2542,"&gt;0")</f>
        <v>10</v>
      </c>
      <c r="G380">
        <f>E380-F380</f>
        <v>0</v>
      </c>
      <c r="H380" s="9">
        <f>ROUND(G380*D380,2)</f>
        <v>0</v>
      </c>
      <c r="I380" s="9">
        <f>SUMIFS('Invoice Lines'!$K$5:$K$2542,'Invoice Lines'!$H$5:$H$2542,A380,'Invoice Lines'!$Q$5:$Q$2542,"HIRE-"&amp;C380,'Invoice Lines'!$M$5:$M$2542,1,'Invoice Lines'!$K$5:$K$2542,"&lt;0")</f>
        <v>0</v>
      </c>
      <c r="J380" t="n">
        <v>0</v>
      </c>
      <c r="K380" t="str">
        <f>IF(G380&gt;0,"Under-billed",IF(G380&lt;0,"Over-billed","Agrees"))</f>
        <v>Agrees</v>
      </c>
      <c r="L380" t="inlineStr"/>
    </row>
    <row r="381">
      <c r="A381" t="inlineStr">
        <is>
          <t>S0380</t>
        </is>
      </c>
      <c r="B381" t="inlineStr">
        <is>
          <t>Fairway Body Corporate Pty Ltd</t>
        </is>
      </c>
      <c r="C381" t="inlineStr">
        <is>
          <t>TK</t>
        </is>
      </c>
      <c r="D381" s="9" t="n">
        <v>35</v>
      </c>
      <c r="E381">
        <f>SUMIFS('Hire Cycles'!$F$5:$F$1069,'Hire Cycles'!$A$5:$A$1069,A381,'Hire Cycles'!$B$5:$B$1069,C381,'Hire Cycles'!$G$5:$G$1069,1)</f>
        <v>6</v>
      </c>
      <c r="F381">
        <f>SUMIFS('Invoice Lines'!$J$5:$J$2542,'Invoice Lines'!$H$5:$H$2542,A381,'Invoice Lines'!$Q$5:$Q$2542,"HIRE-"&amp;C381,'Invoice Lines'!$M$5:$M$2542,1,'Invoice Lines'!$K$5:$K$2542,"&gt;0")</f>
        <v>6</v>
      </c>
      <c r="G381">
        <f>E381-F381</f>
        <v>0</v>
      </c>
      <c r="H381" s="9">
        <f>ROUND(G381*D381,2)</f>
        <v>0</v>
      </c>
      <c r="I381" s="9">
        <f>SUMIFS('Invoice Lines'!$K$5:$K$2542,'Invoice Lines'!$H$5:$H$2542,A381,'Invoice Lines'!$Q$5:$Q$2542,"HIRE-"&amp;C381,'Invoice Lines'!$M$5:$M$2542,1,'Invoice Lines'!$K$5:$K$2542,"&lt;0")</f>
        <v>0</v>
      </c>
      <c r="J381" t="n">
        <v>0</v>
      </c>
      <c r="K381" t="str">
        <f>IF(G381&gt;0,"Under-billed",IF(G381&lt;0,"Over-billed","Agrees"))</f>
        <v>Agrees</v>
      </c>
      <c r="L381" t="inlineStr"/>
    </row>
    <row r="382">
      <c r="A382" t="inlineStr">
        <is>
          <t>S0383</t>
        </is>
      </c>
      <c r="B382" t="inlineStr">
        <is>
          <t>Wattle Insurance Repairs Pty Ltd</t>
        </is>
      </c>
      <c r="C382" t="inlineStr">
        <is>
          <t>TK</t>
        </is>
      </c>
      <c r="D382" s="9" t="n">
        <v>35</v>
      </c>
      <c r="E382">
        <f>SUMIFS('Hire Cycles'!$F$5:$F$1069,'Hire Cycles'!$A$5:$A$1069,A382,'Hire Cycles'!$B$5:$B$1069,C382,'Hire Cycles'!$G$5:$G$1069,1)</f>
        <v>6</v>
      </c>
      <c r="F382">
        <f>SUMIFS('Invoice Lines'!$J$5:$J$2542,'Invoice Lines'!$H$5:$H$2542,A382,'Invoice Lines'!$Q$5:$Q$2542,"HIRE-"&amp;C382,'Invoice Lines'!$M$5:$M$2542,1,'Invoice Lines'!$K$5:$K$2542,"&gt;0")</f>
        <v>6</v>
      </c>
      <c r="G382">
        <f>E382-F382</f>
        <v>0</v>
      </c>
      <c r="H382" s="9">
        <f>ROUND(G382*D382,2)</f>
        <v>0</v>
      </c>
      <c r="I382" s="9">
        <f>SUMIFS('Invoice Lines'!$K$5:$K$2542,'Invoice Lines'!$H$5:$H$2542,A382,'Invoice Lines'!$Q$5:$Q$2542,"HIRE-"&amp;C382,'Invoice Lines'!$M$5:$M$2542,1,'Invoice Lines'!$K$5:$K$2542,"&lt;0")</f>
        <v>0</v>
      </c>
      <c r="J382" t="n">
        <v>0</v>
      </c>
      <c r="K382" t="str">
        <f>IF(G382&gt;0,"Under-billed",IF(G382&lt;0,"Over-billed","Agrees"))</f>
        <v>Agrees</v>
      </c>
      <c r="L382" t="inlineStr"/>
    </row>
    <row r="383">
      <c r="A383" t="inlineStr">
        <is>
          <t>S0384</t>
        </is>
      </c>
      <c r="B383" t="inlineStr">
        <is>
          <t>Parkview Homes Pty Ltd</t>
        </is>
      </c>
      <c r="C383" t="inlineStr">
        <is>
          <t>TK</t>
        </is>
      </c>
      <c r="D383" s="9" t="n">
        <v>35</v>
      </c>
      <c r="E383">
        <f>SUMIFS('Hire Cycles'!$F$5:$F$1069,'Hire Cycles'!$A$5:$A$1069,A383,'Hire Cycles'!$B$5:$B$1069,C383,'Hire Cycles'!$G$5:$G$1069,1)</f>
        <v>15</v>
      </c>
      <c r="F383">
        <f>SUMIFS('Invoice Lines'!$J$5:$J$2542,'Invoice Lines'!$H$5:$H$2542,A383,'Invoice Lines'!$Q$5:$Q$2542,"HIRE-"&amp;C383,'Invoice Lines'!$M$5:$M$2542,1,'Invoice Lines'!$K$5:$K$2542,"&gt;0")</f>
        <v>15</v>
      </c>
      <c r="G383">
        <f>E383-F383</f>
        <v>0</v>
      </c>
      <c r="H383" s="9">
        <f>ROUND(G383*D383,2)</f>
        <v>0</v>
      </c>
      <c r="I383" s="9">
        <f>SUMIFS('Invoice Lines'!$K$5:$K$2542,'Invoice Lines'!$H$5:$H$2542,A383,'Invoice Lines'!$Q$5:$Q$2542,"HIRE-"&amp;C383,'Invoice Lines'!$M$5:$M$2542,1,'Invoice Lines'!$K$5:$K$2542,"&lt;0")</f>
        <v>0</v>
      </c>
      <c r="J383" t="n">
        <v>0</v>
      </c>
      <c r="K383" t="str">
        <f>IF(G383&gt;0,"Under-billed",IF(G383&lt;0,"Over-billed","Agrees"))</f>
        <v>Agrees</v>
      </c>
      <c r="L383" t="inlineStr"/>
    </row>
    <row r="384">
      <c r="A384" t="inlineStr">
        <is>
          <t>S0386</t>
        </is>
      </c>
      <c r="B384" t="inlineStr">
        <is>
          <t>Amelia Brown</t>
        </is>
      </c>
      <c r="C384" t="inlineStr">
        <is>
          <t>TK</t>
        </is>
      </c>
      <c r="D384" s="9" t="n">
        <v>35</v>
      </c>
      <c r="E384">
        <f>SUMIFS('Hire Cycles'!$F$5:$F$1069,'Hire Cycles'!$A$5:$A$1069,A384,'Hire Cycles'!$B$5:$B$1069,C384,'Hire Cycles'!$G$5:$G$1069,1)</f>
        <v>5</v>
      </c>
      <c r="F384">
        <f>SUMIFS('Invoice Lines'!$J$5:$J$2542,'Invoice Lines'!$H$5:$H$2542,A384,'Invoice Lines'!$Q$5:$Q$2542,"HIRE-"&amp;C384,'Invoice Lines'!$M$5:$M$2542,1,'Invoice Lines'!$K$5:$K$2542,"&gt;0")</f>
        <v>5</v>
      </c>
      <c r="G384">
        <f>E384-F384</f>
        <v>0</v>
      </c>
      <c r="H384" s="9">
        <f>ROUND(G384*D384,2)</f>
        <v>0</v>
      </c>
      <c r="I384" s="9">
        <f>SUMIFS('Invoice Lines'!$K$5:$K$2542,'Invoice Lines'!$H$5:$H$2542,A384,'Invoice Lines'!$Q$5:$Q$2542,"HIRE-"&amp;C384,'Invoice Lines'!$M$5:$M$2542,1,'Invoice Lines'!$K$5:$K$2542,"&lt;0")</f>
        <v>0</v>
      </c>
      <c r="J384" t="n">
        <v>0</v>
      </c>
      <c r="K384" t="str">
        <f>IF(G384&gt;0,"Under-billed",IF(G384&lt;0,"Over-billed","Agrees"))</f>
        <v>Agrees</v>
      </c>
      <c r="L384" t="inlineStr"/>
    </row>
    <row r="385">
      <c r="A385" t="inlineStr">
        <is>
          <t>S0387</t>
        </is>
      </c>
      <c r="B385" t="inlineStr">
        <is>
          <t>Silverleaf Insurance Repairs Pty Ltd</t>
        </is>
      </c>
      <c r="C385" t="inlineStr">
        <is>
          <t>TK</t>
        </is>
      </c>
      <c r="D385" s="9" t="n">
        <v>35</v>
      </c>
      <c r="E385">
        <f>SUMIFS('Hire Cycles'!$F$5:$F$1069,'Hire Cycles'!$A$5:$A$1069,A385,'Hire Cycles'!$B$5:$B$1069,C385,'Hire Cycles'!$G$5:$G$1069,1)</f>
        <v>0</v>
      </c>
      <c r="F385">
        <f>SUMIFS('Invoice Lines'!$J$5:$J$2542,'Invoice Lines'!$H$5:$H$2542,A385,'Invoice Lines'!$Q$5:$Q$2542,"HIRE-"&amp;C385,'Invoice Lines'!$M$5:$M$2542,1,'Invoice Lines'!$K$5:$K$2542,"&gt;0")</f>
        <v>0</v>
      </c>
      <c r="G385">
        <f>E385-F385</f>
        <v>0</v>
      </c>
      <c r="H385" s="9">
        <f>ROUND(G385*D385,2)</f>
        <v>0</v>
      </c>
      <c r="I385" s="9">
        <f>SUMIFS('Invoice Lines'!$K$5:$K$2542,'Invoice Lines'!$H$5:$H$2542,A385,'Invoice Lines'!$Q$5:$Q$2542,"HIRE-"&amp;C385,'Invoice Lines'!$M$5:$M$2542,1,'Invoice Lines'!$K$5:$K$2542,"&lt;0")</f>
        <v>0</v>
      </c>
      <c r="J385" t="n">
        <v>4</v>
      </c>
      <c r="K385" t="str">
        <f>IF(G385&gt;0,"Under-billed",IF(G385&lt;0,"Over-billed","Agrees"))</f>
        <v>Agrees</v>
      </c>
      <c r="L385" t="inlineStr"/>
    </row>
    <row r="386">
      <c r="A386" t="inlineStr">
        <is>
          <t>S0390</t>
        </is>
      </c>
      <c r="B386" t="inlineStr">
        <is>
          <t>Leo Hughes</t>
        </is>
      </c>
      <c r="C386" t="inlineStr">
        <is>
          <t>TK</t>
        </is>
      </c>
      <c r="D386" s="9" t="n">
        <v>35</v>
      </c>
      <c r="E386">
        <f>SUMIFS('Hire Cycles'!$F$5:$F$1069,'Hire Cycles'!$A$5:$A$1069,A386,'Hire Cycles'!$B$5:$B$1069,C386,'Hire Cycles'!$G$5:$G$1069,1)</f>
        <v>8</v>
      </c>
      <c r="F386">
        <f>SUMIFS('Invoice Lines'!$J$5:$J$2542,'Invoice Lines'!$H$5:$H$2542,A386,'Invoice Lines'!$Q$5:$Q$2542,"HIRE-"&amp;C386,'Invoice Lines'!$M$5:$M$2542,1,'Invoice Lines'!$K$5:$K$2542,"&gt;0")</f>
        <v>8</v>
      </c>
      <c r="G386">
        <f>E386-F386</f>
        <v>0</v>
      </c>
      <c r="H386" s="9">
        <f>ROUND(G386*D386,2)</f>
        <v>0</v>
      </c>
      <c r="I386" s="9">
        <f>SUMIFS('Invoice Lines'!$K$5:$K$2542,'Invoice Lines'!$H$5:$H$2542,A386,'Invoice Lines'!$Q$5:$Q$2542,"HIRE-"&amp;C386,'Invoice Lines'!$M$5:$M$2542,1,'Invoice Lines'!$K$5:$K$2542,"&lt;0")</f>
        <v>0</v>
      </c>
      <c r="J386" t="n">
        <v>0</v>
      </c>
      <c r="K386" t="str">
        <f>IF(G386&gt;0,"Under-billed",IF(G386&lt;0,"Over-billed","Agrees"))</f>
        <v>Agrees</v>
      </c>
      <c r="L386" t="inlineStr"/>
    </row>
    <row r="387">
      <c r="A387" t="inlineStr">
        <is>
          <t>S0391</t>
        </is>
      </c>
      <c r="B387" t="inlineStr">
        <is>
          <t>Lakeside Claims Services Pty Ltd</t>
        </is>
      </c>
      <c r="C387" t="inlineStr">
        <is>
          <t>TK</t>
        </is>
      </c>
      <c r="D387" s="9" t="n">
        <v>35</v>
      </c>
      <c r="E387">
        <f>SUMIFS('Hire Cycles'!$F$5:$F$1069,'Hire Cycles'!$A$5:$A$1069,A387,'Hire Cycles'!$B$5:$B$1069,C387,'Hire Cycles'!$G$5:$G$1069,1)</f>
        <v>21</v>
      </c>
      <c r="F387">
        <f>SUMIFS('Invoice Lines'!$J$5:$J$2542,'Invoice Lines'!$H$5:$H$2542,A387,'Invoice Lines'!$Q$5:$Q$2542,"HIRE-"&amp;C387,'Invoice Lines'!$M$5:$M$2542,1,'Invoice Lines'!$K$5:$K$2542,"&gt;0")</f>
        <v>21</v>
      </c>
      <c r="G387">
        <f>E387-F387</f>
        <v>0</v>
      </c>
      <c r="H387" s="9">
        <f>ROUND(G387*D387,2)</f>
        <v>0</v>
      </c>
      <c r="I387" s="9">
        <f>SUMIFS('Invoice Lines'!$K$5:$K$2542,'Invoice Lines'!$H$5:$H$2542,A387,'Invoice Lines'!$Q$5:$Q$2542,"HIRE-"&amp;C387,'Invoice Lines'!$M$5:$M$2542,1,'Invoice Lines'!$K$5:$K$2542,"&lt;0")</f>
        <v>0</v>
      </c>
      <c r="J387" t="n">
        <v>0</v>
      </c>
      <c r="K387" t="str">
        <f>IF(G387&gt;0,"Under-billed",IF(G387&lt;0,"Over-billed","Agrees"))</f>
        <v>Agrees</v>
      </c>
      <c r="L387" t="inlineStr"/>
    </row>
    <row r="388">
      <c r="A388" t="inlineStr">
        <is>
          <t>S0393</t>
        </is>
      </c>
      <c r="B388" t="inlineStr">
        <is>
          <t>Parkview Homes Pty Ltd</t>
        </is>
      </c>
      <c r="C388" t="inlineStr">
        <is>
          <t>TK</t>
        </is>
      </c>
      <c r="D388" s="9" t="n">
        <v>35</v>
      </c>
      <c r="E388">
        <f>SUMIFS('Hire Cycles'!$F$5:$F$1069,'Hire Cycles'!$A$5:$A$1069,A388,'Hire Cycles'!$B$5:$B$1069,C388,'Hire Cycles'!$G$5:$G$1069,1)</f>
        <v>4</v>
      </c>
      <c r="F388">
        <f>SUMIFS('Invoice Lines'!$J$5:$J$2542,'Invoice Lines'!$H$5:$H$2542,A388,'Invoice Lines'!$Q$5:$Q$2542,"HIRE-"&amp;C388,'Invoice Lines'!$M$5:$M$2542,1,'Invoice Lines'!$K$5:$K$2542,"&gt;0")</f>
        <v>4</v>
      </c>
      <c r="G388">
        <f>E388-F388</f>
        <v>0</v>
      </c>
      <c r="H388" s="9">
        <f>ROUND(G388*D388,2)</f>
        <v>0</v>
      </c>
      <c r="I388" s="9">
        <f>SUMIFS('Invoice Lines'!$K$5:$K$2542,'Invoice Lines'!$H$5:$H$2542,A388,'Invoice Lines'!$Q$5:$Q$2542,"HIRE-"&amp;C388,'Invoice Lines'!$M$5:$M$2542,1,'Invoice Lines'!$K$5:$K$2542,"&lt;0")</f>
        <v>0</v>
      </c>
      <c r="J388" t="n">
        <v>0</v>
      </c>
      <c r="K388" t="str">
        <f>IF(G388&gt;0,"Under-billed",IF(G388&lt;0,"Over-billed","Agrees"))</f>
        <v>Agrees</v>
      </c>
      <c r="L388" t="inlineStr"/>
    </row>
    <row r="389">
      <c r="A389" t="inlineStr">
        <is>
          <t>S0395</t>
        </is>
      </c>
      <c r="B389" t="inlineStr">
        <is>
          <t>Silverleaf Insurance Repairs Pty Ltd</t>
        </is>
      </c>
      <c r="C389" t="inlineStr">
        <is>
          <t>TK</t>
        </is>
      </c>
      <c r="D389" s="9" t="n">
        <v>35</v>
      </c>
      <c r="E389">
        <f>SUMIFS('Hire Cycles'!$F$5:$F$1069,'Hire Cycles'!$A$5:$A$1069,A389,'Hire Cycles'!$B$5:$B$1069,C389,'Hire Cycles'!$G$5:$G$1069,1)</f>
        <v>3</v>
      </c>
      <c r="F389">
        <f>SUMIFS('Invoice Lines'!$J$5:$J$2542,'Invoice Lines'!$H$5:$H$2542,A389,'Invoice Lines'!$Q$5:$Q$2542,"HIRE-"&amp;C389,'Invoice Lines'!$M$5:$M$2542,1,'Invoice Lines'!$K$5:$K$2542,"&gt;0")</f>
        <v>3</v>
      </c>
      <c r="G389">
        <f>E389-F389</f>
        <v>0</v>
      </c>
      <c r="H389" s="9">
        <f>ROUND(G389*D389,2)</f>
        <v>0</v>
      </c>
      <c r="I389" s="9">
        <f>SUMIFS('Invoice Lines'!$K$5:$K$2542,'Invoice Lines'!$H$5:$H$2542,A389,'Invoice Lines'!$Q$5:$Q$2542,"HIRE-"&amp;C389,'Invoice Lines'!$M$5:$M$2542,1,'Invoice Lines'!$K$5:$K$2542,"&lt;0")</f>
        <v>0</v>
      </c>
      <c r="J389" t="n">
        <v>0</v>
      </c>
      <c r="K389" t="str">
        <f>IF(G389&gt;0,"Under-billed",IF(G389&lt;0,"Over-billed","Agrees"))</f>
        <v>Agrees</v>
      </c>
      <c r="L389" t="inlineStr"/>
    </row>
    <row r="390">
      <c r="A390" t="inlineStr">
        <is>
          <t>S0398</t>
        </is>
      </c>
      <c r="B390" t="inlineStr">
        <is>
          <t>Wattle Insurance Repairs Pty Ltd</t>
        </is>
      </c>
      <c r="C390" t="inlineStr">
        <is>
          <t>TK</t>
        </is>
      </c>
      <c r="D390" s="9" t="n">
        <v>35</v>
      </c>
      <c r="E390">
        <f>SUMIFS('Hire Cycles'!$F$5:$F$1069,'Hire Cycles'!$A$5:$A$1069,A390,'Hire Cycles'!$B$5:$B$1069,C390,'Hire Cycles'!$G$5:$G$1069,1)</f>
        <v>6</v>
      </c>
      <c r="F390">
        <f>SUMIFS('Invoice Lines'!$J$5:$J$2542,'Invoice Lines'!$H$5:$H$2542,A390,'Invoice Lines'!$Q$5:$Q$2542,"HIRE-"&amp;C390,'Invoice Lines'!$M$5:$M$2542,1,'Invoice Lines'!$K$5:$K$2542,"&gt;0")</f>
        <v>6</v>
      </c>
      <c r="G390">
        <f>E390-F390</f>
        <v>0</v>
      </c>
      <c r="H390" s="9">
        <f>ROUND(G390*D390,2)</f>
        <v>0</v>
      </c>
      <c r="I390" s="9">
        <f>SUMIFS('Invoice Lines'!$K$5:$K$2542,'Invoice Lines'!$H$5:$H$2542,A390,'Invoice Lines'!$Q$5:$Q$2542,"HIRE-"&amp;C390,'Invoice Lines'!$M$5:$M$2542,1,'Invoice Lines'!$K$5:$K$2542,"&lt;0")</f>
        <v>0</v>
      </c>
      <c r="J390" t="n">
        <v>0</v>
      </c>
      <c r="K390" t="str">
        <f>IF(G390&gt;0,"Under-billed",IF(G390&lt;0,"Over-billed","Agrees"))</f>
        <v>Agrees</v>
      </c>
      <c r="L390" t="inlineStr"/>
    </row>
    <row r="391">
      <c r="A391" t="inlineStr">
        <is>
          <t>S0399</t>
        </is>
      </c>
      <c r="B391" t="inlineStr">
        <is>
          <t>Silverleaf Insurance Repairs Pty Ltd</t>
        </is>
      </c>
      <c r="C391" t="inlineStr">
        <is>
          <t>TK</t>
        </is>
      </c>
      <c r="D391" s="9" t="n">
        <v>35</v>
      </c>
      <c r="E391">
        <f>SUMIFS('Hire Cycles'!$F$5:$F$1069,'Hire Cycles'!$A$5:$A$1069,A391,'Hire Cycles'!$B$5:$B$1069,C391,'Hire Cycles'!$G$5:$G$1069,1)</f>
        <v>21</v>
      </c>
      <c r="F391">
        <f>SUMIFS('Invoice Lines'!$J$5:$J$2542,'Invoice Lines'!$H$5:$H$2542,A391,'Invoice Lines'!$Q$5:$Q$2542,"HIRE-"&amp;C391,'Invoice Lines'!$M$5:$M$2542,1,'Invoice Lines'!$K$5:$K$2542,"&gt;0")</f>
        <v>9</v>
      </c>
      <c r="G391">
        <f>E391-F391</f>
        <v>12</v>
      </c>
      <c r="H391" s="9">
        <f>ROUND(G391*D391,2)</f>
        <v>420</v>
      </c>
      <c r="I391" s="9">
        <f>SUMIFS('Invoice Lines'!$K$5:$K$2542,'Invoice Lines'!$H$5:$H$2542,A391,'Invoice Lines'!$Q$5:$Q$2542,"HIRE-"&amp;C391,'Invoice Lines'!$M$5:$M$2542,1,'Invoice Lines'!$K$5:$K$2542,"&lt;0")</f>
        <v>0</v>
      </c>
      <c r="J391" t="n">
        <v>0</v>
      </c>
      <c r="K391" t="str">
        <f>IF(G391&gt;0,"Under-billed",IF(G391&lt;0,"Over-billed","Agrees"))</f>
        <v>Under-billed</v>
      </c>
      <c r="L391" t="inlineStr"/>
    </row>
    <row r="392">
      <c r="A392" t="inlineStr">
        <is>
          <t>S0400</t>
        </is>
      </c>
      <c r="B392" t="inlineStr">
        <is>
          <t>Wattle Homes Pty Ltd</t>
        </is>
      </c>
      <c r="C392" t="inlineStr">
        <is>
          <t>TK</t>
        </is>
      </c>
      <c r="D392" s="9" t="n">
        <v>35</v>
      </c>
      <c r="E392">
        <f>SUMIFS('Hire Cycles'!$F$5:$F$1069,'Hire Cycles'!$A$5:$A$1069,A392,'Hire Cycles'!$B$5:$B$1069,C392,'Hire Cycles'!$G$5:$G$1069,1)</f>
        <v>0</v>
      </c>
      <c r="F392">
        <f>SUMIFS('Invoice Lines'!$J$5:$J$2542,'Invoice Lines'!$H$5:$H$2542,A392,'Invoice Lines'!$Q$5:$Q$2542,"HIRE-"&amp;C392,'Invoice Lines'!$M$5:$M$2542,1,'Invoice Lines'!$K$5:$K$2542,"&gt;0")</f>
        <v>0</v>
      </c>
      <c r="G392">
        <f>E392-F392</f>
        <v>0</v>
      </c>
      <c r="H392" s="9">
        <f>ROUND(G392*D392,2)</f>
        <v>0</v>
      </c>
      <c r="I392" s="9">
        <f>SUMIFS('Invoice Lines'!$K$5:$K$2542,'Invoice Lines'!$H$5:$H$2542,A392,'Invoice Lines'!$Q$5:$Q$2542,"HIRE-"&amp;C392,'Invoice Lines'!$M$5:$M$2542,1,'Invoice Lines'!$K$5:$K$2542,"&lt;0")</f>
        <v>0</v>
      </c>
      <c r="J392" t="n">
        <v>6</v>
      </c>
      <c r="K392" t="str">
        <f>IF(G392&gt;0,"Under-billed",IF(G392&lt;0,"Over-billed","Agrees"))</f>
        <v>Agrees</v>
      </c>
      <c r="L392" t="inlineStr"/>
    </row>
    <row r="393">
      <c r="A393" t="inlineStr">
        <is>
          <t>S0403</t>
        </is>
      </c>
      <c r="B393" t="inlineStr">
        <is>
          <t>Zoe Martin</t>
        </is>
      </c>
      <c r="C393" t="inlineStr">
        <is>
          <t>TK</t>
        </is>
      </c>
      <c r="D393" s="9" t="n">
        <v>35</v>
      </c>
      <c r="E393">
        <f>SUMIFS('Hire Cycles'!$F$5:$F$1069,'Hire Cycles'!$A$5:$A$1069,A393,'Hire Cycles'!$B$5:$B$1069,C393,'Hire Cycles'!$G$5:$G$1069,1)</f>
        <v>10</v>
      </c>
      <c r="F393">
        <f>SUMIFS('Invoice Lines'!$J$5:$J$2542,'Invoice Lines'!$H$5:$H$2542,A393,'Invoice Lines'!$Q$5:$Q$2542,"HIRE-"&amp;C393,'Invoice Lines'!$M$5:$M$2542,1,'Invoice Lines'!$K$5:$K$2542,"&gt;0")</f>
        <v>10</v>
      </c>
      <c r="G393">
        <f>E393-F393</f>
        <v>0</v>
      </c>
      <c r="H393" s="9">
        <f>ROUND(G393*D393,2)</f>
        <v>0</v>
      </c>
      <c r="I393" s="9">
        <f>SUMIFS('Invoice Lines'!$K$5:$K$2542,'Invoice Lines'!$H$5:$H$2542,A393,'Invoice Lines'!$Q$5:$Q$2542,"HIRE-"&amp;C393,'Invoice Lines'!$M$5:$M$2542,1,'Invoice Lines'!$K$5:$K$2542,"&lt;0")</f>
        <v>0</v>
      </c>
      <c r="J393" t="n">
        <v>0</v>
      </c>
      <c r="K393" t="str">
        <f>IF(G393&gt;0,"Under-billed",IF(G393&lt;0,"Over-billed","Agrees"))</f>
        <v>Agrees</v>
      </c>
      <c r="L393" t="inlineStr"/>
    </row>
    <row r="394">
      <c r="A394" t="inlineStr">
        <is>
          <t>S0406</t>
        </is>
      </c>
      <c r="B394" t="inlineStr">
        <is>
          <t>Juniper Developments Pty Ltd</t>
        </is>
      </c>
      <c r="C394" t="inlineStr">
        <is>
          <t>TK</t>
        </is>
      </c>
      <c r="D394" s="9" t="n">
        <v>35</v>
      </c>
      <c r="E394">
        <f>SUMIFS('Hire Cycles'!$F$5:$F$1069,'Hire Cycles'!$A$5:$A$1069,A394,'Hire Cycles'!$B$5:$B$1069,C394,'Hire Cycles'!$G$5:$G$1069,1)</f>
        <v>6</v>
      </c>
      <c r="F394">
        <f>SUMIFS('Invoice Lines'!$J$5:$J$2542,'Invoice Lines'!$H$5:$H$2542,A394,'Invoice Lines'!$Q$5:$Q$2542,"HIRE-"&amp;C394,'Invoice Lines'!$M$5:$M$2542,1,'Invoice Lines'!$K$5:$K$2542,"&gt;0")</f>
        <v>6</v>
      </c>
      <c r="G394">
        <f>E394-F394</f>
        <v>0</v>
      </c>
      <c r="H394" s="9">
        <f>ROUND(G394*D394,2)</f>
        <v>0</v>
      </c>
      <c r="I394" s="9">
        <f>SUMIFS('Invoice Lines'!$K$5:$K$2542,'Invoice Lines'!$H$5:$H$2542,A394,'Invoice Lines'!$Q$5:$Q$2542,"HIRE-"&amp;C394,'Invoice Lines'!$M$5:$M$2542,1,'Invoice Lines'!$K$5:$K$2542,"&lt;0")</f>
        <v>0</v>
      </c>
      <c r="J394" t="n">
        <v>0</v>
      </c>
      <c r="K394" t="str">
        <f>IF(G394&gt;0,"Under-billed",IF(G394&lt;0,"Over-billed","Agrees"))</f>
        <v>Agrees</v>
      </c>
      <c r="L394" t="inlineStr"/>
    </row>
    <row r="395">
      <c r="A395" t="inlineStr">
        <is>
          <t>S0407</t>
        </is>
      </c>
      <c r="B395" t="inlineStr">
        <is>
          <t>Wattle Constructions Pty Ltd</t>
        </is>
      </c>
      <c r="C395" t="inlineStr">
        <is>
          <t>TK</t>
        </is>
      </c>
      <c r="D395" s="9" t="n">
        <v>35</v>
      </c>
      <c r="E395">
        <f>SUMIFS('Hire Cycles'!$F$5:$F$1069,'Hire Cycles'!$A$5:$A$1069,A395,'Hire Cycles'!$B$5:$B$1069,C395,'Hire Cycles'!$G$5:$G$1069,1)</f>
        <v>2</v>
      </c>
      <c r="F395">
        <f>SUMIFS('Invoice Lines'!$J$5:$J$2542,'Invoice Lines'!$H$5:$H$2542,A395,'Invoice Lines'!$Q$5:$Q$2542,"HIRE-"&amp;C395,'Invoice Lines'!$M$5:$M$2542,1,'Invoice Lines'!$K$5:$K$2542,"&gt;0")</f>
        <v>2</v>
      </c>
      <c r="G395">
        <f>E395-F395</f>
        <v>0</v>
      </c>
      <c r="H395" s="9">
        <f>ROUND(G395*D395,2)</f>
        <v>0</v>
      </c>
      <c r="I395" s="9">
        <f>SUMIFS('Invoice Lines'!$K$5:$K$2542,'Invoice Lines'!$H$5:$H$2542,A395,'Invoice Lines'!$Q$5:$Q$2542,"HIRE-"&amp;C395,'Invoice Lines'!$M$5:$M$2542,1,'Invoice Lines'!$K$5:$K$2542,"&lt;0")</f>
        <v>0</v>
      </c>
      <c r="J395" t="n">
        <v>0</v>
      </c>
      <c r="K395" t="str">
        <f>IF(G395&gt;0,"Under-billed",IF(G395&lt;0,"Over-billed","Agrees"))</f>
        <v>Agrees</v>
      </c>
      <c r="L395" t="inlineStr"/>
    </row>
    <row r="396">
      <c r="A396" t="inlineStr">
        <is>
          <t>S0408</t>
        </is>
      </c>
      <c r="B396" t="inlineStr">
        <is>
          <t>Redline Builders Pty Ltd</t>
        </is>
      </c>
      <c r="C396" t="inlineStr">
        <is>
          <t>TK</t>
        </is>
      </c>
      <c r="D396" s="9" t="n">
        <v>35</v>
      </c>
      <c r="E396">
        <f>SUMIFS('Hire Cycles'!$F$5:$F$1069,'Hire Cycles'!$A$5:$A$1069,A396,'Hire Cycles'!$B$5:$B$1069,C396,'Hire Cycles'!$G$5:$G$1069,1)</f>
        <v>15</v>
      </c>
      <c r="F396">
        <f>SUMIFS('Invoice Lines'!$J$5:$J$2542,'Invoice Lines'!$H$5:$H$2542,A396,'Invoice Lines'!$Q$5:$Q$2542,"HIRE-"&amp;C396,'Invoice Lines'!$M$5:$M$2542,1,'Invoice Lines'!$K$5:$K$2542,"&gt;0")</f>
        <v>15</v>
      </c>
      <c r="G396">
        <f>E396-F396</f>
        <v>0</v>
      </c>
      <c r="H396" s="9">
        <f>ROUND(G396*D396,2)</f>
        <v>0</v>
      </c>
      <c r="I396" s="9">
        <f>SUMIFS('Invoice Lines'!$K$5:$K$2542,'Invoice Lines'!$H$5:$H$2542,A396,'Invoice Lines'!$Q$5:$Q$2542,"HIRE-"&amp;C396,'Invoice Lines'!$M$5:$M$2542,1,'Invoice Lines'!$K$5:$K$2542,"&lt;0")</f>
        <v>0</v>
      </c>
      <c r="J396" t="n">
        <v>0</v>
      </c>
      <c r="K396" t="str">
        <f>IF(G396&gt;0,"Under-billed",IF(G396&lt;0,"Over-billed","Agrees"))</f>
        <v>Agrees</v>
      </c>
      <c r="L396" t="inlineStr"/>
    </row>
    <row r="397">
      <c r="A397" t="inlineStr">
        <is>
          <t>S0412</t>
        </is>
      </c>
      <c r="B397" t="inlineStr">
        <is>
          <t>Northgate Insurance Repairs</t>
        </is>
      </c>
      <c r="C397" t="inlineStr">
        <is>
          <t>TK</t>
        </is>
      </c>
      <c r="D397" s="9" t="n">
        <v>35</v>
      </c>
      <c r="E397">
        <f>SUMIFS('Hire Cycles'!$F$5:$F$1069,'Hire Cycles'!$A$5:$A$1069,A397,'Hire Cycles'!$B$5:$B$1069,C397,'Hire Cycles'!$G$5:$G$1069,1)</f>
        <v>7</v>
      </c>
      <c r="F397">
        <f>SUMIFS('Invoice Lines'!$J$5:$J$2542,'Invoice Lines'!$H$5:$H$2542,A397,'Invoice Lines'!$Q$5:$Q$2542,"HIRE-"&amp;C397,'Invoice Lines'!$M$5:$M$2542,1,'Invoice Lines'!$K$5:$K$2542,"&gt;0")</f>
        <v>7</v>
      </c>
      <c r="G397">
        <f>E397-F397</f>
        <v>0</v>
      </c>
      <c r="H397" s="9">
        <f>ROUND(G397*D397,2)</f>
        <v>0</v>
      </c>
      <c r="I397" s="9">
        <f>SUMIFS('Invoice Lines'!$K$5:$K$2542,'Invoice Lines'!$H$5:$H$2542,A397,'Invoice Lines'!$Q$5:$Q$2542,"HIRE-"&amp;C397,'Invoice Lines'!$M$5:$M$2542,1,'Invoice Lines'!$K$5:$K$2542,"&lt;0")</f>
        <v>0</v>
      </c>
      <c r="J397" t="n">
        <v>0</v>
      </c>
      <c r="K397" t="str">
        <f>IF(G397&gt;0,"Under-billed",IF(G397&lt;0,"Over-billed","Agrees"))</f>
        <v>Agrees</v>
      </c>
      <c r="L397" t="inlineStr"/>
    </row>
    <row r="398">
      <c r="A398" t="inlineStr">
        <is>
          <t>S0413</t>
        </is>
      </c>
      <c r="B398" t="inlineStr">
        <is>
          <t>Summit Projects Pty Ltd</t>
        </is>
      </c>
      <c r="C398" t="inlineStr">
        <is>
          <t>TK</t>
        </is>
      </c>
      <c r="D398" s="9" t="n">
        <v>35</v>
      </c>
      <c r="E398">
        <f>SUMIFS('Hire Cycles'!$F$5:$F$1069,'Hire Cycles'!$A$5:$A$1069,A398,'Hire Cycles'!$B$5:$B$1069,C398,'Hire Cycles'!$G$5:$G$1069,1)</f>
        <v>5</v>
      </c>
      <c r="F398">
        <f>SUMIFS('Invoice Lines'!$J$5:$J$2542,'Invoice Lines'!$H$5:$H$2542,A398,'Invoice Lines'!$Q$5:$Q$2542,"HIRE-"&amp;C398,'Invoice Lines'!$M$5:$M$2542,1,'Invoice Lines'!$K$5:$K$2542,"&gt;0")</f>
        <v>5</v>
      </c>
      <c r="G398">
        <f>E398-F398</f>
        <v>0</v>
      </c>
      <c r="H398" s="9">
        <f>ROUND(G398*D398,2)</f>
        <v>0</v>
      </c>
      <c r="I398" s="9">
        <f>SUMIFS('Invoice Lines'!$K$5:$K$2542,'Invoice Lines'!$H$5:$H$2542,A398,'Invoice Lines'!$Q$5:$Q$2542,"HIRE-"&amp;C398,'Invoice Lines'!$M$5:$M$2542,1,'Invoice Lines'!$K$5:$K$2542,"&lt;0")</f>
        <v>0</v>
      </c>
      <c r="J398" t="n">
        <v>0</v>
      </c>
      <c r="K398" t="str">
        <f>IF(G398&gt;0,"Under-billed",IF(G398&lt;0,"Over-billed","Agrees"))</f>
        <v>Agrees</v>
      </c>
      <c r="L398" t="inlineStr"/>
    </row>
    <row r="399">
      <c r="A399" t="inlineStr">
        <is>
          <t>S0415</t>
        </is>
      </c>
      <c r="B399" t="inlineStr">
        <is>
          <t>Bluegum Constructions</t>
        </is>
      </c>
      <c r="C399" t="inlineStr">
        <is>
          <t>TK</t>
        </is>
      </c>
      <c r="D399" s="9" t="n">
        <v>35</v>
      </c>
      <c r="E399">
        <f>SUMIFS('Hire Cycles'!$F$5:$F$1069,'Hire Cycles'!$A$5:$A$1069,A399,'Hire Cycles'!$B$5:$B$1069,C399,'Hire Cycles'!$G$5:$G$1069,1)</f>
        <v>10</v>
      </c>
      <c r="F399">
        <f>SUMIFS('Invoice Lines'!$J$5:$J$2542,'Invoice Lines'!$H$5:$H$2542,A399,'Invoice Lines'!$Q$5:$Q$2542,"HIRE-"&amp;C399,'Invoice Lines'!$M$5:$M$2542,1,'Invoice Lines'!$K$5:$K$2542,"&gt;0")</f>
        <v>10</v>
      </c>
      <c r="G399">
        <f>E399-F399</f>
        <v>0</v>
      </c>
      <c r="H399" s="9">
        <f>ROUND(G399*D399,2)</f>
        <v>0</v>
      </c>
      <c r="I399" s="9">
        <f>SUMIFS('Invoice Lines'!$K$5:$K$2542,'Invoice Lines'!$H$5:$H$2542,A399,'Invoice Lines'!$Q$5:$Q$2542,"HIRE-"&amp;C399,'Invoice Lines'!$M$5:$M$2542,1,'Invoice Lines'!$K$5:$K$2542,"&lt;0")</f>
        <v>0</v>
      </c>
      <c r="J399" t="n">
        <v>0</v>
      </c>
      <c r="K399" t="str">
        <f>IF(G399&gt;0,"Under-billed",IF(G399&lt;0,"Over-billed","Agrees"))</f>
        <v>Agrees</v>
      </c>
      <c r="L399" t="inlineStr"/>
    </row>
    <row r="400">
      <c r="A400" t="inlineStr">
        <is>
          <t>S0420</t>
        </is>
      </c>
      <c r="B400" t="inlineStr">
        <is>
          <t>Highpoint Insurance Repairs Pty Ltd</t>
        </is>
      </c>
      <c r="C400" t="inlineStr">
        <is>
          <t>TK</t>
        </is>
      </c>
      <c r="D400" s="9" t="n">
        <v>35</v>
      </c>
      <c r="E400">
        <f>SUMIFS('Hire Cycles'!$F$5:$F$1069,'Hire Cycles'!$A$5:$A$1069,A400,'Hire Cycles'!$B$5:$B$1069,C400,'Hire Cycles'!$G$5:$G$1069,1)</f>
        <v>6</v>
      </c>
      <c r="F400">
        <f>SUMIFS('Invoice Lines'!$J$5:$J$2542,'Invoice Lines'!$H$5:$H$2542,A400,'Invoice Lines'!$Q$5:$Q$2542,"HIRE-"&amp;C400,'Invoice Lines'!$M$5:$M$2542,1,'Invoice Lines'!$K$5:$K$2542,"&gt;0")</f>
        <v>6</v>
      </c>
      <c r="G400">
        <f>E400-F400</f>
        <v>0</v>
      </c>
      <c r="H400" s="9">
        <f>ROUND(G400*D400,2)</f>
        <v>0</v>
      </c>
      <c r="I400" s="9">
        <f>SUMIFS('Invoice Lines'!$K$5:$K$2542,'Invoice Lines'!$H$5:$H$2542,A400,'Invoice Lines'!$Q$5:$Q$2542,"HIRE-"&amp;C400,'Invoice Lines'!$M$5:$M$2542,1,'Invoice Lines'!$K$5:$K$2542,"&lt;0")</f>
        <v>0</v>
      </c>
      <c r="J400" t="n">
        <v>0</v>
      </c>
      <c r="K400" t="str">
        <f>IF(G400&gt;0,"Under-billed",IF(G400&lt;0,"Over-billed","Agrees"))</f>
        <v>Agrees</v>
      </c>
      <c r="L400" t="inlineStr"/>
    </row>
    <row r="401">
      <c r="A401" t="inlineStr">
        <is>
          <t>S0421</t>
        </is>
      </c>
      <c r="B401" t="inlineStr">
        <is>
          <t>Banksia Claims Services Pty Ltd</t>
        </is>
      </c>
      <c r="C401" t="inlineStr">
        <is>
          <t>TK</t>
        </is>
      </c>
      <c r="D401" s="9" t="n">
        <v>35</v>
      </c>
      <c r="E401">
        <f>SUMIFS('Hire Cycles'!$F$5:$F$1069,'Hire Cycles'!$A$5:$A$1069,A401,'Hire Cycles'!$B$5:$B$1069,C401,'Hire Cycles'!$G$5:$G$1069,1)</f>
        <v>6</v>
      </c>
      <c r="F401">
        <f>SUMIFS('Invoice Lines'!$J$5:$J$2542,'Invoice Lines'!$H$5:$H$2542,A401,'Invoice Lines'!$Q$5:$Q$2542,"HIRE-"&amp;C401,'Invoice Lines'!$M$5:$M$2542,1,'Invoice Lines'!$K$5:$K$2542,"&gt;0")</f>
        <v>6</v>
      </c>
      <c r="G401">
        <f>E401-F401</f>
        <v>0</v>
      </c>
      <c r="H401" s="9">
        <f>ROUND(G401*D401,2)</f>
        <v>0</v>
      </c>
      <c r="I401" s="9">
        <f>SUMIFS('Invoice Lines'!$K$5:$K$2542,'Invoice Lines'!$H$5:$H$2542,A401,'Invoice Lines'!$Q$5:$Q$2542,"HIRE-"&amp;C401,'Invoice Lines'!$M$5:$M$2542,1,'Invoice Lines'!$K$5:$K$2542,"&lt;0")</f>
        <v>0</v>
      </c>
      <c r="J401" t="n">
        <v>0</v>
      </c>
      <c r="K401" t="str">
        <f>IF(G401&gt;0,"Under-billed",IF(G401&lt;0,"Over-billed","Agrees"))</f>
        <v>Agrees</v>
      </c>
      <c r="L401" t="inlineStr"/>
    </row>
    <row r="402">
      <c r="A402" t="inlineStr">
        <is>
          <t>S0422</t>
        </is>
      </c>
      <c r="B402" t="inlineStr">
        <is>
          <t>Lucas Patel</t>
        </is>
      </c>
      <c r="C402" t="inlineStr">
        <is>
          <t>TK</t>
        </is>
      </c>
      <c r="D402" s="9" t="n">
        <v>35</v>
      </c>
      <c r="E402">
        <f>SUMIFS('Hire Cycles'!$F$5:$F$1069,'Hire Cycles'!$A$5:$A$1069,A402,'Hire Cycles'!$B$5:$B$1069,C402,'Hire Cycles'!$G$5:$G$1069,1)</f>
        <v>10</v>
      </c>
      <c r="F402">
        <f>SUMIFS('Invoice Lines'!$J$5:$J$2542,'Invoice Lines'!$H$5:$H$2542,A402,'Invoice Lines'!$Q$5:$Q$2542,"HIRE-"&amp;C402,'Invoice Lines'!$M$5:$M$2542,1,'Invoice Lines'!$K$5:$K$2542,"&gt;0")</f>
        <v>10</v>
      </c>
      <c r="G402">
        <f>E402-F402</f>
        <v>0</v>
      </c>
      <c r="H402" s="9">
        <f>ROUND(G402*D402,2)</f>
        <v>0</v>
      </c>
      <c r="I402" s="9">
        <f>SUMIFS('Invoice Lines'!$K$5:$K$2542,'Invoice Lines'!$H$5:$H$2542,A402,'Invoice Lines'!$Q$5:$Q$2542,"HIRE-"&amp;C402,'Invoice Lines'!$M$5:$M$2542,1,'Invoice Lines'!$K$5:$K$2542,"&lt;0")</f>
        <v>0</v>
      </c>
      <c r="J402" t="n">
        <v>0</v>
      </c>
      <c r="K402" t="str">
        <f>IF(G402&gt;0,"Under-billed",IF(G402&lt;0,"Over-billed","Agrees"))</f>
        <v>Agrees</v>
      </c>
      <c r="L402" t="inlineStr"/>
    </row>
    <row r="403">
      <c r="A403" t="inlineStr">
        <is>
          <t>S0423</t>
        </is>
      </c>
      <c r="B403" t="inlineStr">
        <is>
          <t>Northgate Insurance Repairs</t>
        </is>
      </c>
      <c r="C403" t="inlineStr">
        <is>
          <t>TK</t>
        </is>
      </c>
      <c r="D403" s="9" t="n">
        <v>35</v>
      </c>
      <c r="E403">
        <f>SUMIFS('Hire Cycles'!$F$5:$F$1069,'Hire Cycles'!$A$5:$A$1069,A403,'Hire Cycles'!$B$5:$B$1069,C403,'Hire Cycles'!$G$5:$G$1069,1)</f>
        <v>12</v>
      </c>
      <c r="F403">
        <f>SUMIFS('Invoice Lines'!$J$5:$J$2542,'Invoice Lines'!$H$5:$H$2542,A403,'Invoice Lines'!$Q$5:$Q$2542,"HIRE-"&amp;C403,'Invoice Lines'!$M$5:$M$2542,1,'Invoice Lines'!$K$5:$K$2542,"&gt;0")</f>
        <v>12</v>
      </c>
      <c r="G403">
        <f>E403-F403</f>
        <v>0</v>
      </c>
      <c r="H403" s="9">
        <f>ROUND(G403*D403,2)</f>
        <v>0</v>
      </c>
      <c r="I403" s="9">
        <f>SUMIFS('Invoice Lines'!$K$5:$K$2542,'Invoice Lines'!$H$5:$H$2542,A403,'Invoice Lines'!$Q$5:$Q$2542,"HIRE-"&amp;C403,'Invoice Lines'!$M$5:$M$2542,1,'Invoice Lines'!$K$5:$K$2542,"&lt;0")</f>
        <v>0</v>
      </c>
      <c r="J403" t="n">
        <v>0</v>
      </c>
      <c r="K403" t="str">
        <f>IF(G403&gt;0,"Under-billed",IF(G403&lt;0,"Over-billed","Agrees"))</f>
        <v>Agrees</v>
      </c>
      <c r="L403" t="inlineStr"/>
    </row>
    <row r="404">
      <c r="A404" t="inlineStr">
        <is>
          <t>S0429</t>
        </is>
      </c>
      <c r="B404" t="inlineStr">
        <is>
          <t>Stonebridge Claims Services</t>
        </is>
      </c>
      <c r="C404" t="inlineStr">
        <is>
          <t>TK</t>
        </is>
      </c>
      <c r="D404" s="9" t="n">
        <v>35</v>
      </c>
      <c r="E404">
        <f>SUMIFS('Hire Cycles'!$F$5:$F$1069,'Hire Cycles'!$A$5:$A$1069,A404,'Hire Cycles'!$B$5:$B$1069,C404,'Hire Cycles'!$G$5:$G$1069,1)</f>
        <v>15</v>
      </c>
      <c r="F404">
        <f>SUMIFS('Invoice Lines'!$J$5:$J$2542,'Invoice Lines'!$H$5:$H$2542,A404,'Invoice Lines'!$Q$5:$Q$2542,"HIRE-"&amp;C404,'Invoice Lines'!$M$5:$M$2542,1,'Invoice Lines'!$K$5:$K$2542,"&gt;0")</f>
        <v>15</v>
      </c>
      <c r="G404">
        <f>E404-F404</f>
        <v>0</v>
      </c>
      <c r="H404" s="9">
        <f>ROUND(G404*D404,2)</f>
        <v>0</v>
      </c>
      <c r="I404" s="9">
        <f>SUMIFS('Invoice Lines'!$K$5:$K$2542,'Invoice Lines'!$H$5:$H$2542,A404,'Invoice Lines'!$Q$5:$Q$2542,"HIRE-"&amp;C404,'Invoice Lines'!$M$5:$M$2542,1,'Invoice Lines'!$K$5:$K$2542,"&lt;0")</f>
        <v>0</v>
      </c>
      <c r="J404" t="n">
        <v>0</v>
      </c>
      <c r="K404" t="str">
        <f>IF(G404&gt;0,"Under-billed",IF(G404&lt;0,"Over-billed","Agrees"))</f>
        <v>Agrees</v>
      </c>
      <c r="L404" t="inlineStr"/>
    </row>
    <row r="405">
      <c r="A405" t="inlineStr">
        <is>
          <t>S0432</t>
        </is>
      </c>
      <c r="B405" t="inlineStr">
        <is>
          <t>Granite Body Corporate Pty Ltd</t>
        </is>
      </c>
      <c r="C405" t="inlineStr">
        <is>
          <t>TK</t>
        </is>
      </c>
      <c r="D405" s="9" t="n">
        <v>35</v>
      </c>
      <c r="E405">
        <f>SUMIFS('Hire Cycles'!$F$5:$F$1069,'Hire Cycles'!$A$5:$A$1069,A405,'Hire Cycles'!$B$5:$B$1069,C405,'Hire Cycles'!$G$5:$G$1069,1)</f>
        <v>0</v>
      </c>
      <c r="F405">
        <f>SUMIFS('Invoice Lines'!$J$5:$J$2542,'Invoice Lines'!$H$5:$H$2542,A405,'Invoice Lines'!$Q$5:$Q$2542,"HIRE-"&amp;C405,'Invoice Lines'!$M$5:$M$2542,1,'Invoice Lines'!$K$5:$K$2542,"&gt;0")</f>
        <v>0</v>
      </c>
      <c r="G405">
        <f>E405-F405</f>
        <v>0</v>
      </c>
      <c r="H405" s="9">
        <f>ROUND(G405*D405,2)</f>
        <v>0</v>
      </c>
      <c r="I405" s="9">
        <f>SUMIFS('Invoice Lines'!$K$5:$K$2542,'Invoice Lines'!$H$5:$H$2542,A405,'Invoice Lines'!$Q$5:$Q$2542,"HIRE-"&amp;C405,'Invoice Lines'!$M$5:$M$2542,1,'Invoice Lines'!$K$5:$K$2542,"&lt;0")</f>
        <v>0</v>
      </c>
      <c r="J405" t="n">
        <v>1</v>
      </c>
      <c r="K405" t="str">
        <f>IF(G405&gt;0,"Under-billed",IF(G405&lt;0,"Over-billed","Agrees"))</f>
        <v>Agrees</v>
      </c>
      <c r="L405" t="inlineStr"/>
    </row>
    <row r="406">
      <c r="A406" t="inlineStr">
        <is>
          <t>S0434</t>
        </is>
      </c>
      <c r="B406" t="inlineStr">
        <is>
          <t>Granite Projects Pty Ltd</t>
        </is>
      </c>
      <c r="C406" t="inlineStr">
        <is>
          <t>TK</t>
        </is>
      </c>
      <c r="D406" s="9" t="n">
        <v>35</v>
      </c>
      <c r="E406">
        <f>SUMIFS('Hire Cycles'!$F$5:$F$1069,'Hire Cycles'!$A$5:$A$1069,A406,'Hire Cycles'!$B$5:$B$1069,C406,'Hire Cycles'!$G$5:$G$1069,1)</f>
        <v>6</v>
      </c>
      <c r="F406">
        <f>SUMIFS('Invoice Lines'!$J$5:$J$2542,'Invoice Lines'!$H$5:$H$2542,A406,'Invoice Lines'!$Q$5:$Q$2542,"HIRE-"&amp;C406,'Invoice Lines'!$M$5:$M$2542,1,'Invoice Lines'!$K$5:$K$2542,"&gt;0")</f>
        <v>6</v>
      </c>
      <c r="G406">
        <f>E406-F406</f>
        <v>0</v>
      </c>
      <c r="H406" s="9">
        <f>ROUND(G406*D406,2)</f>
        <v>0</v>
      </c>
      <c r="I406" s="9">
        <f>SUMIFS('Invoice Lines'!$K$5:$K$2542,'Invoice Lines'!$H$5:$H$2542,A406,'Invoice Lines'!$Q$5:$Q$2542,"HIRE-"&amp;C406,'Invoice Lines'!$M$5:$M$2542,1,'Invoice Lines'!$K$5:$K$2542,"&lt;0")</f>
        <v>0</v>
      </c>
      <c r="J406" t="n">
        <v>0</v>
      </c>
      <c r="K406" t="str">
        <f>IF(G406&gt;0,"Under-billed",IF(G406&lt;0,"Over-billed","Agrees"))</f>
        <v>Agrees</v>
      </c>
      <c r="L406" t="inlineStr"/>
    </row>
    <row r="407">
      <c r="A407" t="inlineStr">
        <is>
          <t>S0435</t>
        </is>
      </c>
      <c r="B407" t="inlineStr">
        <is>
          <t>Northgate Insurance Repairs</t>
        </is>
      </c>
      <c r="C407" t="inlineStr">
        <is>
          <t>TK</t>
        </is>
      </c>
      <c r="D407" s="9" t="n">
        <v>35</v>
      </c>
      <c r="E407">
        <f>SUMIFS('Hire Cycles'!$F$5:$F$1069,'Hire Cycles'!$A$5:$A$1069,A407,'Hire Cycles'!$B$5:$B$1069,C407,'Hire Cycles'!$G$5:$G$1069,1)</f>
        <v>12</v>
      </c>
      <c r="F407">
        <f>SUMIFS('Invoice Lines'!$J$5:$J$2542,'Invoice Lines'!$H$5:$H$2542,A407,'Invoice Lines'!$Q$5:$Q$2542,"HIRE-"&amp;C407,'Invoice Lines'!$M$5:$M$2542,1,'Invoice Lines'!$K$5:$K$2542,"&gt;0")</f>
        <v>12</v>
      </c>
      <c r="G407">
        <f>E407-F407</f>
        <v>0</v>
      </c>
      <c r="H407" s="9">
        <f>ROUND(G407*D407,2)</f>
        <v>0</v>
      </c>
      <c r="I407" s="9">
        <f>SUMIFS('Invoice Lines'!$K$5:$K$2542,'Invoice Lines'!$H$5:$H$2542,A407,'Invoice Lines'!$Q$5:$Q$2542,"HIRE-"&amp;C407,'Invoice Lines'!$M$5:$M$2542,1,'Invoice Lines'!$K$5:$K$2542,"&lt;0")</f>
        <v>0</v>
      </c>
      <c r="J407" t="n">
        <v>0</v>
      </c>
      <c r="K407" t="str">
        <f>IF(G407&gt;0,"Under-billed",IF(G407&lt;0,"Over-billed","Agrees"))</f>
        <v>Agrees</v>
      </c>
      <c r="L407" t="inlineStr"/>
    </row>
    <row r="408">
      <c r="A408" t="inlineStr">
        <is>
          <t>S0438</t>
        </is>
      </c>
      <c r="B408" t="inlineStr">
        <is>
          <t>Banksia Claims Services Pty Ltd</t>
        </is>
      </c>
      <c r="C408" t="inlineStr">
        <is>
          <t>TK</t>
        </is>
      </c>
      <c r="D408" s="9" t="n">
        <v>35</v>
      </c>
      <c r="E408">
        <f>SUMIFS('Hire Cycles'!$F$5:$F$1069,'Hire Cycles'!$A$5:$A$1069,A408,'Hire Cycles'!$B$5:$B$1069,C408,'Hire Cycles'!$G$5:$G$1069,1)</f>
        <v>21</v>
      </c>
      <c r="F408">
        <f>SUMIFS('Invoice Lines'!$J$5:$J$2542,'Invoice Lines'!$H$5:$H$2542,A408,'Invoice Lines'!$Q$5:$Q$2542,"HIRE-"&amp;C408,'Invoice Lines'!$M$5:$M$2542,1,'Invoice Lines'!$K$5:$K$2542,"&gt;0")</f>
        <v>21</v>
      </c>
      <c r="G408">
        <f>E408-F408</f>
        <v>0</v>
      </c>
      <c r="H408" s="9">
        <f>ROUND(G408*D408,2)</f>
        <v>0</v>
      </c>
      <c r="I408" s="9">
        <f>SUMIFS('Invoice Lines'!$K$5:$K$2542,'Invoice Lines'!$H$5:$H$2542,A408,'Invoice Lines'!$Q$5:$Q$2542,"HIRE-"&amp;C408,'Invoice Lines'!$M$5:$M$2542,1,'Invoice Lines'!$K$5:$K$2542,"&lt;0")</f>
        <v>0</v>
      </c>
      <c r="J408" t="n">
        <v>0</v>
      </c>
      <c r="K408" t="str">
        <f>IF(G408&gt;0,"Under-billed",IF(G408&lt;0,"Over-billed","Agrees"))</f>
        <v>Agrees</v>
      </c>
      <c r="L408" t="inlineStr"/>
    </row>
    <row r="409">
      <c r="A409" t="inlineStr">
        <is>
          <t>S0440</t>
        </is>
      </c>
      <c r="B409" t="inlineStr">
        <is>
          <t>Riverbend Homes Pty Ltd</t>
        </is>
      </c>
      <c r="C409" t="inlineStr">
        <is>
          <t>TK</t>
        </is>
      </c>
      <c r="D409" s="9" t="n">
        <v>35</v>
      </c>
      <c r="E409">
        <f>SUMIFS('Hire Cycles'!$F$5:$F$1069,'Hire Cycles'!$A$5:$A$1069,A409,'Hire Cycles'!$B$5:$B$1069,C409,'Hire Cycles'!$G$5:$G$1069,1)</f>
        <v>6</v>
      </c>
      <c r="F409">
        <f>SUMIFS('Invoice Lines'!$J$5:$J$2542,'Invoice Lines'!$H$5:$H$2542,A409,'Invoice Lines'!$Q$5:$Q$2542,"HIRE-"&amp;C409,'Invoice Lines'!$M$5:$M$2542,1,'Invoice Lines'!$K$5:$K$2542,"&gt;0")</f>
        <v>6</v>
      </c>
      <c r="G409">
        <f>E409-F409</f>
        <v>0</v>
      </c>
      <c r="H409" s="9">
        <f>ROUND(G409*D409,2)</f>
        <v>0</v>
      </c>
      <c r="I409" s="9">
        <f>SUMIFS('Invoice Lines'!$K$5:$K$2542,'Invoice Lines'!$H$5:$H$2542,A409,'Invoice Lines'!$Q$5:$Q$2542,"HIRE-"&amp;C409,'Invoice Lines'!$M$5:$M$2542,1,'Invoice Lines'!$K$5:$K$2542,"&lt;0")</f>
        <v>0</v>
      </c>
      <c r="J409" t="n">
        <v>0</v>
      </c>
      <c r="K409" t="str">
        <f>IF(G409&gt;0,"Under-billed",IF(G409&lt;0,"Over-billed","Agrees"))</f>
        <v>Agrees</v>
      </c>
      <c r="L409" t="inlineStr"/>
    </row>
    <row r="410">
      <c r="A410" t="inlineStr">
        <is>
          <t>S0441</t>
        </is>
      </c>
      <c r="B410" t="inlineStr">
        <is>
          <t>Oscar Jones</t>
        </is>
      </c>
      <c r="C410" t="inlineStr">
        <is>
          <t>TK</t>
        </is>
      </c>
      <c r="D410" s="9" t="n">
        <v>35</v>
      </c>
      <c r="E410">
        <f>SUMIFS('Hire Cycles'!$F$5:$F$1069,'Hire Cycles'!$A$5:$A$1069,A410,'Hire Cycles'!$B$5:$B$1069,C410,'Hire Cycles'!$G$5:$G$1069,1)</f>
        <v>14</v>
      </c>
      <c r="F410">
        <f>SUMIFS('Invoice Lines'!$J$5:$J$2542,'Invoice Lines'!$H$5:$H$2542,A410,'Invoice Lines'!$Q$5:$Q$2542,"HIRE-"&amp;C410,'Invoice Lines'!$M$5:$M$2542,1,'Invoice Lines'!$K$5:$K$2542,"&gt;0")</f>
        <v>14</v>
      </c>
      <c r="G410">
        <f>E410-F410</f>
        <v>0</v>
      </c>
      <c r="H410" s="9">
        <f>ROUND(G410*D410,2)</f>
        <v>0</v>
      </c>
      <c r="I410" s="9">
        <f>SUMIFS('Invoice Lines'!$K$5:$K$2542,'Invoice Lines'!$H$5:$H$2542,A410,'Invoice Lines'!$Q$5:$Q$2542,"HIRE-"&amp;C410,'Invoice Lines'!$M$5:$M$2542,1,'Invoice Lines'!$K$5:$K$2542,"&lt;0")</f>
        <v>0</v>
      </c>
      <c r="J410" t="n">
        <v>0</v>
      </c>
      <c r="K410" t="str">
        <f>IF(G410&gt;0,"Under-billed",IF(G410&lt;0,"Over-billed","Agrees"))</f>
        <v>Agrees</v>
      </c>
      <c r="L410" t="inlineStr"/>
    </row>
    <row r="411">
      <c r="A411" t="inlineStr">
        <is>
          <t>S0442</t>
        </is>
      </c>
      <c r="B411" t="inlineStr">
        <is>
          <t>Fairway Owners Corporation Services</t>
        </is>
      </c>
      <c r="C411" t="inlineStr">
        <is>
          <t>TK</t>
        </is>
      </c>
      <c r="D411" s="9" t="n">
        <v>35</v>
      </c>
      <c r="E411">
        <f>SUMIFS('Hire Cycles'!$F$5:$F$1069,'Hire Cycles'!$A$5:$A$1069,A411,'Hire Cycles'!$B$5:$B$1069,C411,'Hire Cycles'!$G$5:$G$1069,1)</f>
        <v>18</v>
      </c>
      <c r="F411">
        <f>SUMIFS('Invoice Lines'!$J$5:$J$2542,'Invoice Lines'!$H$5:$H$2542,A411,'Invoice Lines'!$Q$5:$Q$2542,"HIRE-"&amp;C411,'Invoice Lines'!$M$5:$M$2542,1,'Invoice Lines'!$K$5:$K$2542,"&gt;0")</f>
        <v>18</v>
      </c>
      <c r="G411">
        <f>E411-F411</f>
        <v>0</v>
      </c>
      <c r="H411" s="9">
        <f>ROUND(G411*D411,2)</f>
        <v>0</v>
      </c>
      <c r="I411" s="9">
        <f>SUMIFS('Invoice Lines'!$K$5:$K$2542,'Invoice Lines'!$H$5:$H$2542,A411,'Invoice Lines'!$Q$5:$Q$2542,"HIRE-"&amp;C411,'Invoice Lines'!$M$5:$M$2542,1,'Invoice Lines'!$K$5:$K$2542,"&lt;0")</f>
        <v>0</v>
      </c>
      <c r="J411" t="n">
        <v>0</v>
      </c>
      <c r="K411" t="str">
        <f>IF(G411&gt;0,"Under-billed",IF(G411&lt;0,"Over-billed","Agrees"))</f>
        <v>Agrees</v>
      </c>
      <c r="L411" t="inlineStr"/>
    </row>
    <row r="412">
      <c r="A412" t="inlineStr">
        <is>
          <t>S0445</t>
        </is>
      </c>
      <c r="B412" t="inlineStr">
        <is>
          <t>Coastline Claims Services</t>
        </is>
      </c>
      <c r="C412" t="inlineStr">
        <is>
          <t>TK</t>
        </is>
      </c>
      <c r="D412" s="9" t="n">
        <v>35</v>
      </c>
      <c r="E412">
        <f>SUMIFS('Hire Cycles'!$F$5:$F$1069,'Hire Cycles'!$A$5:$A$1069,A412,'Hire Cycles'!$B$5:$B$1069,C412,'Hire Cycles'!$G$5:$G$1069,1)</f>
        <v>6</v>
      </c>
      <c r="F412">
        <f>SUMIFS('Invoice Lines'!$J$5:$J$2542,'Invoice Lines'!$H$5:$H$2542,A412,'Invoice Lines'!$Q$5:$Q$2542,"HIRE-"&amp;C412,'Invoice Lines'!$M$5:$M$2542,1,'Invoice Lines'!$K$5:$K$2542,"&gt;0")</f>
        <v>6</v>
      </c>
      <c r="G412">
        <f>E412-F412</f>
        <v>0</v>
      </c>
      <c r="H412" s="9">
        <f>ROUND(G412*D412,2)</f>
        <v>0</v>
      </c>
      <c r="I412" s="9">
        <f>SUMIFS('Invoice Lines'!$K$5:$K$2542,'Invoice Lines'!$H$5:$H$2542,A412,'Invoice Lines'!$Q$5:$Q$2542,"HIRE-"&amp;C412,'Invoice Lines'!$M$5:$M$2542,1,'Invoice Lines'!$K$5:$K$2542,"&lt;0")</f>
        <v>0</v>
      </c>
      <c r="J412" t="n">
        <v>0</v>
      </c>
      <c r="K412" t="str">
        <f>IF(G412&gt;0,"Under-billed",IF(G412&lt;0,"Over-billed","Agrees"))</f>
        <v>Agrees</v>
      </c>
      <c r="L412" t="inlineStr"/>
    </row>
    <row r="413">
      <c r="A413" t="inlineStr">
        <is>
          <t>S0448</t>
        </is>
      </c>
      <c r="B413" t="inlineStr">
        <is>
          <t>Highpoint Insurance Repairs Pty Ltd</t>
        </is>
      </c>
      <c r="C413" t="inlineStr">
        <is>
          <t>TK</t>
        </is>
      </c>
      <c r="D413" s="9" t="n">
        <v>35</v>
      </c>
      <c r="E413">
        <f>SUMIFS('Hire Cycles'!$F$5:$F$1069,'Hire Cycles'!$A$5:$A$1069,A413,'Hire Cycles'!$B$5:$B$1069,C413,'Hire Cycles'!$G$5:$G$1069,1)</f>
        <v>15</v>
      </c>
      <c r="F413">
        <f>SUMIFS('Invoice Lines'!$J$5:$J$2542,'Invoice Lines'!$H$5:$H$2542,A413,'Invoice Lines'!$Q$5:$Q$2542,"HIRE-"&amp;C413,'Invoice Lines'!$M$5:$M$2542,1,'Invoice Lines'!$K$5:$K$2542,"&gt;0")</f>
        <v>15</v>
      </c>
      <c r="G413">
        <f>E413-F413</f>
        <v>0</v>
      </c>
      <c r="H413" s="9">
        <f>ROUND(G413*D413,2)</f>
        <v>0</v>
      </c>
      <c r="I413" s="9">
        <f>SUMIFS('Invoice Lines'!$K$5:$K$2542,'Invoice Lines'!$H$5:$H$2542,A413,'Invoice Lines'!$Q$5:$Q$2542,"HIRE-"&amp;C413,'Invoice Lines'!$M$5:$M$2542,1,'Invoice Lines'!$K$5:$K$2542,"&lt;0")</f>
        <v>0</v>
      </c>
      <c r="J413" t="n">
        <v>0</v>
      </c>
      <c r="K413" t="str">
        <f>IF(G413&gt;0,"Under-billed",IF(G413&lt;0,"Over-billed","Agrees"))</f>
        <v>Agrees</v>
      </c>
      <c r="L413" t="inlineStr"/>
    </row>
    <row r="414">
      <c r="A414" t="inlineStr">
        <is>
          <t>S0449</t>
        </is>
      </c>
      <c r="B414" t="inlineStr">
        <is>
          <t>Ironbark Constructions</t>
        </is>
      </c>
      <c r="C414" t="inlineStr">
        <is>
          <t>TK</t>
        </is>
      </c>
      <c r="D414" s="9" t="n">
        <v>35</v>
      </c>
      <c r="E414">
        <f>SUMIFS('Hire Cycles'!$F$5:$F$1069,'Hire Cycles'!$A$5:$A$1069,A414,'Hire Cycles'!$B$5:$B$1069,C414,'Hire Cycles'!$G$5:$G$1069,1)</f>
        <v>7</v>
      </c>
      <c r="F414">
        <f>SUMIFS('Invoice Lines'!$J$5:$J$2542,'Invoice Lines'!$H$5:$H$2542,A414,'Invoice Lines'!$Q$5:$Q$2542,"HIRE-"&amp;C414,'Invoice Lines'!$M$5:$M$2542,1,'Invoice Lines'!$K$5:$K$2542,"&gt;0")</f>
        <v>7</v>
      </c>
      <c r="G414">
        <f>E414-F414</f>
        <v>0</v>
      </c>
      <c r="H414" s="9">
        <f>ROUND(G414*D414,2)</f>
        <v>0</v>
      </c>
      <c r="I414" s="9">
        <f>SUMIFS('Invoice Lines'!$K$5:$K$2542,'Invoice Lines'!$H$5:$H$2542,A414,'Invoice Lines'!$Q$5:$Q$2542,"HIRE-"&amp;C414,'Invoice Lines'!$M$5:$M$2542,1,'Invoice Lines'!$K$5:$K$2542,"&lt;0")</f>
        <v>0</v>
      </c>
      <c r="J414" t="n">
        <v>0</v>
      </c>
      <c r="K414" t="str">
        <f>IF(G414&gt;0,"Under-billed",IF(G414&lt;0,"Over-billed","Agrees"))</f>
        <v>Agrees</v>
      </c>
      <c r="L414" t="inlineStr"/>
    </row>
    <row r="415">
      <c r="A415" t="inlineStr">
        <is>
          <t>S0453</t>
        </is>
      </c>
      <c r="B415" t="inlineStr">
        <is>
          <t>Northgate Insurance Repairs</t>
        </is>
      </c>
      <c r="C415" t="inlineStr">
        <is>
          <t>TK</t>
        </is>
      </c>
      <c r="D415" s="9" t="n">
        <v>35</v>
      </c>
      <c r="E415">
        <f>SUMIFS('Hire Cycles'!$F$5:$F$1069,'Hire Cycles'!$A$5:$A$1069,A415,'Hire Cycles'!$B$5:$B$1069,C415,'Hire Cycles'!$G$5:$G$1069,1)</f>
        <v>2</v>
      </c>
      <c r="F415">
        <f>SUMIFS('Invoice Lines'!$J$5:$J$2542,'Invoice Lines'!$H$5:$H$2542,A415,'Invoice Lines'!$Q$5:$Q$2542,"HIRE-"&amp;C415,'Invoice Lines'!$M$5:$M$2542,1,'Invoice Lines'!$K$5:$K$2542,"&gt;0")</f>
        <v>2</v>
      </c>
      <c r="G415">
        <f>E415-F415</f>
        <v>0</v>
      </c>
      <c r="H415" s="9">
        <f>ROUND(G415*D415,2)</f>
        <v>0</v>
      </c>
      <c r="I415" s="9">
        <f>SUMIFS('Invoice Lines'!$K$5:$K$2542,'Invoice Lines'!$H$5:$H$2542,A415,'Invoice Lines'!$Q$5:$Q$2542,"HIRE-"&amp;C415,'Invoice Lines'!$M$5:$M$2542,1,'Invoice Lines'!$K$5:$K$2542,"&lt;0")</f>
        <v>0</v>
      </c>
      <c r="J415" t="n">
        <v>0</v>
      </c>
      <c r="K415" t="str">
        <f>IF(G415&gt;0,"Under-billed",IF(G415&lt;0,"Over-billed","Agrees"))</f>
        <v>Agrees</v>
      </c>
      <c r="L415" t="inlineStr"/>
    </row>
    <row r="416">
      <c r="A416" t="inlineStr">
        <is>
          <t>S0459</t>
        </is>
      </c>
      <c r="B416" t="inlineStr">
        <is>
          <t>Kestrel Constructions Pty Ltd</t>
        </is>
      </c>
      <c r="C416" t="inlineStr">
        <is>
          <t>TK</t>
        </is>
      </c>
      <c r="D416" s="9" t="n">
        <v>35</v>
      </c>
      <c r="E416">
        <f>SUMIFS('Hire Cycles'!$F$5:$F$1069,'Hire Cycles'!$A$5:$A$1069,A416,'Hire Cycles'!$B$5:$B$1069,C416,'Hire Cycles'!$G$5:$G$1069,1)</f>
        <v>21</v>
      </c>
      <c r="F416">
        <f>SUMIFS('Invoice Lines'!$J$5:$J$2542,'Invoice Lines'!$H$5:$H$2542,A416,'Invoice Lines'!$Q$5:$Q$2542,"HIRE-"&amp;C416,'Invoice Lines'!$M$5:$M$2542,1,'Invoice Lines'!$K$5:$K$2542,"&gt;0")</f>
        <v>21</v>
      </c>
      <c r="G416">
        <f>E416-F416</f>
        <v>0</v>
      </c>
      <c r="H416" s="9">
        <f>ROUND(G416*D416,2)</f>
        <v>0</v>
      </c>
      <c r="I416" s="9">
        <f>SUMIFS('Invoice Lines'!$K$5:$K$2542,'Invoice Lines'!$H$5:$H$2542,A416,'Invoice Lines'!$Q$5:$Q$2542,"HIRE-"&amp;C416,'Invoice Lines'!$M$5:$M$2542,1,'Invoice Lines'!$K$5:$K$2542,"&lt;0")</f>
        <v>0</v>
      </c>
      <c r="J416" t="n">
        <v>0</v>
      </c>
      <c r="K416" t="str">
        <f>IF(G416&gt;0,"Under-billed",IF(G416&lt;0,"Over-billed","Agrees"))</f>
        <v>Agrees</v>
      </c>
      <c r="L416" t="inlineStr"/>
    </row>
    <row r="417">
      <c r="A417" t="inlineStr">
        <is>
          <t>S0461</t>
        </is>
      </c>
      <c r="B417" t="inlineStr">
        <is>
          <t>Summit Body Corporate Pty Ltd</t>
        </is>
      </c>
      <c r="C417" t="inlineStr">
        <is>
          <t>TK</t>
        </is>
      </c>
      <c r="D417" s="9" t="n">
        <v>35</v>
      </c>
      <c r="E417">
        <f>SUMIFS('Hire Cycles'!$F$5:$F$1069,'Hire Cycles'!$A$5:$A$1069,A417,'Hire Cycles'!$B$5:$B$1069,C417,'Hire Cycles'!$G$5:$G$1069,1)</f>
        <v>3</v>
      </c>
      <c r="F417">
        <f>SUMIFS('Invoice Lines'!$J$5:$J$2542,'Invoice Lines'!$H$5:$H$2542,A417,'Invoice Lines'!$Q$5:$Q$2542,"HIRE-"&amp;C417,'Invoice Lines'!$M$5:$M$2542,1,'Invoice Lines'!$K$5:$K$2542,"&gt;0")</f>
        <v>3</v>
      </c>
      <c r="G417">
        <f>E417-F417</f>
        <v>0</v>
      </c>
      <c r="H417" s="9">
        <f>ROUND(G417*D417,2)</f>
        <v>0</v>
      </c>
      <c r="I417" s="9">
        <f>SUMIFS('Invoice Lines'!$K$5:$K$2542,'Invoice Lines'!$H$5:$H$2542,A417,'Invoice Lines'!$Q$5:$Q$2542,"HIRE-"&amp;C417,'Invoice Lines'!$M$5:$M$2542,1,'Invoice Lines'!$K$5:$K$2542,"&lt;0")</f>
        <v>0</v>
      </c>
      <c r="J417" t="n">
        <v>0</v>
      </c>
      <c r="K417" t="str">
        <f>IF(G417&gt;0,"Under-billed",IF(G417&lt;0,"Over-billed","Agrees"))</f>
        <v>Agrees</v>
      </c>
      <c r="L417" t="inlineStr"/>
    </row>
    <row r="418">
      <c r="A418" t="inlineStr">
        <is>
          <t>S0468</t>
        </is>
      </c>
      <c r="B418" t="inlineStr">
        <is>
          <t>Southbank Body Corporate Pty Ltd</t>
        </is>
      </c>
      <c r="C418" t="inlineStr">
        <is>
          <t>TK</t>
        </is>
      </c>
      <c r="D418" s="9" t="n">
        <v>35</v>
      </c>
      <c r="E418">
        <f>SUMIFS('Hire Cycles'!$F$5:$F$1069,'Hire Cycles'!$A$5:$A$1069,A418,'Hire Cycles'!$B$5:$B$1069,C418,'Hire Cycles'!$G$5:$G$1069,1)</f>
        <v>6</v>
      </c>
      <c r="F418">
        <f>SUMIFS('Invoice Lines'!$J$5:$J$2542,'Invoice Lines'!$H$5:$H$2542,A418,'Invoice Lines'!$Q$5:$Q$2542,"HIRE-"&amp;C418,'Invoice Lines'!$M$5:$M$2542,1,'Invoice Lines'!$K$5:$K$2542,"&gt;0")</f>
        <v>6</v>
      </c>
      <c r="G418">
        <f>E418-F418</f>
        <v>0</v>
      </c>
      <c r="H418" s="9">
        <f>ROUND(G418*D418,2)</f>
        <v>0</v>
      </c>
      <c r="I418" s="9">
        <f>SUMIFS('Invoice Lines'!$K$5:$K$2542,'Invoice Lines'!$H$5:$H$2542,A418,'Invoice Lines'!$Q$5:$Q$2542,"HIRE-"&amp;C418,'Invoice Lines'!$M$5:$M$2542,1,'Invoice Lines'!$K$5:$K$2542,"&lt;0")</f>
        <v>0</v>
      </c>
      <c r="J418" t="n">
        <v>0</v>
      </c>
      <c r="K418" t="str">
        <f>IF(G418&gt;0,"Under-billed",IF(G418&lt;0,"Over-billed","Agrees"))</f>
        <v>Agrees</v>
      </c>
      <c r="L418" t="inlineStr"/>
    </row>
    <row r="419">
      <c r="A419" t="inlineStr">
        <is>
          <t>S0470</t>
        </is>
      </c>
      <c r="B419" t="inlineStr">
        <is>
          <t>Leo Jones</t>
        </is>
      </c>
      <c r="C419" t="inlineStr">
        <is>
          <t>TK</t>
        </is>
      </c>
      <c r="D419" s="9" t="n">
        <v>35</v>
      </c>
      <c r="E419">
        <f>SUMIFS('Hire Cycles'!$F$5:$F$1069,'Hire Cycles'!$A$5:$A$1069,A419,'Hire Cycles'!$B$5:$B$1069,C419,'Hire Cycles'!$G$5:$G$1069,1)</f>
        <v>21</v>
      </c>
      <c r="F419">
        <f>SUMIFS('Invoice Lines'!$J$5:$J$2542,'Invoice Lines'!$H$5:$H$2542,A419,'Invoice Lines'!$Q$5:$Q$2542,"HIRE-"&amp;C419,'Invoice Lines'!$M$5:$M$2542,1,'Invoice Lines'!$K$5:$K$2542,"&gt;0")</f>
        <v>9</v>
      </c>
      <c r="G419">
        <f>E419-F419</f>
        <v>12</v>
      </c>
      <c r="H419" s="9">
        <f>ROUND(G419*D419,2)</f>
        <v>420</v>
      </c>
      <c r="I419" s="9">
        <f>SUMIFS('Invoice Lines'!$K$5:$K$2542,'Invoice Lines'!$H$5:$H$2542,A419,'Invoice Lines'!$Q$5:$Q$2542,"HIRE-"&amp;C419,'Invoice Lines'!$M$5:$M$2542,1,'Invoice Lines'!$K$5:$K$2542,"&lt;0")</f>
        <v>0</v>
      </c>
      <c r="J419" t="n">
        <v>0</v>
      </c>
      <c r="K419" t="str">
        <f>IF(G419&gt;0,"Under-billed",IF(G419&lt;0,"Over-billed","Agrees"))</f>
        <v>Under-billed</v>
      </c>
      <c r="L419" t="inlineStr"/>
    </row>
    <row r="420">
      <c r="A420" t="inlineStr">
        <is>
          <t>S0475</t>
        </is>
      </c>
      <c r="B420" t="inlineStr">
        <is>
          <t>Arjun Doyle</t>
        </is>
      </c>
      <c r="C420" t="inlineStr">
        <is>
          <t>TK</t>
        </is>
      </c>
      <c r="D420" s="9" t="n">
        <v>35</v>
      </c>
      <c r="E420">
        <f>SUMIFS('Hire Cycles'!$F$5:$F$1069,'Hire Cycles'!$A$5:$A$1069,A420,'Hire Cycles'!$B$5:$B$1069,C420,'Hire Cycles'!$G$5:$G$1069,1)</f>
        <v>0</v>
      </c>
      <c r="F420">
        <f>SUMIFS('Invoice Lines'!$J$5:$J$2542,'Invoice Lines'!$H$5:$H$2542,A420,'Invoice Lines'!$Q$5:$Q$2542,"HIRE-"&amp;C420,'Invoice Lines'!$M$5:$M$2542,1,'Invoice Lines'!$K$5:$K$2542,"&gt;0")</f>
        <v>0</v>
      </c>
      <c r="G420">
        <f>E420-F420</f>
        <v>0</v>
      </c>
      <c r="H420" s="9">
        <f>ROUND(G420*D420,2)</f>
        <v>0</v>
      </c>
      <c r="I420" s="9">
        <f>SUMIFS('Invoice Lines'!$K$5:$K$2542,'Invoice Lines'!$H$5:$H$2542,A420,'Invoice Lines'!$Q$5:$Q$2542,"HIRE-"&amp;C420,'Invoice Lines'!$M$5:$M$2542,1,'Invoice Lines'!$K$5:$K$2542,"&lt;0")</f>
        <v>0</v>
      </c>
      <c r="J420" t="n">
        <v>1</v>
      </c>
      <c r="K420" t="str">
        <f>IF(G420&gt;0,"Under-billed",IF(G420&lt;0,"Over-billed","Agrees"))</f>
        <v>Agrees</v>
      </c>
      <c r="L420" t="inlineStr"/>
    </row>
    <row r="421">
      <c r="A421" t="inlineStr">
        <is>
          <t>S0479</t>
        </is>
      </c>
      <c r="B421" t="inlineStr">
        <is>
          <t>Lakeside Claims Services Pty Ltd</t>
        </is>
      </c>
      <c r="C421" t="inlineStr">
        <is>
          <t>TK</t>
        </is>
      </c>
      <c r="D421" s="9" t="n">
        <v>35</v>
      </c>
      <c r="E421">
        <f>SUMIFS('Hire Cycles'!$F$5:$F$1069,'Hire Cycles'!$A$5:$A$1069,A421,'Hire Cycles'!$B$5:$B$1069,C421,'Hire Cycles'!$G$5:$G$1069,1)</f>
        <v>7</v>
      </c>
      <c r="F421">
        <f>SUMIFS('Invoice Lines'!$J$5:$J$2542,'Invoice Lines'!$H$5:$H$2542,A421,'Invoice Lines'!$Q$5:$Q$2542,"HIRE-"&amp;C421,'Invoice Lines'!$M$5:$M$2542,1,'Invoice Lines'!$K$5:$K$2542,"&gt;0")</f>
        <v>7</v>
      </c>
      <c r="G421">
        <f>E421-F421</f>
        <v>0</v>
      </c>
      <c r="H421" s="9">
        <f>ROUND(G421*D421,2)</f>
        <v>0</v>
      </c>
      <c r="I421" s="9">
        <f>SUMIFS('Invoice Lines'!$K$5:$K$2542,'Invoice Lines'!$H$5:$H$2542,A421,'Invoice Lines'!$Q$5:$Q$2542,"HIRE-"&amp;C421,'Invoice Lines'!$M$5:$M$2542,1,'Invoice Lines'!$K$5:$K$2542,"&lt;0")</f>
        <v>0</v>
      </c>
      <c r="J421" t="n">
        <v>0</v>
      </c>
      <c r="K421" t="str">
        <f>IF(G421&gt;0,"Under-billed",IF(G421&lt;0,"Over-billed","Agrees"))</f>
        <v>Agrees</v>
      </c>
      <c r="L421" t="inlineStr"/>
    </row>
    <row r="422">
      <c r="A422" t="inlineStr">
        <is>
          <t>S0483</t>
        </is>
      </c>
      <c r="B422" t="inlineStr">
        <is>
          <t>Banksia Claims Services Pty Ltd</t>
        </is>
      </c>
      <c r="C422" t="inlineStr">
        <is>
          <t>TK</t>
        </is>
      </c>
      <c r="D422" s="9" t="n">
        <v>35</v>
      </c>
      <c r="E422">
        <f>SUMIFS('Hire Cycles'!$F$5:$F$1069,'Hire Cycles'!$A$5:$A$1069,A422,'Hire Cycles'!$B$5:$B$1069,C422,'Hire Cycles'!$G$5:$G$1069,1)</f>
        <v>4</v>
      </c>
      <c r="F422">
        <f>SUMIFS('Invoice Lines'!$J$5:$J$2542,'Invoice Lines'!$H$5:$H$2542,A422,'Invoice Lines'!$Q$5:$Q$2542,"HIRE-"&amp;C422,'Invoice Lines'!$M$5:$M$2542,1,'Invoice Lines'!$K$5:$K$2542,"&gt;0")</f>
        <v>4</v>
      </c>
      <c r="G422">
        <f>E422-F422</f>
        <v>0</v>
      </c>
      <c r="H422" s="9">
        <f>ROUND(G422*D422,2)</f>
        <v>0</v>
      </c>
      <c r="I422" s="9">
        <f>SUMIFS('Invoice Lines'!$K$5:$K$2542,'Invoice Lines'!$H$5:$H$2542,A422,'Invoice Lines'!$Q$5:$Q$2542,"HIRE-"&amp;C422,'Invoice Lines'!$M$5:$M$2542,1,'Invoice Lines'!$K$5:$K$2542,"&lt;0")</f>
        <v>0</v>
      </c>
      <c r="J422" t="n">
        <v>0</v>
      </c>
      <c r="K422" t="str">
        <f>IF(G422&gt;0,"Under-billed",IF(G422&lt;0,"Over-billed","Agrees"))</f>
        <v>Agrees</v>
      </c>
      <c r="L422" t="inlineStr"/>
    </row>
    <row r="423">
      <c r="A423" t="inlineStr">
        <is>
          <t>S0485</t>
        </is>
      </c>
      <c r="B423" t="inlineStr">
        <is>
          <t>Metro Developments</t>
        </is>
      </c>
      <c r="C423" t="inlineStr">
        <is>
          <t>TK</t>
        </is>
      </c>
      <c r="D423" s="9" t="n">
        <v>35</v>
      </c>
      <c r="E423">
        <f>SUMIFS('Hire Cycles'!$F$5:$F$1069,'Hire Cycles'!$A$5:$A$1069,A423,'Hire Cycles'!$B$5:$B$1069,C423,'Hire Cycles'!$G$5:$G$1069,1)</f>
        <v>6</v>
      </c>
      <c r="F423">
        <f>SUMIFS('Invoice Lines'!$J$5:$J$2542,'Invoice Lines'!$H$5:$H$2542,A423,'Invoice Lines'!$Q$5:$Q$2542,"HIRE-"&amp;C423,'Invoice Lines'!$M$5:$M$2542,1,'Invoice Lines'!$K$5:$K$2542,"&gt;0")</f>
        <v>6</v>
      </c>
      <c r="G423">
        <f>E423-F423</f>
        <v>0</v>
      </c>
      <c r="H423" s="9">
        <f>ROUND(G423*D423,2)</f>
        <v>0</v>
      </c>
      <c r="I423" s="9">
        <f>SUMIFS('Invoice Lines'!$K$5:$K$2542,'Invoice Lines'!$H$5:$H$2542,A423,'Invoice Lines'!$Q$5:$Q$2542,"HIRE-"&amp;C423,'Invoice Lines'!$M$5:$M$2542,1,'Invoice Lines'!$K$5:$K$2542,"&lt;0")</f>
        <v>0</v>
      </c>
      <c r="J423" t="n">
        <v>0</v>
      </c>
      <c r="K423" t="str">
        <f>IF(G423&gt;0,"Under-billed",IF(G423&lt;0,"Over-billed","Agrees"))</f>
        <v>Agrees</v>
      </c>
      <c r="L423" t="inlineStr"/>
    </row>
    <row r="424">
      <c r="A424" t="inlineStr">
        <is>
          <t>S0486</t>
        </is>
      </c>
      <c r="B424" t="inlineStr">
        <is>
          <t>Riverbend Homes Pty Ltd</t>
        </is>
      </c>
      <c r="C424" t="inlineStr">
        <is>
          <t>TK</t>
        </is>
      </c>
      <c r="D424" s="9" t="n">
        <v>35</v>
      </c>
      <c r="E424">
        <f>SUMIFS('Hire Cycles'!$F$5:$F$1069,'Hire Cycles'!$A$5:$A$1069,A424,'Hire Cycles'!$B$5:$B$1069,C424,'Hire Cycles'!$G$5:$G$1069,1)</f>
        <v>3</v>
      </c>
      <c r="F424">
        <f>SUMIFS('Invoice Lines'!$J$5:$J$2542,'Invoice Lines'!$H$5:$H$2542,A424,'Invoice Lines'!$Q$5:$Q$2542,"HIRE-"&amp;C424,'Invoice Lines'!$M$5:$M$2542,1,'Invoice Lines'!$K$5:$K$2542,"&gt;0")</f>
        <v>3</v>
      </c>
      <c r="G424">
        <f>E424-F424</f>
        <v>0</v>
      </c>
      <c r="H424" s="9">
        <f>ROUND(G424*D424,2)</f>
        <v>0</v>
      </c>
      <c r="I424" s="9">
        <f>SUMIFS('Invoice Lines'!$K$5:$K$2542,'Invoice Lines'!$H$5:$H$2542,A424,'Invoice Lines'!$Q$5:$Q$2542,"HIRE-"&amp;C424,'Invoice Lines'!$M$5:$M$2542,1,'Invoice Lines'!$K$5:$K$2542,"&lt;0")</f>
        <v>0</v>
      </c>
      <c r="J424" t="n">
        <v>0</v>
      </c>
      <c r="K424" t="str">
        <f>IF(G424&gt;0,"Under-billed",IF(G424&lt;0,"Over-billed","Agrees"))</f>
        <v>Agrees</v>
      </c>
      <c r="L424" t="inlineStr"/>
    </row>
    <row r="425">
      <c r="A425" t="inlineStr">
        <is>
          <t>S0488</t>
        </is>
      </c>
      <c r="B425" t="inlineStr">
        <is>
          <t>Granite Body Corporate Pty Ltd</t>
        </is>
      </c>
      <c r="C425" t="inlineStr">
        <is>
          <t>TK</t>
        </is>
      </c>
      <c r="D425" s="9" t="n">
        <v>35</v>
      </c>
      <c r="E425">
        <f>SUMIFS('Hire Cycles'!$F$5:$F$1069,'Hire Cycles'!$A$5:$A$1069,A425,'Hire Cycles'!$B$5:$B$1069,C425,'Hire Cycles'!$G$5:$G$1069,1)</f>
        <v>9</v>
      </c>
      <c r="F425">
        <f>SUMIFS('Invoice Lines'!$J$5:$J$2542,'Invoice Lines'!$H$5:$H$2542,A425,'Invoice Lines'!$Q$5:$Q$2542,"HIRE-"&amp;C425,'Invoice Lines'!$M$5:$M$2542,1,'Invoice Lines'!$K$5:$K$2542,"&gt;0")</f>
        <v>9</v>
      </c>
      <c r="G425">
        <f>E425-F425</f>
        <v>0</v>
      </c>
      <c r="H425" s="9">
        <f>ROUND(G425*D425,2)</f>
        <v>0</v>
      </c>
      <c r="I425" s="9">
        <f>SUMIFS('Invoice Lines'!$K$5:$K$2542,'Invoice Lines'!$H$5:$H$2542,A425,'Invoice Lines'!$Q$5:$Q$2542,"HIRE-"&amp;C425,'Invoice Lines'!$M$5:$M$2542,1,'Invoice Lines'!$K$5:$K$2542,"&lt;0")</f>
        <v>0</v>
      </c>
      <c r="J425" t="n">
        <v>0</v>
      </c>
      <c r="K425" t="str">
        <f>IF(G425&gt;0,"Under-billed",IF(G425&lt;0,"Over-billed","Agrees"))</f>
        <v>Agrees</v>
      </c>
      <c r="L425" t="inlineStr"/>
    </row>
    <row r="426">
      <c r="A426" t="inlineStr">
        <is>
          <t>S0490</t>
        </is>
      </c>
      <c r="B426" t="inlineStr">
        <is>
          <t>Leo Hughes</t>
        </is>
      </c>
      <c r="C426" t="inlineStr">
        <is>
          <t>TK</t>
        </is>
      </c>
      <c r="D426" s="9" t="n">
        <v>35</v>
      </c>
      <c r="E426">
        <f>SUMIFS('Hire Cycles'!$F$5:$F$1069,'Hire Cycles'!$A$5:$A$1069,A426,'Hire Cycles'!$B$5:$B$1069,C426,'Hire Cycles'!$G$5:$G$1069,1)</f>
        <v>5</v>
      </c>
      <c r="F426">
        <f>SUMIFS('Invoice Lines'!$J$5:$J$2542,'Invoice Lines'!$H$5:$H$2542,A426,'Invoice Lines'!$Q$5:$Q$2542,"HIRE-"&amp;C426,'Invoice Lines'!$M$5:$M$2542,1,'Invoice Lines'!$K$5:$K$2542,"&gt;0")</f>
        <v>5</v>
      </c>
      <c r="G426">
        <f>E426-F426</f>
        <v>0</v>
      </c>
      <c r="H426" s="9">
        <f>ROUND(G426*D426,2)</f>
        <v>0</v>
      </c>
      <c r="I426" s="9">
        <f>SUMIFS('Invoice Lines'!$K$5:$K$2542,'Invoice Lines'!$H$5:$H$2542,A426,'Invoice Lines'!$Q$5:$Q$2542,"HIRE-"&amp;C426,'Invoice Lines'!$M$5:$M$2542,1,'Invoice Lines'!$K$5:$K$2542,"&lt;0")</f>
        <v>0</v>
      </c>
      <c r="J426" t="n">
        <v>0</v>
      </c>
      <c r="K426" t="str">
        <f>IF(G426&gt;0,"Under-billed",IF(G426&lt;0,"Over-billed","Agrees"))</f>
        <v>Agrees</v>
      </c>
      <c r="L426" t="inlineStr"/>
    </row>
    <row r="427">
      <c r="A427" t="inlineStr">
        <is>
          <t>S0491</t>
        </is>
      </c>
      <c r="B427" t="inlineStr">
        <is>
          <t>Ironbark Building Group</t>
        </is>
      </c>
      <c r="C427" t="inlineStr">
        <is>
          <t>TK</t>
        </is>
      </c>
      <c r="D427" s="9" t="n">
        <v>35</v>
      </c>
      <c r="E427">
        <f>SUMIFS('Hire Cycles'!$F$5:$F$1069,'Hire Cycles'!$A$5:$A$1069,A427,'Hire Cycles'!$B$5:$B$1069,C427,'Hire Cycles'!$G$5:$G$1069,1)</f>
        <v>10</v>
      </c>
      <c r="F427">
        <f>SUMIFS('Invoice Lines'!$J$5:$J$2542,'Invoice Lines'!$H$5:$H$2542,A427,'Invoice Lines'!$Q$5:$Q$2542,"HIRE-"&amp;C427,'Invoice Lines'!$M$5:$M$2542,1,'Invoice Lines'!$K$5:$K$2542,"&gt;0")</f>
        <v>2</v>
      </c>
      <c r="G427">
        <f>E427-F427</f>
        <v>8</v>
      </c>
      <c r="H427" s="9">
        <f>ROUND(G427*D427,2)</f>
        <v>280</v>
      </c>
      <c r="I427" s="9">
        <f>SUMIFS('Invoice Lines'!$K$5:$K$2542,'Invoice Lines'!$H$5:$H$2542,A427,'Invoice Lines'!$Q$5:$Q$2542,"HIRE-"&amp;C427,'Invoice Lines'!$M$5:$M$2542,1,'Invoice Lines'!$K$5:$K$2542,"&lt;0")</f>
        <v>0</v>
      </c>
      <c r="J427" t="n">
        <v>0</v>
      </c>
      <c r="K427" t="str">
        <f>IF(G427&gt;0,"Under-billed",IF(G427&lt;0,"Over-billed","Agrees"))</f>
        <v>Under-billed</v>
      </c>
      <c r="L427" t="inlineStr"/>
    </row>
    <row r="428">
      <c r="A428" t="inlineStr">
        <is>
          <t>S0492</t>
        </is>
      </c>
      <c r="B428" t="inlineStr">
        <is>
          <t>Bayside Owners Corporation Services Pty Ltd</t>
        </is>
      </c>
      <c r="C428" t="inlineStr">
        <is>
          <t>TK</t>
        </is>
      </c>
      <c r="D428" s="9" t="n">
        <v>35</v>
      </c>
      <c r="E428">
        <f>SUMIFS('Hire Cycles'!$F$5:$F$1069,'Hire Cycles'!$A$5:$A$1069,A428,'Hire Cycles'!$B$5:$B$1069,C428,'Hire Cycles'!$G$5:$G$1069,1)</f>
        <v>0</v>
      </c>
      <c r="F428">
        <f>SUMIFS('Invoice Lines'!$J$5:$J$2542,'Invoice Lines'!$H$5:$H$2542,A428,'Invoice Lines'!$Q$5:$Q$2542,"HIRE-"&amp;C428,'Invoice Lines'!$M$5:$M$2542,1,'Invoice Lines'!$K$5:$K$2542,"&gt;0")</f>
        <v>0</v>
      </c>
      <c r="G428">
        <f>E428-F428</f>
        <v>0</v>
      </c>
      <c r="H428" s="9">
        <f>ROUND(G428*D428,2)</f>
        <v>0</v>
      </c>
      <c r="I428" s="9">
        <f>SUMIFS('Invoice Lines'!$K$5:$K$2542,'Invoice Lines'!$H$5:$H$2542,A428,'Invoice Lines'!$Q$5:$Q$2542,"HIRE-"&amp;C428,'Invoice Lines'!$M$5:$M$2542,1,'Invoice Lines'!$K$5:$K$2542,"&lt;0")</f>
        <v>0</v>
      </c>
      <c r="J428" t="n">
        <v>2</v>
      </c>
      <c r="K428" t="str">
        <f>IF(G428&gt;0,"Under-billed",IF(G428&lt;0,"Over-billed","Agrees"))</f>
        <v>Agrees</v>
      </c>
      <c r="L428" t="inlineStr"/>
    </row>
    <row r="429">
      <c r="A429" t="inlineStr">
        <is>
          <t>S0493</t>
        </is>
      </c>
      <c r="B429" t="inlineStr">
        <is>
          <t>Banksia Claims Services Pty Ltd</t>
        </is>
      </c>
      <c r="C429" t="inlineStr">
        <is>
          <t>TK</t>
        </is>
      </c>
      <c r="D429" s="9" t="n">
        <v>35</v>
      </c>
      <c r="E429">
        <f>SUMIFS('Hire Cycles'!$F$5:$F$1069,'Hire Cycles'!$A$5:$A$1069,A429,'Hire Cycles'!$B$5:$B$1069,C429,'Hire Cycles'!$G$5:$G$1069,1)</f>
        <v>3</v>
      </c>
      <c r="F429">
        <f>SUMIFS('Invoice Lines'!$J$5:$J$2542,'Invoice Lines'!$H$5:$H$2542,A429,'Invoice Lines'!$Q$5:$Q$2542,"HIRE-"&amp;C429,'Invoice Lines'!$M$5:$M$2542,1,'Invoice Lines'!$K$5:$K$2542,"&gt;0")</f>
        <v>3</v>
      </c>
      <c r="G429">
        <f>E429-F429</f>
        <v>0</v>
      </c>
      <c r="H429" s="9">
        <f>ROUND(G429*D429,2)</f>
        <v>0</v>
      </c>
      <c r="I429" s="9">
        <f>SUMIFS('Invoice Lines'!$K$5:$K$2542,'Invoice Lines'!$H$5:$H$2542,A429,'Invoice Lines'!$Q$5:$Q$2542,"HIRE-"&amp;C429,'Invoice Lines'!$M$5:$M$2542,1,'Invoice Lines'!$K$5:$K$2542,"&lt;0")</f>
        <v>0</v>
      </c>
      <c r="J429" t="n">
        <v>0</v>
      </c>
      <c r="K429" t="str">
        <f>IF(G429&gt;0,"Under-billed",IF(G429&lt;0,"Over-billed","Agrees"))</f>
        <v>Agrees</v>
      </c>
      <c r="L429" t="inlineStr"/>
    </row>
    <row r="430">
      <c r="A430" t="inlineStr">
        <is>
          <t>S0496</t>
        </is>
      </c>
      <c r="B430" t="inlineStr">
        <is>
          <t>Coastline Projects Pty Ltd</t>
        </is>
      </c>
      <c r="C430" t="inlineStr">
        <is>
          <t>TK</t>
        </is>
      </c>
      <c r="D430" s="9" t="n">
        <v>35</v>
      </c>
      <c r="E430">
        <f>SUMIFS('Hire Cycles'!$F$5:$F$1069,'Hire Cycles'!$A$5:$A$1069,A430,'Hire Cycles'!$B$5:$B$1069,C430,'Hire Cycles'!$G$5:$G$1069,1)</f>
        <v>4</v>
      </c>
      <c r="F430">
        <f>SUMIFS('Invoice Lines'!$J$5:$J$2542,'Invoice Lines'!$H$5:$H$2542,A430,'Invoice Lines'!$Q$5:$Q$2542,"HIRE-"&amp;C430,'Invoice Lines'!$M$5:$M$2542,1,'Invoice Lines'!$K$5:$K$2542,"&gt;0")</f>
        <v>4</v>
      </c>
      <c r="G430">
        <f>E430-F430</f>
        <v>0</v>
      </c>
      <c r="H430" s="9">
        <f>ROUND(G430*D430,2)</f>
        <v>0</v>
      </c>
      <c r="I430" s="9">
        <f>SUMIFS('Invoice Lines'!$K$5:$K$2542,'Invoice Lines'!$H$5:$H$2542,A430,'Invoice Lines'!$Q$5:$Q$2542,"HIRE-"&amp;C430,'Invoice Lines'!$M$5:$M$2542,1,'Invoice Lines'!$K$5:$K$2542,"&lt;0")</f>
        <v>0</v>
      </c>
      <c r="J430" t="n">
        <v>0</v>
      </c>
      <c r="K430" t="str">
        <f>IF(G430&gt;0,"Under-billed",IF(G430&lt;0,"Over-billed","Agrees"))</f>
        <v>Agrees</v>
      </c>
      <c r="L430" t="inlineStr"/>
    </row>
    <row r="431">
      <c r="A431" t="inlineStr">
        <is>
          <t>S0499</t>
        </is>
      </c>
      <c r="B431" t="inlineStr">
        <is>
          <t>Northgate Insurance Repairs</t>
        </is>
      </c>
      <c r="C431" t="inlineStr">
        <is>
          <t>TK</t>
        </is>
      </c>
      <c r="D431" s="9" t="n">
        <v>35</v>
      </c>
      <c r="E431">
        <f>SUMIFS('Hire Cycles'!$F$5:$F$1069,'Hire Cycles'!$A$5:$A$1069,A431,'Hire Cycles'!$B$5:$B$1069,C431,'Hire Cycles'!$G$5:$G$1069,1)</f>
        <v>2</v>
      </c>
      <c r="F431">
        <f>SUMIFS('Invoice Lines'!$J$5:$J$2542,'Invoice Lines'!$H$5:$H$2542,A431,'Invoice Lines'!$Q$5:$Q$2542,"HIRE-"&amp;C431,'Invoice Lines'!$M$5:$M$2542,1,'Invoice Lines'!$K$5:$K$2542,"&gt;0")</f>
        <v>2</v>
      </c>
      <c r="G431">
        <f>E431-F431</f>
        <v>0</v>
      </c>
      <c r="H431" s="9">
        <f>ROUND(G431*D431,2)</f>
        <v>0</v>
      </c>
      <c r="I431" s="9">
        <f>SUMIFS('Invoice Lines'!$K$5:$K$2542,'Invoice Lines'!$H$5:$H$2542,A431,'Invoice Lines'!$Q$5:$Q$2542,"HIRE-"&amp;C431,'Invoice Lines'!$M$5:$M$2542,1,'Invoice Lines'!$K$5:$K$2542,"&lt;0")</f>
        <v>0</v>
      </c>
      <c r="J431" t="n">
        <v>0</v>
      </c>
      <c r="K431" t="str">
        <f>IF(G431&gt;0,"Under-billed",IF(G431&lt;0,"Over-billed","Agrees"))</f>
        <v>Agrees</v>
      </c>
      <c r="L431" t="inlineStr"/>
    </row>
    <row r="432">
      <c r="A432" t="inlineStr">
        <is>
          <t>S0500</t>
        </is>
      </c>
      <c r="B432" t="inlineStr">
        <is>
          <t>Summit Strata Management Pty Ltd</t>
        </is>
      </c>
      <c r="C432" t="inlineStr">
        <is>
          <t>TK</t>
        </is>
      </c>
      <c r="D432" s="9" t="n">
        <v>35</v>
      </c>
      <c r="E432">
        <f>SUMIFS('Hire Cycles'!$F$5:$F$1069,'Hire Cycles'!$A$5:$A$1069,A432,'Hire Cycles'!$B$5:$B$1069,C432,'Hire Cycles'!$G$5:$G$1069,1)</f>
        <v>6</v>
      </c>
      <c r="F432">
        <f>SUMIFS('Invoice Lines'!$J$5:$J$2542,'Invoice Lines'!$H$5:$H$2542,A432,'Invoice Lines'!$Q$5:$Q$2542,"HIRE-"&amp;C432,'Invoice Lines'!$M$5:$M$2542,1,'Invoice Lines'!$K$5:$K$2542,"&gt;0")</f>
        <v>6</v>
      </c>
      <c r="G432">
        <f>E432-F432</f>
        <v>0</v>
      </c>
      <c r="H432" s="9">
        <f>ROUND(G432*D432,2)</f>
        <v>0</v>
      </c>
      <c r="I432" s="9">
        <f>SUMIFS('Invoice Lines'!$K$5:$K$2542,'Invoice Lines'!$H$5:$H$2542,A432,'Invoice Lines'!$Q$5:$Q$2542,"HIRE-"&amp;C432,'Invoice Lines'!$M$5:$M$2542,1,'Invoice Lines'!$K$5:$K$2542,"&lt;0")</f>
        <v>0</v>
      </c>
      <c r="J432" t="n">
        <v>0</v>
      </c>
      <c r="K432" t="str">
        <f>IF(G432&gt;0,"Under-billed",IF(G432&lt;0,"Over-billed","Agrees"))</f>
        <v>Agrees</v>
      </c>
      <c r="L432" t="inlineStr"/>
    </row>
    <row r="433">
      <c r="A433" t="inlineStr">
        <is>
          <t>S0501</t>
        </is>
      </c>
      <c r="B433" t="inlineStr">
        <is>
          <t>Stonebridge Claims Services</t>
        </is>
      </c>
      <c r="C433" t="inlineStr">
        <is>
          <t>TK</t>
        </is>
      </c>
      <c r="D433" s="9" t="n">
        <v>35</v>
      </c>
      <c r="E433">
        <f>SUMIFS('Hire Cycles'!$F$5:$F$1069,'Hire Cycles'!$A$5:$A$1069,A433,'Hire Cycles'!$B$5:$B$1069,C433,'Hire Cycles'!$G$5:$G$1069,1)</f>
        <v>12</v>
      </c>
      <c r="F433">
        <f>SUMIFS('Invoice Lines'!$J$5:$J$2542,'Invoice Lines'!$H$5:$H$2542,A433,'Invoice Lines'!$Q$5:$Q$2542,"HIRE-"&amp;C433,'Invoice Lines'!$M$5:$M$2542,1,'Invoice Lines'!$K$5:$K$2542,"&gt;0")</f>
        <v>0</v>
      </c>
      <c r="G433">
        <f>E433-F433</f>
        <v>12</v>
      </c>
      <c r="H433" s="9">
        <f>ROUND(G433*D433,2)</f>
        <v>420</v>
      </c>
      <c r="I433" s="9">
        <f>SUMIFS('Invoice Lines'!$K$5:$K$2542,'Invoice Lines'!$H$5:$H$2542,A433,'Invoice Lines'!$Q$5:$Q$2542,"HIRE-"&amp;C433,'Invoice Lines'!$M$5:$M$2542,1,'Invoice Lines'!$K$5:$K$2542,"&lt;0")</f>
        <v>0</v>
      </c>
      <c r="J433" t="n">
        <v>0</v>
      </c>
      <c r="K433" t="str">
        <f>IF(G433&gt;0,"Under-billed",IF(G433&lt;0,"Over-billed","Agrees"))</f>
        <v>Under-billed</v>
      </c>
      <c r="L433" t="inlineStr"/>
    </row>
    <row r="434">
      <c r="A434" t="inlineStr">
        <is>
          <t>S0504</t>
        </is>
      </c>
      <c r="B434" t="inlineStr">
        <is>
          <t>Juniper Constructions</t>
        </is>
      </c>
      <c r="C434" t="inlineStr">
        <is>
          <t>TK</t>
        </is>
      </c>
      <c r="D434" s="9" t="n">
        <v>35</v>
      </c>
      <c r="E434">
        <f>SUMIFS('Hire Cycles'!$F$5:$F$1069,'Hire Cycles'!$A$5:$A$1069,A434,'Hire Cycles'!$B$5:$B$1069,C434,'Hire Cycles'!$G$5:$G$1069,1)</f>
        <v>6</v>
      </c>
      <c r="F434">
        <f>SUMIFS('Invoice Lines'!$J$5:$J$2542,'Invoice Lines'!$H$5:$H$2542,A434,'Invoice Lines'!$Q$5:$Q$2542,"HIRE-"&amp;C434,'Invoice Lines'!$M$5:$M$2542,1,'Invoice Lines'!$K$5:$K$2542,"&gt;0")</f>
        <v>6</v>
      </c>
      <c r="G434">
        <f>E434-F434</f>
        <v>0</v>
      </c>
      <c r="H434" s="9">
        <f>ROUND(G434*D434,2)</f>
        <v>0</v>
      </c>
      <c r="I434" s="9">
        <f>SUMIFS('Invoice Lines'!$K$5:$K$2542,'Invoice Lines'!$H$5:$H$2542,A434,'Invoice Lines'!$Q$5:$Q$2542,"HIRE-"&amp;C434,'Invoice Lines'!$M$5:$M$2542,1,'Invoice Lines'!$K$5:$K$2542,"&lt;0")</f>
        <v>0</v>
      </c>
      <c r="J434" t="n">
        <v>0</v>
      </c>
      <c r="K434" t="str">
        <f>IF(G434&gt;0,"Under-billed",IF(G434&lt;0,"Over-billed","Agrees"))</f>
        <v>Agrees</v>
      </c>
      <c r="L434" t="inlineStr"/>
    </row>
    <row r="435">
      <c r="A435" t="inlineStr">
        <is>
          <t>S0505</t>
        </is>
      </c>
      <c r="B435" t="inlineStr">
        <is>
          <t>Eastlink Projects</t>
        </is>
      </c>
      <c r="C435" t="inlineStr">
        <is>
          <t>TK</t>
        </is>
      </c>
      <c r="D435" s="9" t="n">
        <v>35</v>
      </c>
      <c r="E435">
        <f>SUMIFS('Hire Cycles'!$F$5:$F$1069,'Hire Cycles'!$A$5:$A$1069,A435,'Hire Cycles'!$B$5:$B$1069,C435,'Hire Cycles'!$G$5:$G$1069,1)</f>
        <v>9</v>
      </c>
      <c r="F435">
        <f>SUMIFS('Invoice Lines'!$J$5:$J$2542,'Invoice Lines'!$H$5:$H$2542,A435,'Invoice Lines'!$Q$5:$Q$2542,"HIRE-"&amp;C435,'Invoice Lines'!$M$5:$M$2542,1,'Invoice Lines'!$K$5:$K$2542,"&gt;0")</f>
        <v>9</v>
      </c>
      <c r="G435">
        <f>E435-F435</f>
        <v>0</v>
      </c>
      <c r="H435" s="9">
        <f>ROUND(G435*D435,2)</f>
        <v>0</v>
      </c>
      <c r="I435" s="9">
        <f>SUMIFS('Invoice Lines'!$K$5:$K$2542,'Invoice Lines'!$H$5:$H$2542,A435,'Invoice Lines'!$Q$5:$Q$2542,"HIRE-"&amp;C435,'Invoice Lines'!$M$5:$M$2542,1,'Invoice Lines'!$K$5:$K$2542,"&lt;0")</f>
        <v>0</v>
      </c>
      <c r="J435" t="n">
        <v>0</v>
      </c>
      <c r="K435" t="str">
        <f>IF(G435&gt;0,"Under-billed",IF(G435&lt;0,"Over-billed","Agrees"))</f>
        <v>Agrees</v>
      </c>
      <c r="L435" t="inlineStr"/>
    </row>
    <row r="436">
      <c r="A436" t="inlineStr">
        <is>
          <t>S0508</t>
        </is>
      </c>
      <c r="B436" t="inlineStr">
        <is>
          <t>Bluegum Building Group</t>
        </is>
      </c>
      <c r="C436" t="inlineStr">
        <is>
          <t>TK</t>
        </is>
      </c>
      <c r="D436" s="9" t="n">
        <v>35</v>
      </c>
      <c r="E436">
        <f>SUMIFS('Hire Cycles'!$F$5:$F$1069,'Hire Cycles'!$A$5:$A$1069,A436,'Hire Cycles'!$B$5:$B$1069,C436,'Hire Cycles'!$G$5:$G$1069,1)</f>
        <v>3</v>
      </c>
      <c r="F436">
        <f>SUMIFS('Invoice Lines'!$J$5:$J$2542,'Invoice Lines'!$H$5:$H$2542,A436,'Invoice Lines'!$Q$5:$Q$2542,"HIRE-"&amp;C436,'Invoice Lines'!$M$5:$M$2542,1,'Invoice Lines'!$K$5:$K$2542,"&gt;0")</f>
        <v>0</v>
      </c>
      <c r="G436">
        <f>E436-F436</f>
        <v>3</v>
      </c>
      <c r="H436" s="9">
        <f>ROUND(G436*D436,2)</f>
        <v>105</v>
      </c>
      <c r="I436" s="9">
        <f>SUMIFS('Invoice Lines'!$K$5:$K$2542,'Invoice Lines'!$H$5:$H$2542,A436,'Invoice Lines'!$Q$5:$Q$2542,"HIRE-"&amp;C436,'Invoice Lines'!$M$5:$M$2542,1,'Invoice Lines'!$K$5:$K$2542,"&lt;0")</f>
        <v>0</v>
      </c>
      <c r="J436" t="n">
        <v>0</v>
      </c>
      <c r="K436" t="str">
        <f>IF(G436&gt;0,"Under-billed",IF(G436&lt;0,"Over-billed","Agrees"))</f>
        <v>Under-billed</v>
      </c>
      <c r="L436" t="inlineStr"/>
    </row>
    <row r="437">
      <c r="A437" t="inlineStr">
        <is>
          <t>S0510</t>
        </is>
      </c>
      <c r="B437" t="inlineStr">
        <is>
          <t>Redline Claims Services</t>
        </is>
      </c>
      <c r="C437" t="inlineStr">
        <is>
          <t>TK</t>
        </is>
      </c>
      <c r="D437" s="9" t="n">
        <v>35</v>
      </c>
      <c r="E437">
        <f>SUMIFS('Hire Cycles'!$F$5:$F$1069,'Hire Cycles'!$A$5:$A$1069,A437,'Hire Cycles'!$B$5:$B$1069,C437,'Hire Cycles'!$G$5:$G$1069,1)</f>
        <v>4</v>
      </c>
      <c r="F437">
        <f>SUMIFS('Invoice Lines'!$J$5:$J$2542,'Invoice Lines'!$H$5:$H$2542,A437,'Invoice Lines'!$Q$5:$Q$2542,"HIRE-"&amp;C437,'Invoice Lines'!$M$5:$M$2542,1,'Invoice Lines'!$K$5:$K$2542,"&gt;0")</f>
        <v>4</v>
      </c>
      <c r="G437">
        <f>E437-F437</f>
        <v>0</v>
      </c>
      <c r="H437" s="9">
        <f>ROUND(G437*D437,2)</f>
        <v>0</v>
      </c>
      <c r="I437" s="9">
        <f>SUMIFS('Invoice Lines'!$K$5:$K$2542,'Invoice Lines'!$H$5:$H$2542,A437,'Invoice Lines'!$Q$5:$Q$2542,"HIRE-"&amp;C437,'Invoice Lines'!$M$5:$M$2542,1,'Invoice Lines'!$K$5:$K$2542,"&lt;0")</f>
        <v>0</v>
      </c>
      <c r="J437" t="n">
        <v>2</v>
      </c>
      <c r="K437" t="str">
        <f>IF(G437&gt;0,"Under-billed",IF(G437&lt;0,"Over-billed","Agrees"))</f>
        <v>Agrees</v>
      </c>
      <c r="L437" t="inlineStr"/>
    </row>
    <row r="438">
      <c r="A438" t="inlineStr">
        <is>
          <t>S0515</t>
        </is>
      </c>
      <c r="B438" t="inlineStr">
        <is>
          <t>Olivia Hughes</t>
        </is>
      </c>
      <c r="C438" t="inlineStr">
        <is>
          <t>TK</t>
        </is>
      </c>
      <c r="D438" s="9" t="n">
        <v>35</v>
      </c>
      <c r="E438">
        <f>SUMIFS('Hire Cycles'!$F$5:$F$1069,'Hire Cycles'!$A$5:$A$1069,A438,'Hire Cycles'!$B$5:$B$1069,C438,'Hire Cycles'!$G$5:$G$1069,1)</f>
        <v>12</v>
      </c>
      <c r="F438">
        <f>SUMIFS('Invoice Lines'!$J$5:$J$2542,'Invoice Lines'!$H$5:$H$2542,A438,'Invoice Lines'!$Q$5:$Q$2542,"HIRE-"&amp;C438,'Invoice Lines'!$M$5:$M$2542,1,'Invoice Lines'!$K$5:$K$2542,"&gt;0")</f>
        <v>12</v>
      </c>
      <c r="G438">
        <f>E438-F438</f>
        <v>0</v>
      </c>
      <c r="H438" s="9">
        <f>ROUND(G438*D438,2)</f>
        <v>0</v>
      </c>
      <c r="I438" s="9">
        <f>SUMIFS('Invoice Lines'!$K$5:$K$2542,'Invoice Lines'!$H$5:$H$2542,A438,'Invoice Lines'!$Q$5:$Q$2542,"HIRE-"&amp;C438,'Invoice Lines'!$M$5:$M$2542,1,'Invoice Lines'!$K$5:$K$2542,"&lt;0")</f>
        <v>0</v>
      </c>
      <c r="J438" t="n">
        <v>0</v>
      </c>
      <c r="K438" t="str">
        <f>IF(G438&gt;0,"Under-billed",IF(G438&lt;0,"Over-billed","Agrees"))</f>
        <v>Agrees</v>
      </c>
      <c r="L438" t="inlineStr"/>
    </row>
    <row r="439">
      <c r="A439" t="inlineStr">
        <is>
          <t>S0518</t>
        </is>
      </c>
      <c r="B439" t="inlineStr">
        <is>
          <t>Redline Claims Services</t>
        </is>
      </c>
      <c r="C439" t="inlineStr">
        <is>
          <t>TK</t>
        </is>
      </c>
      <c r="D439" s="9" t="n">
        <v>35</v>
      </c>
      <c r="E439">
        <f>SUMIFS('Hire Cycles'!$F$5:$F$1069,'Hire Cycles'!$A$5:$A$1069,A439,'Hire Cycles'!$B$5:$B$1069,C439,'Hire Cycles'!$G$5:$G$1069,1)</f>
        <v>6</v>
      </c>
      <c r="F439">
        <f>SUMIFS('Invoice Lines'!$J$5:$J$2542,'Invoice Lines'!$H$5:$H$2542,A439,'Invoice Lines'!$Q$5:$Q$2542,"HIRE-"&amp;C439,'Invoice Lines'!$M$5:$M$2542,1,'Invoice Lines'!$K$5:$K$2542,"&gt;0")</f>
        <v>6</v>
      </c>
      <c r="G439">
        <f>E439-F439</f>
        <v>0</v>
      </c>
      <c r="H439" s="9">
        <f>ROUND(G439*D439,2)</f>
        <v>0</v>
      </c>
      <c r="I439" s="9">
        <f>SUMIFS('Invoice Lines'!$K$5:$K$2542,'Invoice Lines'!$H$5:$H$2542,A439,'Invoice Lines'!$Q$5:$Q$2542,"HIRE-"&amp;C439,'Invoice Lines'!$M$5:$M$2542,1,'Invoice Lines'!$K$5:$K$2542,"&lt;0")</f>
        <v>0</v>
      </c>
      <c r="J439" t="n">
        <v>0</v>
      </c>
      <c r="K439" t="str">
        <f>IF(G439&gt;0,"Under-billed",IF(G439&lt;0,"Over-billed","Agrees"))</f>
        <v>Agrees</v>
      </c>
      <c r="L439" t="inlineStr"/>
    </row>
    <row r="440">
      <c r="A440" t="inlineStr">
        <is>
          <t>S0519</t>
        </is>
      </c>
      <c r="B440" t="inlineStr">
        <is>
          <t>Redline Builders Pty Ltd</t>
        </is>
      </c>
      <c r="C440" t="inlineStr">
        <is>
          <t>TK</t>
        </is>
      </c>
      <c r="D440" s="9" t="n">
        <v>35</v>
      </c>
      <c r="E440">
        <f>SUMIFS('Hire Cycles'!$F$5:$F$1069,'Hire Cycles'!$A$5:$A$1069,A440,'Hire Cycles'!$B$5:$B$1069,C440,'Hire Cycles'!$G$5:$G$1069,1)</f>
        <v>12</v>
      </c>
      <c r="F440">
        <f>SUMIFS('Invoice Lines'!$J$5:$J$2542,'Invoice Lines'!$H$5:$H$2542,A440,'Invoice Lines'!$Q$5:$Q$2542,"HIRE-"&amp;C440,'Invoice Lines'!$M$5:$M$2542,1,'Invoice Lines'!$K$5:$K$2542,"&gt;0")</f>
        <v>12</v>
      </c>
      <c r="G440">
        <f>E440-F440</f>
        <v>0</v>
      </c>
      <c r="H440" s="9">
        <f>ROUND(G440*D440,2)</f>
        <v>0</v>
      </c>
      <c r="I440" s="9">
        <f>SUMIFS('Invoice Lines'!$K$5:$K$2542,'Invoice Lines'!$H$5:$H$2542,A440,'Invoice Lines'!$Q$5:$Q$2542,"HIRE-"&amp;C440,'Invoice Lines'!$M$5:$M$2542,1,'Invoice Lines'!$K$5:$K$2542,"&lt;0")</f>
        <v>0</v>
      </c>
      <c r="J440" t="n">
        <v>0</v>
      </c>
      <c r="K440" t="str">
        <f>IF(G440&gt;0,"Under-billed",IF(G440&lt;0,"Over-billed","Agrees"))</f>
        <v>Agrees</v>
      </c>
      <c r="L440" t="inlineStr"/>
    </row>
    <row r="441">
      <c r="A441" t="inlineStr">
        <is>
          <t>S0520</t>
        </is>
      </c>
      <c r="B441" t="inlineStr">
        <is>
          <t>Bluegum Body Corporate Pty Ltd</t>
        </is>
      </c>
      <c r="C441" t="inlineStr">
        <is>
          <t>TK</t>
        </is>
      </c>
      <c r="D441" s="9" t="n">
        <v>35</v>
      </c>
      <c r="E441">
        <f>SUMIFS('Hire Cycles'!$F$5:$F$1069,'Hire Cycles'!$A$5:$A$1069,A441,'Hire Cycles'!$B$5:$B$1069,C441,'Hire Cycles'!$G$5:$G$1069,1)</f>
        <v>10</v>
      </c>
      <c r="F441">
        <f>SUMIFS('Invoice Lines'!$J$5:$J$2542,'Invoice Lines'!$H$5:$H$2542,A441,'Invoice Lines'!$Q$5:$Q$2542,"HIRE-"&amp;C441,'Invoice Lines'!$M$5:$M$2542,1,'Invoice Lines'!$K$5:$K$2542,"&gt;0")</f>
        <v>10</v>
      </c>
      <c r="G441">
        <f>E441-F441</f>
        <v>0</v>
      </c>
      <c r="H441" s="9">
        <f>ROUND(G441*D441,2)</f>
        <v>0</v>
      </c>
      <c r="I441" s="9">
        <f>SUMIFS('Invoice Lines'!$K$5:$K$2542,'Invoice Lines'!$H$5:$H$2542,A441,'Invoice Lines'!$Q$5:$Q$2542,"HIRE-"&amp;C441,'Invoice Lines'!$M$5:$M$2542,1,'Invoice Lines'!$K$5:$K$2542,"&lt;0")</f>
        <v>0</v>
      </c>
      <c r="J441" t="n">
        <v>0</v>
      </c>
      <c r="K441" t="str">
        <f>IF(G441&gt;0,"Under-billed",IF(G441&lt;0,"Over-billed","Agrees"))</f>
        <v>Agrees</v>
      </c>
      <c r="L441" t="inlineStr"/>
    </row>
    <row r="442">
      <c r="A442" t="inlineStr">
        <is>
          <t>S0524</t>
        </is>
      </c>
      <c r="B442" t="inlineStr">
        <is>
          <t>Metro Projects Pty Ltd</t>
        </is>
      </c>
      <c r="C442" t="inlineStr">
        <is>
          <t>TK</t>
        </is>
      </c>
      <c r="D442" s="9" t="n">
        <v>35</v>
      </c>
      <c r="E442">
        <f>SUMIFS('Hire Cycles'!$F$5:$F$1069,'Hire Cycles'!$A$5:$A$1069,A442,'Hire Cycles'!$B$5:$B$1069,C442,'Hire Cycles'!$G$5:$G$1069,1)</f>
        <v>9</v>
      </c>
      <c r="F442">
        <f>SUMIFS('Invoice Lines'!$J$5:$J$2542,'Invoice Lines'!$H$5:$H$2542,A442,'Invoice Lines'!$Q$5:$Q$2542,"HIRE-"&amp;C442,'Invoice Lines'!$M$5:$M$2542,1,'Invoice Lines'!$K$5:$K$2542,"&gt;0")</f>
        <v>9</v>
      </c>
      <c r="G442">
        <f>E442-F442</f>
        <v>0</v>
      </c>
      <c r="H442" s="9">
        <f>ROUND(G442*D442,2)</f>
        <v>0</v>
      </c>
      <c r="I442" s="9">
        <f>SUMIFS('Invoice Lines'!$K$5:$K$2542,'Invoice Lines'!$H$5:$H$2542,A442,'Invoice Lines'!$Q$5:$Q$2542,"HIRE-"&amp;C442,'Invoice Lines'!$M$5:$M$2542,1,'Invoice Lines'!$K$5:$K$2542,"&lt;0")</f>
        <v>0</v>
      </c>
      <c r="J442" t="n">
        <v>0</v>
      </c>
      <c r="K442" t="str">
        <f>IF(G442&gt;0,"Under-billed",IF(G442&lt;0,"Over-billed","Agrees"))</f>
        <v>Agrees</v>
      </c>
      <c r="L442" t="inlineStr"/>
    </row>
    <row r="443">
      <c r="A443" t="inlineStr">
        <is>
          <t>S0525</t>
        </is>
      </c>
      <c r="B443" t="inlineStr">
        <is>
          <t>Coastline Strata Management Pty Ltd</t>
        </is>
      </c>
      <c r="C443" t="inlineStr">
        <is>
          <t>TK</t>
        </is>
      </c>
      <c r="D443" s="9" t="n">
        <v>35</v>
      </c>
      <c r="E443">
        <f>SUMIFS('Hire Cycles'!$F$5:$F$1069,'Hire Cycles'!$A$5:$A$1069,A443,'Hire Cycles'!$B$5:$B$1069,C443,'Hire Cycles'!$G$5:$G$1069,1)</f>
        <v>0</v>
      </c>
      <c r="F443">
        <f>SUMIFS('Invoice Lines'!$J$5:$J$2542,'Invoice Lines'!$H$5:$H$2542,A443,'Invoice Lines'!$Q$5:$Q$2542,"HIRE-"&amp;C443,'Invoice Lines'!$M$5:$M$2542,1,'Invoice Lines'!$K$5:$K$2542,"&gt;0")</f>
        <v>0</v>
      </c>
      <c r="G443">
        <f>E443-F443</f>
        <v>0</v>
      </c>
      <c r="H443" s="9">
        <f>ROUND(G443*D443,2)</f>
        <v>0</v>
      </c>
      <c r="I443" s="9">
        <f>SUMIFS('Invoice Lines'!$K$5:$K$2542,'Invoice Lines'!$H$5:$H$2542,A443,'Invoice Lines'!$Q$5:$Q$2542,"HIRE-"&amp;C443,'Invoice Lines'!$M$5:$M$2542,1,'Invoice Lines'!$K$5:$K$2542,"&lt;0")</f>
        <v>0</v>
      </c>
      <c r="J443" t="n">
        <v>2</v>
      </c>
      <c r="K443" t="str">
        <f>IF(G443&gt;0,"Under-billed",IF(G443&lt;0,"Over-billed","Agrees"))</f>
        <v>Agrees</v>
      </c>
      <c r="L443" t="inlineStr"/>
    </row>
    <row r="444">
      <c r="A444" t="inlineStr">
        <is>
          <t>S0526</t>
        </is>
      </c>
      <c r="B444" t="inlineStr">
        <is>
          <t>Highpoint Insurance Repairs Pty Ltd</t>
        </is>
      </c>
      <c r="C444" t="inlineStr">
        <is>
          <t>TK</t>
        </is>
      </c>
      <c r="D444" s="9" t="n">
        <v>35</v>
      </c>
      <c r="E444">
        <f>SUMIFS('Hire Cycles'!$F$5:$F$1069,'Hire Cycles'!$A$5:$A$1069,A444,'Hire Cycles'!$B$5:$B$1069,C444,'Hire Cycles'!$G$5:$G$1069,1)</f>
        <v>0</v>
      </c>
      <c r="F444">
        <f>SUMIFS('Invoice Lines'!$J$5:$J$2542,'Invoice Lines'!$H$5:$H$2542,A444,'Invoice Lines'!$Q$5:$Q$2542,"HIRE-"&amp;C444,'Invoice Lines'!$M$5:$M$2542,1,'Invoice Lines'!$K$5:$K$2542,"&gt;0")</f>
        <v>0</v>
      </c>
      <c r="G444">
        <f>E444-F444</f>
        <v>0</v>
      </c>
      <c r="H444" s="9">
        <f>ROUND(G444*D444,2)</f>
        <v>0</v>
      </c>
      <c r="I444" s="9">
        <f>SUMIFS('Invoice Lines'!$K$5:$K$2542,'Invoice Lines'!$H$5:$H$2542,A444,'Invoice Lines'!$Q$5:$Q$2542,"HIRE-"&amp;C444,'Invoice Lines'!$M$5:$M$2542,1,'Invoice Lines'!$K$5:$K$2542,"&lt;0")</f>
        <v>0</v>
      </c>
      <c r="J444" t="n">
        <v>12</v>
      </c>
      <c r="K444" t="str">
        <f>IF(G444&gt;0,"Under-billed",IF(G444&lt;0,"Over-billed","Agrees"))</f>
        <v>Agrees</v>
      </c>
      <c r="L444" t="inlineStr"/>
    </row>
    <row r="445">
      <c r="A445" t="inlineStr">
        <is>
          <t>S0528</t>
        </is>
      </c>
      <c r="B445" t="inlineStr">
        <is>
          <t>Northgate Building Group</t>
        </is>
      </c>
      <c r="C445" t="inlineStr">
        <is>
          <t>TK</t>
        </is>
      </c>
      <c r="D445" s="9" t="n">
        <v>35</v>
      </c>
      <c r="E445">
        <f>SUMIFS('Hire Cycles'!$F$5:$F$1069,'Hire Cycles'!$A$5:$A$1069,A445,'Hire Cycles'!$B$5:$B$1069,C445,'Hire Cycles'!$G$5:$G$1069,1)</f>
        <v>12</v>
      </c>
      <c r="F445">
        <f>SUMIFS('Invoice Lines'!$J$5:$J$2542,'Invoice Lines'!$H$5:$H$2542,A445,'Invoice Lines'!$Q$5:$Q$2542,"HIRE-"&amp;C445,'Invoice Lines'!$M$5:$M$2542,1,'Invoice Lines'!$K$5:$K$2542,"&gt;0")</f>
        <v>12</v>
      </c>
      <c r="G445">
        <f>E445-F445</f>
        <v>0</v>
      </c>
      <c r="H445" s="9">
        <f>ROUND(G445*D445,2)</f>
        <v>0</v>
      </c>
      <c r="I445" s="9">
        <f>SUMIFS('Invoice Lines'!$K$5:$K$2542,'Invoice Lines'!$H$5:$H$2542,A445,'Invoice Lines'!$Q$5:$Q$2542,"HIRE-"&amp;C445,'Invoice Lines'!$M$5:$M$2542,1,'Invoice Lines'!$K$5:$K$2542,"&lt;0")</f>
        <v>0</v>
      </c>
      <c r="J445" t="n">
        <v>0</v>
      </c>
      <c r="K445" t="str">
        <f>IF(G445&gt;0,"Under-billed",IF(G445&lt;0,"Over-billed","Agrees"))</f>
        <v>Agrees</v>
      </c>
      <c r="L445" t="inlineStr"/>
    </row>
    <row r="446">
      <c r="A446" t="inlineStr">
        <is>
          <t>S0529</t>
        </is>
      </c>
      <c r="B446" t="inlineStr">
        <is>
          <t>Ella Wilson</t>
        </is>
      </c>
      <c r="C446" t="inlineStr">
        <is>
          <t>TK</t>
        </is>
      </c>
      <c r="D446" s="9" t="n">
        <v>35</v>
      </c>
      <c r="E446">
        <f>SUMIFS('Hire Cycles'!$F$5:$F$1069,'Hire Cycles'!$A$5:$A$1069,A446,'Hire Cycles'!$B$5:$B$1069,C446,'Hire Cycles'!$G$5:$G$1069,1)</f>
        <v>21</v>
      </c>
      <c r="F446">
        <f>SUMIFS('Invoice Lines'!$J$5:$J$2542,'Invoice Lines'!$H$5:$H$2542,A446,'Invoice Lines'!$Q$5:$Q$2542,"HIRE-"&amp;C446,'Invoice Lines'!$M$5:$M$2542,1,'Invoice Lines'!$K$5:$K$2542,"&gt;0")</f>
        <v>21</v>
      </c>
      <c r="G446">
        <f>E446-F446</f>
        <v>0</v>
      </c>
      <c r="H446" s="9">
        <f>ROUND(G446*D446,2)</f>
        <v>0</v>
      </c>
      <c r="I446" s="9">
        <f>SUMIFS('Invoice Lines'!$K$5:$K$2542,'Invoice Lines'!$H$5:$H$2542,A446,'Invoice Lines'!$Q$5:$Q$2542,"HIRE-"&amp;C446,'Invoice Lines'!$M$5:$M$2542,1,'Invoice Lines'!$K$5:$K$2542,"&lt;0")</f>
        <v>0</v>
      </c>
      <c r="J446" t="n">
        <v>0</v>
      </c>
      <c r="K446" t="str">
        <f>IF(G446&gt;0,"Under-billed",IF(G446&lt;0,"Over-billed","Agrees"))</f>
        <v>Agrees</v>
      </c>
      <c r="L446" t="inlineStr"/>
    </row>
    <row r="447">
      <c r="A447" t="inlineStr">
        <is>
          <t>S0533</t>
        </is>
      </c>
      <c r="B447" t="inlineStr">
        <is>
          <t>Highpoint Insurance Repairs Pty Ltd</t>
        </is>
      </c>
      <c r="C447" t="inlineStr">
        <is>
          <t>TK</t>
        </is>
      </c>
      <c r="D447" s="9" t="n">
        <v>35</v>
      </c>
      <c r="E447">
        <f>SUMIFS('Hire Cycles'!$F$5:$F$1069,'Hire Cycles'!$A$5:$A$1069,A447,'Hire Cycles'!$B$5:$B$1069,C447,'Hire Cycles'!$G$5:$G$1069,1)</f>
        <v>10</v>
      </c>
      <c r="F447">
        <f>SUMIFS('Invoice Lines'!$J$5:$J$2542,'Invoice Lines'!$H$5:$H$2542,A447,'Invoice Lines'!$Q$5:$Q$2542,"HIRE-"&amp;C447,'Invoice Lines'!$M$5:$M$2542,1,'Invoice Lines'!$K$5:$K$2542,"&gt;0")</f>
        <v>10</v>
      </c>
      <c r="G447">
        <f>E447-F447</f>
        <v>0</v>
      </c>
      <c r="H447" s="9">
        <f>ROUND(G447*D447,2)</f>
        <v>0</v>
      </c>
      <c r="I447" s="9">
        <f>SUMIFS('Invoice Lines'!$K$5:$K$2542,'Invoice Lines'!$H$5:$H$2542,A447,'Invoice Lines'!$Q$5:$Q$2542,"HIRE-"&amp;C447,'Invoice Lines'!$M$5:$M$2542,1,'Invoice Lines'!$K$5:$K$2542,"&lt;0")</f>
        <v>0</v>
      </c>
      <c r="J447" t="n">
        <v>0</v>
      </c>
      <c r="K447" t="str">
        <f>IF(G447&gt;0,"Under-billed",IF(G447&lt;0,"Over-billed","Agrees"))</f>
        <v>Agrees</v>
      </c>
      <c r="L447" t="inlineStr"/>
    </row>
    <row r="448">
      <c r="A448" t="inlineStr">
        <is>
          <t>S0541</t>
        </is>
      </c>
      <c r="B448" t="inlineStr">
        <is>
          <t>Coastline Strata Management Pty Ltd</t>
        </is>
      </c>
      <c r="C448" t="inlineStr">
        <is>
          <t>TK</t>
        </is>
      </c>
      <c r="D448" s="9" t="n">
        <v>35</v>
      </c>
      <c r="E448">
        <f>SUMIFS('Hire Cycles'!$F$5:$F$1069,'Hire Cycles'!$A$5:$A$1069,A448,'Hire Cycles'!$B$5:$B$1069,C448,'Hire Cycles'!$G$5:$G$1069,1)</f>
        <v>6</v>
      </c>
      <c r="F448">
        <f>SUMIFS('Invoice Lines'!$J$5:$J$2542,'Invoice Lines'!$H$5:$H$2542,A448,'Invoice Lines'!$Q$5:$Q$2542,"HIRE-"&amp;C448,'Invoice Lines'!$M$5:$M$2542,1,'Invoice Lines'!$K$5:$K$2542,"&gt;0")</f>
        <v>6</v>
      </c>
      <c r="G448">
        <f>E448-F448</f>
        <v>0</v>
      </c>
      <c r="H448" s="9">
        <f>ROUND(G448*D448,2)</f>
        <v>0</v>
      </c>
      <c r="I448" s="9">
        <f>SUMIFS('Invoice Lines'!$K$5:$K$2542,'Invoice Lines'!$H$5:$H$2542,A448,'Invoice Lines'!$Q$5:$Q$2542,"HIRE-"&amp;C448,'Invoice Lines'!$M$5:$M$2542,1,'Invoice Lines'!$K$5:$K$2542,"&lt;0")</f>
        <v>0</v>
      </c>
      <c r="J448" t="n">
        <v>0</v>
      </c>
      <c r="K448" t="str">
        <f>IF(G448&gt;0,"Under-billed",IF(G448&lt;0,"Over-billed","Agrees"))</f>
        <v>Agrees</v>
      </c>
      <c r="L448" t="inlineStr"/>
    </row>
    <row r="449">
      <c r="A449" t="inlineStr">
        <is>
          <t>S0545</t>
        </is>
      </c>
      <c r="B449" t="inlineStr">
        <is>
          <t>Redline Claims Services</t>
        </is>
      </c>
      <c r="C449" t="inlineStr">
        <is>
          <t>TK</t>
        </is>
      </c>
      <c r="D449" s="9" t="n">
        <v>35</v>
      </c>
      <c r="E449">
        <f>SUMIFS('Hire Cycles'!$F$5:$F$1069,'Hire Cycles'!$A$5:$A$1069,A449,'Hire Cycles'!$B$5:$B$1069,C449,'Hire Cycles'!$G$5:$G$1069,1)</f>
        <v>2</v>
      </c>
      <c r="F449">
        <f>SUMIFS('Invoice Lines'!$J$5:$J$2542,'Invoice Lines'!$H$5:$H$2542,A449,'Invoice Lines'!$Q$5:$Q$2542,"HIRE-"&amp;C449,'Invoice Lines'!$M$5:$M$2542,1,'Invoice Lines'!$K$5:$K$2542,"&gt;0")</f>
        <v>2</v>
      </c>
      <c r="G449">
        <f>E449-F449</f>
        <v>0</v>
      </c>
      <c r="H449" s="9">
        <f>ROUND(G449*D449,2)</f>
        <v>0</v>
      </c>
      <c r="I449" s="9">
        <f>SUMIFS('Invoice Lines'!$K$5:$K$2542,'Invoice Lines'!$H$5:$H$2542,A449,'Invoice Lines'!$Q$5:$Q$2542,"HIRE-"&amp;C449,'Invoice Lines'!$M$5:$M$2542,1,'Invoice Lines'!$K$5:$K$2542,"&lt;0")</f>
        <v>0</v>
      </c>
      <c r="J449" t="n">
        <v>0</v>
      </c>
      <c r="K449" t="str">
        <f>IF(G449&gt;0,"Under-billed",IF(G449&lt;0,"Over-billed","Agrees"))</f>
        <v>Agrees</v>
      </c>
      <c r="L449" t="inlineStr"/>
    </row>
    <row r="450">
      <c r="A450" t="inlineStr">
        <is>
          <t>S0546</t>
        </is>
      </c>
      <c r="B450" t="inlineStr">
        <is>
          <t>Highpoint Insurance Repairs Pty Ltd</t>
        </is>
      </c>
      <c r="C450" t="inlineStr">
        <is>
          <t>TK</t>
        </is>
      </c>
      <c r="D450" s="9" t="n">
        <v>35</v>
      </c>
      <c r="E450">
        <f>SUMIFS('Hire Cycles'!$F$5:$F$1069,'Hire Cycles'!$A$5:$A$1069,A450,'Hire Cycles'!$B$5:$B$1069,C450,'Hire Cycles'!$G$5:$G$1069,1)</f>
        <v>18</v>
      </c>
      <c r="F450">
        <f>SUMIFS('Invoice Lines'!$J$5:$J$2542,'Invoice Lines'!$H$5:$H$2542,A450,'Invoice Lines'!$Q$5:$Q$2542,"HIRE-"&amp;C450,'Invoice Lines'!$M$5:$M$2542,1,'Invoice Lines'!$K$5:$K$2542,"&gt;0")</f>
        <v>18</v>
      </c>
      <c r="G450">
        <f>E450-F450</f>
        <v>0</v>
      </c>
      <c r="H450" s="9">
        <f>ROUND(G450*D450,2)</f>
        <v>0</v>
      </c>
      <c r="I450" s="9">
        <f>SUMIFS('Invoice Lines'!$K$5:$K$2542,'Invoice Lines'!$H$5:$H$2542,A450,'Invoice Lines'!$Q$5:$Q$2542,"HIRE-"&amp;C450,'Invoice Lines'!$M$5:$M$2542,1,'Invoice Lines'!$K$5:$K$2542,"&lt;0")</f>
        <v>0</v>
      </c>
      <c r="J450" t="n">
        <v>0</v>
      </c>
      <c r="K450" t="str">
        <f>IF(G450&gt;0,"Under-billed",IF(G450&lt;0,"Over-billed","Agrees"))</f>
        <v>Agrees</v>
      </c>
      <c r="L450" t="inlineStr"/>
    </row>
  </sheetData>
  <autoFilter ref="A4:L450"/>
  <conditionalFormatting sqref="K5:K450">
    <cfRule type="expression" priority="1" dxfId="0">
      <formula>K5="Under-billed"</formula>
    </cfRule>
    <cfRule type="expression" priority="2" dxfId="1">
      <formula>K5="Over-billed"</formula>
    </cfRule>
  </conditionalFormatting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H2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46" customWidth="1" min="3" max="3"/>
    <col width="12" customWidth="1" min="4" max="4"/>
    <col width="11" customWidth="1" min="5" max="5"/>
    <col width="70" customWidth="1" min="6" max="6"/>
    <col width="8" customWidth="1" min="7" max="7"/>
  </cols>
  <sheetData>
    <row r="1">
      <c r="A1" s="6" t="inlineStr">
        <is>
          <t>Exceptions register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Area</t>
        </is>
      </c>
      <c r="B4" s="7" t="inlineStr">
        <is>
          <t>Reference</t>
        </is>
      </c>
      <c r="C4" s="7" t="inlineStr">
        <is>
          <t>Issue</t>
        </is>
      </c>
      <c r="D4" s="7" t="inlineStr">
        <is>
          <t>Value / qty</t>
        </is>
      </c>
      <c r="E4" s="7" t="inlineStr">
        <is>
          <t>Owner</t>
        </is>
      </c>
      <c r="F4" s="7" t="inlineStr">
        <is>
          <t>Action</t>
        </is>
      </c>
      <c r="G4" s="7" t="inlineStr">
        <is>
          <t>Status</t>
        </is>
      </c>
    </row>
    <row r="5">
      <c r="A5" t="inlineStr">
        <is>
          <t>Income coding</t>
        </is>
      </c>
      <c r="B5" t="inlineStr">
        <is>
          <t>INV-5910-1</t>
        </is>
      </c>
      <c r="C5" t="inlineStr">
        <is>
          <t>Fence and make safe package - Job 1311</t>
        </is>
      </c>
      <c r="D5" s="9" t="n">
        <v>1093</v>
      </c>
      <c r="E5" t="inlineStr">
        <is>
          <t>Bookkeeper</t>
        </is>
      </c>
      <c r="F5" t="inlineStr">
        <is>
          <t>Choose the account (and split if two services)</t>
        </is>
      </c>
      <c r="G5" t="inlineStr">
        <is>
          <t>Open</t>
        </is>
      </c>
    </row>
    <row r="6">
      <c r="A6" t="inlineStr">
        <is>
          <t>Income coding</t>
        </is>
      </c>
      <c r="B6" t="inlineStr">
        <is>
          <t>INV-5902-1</t>
        </is>
      </c>
      <c r="C6" t="inlineStr">
        <is>
          <t>Variation 4593 - additional works</t>
        </is>
      </c>
      <c r="D6" s="9" t="n">
        <v>341.94</v>
      </c>
      <c r="E6" t="inlineStr">
        <is>
          <t>Bookkeeper</t>
        </is>
      </c>
      <c r="F6" t="inlineStr">
        <is>
          <t>Choose the account (and split if two services)</t>
        </is>
      </c>
      <c r="G6" t="inlineStr">
        <is>
          <t>Open</t>
        </is>
      </c>
    </row>
    <row r="7">
      <c r="A7" t="inlineStr">
        <is>
          <t>Income coding</t>
        </is>
      </c>
      <c r="B7" t="inlineStr">
        <is>
          <t>INV-5905-1</t>
        </is>
      </c>
      <c r="C7" t="inlineStr">
        <is>
          <t>Variation 1457 - additional works</t>
        </is>
      </c>
      <c r="D7" s="9" t="n">
        <v>2945.37</v>
      </c>
      <c r="E7" t="inlineStr">
        <is>
          <t>Bookkeeper</t>
        </is>
      </c>
      <c r="F7" t="inlineStr">
        <is>
          <t>Choose the account (and split if two services)</t>
        </is>
      </c>
      <c r="G7" t="inlineStr">
        <is>
          <t>Open</t>
        </is>
      </c>
    </row>
    <row r="8">
      <c r="A8" t="inlineStr">
        <is>
          <t>Income coding</t>
        </is>
      </c>
      <c r="B8" t="inlineStr">
        <is>
          <t>INV-5899-1</t>
        </is>
      </c>
      <c r="C8" t="inlineStr">
        <is>
          <t>Variation 2849 - additional works</t>
        </is>
      </c>
      <c r="D8" s="9" t="n">
        <v>3165.24</v>
      </c>
      <c r="E8" t="inlineStr">
        <is>
          <t>Bookkeeper</t>
        </is>
      </c>
      <c r="F8" t="inlineStr">
        <is>
          <t>Choose the account (and split if two services)</t>
        </is>
      </c>
      <c r="G8" t="inlineStr">
        <is>
          <t>Open</t>
        </is>
      </c>
    </row>
    <row r="9">
      <c r="A9" t="inlineStr">
        <is>
          <t>Income coding</t>
        </is>
      </c>
      <c r="B9" t="inlineStr">
        <is>
          <t>INV-5908-1</t>
        </is>
      </c>
      <c r="C9" t="inlineStr">
        <is>
          <t>Site works</t>
        </is>
      </c>
      <c r="D9" s="9" t="n">
        <v>2079.17</v>
      </c>
      <c r="E9" t="inlineStr">
        <is>
          <t>Bookkeeper</t>
        </is>
      </c>
      <c r="F9" t="inlineStr">
        <is>
          <t>Choose the account (and split if two services)</t>
        </is>
      </c>
      <c r="G9" t="inlineStr">
        <is>
          <t>Open</t>
        </is>
      </c>
    </row>
    <row r="10">
      <c r="A10" t="inlineStr">
        <is>
          <t>Income coding</t>
        </is>
      </c>
      <c r="B10" t="inlineStr">
        <is>
          <t>INV-5931-1</t>
        </is>
      </c>
      <c r="C10" t="inlineStr">
        <is>
          <t>Misc charges</t>
        </is>
      </c>
      <c r="D10" s="9" t="n">
        <v>1245.85</v>
      </c>
      <c r="E10" t="inlineStr">
        <is>
          <t>Owner</t>
        </is>
      </c>
      <c r="F10" t="inlineStr">
        <is>
          <t>Choose the account (and split if two services)</t>
        </is>
      </c>
      <c r="G10" t="inlineStr">
        <is>
          <t>Open</t>
        </is>
      </c>
    </row>
    <row r="11">
      <c r="A11" t="inlineStr">
        <is>
          <t>Income coding</t>
        </is>
      </c>
      <c r="B11" t="inlineStr">
        <is>
          <t>INV-5913-1</t>
        </is>
      </c>
      <c r="C11" t="inlineStr">
        <is>
          <t>Works completed as discussed</t>
        </is>
      </c>
      <c r="D11" s="9" t="n">
        <v>1117.91</v>
      </c>
      <c r="E11" t="inlineStr">
        <is>
          <t>Bookkeeper</t>
        </is>
      </c>
      <c r="F11" t="inlineStr">
        <is>
          <t>Choose the account (and split if two services)</t>
        </is>
      </c>
      <c r="G11" t="inlineStr">
        <is>
          <t>Open</t>
        </is>
      </c>
    </row>
    <row r="12">
      <c r="A12" t="inlineStr">
        <is>
          <t>Income coding</t>
        </is>
      </c>
      <c r="B12" t="inlineStr">
        <is>
          <t>INV-5911-1</t>
        </is>
      </c>
      <c r="C12" t="inlineStr">
        <is>
          <t>Misc charges</t>
        </is>
      </c>
      <c r="D12" s="9" t="n">
        <v>2475.85</v>
      </c>
      <c r="E12" t="inlineStr">
        <is>
          <t>Owner</t>
        </is>
      </c>
      <c r="F12" t="inlineStr">
        <is>
          <t>Choose the account (and split if two services)</t>
        </is>
      </c>
      <c r="G12" t="inlineStr">
        <is>
          <t>Open</t>
        </is>
      </c>
    </row>
    <row r="13">
      <c r="A13" t="inlineStr">
        <is>
          <t>Income coding</t>
        </is>
      </c>
      <c r="B13" t="inlineStr">
        <is>
          <t>INV-5923-1</t>
        </is>
      </c>
      <c r="C13" t="inlineStr">
        <is>
          <t>Misc charges</t>
        </is>
      </c>
      <c r="D13" s="9" t="n">
        <v>2314.24</v>
      </c>
      <c r="E13" t="inlineStr">
        <is>
          <t>Owner</t>
        </is>
      </c>
      <c r="F13" t="inlineStr">
        <is>
          <t>Choose the account (and split if two services)</t>
        </is>
      </c>
      <c r="G13" t="inlineStr">
        <is>
          <t>Open</t>
        </is>
      </c>
    </row>
    <row r="14">
      <c r="A14" t="inlineStr">
        <is>
          <t>Income coding</t>
        </is>
      </c>
      <c r="B14" t="inlineStr">
        <is>
          <t>INV-5915-1</t>
        </is>
      </c>
      <c r="C14" t="inlineStr">
        <is>
          <t>Variation 1422 - additional works</t>
        </is>
      </c>
      <c r="D14" s="9" t="n">
        <v>2073.35</v>
      </c>
      <c r="E14" t="inlineStr">
        <is>
          <t>Owner</t>
        </is>
      </c>
      <c r="F14" t="inlineStr">
        <is>
          <t>Choose the account (and split if two services)</t>
        </is>
      </c>
      <c r="G14" t="inlineStr">
        <is>
          <t>Open</t>
        </is>
      </c>
    </row>
    <row r="15">
      <c r="A15" t="inlineStr">
        <is>
          <t>Income coding</t>
        </is>
      </c>
      <c r="B15" t="inlineStr">
        <is>
          <t>INV-5938-1</t>
        </is>
      </c>
      <c r="C15" t="inlineStr">
        <is>
          <t>As per quote Q-2406</t>
        </is>
      </c>
      <c r="D15" s="9" t="n">
        <v>3142.82</v>
      </c>
      <c r="E15" t="inlineStr">
        <is>
          <t>Owner</t>
        </is>
      </c>
      <c r="F15" t="inlineStr">
        <is>
          <t>Choose the account (and split if two services)</t>
        </is>
      </c>
      <c r="G15" t="inlineStr">
        <is>
          <t>Open</t>
        </is>
      </c>
    </row>
    <row r="16">
      <c r="A16" t="inlineStr">
        <is>
          <t>Income coding</t>
        </is>
      </c>
      <c r="B16" t="inlineStr">
        <is>
          <t>INV-5939-1</t>
        </is>
      </c>
      <c r="C16" t="inlineStr">
        <is>
          <t>Misc charges</t>
        </is>
      </c>
      <c r="D16" s="9" t="n">
        <v>3532.38</v>
      </c>
      <c r="E16" t="inlineStr">
        <is>
          <t>Owner</t>
        </is>
      </c>
      <c r="F16" t="inlineStr">
        <is>
          <t>Choose the account (and split if two services)</t>
        </is>
      </c>
      <c r="G16" t="inlineStr">
        <is>
          <t>Open</t>
        </is>
      </c>
    </row>
    <row r="17">
      <c r="A17" t="inlineStr">
        <is>
          <t>Income coding</t>
        </is>
      </c>
      <c r="B17" t="inlineStr">
        <is>
          <t>INV-5937-1</t>
        </is>
      </c>
      <c r="C17" t="inlineStr">
        <is>
          <t>Fence and make safe package - Job 4149</t>
        </is>
      </c>
      <c r="D17" s="9" t="n">
        <v>2865.9</v>
      </c>
      <c r="E17" t="inlineStr">
        <is>
          <t>Bookkeeper</t>
        </is>
      </c>
      <c r="F17" t="inlineStr">
        <is>
          <t>Choose the account (and split if two services)</t>
        </is>
      </c>
      <c r="G17" t="inlineStr">
        <is>
          <t>Open</t>
        </is>
      </c>
    </row>
    <row r="18">
      <c r="A18" t="inlineStr">
        <is>
          <t>Income coding</t>
        </is>
      </c>
      <c r="B18" t="inlineStr">
        <is>
          <t>INV-5906-1</t>
        </is>
      </c>
      <c r="C18" t="inlineStr">
        <is>
          <t>Site works</t>
        </is>
      </c>
      <c r="D18" s="9" t="n">
        <v>3679.7</v>
      </c>
      <c r="E18" t="inlineStr">
        <is>
          <t>Bookkeeper</t>
        </is>
      </c>
      <c r="F18" t="inlineStr">
        <is>
          <t>Choose the account (and split if two services)</t>
        </is>
      </c>
      <c r="G18" t="inlineStr">
        <is>
          <t>Open</t>
        </is>
      </c>
    </row>
    <row r="19">
      <c r="A19" t="inlineStr">
        <is>
          <t>Income coding</t>
        </is>
      </c>
      <c r="B19" t="inlineStr">
        <is>
          <t>INV-5936-1</t>
        </is>
      </c>
      <c r="C19" t="inlineStr">
        <is>
          <t>Job 4063 - progress claim</t>
        </is>
      </c>
      <c r="D19" s="9" t="n">
        <v>1610.68</v>
      </c>
      <c r="E19" t="inlineStr">
        <is>
          <t>Bookkeeper</t>
        </is>
      </c>
      <c r="F19" t="inlineStr">
        <is>
          <t>Choose the account (and split if two services)</t>
        </is>
      </c>
      <c r="G19" t="inlineStr">
        <is>
          <t>Open</t>
        </is>
      </c>
    </row>
    <row r="20">
      <c r="A20" t="inlineStr">
        <is>
          <t>Income coding</t>
        </is>
      </c>
      <c r="B20" t="inlineStr">
        <is>
          <t>INV-5922-1</t>
        </is>
      </c>
      <c r="C20" t="inlineStr">
        <is>
          <t>Variation 4198 - additional works</t>
        </is>
      </c>
      <c r="D20" s="9" t="n">
        <v>2009.79</v>
      </c>
      <c r="E20" t="inlineStr">
        <is>
          <t>Owner</t>
        </is>
      </c>
      <c r="F20" t="inlineStr">
        <is>
          <t>Choose the account (and split if two services)</t>
        </is>
      </c>
      <c r="G20" t="inlineStr">
        <is>
          <t>Open</t>
        </is>
      </c>
    </row>
    <row r="21">
      <c r="A21" t="inlineStr">
        <is>
          <t>Income coding</t>
        </is>
      </c>
      <c r="B21" t="inlineStr">
        <is>
          <t>INV-5921-1</t>
        </is>
      </c>
      <c r="C21" t="inlineStr">
        <is>
          <t>Fence and make safe package - Job 2009</t>
        </is>
      </c>
      <c r="D21" s="9" t="n">
        <v>2431.94</v>
      </c>
      <c r="E21" t="inlineStr">
        <is>
          <t>Bookkeeper</t>
        </is>
      </c>
      <c r="F21" t="inlineStr">
        <is>
          <t>Choose the account (and split if two services)</t>
        </is>
      </c>
      <c r="G21" t="inlineStr">
        <is>
          <t>Open</t>
        </is>
      </c>
    </row>
    <row r="22">
      <c r="A22" t="inlineStr">
        <is>
          <t>Income coding</t>
        </is>
      </c>
      <c r="B22" t="inlineStr">
        <is>
          <t>INV-5904-1</t>
        </is>
      </c>
      <c r="C22" t="inlineStr">
        <is>
          <t>As per quote Q-1911</t>
        </is>
      </c>
      <c r="D22" s="9" t="n">
        <v>1181.1</v>
      </c>
      <c r="E22" t="inlineStr">
        <is>
          <t>Owner</t>
        </is>
      </c>
      <c r="F22" t="inlineStr">
        <is>
          <t>Choose the account (and split if two services)</t>
        </is>
      </c>
      <c r="G22" t="inlineStr">
        <is>
          <t>Open</t>
        </is>
      </c>
    </row>
    <row r="23">
      <c r="A23" t="inlineStr">
        <is>
          <t>Income coding</t>
        </is>
      </c>
      <c r="B23" t="inlineStr">
        <is>
          <t>INV-5900-1</t>
        </is>
      </c>
      <c r="C23" t="inlineStr">
        <is>
          <t>As per quote Q-1582</t>
        </is>
      </c>
      <c r="D23" s="9" t="n">
        <v>2723.82</v>
      </c>
      <c r="E23" t="inlineStr">
        <is>
          <t>Bookkeeper</t>
        </is>
      </c>
      <c r="F23" t="inlineStr">
        <is>
          <t>Choose the account (and split if two services)</t>
        </is>
      </c>
      <c r="G23" t="inlineStr">
        <is>
          <t>Open</t>
        </is>
      </c>
    </row>
    <row r="24">
      <c r="A24" t="inlineStr">
        <is>
          <t>Income coding</t>
        </is>
      </c>
      <c r="B24" t="inlineStr">
        <is>
          <t>INV-5920-1</t>
        </is>
      </c>
      <c r="C24" t="inlineStr">
        <is>
          <t>Site works</t>
        </is>
      </c>
      <c r="D24" s="9" t="n">
        <v>959.58</v>
      </c>
      <c r="E24" t="inlineStr">
        <is>
          <t>Owner</t>
        </is>
      </c>
      <c r="F24" t="inlineStr">
        <is>
          <t>Choose the account (and split if two services)</t>
        </is>
      </c>
      <c r="G24" t="inlineStr">
        <is>
          <t>Open</t>
        </is>
      </c>
    </row>
    <row r="25">
      <c r="A25" t="inlineStr">
        <is>
          <t>Income coding</t>
        </is>
      </c>
      <c r="B25" t="inlineStr">
        <is>
          <t>INV-5895-1</t>
        </is>
      </c>
      <c r="C25" t="inlineStr">
        <is>
          <t>Job 1496 - progress claim</t>
        </is>
      </c>
      <c r="D25" s="9" t="n">
        <v>503.14</v>
      </c>
      <c r="E25" t="inlineStr">
        <is>
          <t>Bookkeeper</t>
        </is>
      </c>
      <c r="F25" t="inlineStr">
        <is>
          <t>Choose the account (and split if two services)</t>
        </is>
      </c>
      <c r="G25" t="inlineStr">
        <is>
          <t>Open</t>
        </is>
      </c>
    </row>
    <row r="26">
      <c r="A26" t="inlineStr">
        <is>
          <t>Income coding</t>
        </is>
      </c>
      <c r="B26" t="inlineStr">
        <is>
          <t>INV-5914-1</t>
        </is>
      </c>
      <c r="C26" t="inlineStr">
        <is>
          <t>Job 4796 - progress claim</t>
        </is>
      </c>
      <c r="D26" s="9" t="n">
        <v>1969.25</v>
      </c>
      <c r="E26" t="inlineStr">
        <is>
          <t>Bookkeeper</t>
        </is>
      </c>
      <c r="F26" t="inlineStr">
        <is>
          <t>Choose the account (and split if two services)</t>
        </is>
      </c>
      <c r="G26" t="inlineStr">
        <is>
          <t>Open</t>
        </is>
      </c>
    </row>
    <row r="27">
      <c r="A27" t="inlineStr">
        <is>
          <t>Income coding</t>
        </is>
      </c>
      <c r="B27" t="inlineStr">
        <is>
          <t>INV-5903-1</t>
        </is>
      </c>
      <c r="C27" t="inlineStr">
        <is>
          <t>Job 2261 - progress claim</t>
        </is>
      </c>
      <c r="D27" s="9" t="n">
        <v>3184.48</v>
      </c>
      <c r="E27" t="inlineStr">
        <is>
          <t>Bookkeeper</t>
        </is>
      </c>
      <c r="F27" t="inlineStr">
        <is>
          <t>Choose the account (and split if two services)</t>
        </is>
      </c>
      <c r="G27" t="inlineStr">
        <is>
          <t>Open</t>
        </is>
      </c>
    </row>
    <row r="28">
      <c r="A28" t="inlineStr">
        <is>
          <t>Income coding</t>
        </is>
      </c>
      <c r="B28" t="inlineStr">
        <is>
          <t>INV-5934-1</t>
        </is>
      </c>
      <c r="C28" t="inlineStr">
        <is>
          <t>Misc charges</t>
        </is>
      </c>
      <c r="D28" s="9" t="n">
        <v>3612.05</v>
      </c>
      <c r="E28" t="inlineStr">
        <is>
          <t>Bookkeeper</t>
        </is>
      </c>
      <c r="F28" t="inlineStr">
        <is>
          <t>Choose the account (and split if two services)</t>
        </is>
      </c>
      <c r="G28" t="inlineStr">
        <is>
          <t>Open</t>
        </is>
      </c>
    </row>
    <row r="29">
      <c r="A29" t="inlineStr">
        <is>
          <t>Income coding</t>
        </is>
      </c>
      <c r="B29" t="inlineStr">
        <is>
          <t>INV-5932-1</t>
        </is>
      </c>
      <c r="C29" t="inlineStr">
        <is>
          <t>Fence and make safe package - Job 4280</t>
        </is>
      </c>
      <c r="D29" s="9" t="n">
        <v>3456.96</v>
      </c>
      <c r="E29" t="inlineStr">
        <is>
          <t>Bookkeeper</t>
        </is>
      </c>
      <c r="F29" t="inlineStr">
        <is>
          <t>Choose the account (and split if two services)</t>
        </is>
      </c>
      <c r="G29" t="inlineStr">
        <is>
          <t>Open</t>
        </is>
      </c>
    </row>
    <row r="30">
      <c r="A30" t="inlineStr">
        <is>
          <t>Income coding</t>
        </is>
      </c>
      <c r="B30" t="inlineStr">
        <is>
          <t>INV-5930-1</t>
        </is>
      </c>
      <c r="C30" t="inlineStr">
        <is>
          <t>Site works</t>
        </is>
      </c>
      <c r="D30" s="9" t="n">
        <v>2264.88</v>
      </c>
      <c r="E30" t="inlineStr">
        <is>
          <t>Owner</t>
        </is>
      </c>
      <c r="F30" t="inlineStr">
        <is>
          <t>Choose the account (and split if two services)</t>
        </is>
      </c>
      <c r="G30" t="inlineStr">
        <is>
          <t>Open</t>
        </is>
      </c>
    </row>
    <row r="31">
      <c r="A31" t="inlineStr">
        <is>
          <t>Income coding</t>
        </is>
      </c>
      <c r="B31" t="inlineStr">
        <is>
          <t>INV-5916-1</t>
        </is>
      </c>
      <c r="C31" t="inlineStr">
        <is>
          <t>Works completed as discussed</t>
        </is>
      </c>
      <c r="D31" s="9" t="n">
        <v>2706.78</v>
      </c>
      <c r="E31" t="inlineStr">
        <is>
          <t>Bookkeeper</t>
        </is>
      </c>
      <c r="F31" t="inlineStr">
        <is>
          <t>Choose the account (and split if two services)</t>
        </is>
      </c>
      <c r="G31" t="inlineStr">
        <is>
          <t>Open</t>
        </is>
      </c>
    </row>
    <row r="32">
      <c r="A32" t="inlineStr">
        <is>
          <t>Income coding</t>
        </is>
      </c>
      <c r="B32" t="inlineStr">
        <is>
          <t>INV-5898-1</t>
        </is>
      </c>
      <c r="C32" t="inlineStr">
        <is>
          <t>Fence and make safe package - Job 1871</t>
        </is>
      </c>
      <c r="D32" s="9" t="n">
        <v>270.11</v>
      </c>
      <c r="E32" t="inlineStr">
        <is>
          <t>Bookkeeper</t>
        </is>
      </c>
      <c r="F32" t="inlineStr">
        <is>
          <t>Choose the account (and split if two services)</t>
        </is>
      </c>
      <c r="G32" t="inlineStr">
        <is>
          <t>Open</t>
        </is>
      </c>
    </row>
    <row r="33">
      <c r="A33" t="inlineStr">
        <is>
          <t>Income coding</t>
        </is>
      </c>
      <c r="B33" t="inlineStr">
        <is>
          <t>INV-5912-1</t>
        </is>
      </c>
      <c r="C33" t="inlineStr">
        <is>
          <t>Variation 3059 - additional works</t>
        </is>
      </c>
      <c r="D33" s="9" t="n">
        <v>860.29</v>
      </c>
      <c r="E33" t="inlineStr">
        <is>
          <t>Owner</t>
        </is>
      </c>
      <c r="F33" t="inlineStr">
        <is>
          <t>Choose the account (and split if two services)</t>
        </is>
      </c>
      <c r="G33" t="inlineStr">
        <is>
          <t>Open</t>
        </is>
      </c>
    </row>
    <row r="34">
      <c r="A34" t="inlineStr">
        <is>
          <t>Income coding</t>
        </is>
      </c>
      <c r="B34" t="inlineStr">
        <is>
          <t>INV-5935-1</t>
        </is>
      </c>
      <c r="C34" t="inlineStr">
        <is>
          <t>Works completed as discussed</t>
        </is>
      </c>
      <c r="D34" s="9" t="n">
        <v>3636.87</v>
      </c>
      <c r="E34" t="inlineStr">
        <is>
          <t>Owner</t>
        </is>
      </c>
      <c r="F34" t="inlineStr">
        <is>
          <t>Choose the account (and split if two services)</t>
        </is>
      </c>
      <c r="G34" t="inlineStr">
        <is>
          <t>Open</t>
        </is>
      </c>
    </row>
    <row r="35">
      <c r="A35" t="inlineStr">
        <is>
          <t>Income coding</t>
        </is>
      </c>
      <c r="B35" t="inlineStr">
        <is>
          <t>INV-5909-1</t>
        </is>
      </c>
      <c r="C35" t="inlineStr">
        <is>
          <t>Job 1675 - progress claim</t>
        </is>
      </c>
      <c r="D35" s="9" t="n">
        <v>3052.12</v>
      </c>
      <c r="E35" t="inlineStr">
        <is>
          <t>Owner</t>
        </is>
      </c>
      <c r="F35" t="inlineStr">
        <is>
          <t>Choose the account (and split if two services)</t>
        </is>
      </c>
      <c r="G35" t="inlineStr">
        <is>
          <t>Open</t>
        </is>
      </c>
    </row>
    <row r="36">
      <c r="A36" t="inlineStr">
        <is>
          <t>Income coding</t>
        </is>
      </c>
      <c r="B36" t="inlineStr">
        <is>
          <t>INV-5928-1</t>
        </is>
      </c>
      <c r="C36" t="inlineStr">
        <is>
          <t>Fence and make safe package - Job 4201</t>
        </is>
      </c>
      <c r="D36" s="9" t="n">
        <v>1864.11</v>
      </c>
      <c r="E36" t="inlineStr">
        <is>
          <t>Bookkeeper</t>
        </is>
      </c>
      <c r="F36" t="inlineStr">
        <is>
          <t>Choose the account (and split if two services)</t>
        </is>
      </c>
      <c r="G36" t="inlineStr">
        <is>
          <t>Open</t>
        </is>
      </c>
    </row>
    <row r="37">
      <c r="A37" t="inlineStr">
        <is>
          <t>Income coding</t>
        </is>
      </c>
      <c r="B37" t="inlineStr">
        <is>
          <t>INV-5919-1</t>
        </is>
      </c>
      <c r="C37" t="inlineStr">
        <is>
          <t>As per quote Q-3163</t>
        </is>
      </c>
      <c r="D37" s="9" t="n">
        <v>3119.58</v>
      </c>
      <c r="E37" t="inlineStr">
        <is>
          <t>Bookkeeper</t>
        </is>
      </c>
      <c r="F37" t="inlineStr">
        <is>
          <t>Choose the account (and split if two services)</t>
        </is>
      </c>
      <c r="G37" t="inlineStr">
        <is>
          <t>Open</t>
        </is>
      </c>
    </row>
    <row r="38">
      <c r="A38" t="inlineStr">
        <is>
          <t>Income coding</t>
        </is>
      </c>
      <c r="B38" t="inlineStr">
        <is>
          <t>INV-5907-1</t>
        </is>
      </c>
      <c r="C38" t="inlineStr">
        <is>
          <t>Fence and make safe package - Job 1607</t>
        </is>
      </c>
      <c r="D38" s="9" t="n">
        <v>3704.59</v>
      </c>
      <c r="E38" t="inlineStr">
        <is>
          <t>Bookkeeper</t>
        </is>
      </c>
      <c r="F38" t="inlineStr">
        <is>
          <t>Choose the account (and split if two services)</t>
        </is>
      </c>
      <c r="G38" t="inlineStr">
        <is>
          <t>Open</t>
        </is>
      </c>
    </row>
    <row r="39">
      <c r="A39" t="inlineStr">
        <is>
          <t>Income coding</t>
        </is>
      </c>
      <c r="B39" t="inlineStr">
        <is>
          <t>INV-5924-1</t>
        </is>
      </c>
      <c r="C39" t="inlineStr">
        <is>
          <t>Fence and make safe package - Job 2214</t>
        </is>
      </c>
      <c r="D39" s="9" t="n">
        <v>927.28</v>
      </c>
      <c r="E39" t="inlineStr">
        <is>
          <t>Owner</t>
        </is>
      </c>
      <c r="F39" t="inlineStr">
        <is>
          <t>Choose the account (and split if two services)</t>
        </is>
      </c>
      <c r="G39" t="inlineStr">
        <is>
          <t>Open</t>
        </is>
      </c>
    </row>
    <row r="40">
      <c r="A40" t="inlineStr">
        <is>
          <t>Income coding</t>
        </is>
      </c>
      <c r="B40" t="inlineStr">
        <is>
          <t>INV-5926-1</t>
        </is>
      </c>
      <c r="C40" t="inlineStr">
        <is>
          <t>Job 2058 - progress claim</t>
        </is>
      </c>
      <c r="D40" s="9" t="n">
        <v>1388.47</v>
      </c>
      <c r="E40" t="inlineStr">
        <is>
          <t>Owner</t>
        </is>
      </c>
      <c r="F40" t="inlineStr">
        <is>
          <t>Choose the account (and split if two services)</t>
        </is>
      </c>
      <c r="G40" t="inlineStr">
        <is>
          <t>Open</t>
        </is>
      </c>
    </row>
    <row r="41">
      <c r="A41" t="inlineStr">
        <is>
          <t>Income coding</t>
        </is>
      </c>
      <c r="B41" t="inlineStr">
        <is>
          <t>INV-5929-1</t>
        </is>
      </c>
      <c r="C41" t="inlineStr">
        <is>
          <t>As per quote Q-2547</t>
        </is>
      </c>
      <c r="D41" s="9" t="n">
        <v>2374.82</v>
      </c>
      <c r="E41" t="inlineStr">
        <is>
          <t>Owner</t>
        </is>
      </c>
      <c r="F41" t="inlineStr">
        <is>
          <t>Choose the account (and split if two services)</t>
        </is>
      </c>
      <c r="G41" t="inlineStr">
        <is>
          <t>Open</t>
        </is>
      </c>
    </row>
    <row r="42">
      <c r="A42" t="inlineStr">
        <is>
          <t>Income coding</t>
        </is>
      </c>
      <c r="B42" t="inlineStr">
        <is>
          <t>INV-5897-1</t>
        </is>
      </c>
      <c r="C42" t="inlineStr">
        <is>
          <t>As per quote Q-2344</t>
        </is>
      </c>
      <c r="D42" s="9" t="n">
        <v>1089.84</v>
      </c>
      <c r="E42" t="inlineStr">
        <is>
          <t>Owner</t>
        </is>
      </c>
      <c r="F42" t="inlineStr">
        <is>
          <t>Choose the account (and split if two services)</t>
        </is>
      </c>
      <c r="G42" t="inlineStr">
        <is>
          <t>Open</t>
        </is>
      </c>
    </row>
    <row r="43">
      <c r="A43" t="inlineStr">
        <is>
          <t>Income coding</t>
        </is>
      </c>
      <c r="B43" t="inlineStr">
        <is>
          <t>INV-5901-1</t>
        </is>
      </c>
      <c r="C43" t="inlineStr">
        <is>
          <t>Site works</t>
        </is>
      </c>
      <c r="D43" s="9" t="n">
        <v>3232.89</v>
      </c>
      <c r="E43" t="inlineStr">
        <is>
          <t>Owner</t>
        </is>
      </c>
      <c r="F43" t="inlineStr">
        <is>
          <t>Choose the account (and split if two services)</t>
        </is>
      </c>
      <c r="G43" t="inlineStr">
        <is>
          <t>Open</t>
        </is>
      </c>
    </row>
    <row r="44">
      <c r="A44" t="inlineStr">
        <is>
          <t>Income coding</t>
        </is>
      </c>
      <c r="B44" t="inlineStr">
        <is>
          <t>INV-5925-1</t>
        </is>
      </c>
      <c r="C44" t="inlineStr">
        <is>
          <t>Works completed as discussed</t>
        </is>
      </c>
      <c r="D44" s="9" t="n">
        <v>1460.92</v>
      </c>
      <c r="E44" t="inlineStr">
        <is>
          <t>Owner</t>
        </is>
      </c>
      <c r="F44" t="inlineStr">
        <is>
          <t>Choose the account (and split if two services)</t>
        </is>
      </c>
      <c r="G44" t="inlineStr">
        <is>
          <t>Open</t>
        </is>
      </c>
    </row>
    <row r="45">
      <c r="A45" t="inlineStr">
        <is>
          <t>Income coding</t>
        </is>
      </c>
      <c r="B45" t="inlineStr">
        <is>
          <t>INV-5918-1</t>
        </is>
      </c>
      <c r="C45" t="inlineStr">
        <is>
          <t>Job 4623 - progress claim</t>
        </is>
      </c>
      <c r="D45" s="9" t="n">
        <v>1109.69</v>
      </c>
      <c r="E45" t="inlineStr">
        <is>
          <t>Bookkeeper</t>
        </is>
      </c>
      <c r="F45" t="inlineStr">
        <is>
          <t>Choose the account (and split if two services)</t>
        </is>
      </c>
      <c r="G45" t="inlineStr">
        <is>
          <t>Open</t>
        </is>
      </c>
    </row>
    <row r="46">
      <c r="A46" t="inlineStr">
        <is>
          <t>Income coding</t>
        </is>
      </c>
      <c r="B46" t="inlineStr">
        <is>
          <t>INV-5896-1</t>
        </is>
      </c>
      <c r="C46" t="inlineStr">
        <is>
          <t>Misc charges</t>
        </is>
      </c>
      <c r="D46" s="9" t="n">
        <v>3305.12</v>
      </c>
      <c r="E46" t="inlineStr">
        <is>
          <t>Owner</t>
        </is>
      </c>
      <c r="F46" t="inlineStr">
        <is>
          <t>Choose the account (and split if two services)</t>
        </is>
      </c>
      <c r="G46" t="inlineStr">
        <is>
          <t>Open</t>
        </is>
      </c>
    </row>
    <row r="47">
      <c r="A47" t="inlineStr">
        <is>
          <t>Income coding</t>
        </is>
      </c>
      <c r="B47" t="inlineStr">
        <is>
          <t>INV-5933-1</t>
        </is>
      </c>
      <c r="C47" t="inlineStr">
        <is>
          <t>Job 1301 - progress claim</t>
        </is>
      </c>
      <c r="D47" s="9" t="n">
        <v>3483.89</v>
      </c>
      <c r="E47" t="inlineStr">
        <is>
          <t>Bookkeeper</t>
        </is>
      </c>
      <c r="F47" t="inlineStr">
        <is>
          <t>Choose the account (and split if two services)</t>
        </is>
      </c>
      <c r="G47" t="inlineStr">
        <is>
          <t>Open</t>
        </is>
      </c>
    </row>
    <row r="48">
      <c r="A48" t="inlineStr">
        <is>
          <t>Income coding</t>
        </is>
      </c>
      <c r="B48" t="inlineStr">
        <is>
          <t>INV-5917-1</t>
        </is>
      </c>
      <c r="C48" t="inlineStr">
        <is>
          <t>Job 4297 - progress claim</t>
        </is>
      </c>
      <c r="D48" s="9" t="n">
        <v>897.27</v>
      </c>
      <c r="E48" t="inlineStr">
        <is>
          <t>Owner</t>
        </is>
      </c>
      <c r="F48" t="inlineStr">
        <is>
          <t>Choose the account (and split if two services)</t>
        </is>
      </c>
      <c r="G48" t="inlineStr">
        <is>
          <t>Open</t>
        </is>
      </c>
    </row>
    <row r="49">
      <c r="A49" t="inlineStr">
        <is>
          <t>Income coding</t>
        </is>
      </c>
      <c r="B49" t="inlineStr">
        <is>
          <t>INV-5927-1</t>
        </is>
      </c>
      <c r="C49" t="inlineStr">
        <is>
          <t>Fence and make safe package - Job 2116</t>
        </is>
      </c>
      <c r="D49" s="9" t="n">
        <v>2185.99</v>
      </c>
      <c r="E49" t="inlineStr">
        <is>
          <t>Bookkeeper</t>
        </is>
      </c>
      <c r="F49" t="inlineStr">
        <is>
          <t>Choose the account (and split if two services)</t>
        </is>
      </c>
      <c r="G49" t="inlineStr">
        <is>
          <t>Open</t>
        </is>
      </c>
    </row>
    <row r="50">
      <c r="A50" t="inlineStr">
        <is>
          <t>Income coding</t>
        </is>
      </c>
      <c r="B50" t="inlineStr">
        <is>
          <t>INV-5894-1</t>
        </is>
      </c>
      <c r="C50" t="inlineStr">
        <is>
          <t>As per quote Q-3717</t>
        </is>
      </c>
      <c r="D50" s="9" t="n">
        <v>290.09</v>
      </c>
      <c r="E50" t="inlineStr">
        <is>
          <t>Owner</t>
        </is>
      </c>
      <c r="F50" t="inlineStr">
        <is>
          <t>Choose the account (and split if two services)</t>
        </is>
      </c>
      <c r="G50" t="inlineStr">
        <is>
          <t>Open</t>
        </is>
      </c>
    </row>
    <row r="51">
      <c r="A51" t="inlineStr">
        <is>
          <t>Tax</t>
        </is>
      </c>
      <c r="B51" t="inlineStr">
        <is>
          <t>INV-4658-2</t>
        </is>
      </c>
      <c r="C51" t="inlineStr">
        <is>
          <t>GST not charged on a taxable sale</t>
        </is>
      </c>
      <c r="D51" s="9" t="n">
        <v>58</v>
      </c>
      <c r="E51" t="inlineStr">
        <is>
          <t>Bookkeeper</t>
        </is>
      </c>
      <c r="F51" t="inlineStr">
        <is>
          <t>Correct in FY26 Q1 BAS revision or next BAS, as the accountant advises</t>
        </is>
      </c>
      <c r="G51" t="inlineStr">
        <is>
          <t>Open</t>
        </is>
      </c>
    </row>
    <row r="52">
      <c r="A52" t="inlineStr">
        <is>
          <t>Tax</t>
        </is>
      </c>
      <c r="B52" t="inlineStr">
        <is>
          <t>INV-5861-1</t>
        </is>
      </c>
      <c r="C52" t="inlineStr">
        <is>
          <t>GST not charged on a taxable sale</t>
        </is>
      </c>
      <c r="D52" s="9" t="n">
        <v>117.6</v>
      </c>
      <c r="E52" t="inlineStr">
        <is>
          <t>Bookkeeper</t>
        </is>
      </c>
      <c r="F52" t="inlineStr">
        <is>
          <t>Correct in FY26 Q1 BAS revision or next BAS, as the accountant advises</t>
        </is>
      </c>
      <c r="G52" t="inlineStr">
        <is>
          <t>Open</t>
        </is>
      </c>
    </row>
    <row r="53">
      <c r="A53" t="inlineStr">
        <is>
          <t>Tax</t>
        </is>
      </c>
      <c r="B53" t="inlineStr">
        <is>
          <t>INV-5780-2</t>
        </is>
      </c>
      <c r="C53" t="inlineStr">
        <is>
          <t>GST not charged on a taxable sale</t>
        </is>
      </c>
      <c r="D53" s="9" t="n">
        <v>50.38</v>
      </c>
      <c r="E53" t="inlineStr">
        <is>
          <t>Bookkeeper</t>
        </is>
      </c>
      <c r="F53" t="inlineStr">
        <is>
          <t>Correct in FY26 Q1 BAS revision or next BAS, as the accountant advises</t>
        </is>
      </c>
      <c r="G53" t="inlineStr">
        <is>
          <t>Open</t>
        </is>
      </c>
    </row>
    <row r="54">
      <c r="A54" t="inlineStr">
        <is>
          <t>Tax</t>
        </is>
      </c>
      <c r="B54" t="inlineStr">
        <is>
          <t>INV-4768-3</t>
        </is>
      </c>
      <c r="C54" t="inlineStr">
        <is>
          <t>GST charged on a refundable deposit</t>
        </is>
      </c>
      <c r="D54" s="9" t="n">
        <v>-99</v>
      </c>
      <c r="E54" t="inlineStr">
        <is>
          <t>Bookkeeper</t>
        </is>
      </c>
      <c r="F54" t="inlineStr">
        <is>
          <t>Correct in FY26 Q1 BAS revision or next BAS, as the accountant advises</t>
        </is>
      </c>
      <c r="G54" t="inlineStr">
        <is>
          <t>Open</t>
        </is>
      </c>
    </row>
    <row r="55">
      <c r="A55" t="inlineStr">
        <is>
          <t>Tax</t>
        </is>
      </c>
      <c r="B55" t="inlineStr">
        <is>
          <t>INV-5516-1</t>
        </is>
      </c>
      <c r="C55" t="inlineStr">
        <is>
          <t>GST not charged on a taxable sale</t>
        </is>
      </c>
      <c r="D55" s="9" t="n">
        <v>14</v>
      </c>
      <c r="E55" t="inlineStr">
        <is>
          <t>Bookkeeper</t>
        </is>
      </c>
      <c r="F55" t="inlineStr">
        <is>
          <t>Correct in FY26 Q1 BAS revision or next BAS, as the accountant advises</t>
        </is>
      </c>
      <c r="G55" t="inlineStr">
        <is>
          <t>Open</t>
        </is>
      </c>
    </row>
    <row r="56">
      <c r="A56" t="inlineStr">
        <is>
          <t>Tax</t>
        </is>
      </c>
      <c r="B56" t="inlineStr">
        <is>
          <t>INV-5707-2</t>
        </is>
      </c>
      <c r="C56" t="inlineStr">
        <is>
          <t>GST not charged on a taxable sale</t>
        </is>
      </c>
      <c r="D56" s="9" t="n">
        <v>72</v>
      </c>
      <c r="E56" t="inlineStr">
        <is>
          <t>Bookkeeper</t>
        </is>
      </c>
      <c r="F56" t="inlineStr">
        <is>
          <t>Correct in FY26 Q1 BAS revision or next BAS, as the accountant advises</t>
        </is>
      </c>
      <c r="G56" t="inlineStr">
        <is>
          <t>Open</t>
        </is>
      </c>
    </row>
    <row r="57">
      <c r="A57" t="inlineStr">
        <is>
          <t>Tax</t>
        </is>
      </c>
      <c r="B57" t="inlineStr">
        <is>
          <t>INV-4126-1</t>
        </is>
      </c>
      <c r="C57" t="inlineStr">
        <is>
          <t>GST not charged on a taxable sale</t>
        </is>
      </c>
      <c r="D57" s="9" t="n">
        <v>16.5</v>
      </c>
      <c r="E57" t="inlineStr">
        <is>
          <t>Bookkeeper</t>
        </is>
      </c>
      <c r="F57" t="inlineStr">
        <is>
          <t>Correct in FY26 Q1 BAS revision or next BAS, as the accountant advises</t>
        </is>
      </c>
      <c r="G57" t="inlineStr">
        <is>
          <t>Open</t>
        </is>
      </c>
    </row>
    <row r="58">
      <c r="A58" t="inlineStr">
        <is>
          <t>Tax</t>
        </is>
      </c>
      <c r="B58" t="inlineStr">
        <is>
          <t>INV-4511-1</t>
        </is>
      </c>
      <c r="C58" t="inlineStr">
        <is>
          <t>GST not charged on a taxable sale</t>
        </is>
      </c>
      <c r="D58" s="9" t="n">
        <v>253.8</v>
      </c>
      <c r="E58" t="inlineStr">
        <is>
          <t>Bookkeeper</t>
        </is>
      </c>
      <c r="F58" t="inlineStr">
        <is>
          <t>Correct in FY26 Q1 BAS revision or next BAS, as the accountant advises</t>
        </is>
      </c>
      <c r="G58" t="inlineStr">
        <is>
          <t>Open</t>
        </is>
      </c>
    </row>
    <row r="59">
      <c r="A59" t="inlineStr">
        <is>
          <t>Tax</t>
        </is>
      </c>
      <c r="B59" t="inlineStr">
        <is>
          <t>INV-5804-4</t>
        </is>
      </c>
      <c r="C59" t="inlineStr">
        <is>
          <t>GST not charged on a taxable sale</t>
        </is>
      </c>
      <c r="D59" s="9" t="n">
        <v>12</v>
      </c>
      <c r="E59" t="inlineStr">
        <is>
          <t>Bookkeeper</t>
        </is>
      </c>
      <c r="F59" t="inlineStr">
        <is>
          <t>Correct in FY26 Q1 BAS revision or next BAS, as the accountant advises</t>
        </is>
      </c>
      <c r="G59" t="inlineStr">
        <is>
          <t>Open</t>
        </is>
      </c>
    </row>
    <row r="60">
      <c r="A60" t="inlineStr">
        <is>
          <t>Tax</t>
        </is>
      </c>
      <c r="B60" t="inlineStr">
        <is>
          <t>INV-5877-1</t>
        </is>
      </c>
      <c r="C60" t="inlineStr">
        <is>
          <t>GST not charged on a taxable sale</t>
        </is>
      </c>
      <c r="D60" s="9" t="n">
        <v>78.40000000000001</v>
      </c>
      <c r="E60" t="inlineStr">
        <is>
          <t>Bookkeeper</t>
        </is>
      </c>
      <c r="F60" t="inlineStr">
        <is>
          <t>Correct in FY26 Q1 BAS revision or next BAS, as the accountant advises</t>
        </is>
      </c>
      <c r="G60" t="inlineStr">
        <is>
          <t>Open</t>
        </is>
      </c>
    </row>
    <row r="61">
      <c r="A61" t="inlineStr">
        <is>
          <t>Tax</t>
        </is>
      </c>
      <c r="B61" t="inlineStr">
        <is>
          <t>INV-4965-3</t>
        </is>
      </c>
      <c r="C61" t="inlineStr">
        <is>
          <t>GST charged on a refundable deposit</t>
        </is>
      </c>
      <c r="D61" s="9" t="n">
        <v>-62</v>
      </c>
      <c r="E61" t="inlineStr">
        <is>
          <t>Bookkeeper</t>
        </is>
      </c>
      <c r="F61" t="inlineStr">
        <is>
          <t>Correct in FY26 Q1 BAS revision or next BAS, as the accountant advises</t>
        </is>
      </c>
      <c r="G61" t="inlineStr">
        <is>
          <t>Open</t>
        </is>
      </c>
    </row>
    <row r="62">
      <c r="A62" t="inlineStr">
        <is>
          <t>Tax</t>
        </is>
      </c>
      <c r="B62" t="inlineStr">
        <is>
          <t>INV-4558-1</t>
        </is>
      </c>
      <c r="C62" t="inlineStr">
        <is>
          <t>GST not charged on a taxable sale</t>
        </is>
      </c>
      <c r="D62" s="9" t="n">
        <v>16.5</v>
      </c>
      <c r="E62" t="inlineStr">
        <is>
          <t>Bookkeeper</t>
        </is>
      </c>
      <c r="F62" t="inlineStr">
        <is>
          <t>Correct in FY26 Q1 BAS revision or next BAS, as the accountant advises</t>
        </is>
      </c>
      <c r="G62" t="inlineStr">
        <is>
          <t>Open</t>
        </is>
      </c>
    </row>
    <row r="63">
      <c r="A63" t="inlineStr">
        <is>
          <t>Tax</t>
        </is>
      </c>
      <c r="B63" t="inlineStr">
        <is>
          <t>INV-4864-3</t>
        </is>
      </c>
      <c r="C63" t="inlineStr">
        <is>
          <t>GST charged on a refundable deposit</t>
        </is>
      </c>
      <c r="D63" s="9" t="n">
        <v>-105</v>
      </c>
      <c r="E63" t="inlineStr">
        <is>
          <t>Bookkeeper</t>
        </is>
      </c>
      <c r="F63" t="inlineStr">
        <is>
          <t>Correct in FY26 Q1 BAS revision or next BAS, as the accountant advises</t>
        </is>
      </c>
      <c r="G63" t="inlineStr">
        <is>
          <t>Open</t>
        </is>
      </c>
    </row>
    <row r="64">
      <c r="A64" t="inlineStr">
        <is>
          <t>Tax</t>
        </is>
      </c>
      <c r="B64" t="inlineStr">
        <is>
          <t>INV-5124-1</t>
        </is>
      </c>
      <c r="C64" t="inlineStr">
        <is>
          <t>GST not charged on a taxable sale</t>
        </is>
      </c>
      <c r="D64" s="9" t="n">
        <v>16.5</v>
      </c>
      <c r="E64" t="inlineStr">
        <is>
          <t>Bookkeeper</t>
        </is>
      </c>
      <c r="F64" t="inlineStr">
        <is>
          <t>Correct in FY26 Q1 BAS revision or next BAS, as the accountant advises</t>
        </is>
      </c>
      <c r="G64" t="inlineStr">
        <is>
          <t>Open</t>
        </is>
      </c>
    </row>
    <row r="65">
      <c r="A65" t="inlineStr">
        <is>
          <t>Tax</t>
        </is>
      </c>
      <c r="B65" t="inlineStr">
        <is>
          <t>INV-5093-1</t>
        </is>
      </c>
      <c r="C65" t="inlineStr">
        <is>
          <t>GST not charged on a taxable sale</t>
        </is>
      </c>
      <c r="D65" s="9" t="n">
        <v>264.6</v>
      </c>
      <c r="E65" t="inlineStr">
        <is>
          <t>Bookkeeper</t>
        </is>
      </c>
      <c r="F65" t="inlineStr">
        <is>
          <t>Correct in FY26 Q2 BAS revision or next BAS, as the accountant advises</t>
        </is>
      </c>
      <c r="G65" t="inlineStr">
        <is>
          <t>Open</t>
        </is>
      </c>
    </row>
    <row r="66">
      <c r="A66" t="inlineStr">
        <is>
          <t>Tax</t>
        </is>
      </c>
      <c r="B66" t="inlineStr">
        <is>
          <t>INV-4874-1</t>
        </is>
      </c>
      <c r="C66" t="inlineStr">
        <is>
          <t>GST not charged on a taxable sale</t>
        </is>
      </c>
      <c r="D66" s="9" t="n">
        <v>117</v>
      </c>
      <c r="E66" t="inlineStr">
        <is>
          <t>Bookkeeper</t>
        </is>
      </c>
      <c r="F66" t="inlineStr">
        <is>
          <t>Correct in FY26 Q2 BAS revision or next BAS, as the accountant advises</t>
        </is>
      </c>
      <c r="G66" t="inlineStr">
        <is>
          <t>Open</t>
        </is>
      </c>
    </row>
    <row r="67">
      <c r="A67" t="inlineStr">
        <is>
          <t>Tax</t>
        </is>
      </c>
      <c r="B67" t="inlineStr">
        <is>
          <t>INV-4315-3</t>
        </is>
      </c>
      <c r="C67" t="inlineStr">
        <is>
          <t>GST charged on a refundable deposit</t>
        </is>
      </c>
      <c r="D67" s="9" t="n">
        <v>-110</v>
      </c>
      <c r="E67" t="inlineStr">
        <is>
          <t>Bookkeeper</t>
        </is>
      </c>
      <c r="F67" t="inlineStr">
        <is>
          <t>Correct in FY26 Q2 BAS revision or next BAS, as the accountant advises</t>
        </is>
      </c>
      <c r="G67" t="inlineStr">
        <is>
          <t>Open</t>
        </is>
      </c>
    </row>
    <row r="68">
      <c r="A68" t="inlineStr">
        <is>
          <t>Tax</t>
        </is>
      </c>
      <c r="B68" t="inlineStr">
        <is>
          <t>INV-4713-2</t>
        </is>
      </c>
      <c r="C68" t="inlineStr">
        <is>
          <t>GST not charged on a taxable sale</t>
        </is>
      </c>
      <c r="D68" s="9" t="n">
        <v>28.38</v>
      </c>
      <c r="E68" t="inlineStr">
        <is>
          <t>Bookkeeper</t>
        </is>
      </c>
      <c r="F68" t="inlineStr">
        <is>
          <t>Correct in FY26 Q2 BAS revision or next BAS, as the accountant advises</t>
        </is>
      </c>
      <c r="G68" t="inlineStr">
        <is>
          <t>Open</t>
        </is>
      </c>
    </row>
    <row r="69">
      <c r="A69" t="inlineStr">
        <is>
          <t>Tax</t>
        </is>
      </c>
      <c r="B69" t="inlineStr">
        <is>
          <t>INV-5091-3</t>
        </is>
      </c>
      <c r="C69" t="inlineStr">
        <is>
          <t>GST charged on a refundable deposit</t>
        </is>
      </c>
      <c r="D69" s="9" t="n">
        <v>-74</v>
      </c>
      <c r="E69" t="inlineStr">
        <is>
          <t>Bookkeeper</t>
        </is>
      </c>
      <c r="F69" t="inlineStr">
        <is>
          <t>Correct in FY26 Q2 BAS revision or next BAS, as the accountant advises</t>
        </is>
      </c>
      <c r="G69" t="inlineStr">
        <is>
          <t>Open</t>
        </is>
      </c>
    </row>
    <row r="70">
      <c r="A70" t="inlineStr">
        <is>
          <t>Tax</t>
        </is>
      </c>
      <c r="B70" t="inlineStr">
        <is>
          <t>INV-5508-2</t>
        </is>
      </c>
      <c r="C70" t="inlineStr">
        <is>
          <t>GST not charged on a taxable sale</t>
        </is>
      </c>
      <c r="D70" s="9" t="n">
        <v>24</v>
      </c>
      <c r="E70" t="inlineStr">
        <is>
          <t>Bookkeeper</t>
        </is>
      </c>
      <c r="F70" t="inlineStr">
        <is>
          <t>Correct in FY26 Q2 BAS revision or next BAS, as the accountant advises</t>
        </is>
      </c>
      <c r="G70" t="inlineStr">
        <is>
          <t>Open</t>
        </is>
      </c>
    </row>
    <row r="71">
      <c r="A71" t="inlineStr">
        <is>
          <t>Tax</t>
        </is>
      </c>
      <c r="B71" t="inlineStr">
        <is>
          <t>CN-5947-1</t>
        </is>
      </c>
      <c r="C71" t="inlineStr">
        <is>
          <t>GST charged on a refundable deposit</t>
        </is>
      </c>
      <c r="D71" s="9" t="n">
        <v>48</v>
      </c>
      <c r="E71" t="inlineStr">
        <is>
          <t>Bookkeeper</t>
        </is>
      </c>
      <c r="F71" t="inlineStr">
        <is>
          <t>Correct in FY26 Q2 BAS revision or next BAS, as the accountant advises</t>
        </is>
      </c>
      <c r="G71" t="inlineStr">
        <is>
          <t>Open</t>
        </is>
      </c>
    </row>
    <row r="72">
      <c r="A72" t="inlineStr">
        <is>
          <t>Tax</t>
        </is>
      </c>
      <c r="B72" t="inlineStr">
        <is>
          <t>INV-4627-1</t>
        </is>
      </c>
      <c r="C72" t="inlineStr">
        <is>
          <t>GST not charged on a taxable sale</t>
        </is>
      </c>
      <c r="D72" s="9" t="n">
        <v>190.8</v>
      </c>
      <c r="E72" t="inlineStr">
        <is>
          <t>Bookkeeper</t>
        </is>
      </c>
      <c r="F72" t="inlineStr">
        <is>
          <t>Correct in FY26 Q2 BAS revision or next BAS, as the accountant advises</t>
        </is>
      </c>
      <c r="G72" t="inlineStr">
        <is>
          <t>Open</t>
        </is>
      </c>
    </row>
    <row r="73">
      <c r="A73" t="inlineStr">
        <is>
          <t>Tax</t>
        </is>
      </c>
      <c r="B73" t="inlineStr">
        <is>
          <t>INV-4849-1</t>
        </is>
      </c>
      <c r="C73" t="inlineStr">
        <is>
          <t>GST not charged on a taxable sale</t>
        </is>
      </c>
      <c r="D73" s="9" t="n">
        <v>16.5</v>
      </c>
      <c r="E73" t="inlineStr">
        <is>
          <t>Bookkeeper</t>
        </is>
      </c>
      <c r="F73" t="inlineStr">
        <is>
          <t>Correct in FY26 Q2 BAS revision or next BAS, as the accountant advises</t>
        </is>
      </c>
      <c r="G73" t="inlineStr">
        <is>
          <t>Open</t>
        </is>
      </c>
    </row>
    <row r="74">
      <c r="A74" t="inlineStr">
        <is>
          <t>Tax</t>
        </is>
      </c>
      <c r="B74" t="inlineStr">
        <is>
          <t>INV-4816-3</t>
        </is>
      </c>
      <c r="C74" t="inlineStr">
        <is>
          <t>GST charged on a refundable deposit</t>
        </is>
      </c>
      <c r="D74" s="9" t="n">
        <v>-32</v>
      </c>
      <c r="E74" t="inlineStr">
        <is>
          <t>Bookkeeper</t>
        </is>
      </c>
      <c r="F74" t="inlineStr">
        <is>
          <t>Correct in FY26 Q2 BAS revision or next BAS, as the accountant advises</t>
        </is>
      </c>
      <c r="G74" t="inlineStr">
        <is>
          <t>Open</t>
        </is>
      </c>
    </row>
    <row r="75">
      <c r="A75" t="inlineStr">
        <is>
          <t>Tax</t>
        </is>
      </c>
      <c r="B75" t="inlineStr">
        <is>
          <t>INV-5134-2</t>
        </is>
      </c>
      <c r="C75" t="inlineStr">
        <is>
          <t>GST not charged on a taxable sale</t>
        </is>
      </c>
      <c r="D75" s="9" t="n">
        <v>25.08</v>
      </c>
      <c r="E75" t="inlineStr">
        <is>
          <t>Bookkeeper</t>
        </is>
      </c>
      <c r="F75" t="inlineStr">
        <is>
          <t>Correct in FY26 Q2 BAS revision or next BAS, as the accountant advises</t>
        </is>
      </c>
      <c r="G75" t="inlineStr">
        <is>
          <t>Open</t>
        </is>
      </c>
    </row>
    <row r="76">
      <c r="A76" t="inlineStr">
        <is>
          <t>Tax</t>
        </is>
      </c>
      <c r="B76" t="inlineStr">
        <is>
          <t>INV-5134-3</t>
        </is>
      </c>
      <c r="C76" t="inlineStr">
        <is>
          <t>GST charged on a refundable deposit</t>
        </is>
      </c>
      <c r="D76" s="9" t="n">
        <v>-91</v>
      </c>
      <c r="E76" t="inlineStr">
        <is>
          <t>Bookkeeper</t>
        </is>
      </c>
      <c r="F76" t="inlineStr">
        <is>
          <t>Correct in FY26 Q2 BAS revision or next BAS, as the accountant advises</t>
        </is>
      </c>
      <c r="G76" t="inlineStr">
        <is>
          <t>Open</t>
        </is>
      </c>
    </row>
    <row r="77">
      <c r="A77" t="inlineStr">
        <is>
          <t>Tax</t>
        </is>
      </c>
      <c r="B77" t="inlineStr">
        <is>
          <t>CN-5946-1</t>
        </is>
      </c>
      <c r="C77" t="inlineStr">
        <is>
          <t>GST charged on a refundable deposit</t>
        </is>
      </c>
      <c r="D77" s="9" t="n">
        <v>65</v>
      </c>
      <c r="E77" t="inlineStr">
        <is>
          <t>Bookkeeper</t>
        </is>
      </c>
      <c r="F77" t="inlineStr">
        <is>
          <t>Correct in FY26 Q2 BAS revision or next BAS, as the accountant advises</t>
        </is>
      </c>
      <c r="G77" t="inlineStr">
        <is>
          <t>Open</t>
        </is>
      </c>
    </row>
    <row r="78">
      <c r="A78" t="inlineStr">
        <is>
          <t>Tax</t>
        </is>
      </c>
      <c r="B78" t="inlineStr">
        <is>
          <t>INV-5512-1</t>
        </is>
      </c>
      <c r="C78" t="inlineStr">
        <is>
          <t>GST not charged on a taxable sale</t>
        </is>
      </c>
      <c r="D78" s="9" t="n">
        <v>56</v>
      </c>
      <c r="E78" t="inlineStr">
        <is>
          <t>Bookkeeper</t>
        </is>
      </c>
      <c r="F78" t="inlineStr">
        <is>
          <t>Correct in FY26 Q2 BAS revision or next BAS, as the accountant advises</t>
        </is>
      </c>
      <c r="G78" t="inlineStr">
        <is>
          <t>Open</t>
        </is>
      </c>
    </row>
    <row r="79">
      <c r="A79" t="inlineStr">
        <is>
          <t>Tax</t>
        </is>
      </c>
      <c r="B79" t="inlineStr">
        <is>
          <t>INV-4952-1</t>
        </is>
      </c>
      <c r="C79" t="inlineStr">
        <is>
          <t>GST not charged on a taxable sale</t>
        </is>
      </c>
      <c r="D79" s="9" t="n">
        <v>219.6</v>
      </c>
      <c r="E79" t="inlineStr">
        <is>
          <t>Bookkeeper</t>
        </is>
      </c>
      <c r="F79" t="inlineStr">
        <is>
          <t>Correct in FY26 Q2 BAS revision or next BAS, as the accountant advises</t>
        </is>
      </c>
      <c r="G79" t="inlineStr">
        <is>
          <t>Open</t>
        </is>
      </c>
    </row>
    <row r="80">
      <c r="A80" t="inlineStr">
        <is>
          <t>Tax</t>
        </is>
      </c>
      <c r="B80" t="inlineStr">
        <is>
          <t>INV-4953-1</t>
        </is>
      </c>
      <c r="C80" t="inlineStr">
        <is>
          <t>GST not charged on a taxable sale</t>
        </is>
      </c>
      <c r="D80" s="9" t="n">
        <v>54.9</v>
      </c>
      <c r="E80" t="inlineStr">
        <is>
          <t>Bookkeeper</t>
        </is>
      </c>
      <c r="F80" t="inlineStr">
        <is>
          <t>Correct in FY26 Q2 BAS revision or next BAS, as the accountant advises</t>
        </is>
      </c>
      <c r="G80" t="inlineStr">
        <is>
          <t>Open</t>
        </is>
      </c>
    </row>
    <row r="81">
      <c r="A81" t="inlineStr">
        <is>
          <t>Tax</t>
        </is>
      </c>
      <c r="B81" t="inlineStr">
        <is>
          <t>CN-5942-1</t>
        </is>
      </c>
      <c r="C81" t="inlineStr">
        <is>
          <t>GST charged on a refundable deposit</t>
        </is>
      </c>
      <c r="D81" s="9" t="n">
        <v>79</v>
      </c>
      <c r="E81" t="inlineStr">
        <is>
          <t>Bookkeeper</t>
        </is>
      </c>
      <c r="F81" t="inlineStr">
        <is>
          <t>Correct in FY26 Q2 BAS revision or next BAS, as the accountant advises</t>
        </is>
      </c>
      <c r="G81" t="inlineStr">
        <is>
          <t>Open</t>
        </is>
      </c>
    </row>
    <row r="82">
      <c r="A82" t="inlineStr">
        <is>
          <t>Tax</t>
        </is>
      </c>
      <c r="B82" t="inlineStr">
        <is>
          <t>INV-4642-3</t>
        </is>
      </c>
      <c r="C82" t="inlineStr">
        <is>
          <t>GST charged on a refundable deposit</t>
        </is>
      </c>
      <c r="D82" s="9" t="n">
        <v>-94</v>
      </c>
      <c r="E82" t="inlineStr">
        <is>
          <t>Bookkeeper</t>
        </is>
      </c>
      <c r="F82" t="inlineStr">
        <is>
          <t>Correct in FY26 Q2 BAS revision or next BAS, as the accountant advises</t>
        </is>
      </c>
      <c r="G82" t="inlineStr">
        <is>
          <t>Open</t>
        </is>
      </c>
    </row>
    <row r="83">
      <c r="A83" t="inlineStr">
        <is>
          <t>Tax</t>
        </is>
      </c>
      <c r="B83" t="inlineStr">
        <is>
          <t>INV-5188-1</t>
        </is>
      </c>
      <c r="C83" t="inlineStr">
        <is>
          <t>GST not charged on a taxable sale</t>
        </is>
      </c>
      <c r="D83" s="9" t="n">
        <v>16.5</v>
      </c>
      <c r="E83" t="inlineStr">
        <is>
          <t>Bookkeeper</t>
        </is>
      </c>
      <c r="F83" t="inlineStr">
        <is>
          <t>Correct in FY26 Q2 BAS revision or next BAS, as the accountant advises</t>
        </is>
      </c>
      <c r="G83" t="inlineStr">
        <is>
          <t>Open</t>
        </is>
      </c>
    </row>
    <row r="84">
      <c r="A84" t="inlineStr">
        <is>
          <t>Tax</t>
        </is>
      </c>
      <c r="B84" t="inlineStr">
        <is>
          <t>INV-5434-1</t>
        </is>
      </c>
      <c r="C84" t="inlineStr">
        <is>
          <t>GST not charged on a taxable sale</t>
        </is>
      </c>
      <c r="D84" s="9" t="n">
        <v>57</v>
      </c>
      <c r="E84" t="inlineStr">
        <is>
          <t>Bookkeeper</t>
        </is>
      </c>
      <c r="F84" t="inlineStr">
        <is>
          <t>Correct in FY26 Q2 BAS revision or next BAS, as the accountant advises</t>
        </is>
      </c>
      <c r="G84" t="inlineStr">
        <is>
          <t>Open</t>
        </is>
      </c>
    </row>
    <row r="85">
      <c r="A85" t="inlineStr">
        <is>
          <t>Tax</t>
        </is>
      </c>
      <c r="B85" t="inlineStr">
        <is>
          <t>INV-5017-3</t>
        </is>
      </c>
      <c r="C85" t="inlineStr">
        <is>
          <t>GST charged on a refundable deposit</t>
        </is>
      </c>
      <c r="D85" s="9" t="n">
        <v>-59</v>
      </c>
      <c r="E85" t="inlineStr">
        <is>
          <t>Bookkeeper</t>
        </is>
      </c>
      <c r="F85" t="inlineStr">
        <is>
          <t>Correct in FY26 Q2 BAS revision or next BAS, as the accountant advises</t>
        </is>
      </c>
      <c r="G85" t="inlineStr">
        <is>
          <t>Open</t>
        </is>
      </c>
    </row>
    <row r="86">
      <c r="A86" t="inlineStr">
        <is>
          <t>Tax</t>
        </is>
      </c>
      <c r="B86" t="inlineStr">
        <is>
          <t>INV-5468-3</t>
        </is>
      </c>
      <c r="C86" t="inlineStr">
        <is>
          <t>GST not charged on a taxable sale</t>
        </is>
      </c>
      <c r="D86" s="9" t="n">
        <v>119.91</v>
      </c>
      <c r="E86" t="inlineStr">
        <is>
          <t>Bookkeeper</t>
        </is>
      </c>
      <c r="F86" t="inlineStr">
        <is>
          <t>Correct in FY26 Q2 BAS revision or next BAS, as the accountant advises</t>
        </is>
      </c>
      <c r="G86" t="inlineStr">
        <is>
          <t>Open</t>
        </is>
      </c>
    </row>
    <row r="87">
      <c r="A87" t="inlineStr">
        <is>
          <t>Tax</t>
        </is>
      </c>
      <c r="B87" t="inlineStr">
        <is>
          <t>CN-5950-1</t>
        </is>
      </c>
      <c r="C87" t="inlineStr">
        <is>
          <t>GST charged on a refundable deposit</t>
        </is>
      </c>
      <c r="D87" s="9" t="n">
        <v>72</v>
      </c>
      <c r="E87" t="inlineStr">
        <is>
          <t>Bookkeeper</t>
        </is>
      </c>
      <c r="F87" t="inlineStr">
        <is>
          <t>Correct in FY26 Q2 BAS revision or next BAS, as the accountant advises</t>
        </is>
      </c>
      <c r="G87" t="inlineStr">
        <is>
          <t>Open</t>
        </is>
      </c>
    </row>
    <row r="88">
      <c r="A88" t="inlineStr">
        <is>
          <t>Tax</t>
        </is>
      </c>
      <c r="B88" t="inlineStr">
        <is>
          <t>INV-4261-1</t>
        </is>
      </c>
      <c r="C88" t="inlineStr">
        <is>
          <t>GST not charged on a taxable sale</t>
        </is>
      </c>
      <c r="D88" s="9" t="n">
        <v>20.48</v>
      </c>
      <c r="E88" t="inlineStr">
        <is>
          <t>Bookkeeper</t>
        </is>
      </c>
      <c r="F88" t="inlineStr">
        <is>
          <t>Correct in FY26 Q2 BAS revision or next BAS, as the accountant advises</t>
        </is>
      </c>
      <c r="G88" t="inlineStr">
        <is>
          <t>Open</t>
        </is>
      </c>
    </row>
    <row r="89">
      <c r="A89" t="inlineStr">
        <is>
          <t>Tax</t>
        </is>
      </c>
      <c r="B89" t="inlineStr">
        <is>
          <t>INV-4236-1</t>
        </is>
      </c>
      <c r="C89" t="inlineStr">
        <is>
          <t>GST not charged on a taxable sale</t>
        </is>
      </c>
      <c r="D89" s="9" t="n">
        <v>68.40000000000001</v>
      </c>
      <c r="E89" t="inlineStr">
        <is>
          <t>Bookkeeper</t>
        </is>
      </c>
      <c r="F89" t="inlineStr">
        <is>
          <t>Correct in FY26 Q2 BAS revision or next BAS, as the accountant advises</t>
        </is>
      </c>
      <c r="G89" t="inlineStr">
        <is>
          <t>Open</t>
        </is>
      </c>
    </row>
    <row r="90">
      <c r="A90" t="inlineStr">
        <is>
          <t>Tax</t>
        </is>
      </c>
      <c r="B90" t="inlineStr">
        <is>
          <t>INV-5107-1</t>
        </is>
      </c>
      <c r="C90" t="inlineStr">
        <is>
          <t>GST not charged on a taxable sale</t>
        </is>
      </c>
      <c r="D90" s="9" t="n">
        <v>23.04</v>
      </c>
      <c r="E90" t="inlineStr">
        <is>
          <t>Bookkeeper</t>
        </is>
      </c>
      <c r="F90" t="inlineStr">
        <is>
          <t>Correct in FY26 Q2 BAS revision or next BAS, as the accountant advises</t>
        </is>
      </c>
      <c r="G90" t="inlineStr">
        <is>
          <t>Open</t>
        </is>
      </c>
    </row>
    <row r="91">
      <c r="A91" t="inlineStr">
        <is>
          <t>Tax</t>
        </is>
      </c>
      <c r="B91" t="inlineStr">
        <is>
          <t>INV-5793-2</t>
        </is>
      </c>
      <c r="C91" t="inlineStr">
        <is>
          <t>GST not charged on a taxable sale</t>
        </is>
      </c>
      <c r="D91" s="9" t="n">
        <v>24</v>
      </c>
      <c r="E91" t="inlineStr">
        <is>
          <t>Bookkeeper</t>
        </is>
      </c>
      <c r="F91" t="inlineStr">
        <is>
          <t>Correct in FY26 Q2 BAS revision or next BAS, as the accountant advises</t>
        </is>
      </c>
      <c r="G91" t="inlineStr">
        <is>
          <t>Open</t>
        </is>
      </c>
    </row>
    <row r="92">
      <c r="A92" t="inlineStr">
        <is>
          <t>Tax</t>
        </is>
      </c>
      <c r="B92" t="inlineStr">
        <is>
          <t>INV-5637-2</t>
        </is>
      </c>
      <c r="C92" t="inlineStr">
        <is>
          <t>GST not charged on a taxable sale</t>
        </is>
      </c>
      <c r="D92" s="9" t="n">
        <v>72</v>
      </c>
      <c r="E92" t="inlineStr">
        <is>
          <t>Bookkeeper</t>
        </is>
      </c>
      <c r="F92" t="inlineStr">
        <is>
          <t>Correct in FY26 Q2 BAS revision or next BAS, as the accountant advises</t>
        </is>
      </c>
      <c r="G92" t="inlineStr">
        <is>
          <t>Open</t>
        </is>
      </c>
    </row>
    <row r="93">
      <c r="A93" t="inlineStr">
        <is>
          <t>Tax</t>
        </is>
      </c>
      <c r="B93" t="inlineStr">
        <is>
          <t>INV-5753-3</t>
        </is>
      </c>
      <c r="C93" t="inlineStr">
        <is>
          <t>GST not charged on a taxable sale</t>
        </is>
      </c>
      <c r="D93" s="9" t="n">
        <v>62.07</v>
      </c>
      <c r="E93" t="inlineStr">
        <is>
          <t>Bookkeeper</t>
        </is>
      </c>
      <c r="F93" t="inlineStr">
        <is>
          <t>Correct in FY26 Q3 BAS revision or next BAS, as the accountant advises</t>
        </is>
      </c>
      <c r="G93" t="inlineStr">
        <is>
          <t>Open</t>
        </is>
      </c>
    </row>
    <row r="94">
      <c r="A94" t="inlineStr">
        <is>
          <t>Tax</t>
        </is>
      </c>
      <c r="B94" t="inlineStr">
        <is>
          <t>INV-5701-1</t>
        </is>
      </c>
      <c r="C94" t="inlineStr">
        <is>
          <t>GST not charged on a taxable sale</t>
        </is>
      </c>
      <c r="D94" s="9" t="n">
        <v>56</v>
      </c>
      <c r="E94" t="inlineStr">
        <is>
          <t>Bookkeeper</t>
        </is>
      </c>
      <c r="F94" t="inlineStr">
        <is>
          <t>Correct in FY26 Q3 BAS revision or next BAS, as the accountant advises</t>
        </is>
      </c>
      <c r="G94" t="inlineStr">
        <is>
          <t>Open</t>
        </is>
      </c>
    </row>
    <row r="95">
      <c r="A95" t="inlineStr">
        <is>
          <t>Tax</t>
        </is>
      </c>
      <c r="B95" t="inlineStr">
        <is>
          <t>CN-5943-1</t>
        </is>
      </c>
      <c r="C95" t="inlineStr">
        <is>
          <t>GST charged on a refundable deposit</t>
        </is>
      </c>
      <c r="D95" s="9" t="n">
        <v>45</v>
      </c>
      <c r="E95" t="inlineStr">
        <is>
          <t>Bookkeeper</t>
        </is>
      </c>
      <c r="F95" t="inlineStr">
        <is>
          <t>Correct in FY26 Q3 BAS revision or next BAS, as the accountant advises</t>
        </is>
      </c>
      <c r="G95" t="inlineStr">
        <is>
          <t>Open</t>
        </is>
      </c>
    </row>
    <row r="96">
      <c r="A96" t="inlineStr">
        <is>
          <t>Tax</t>
        </is>
      </c>
      <c r="B96" t="inlineStr">
        <is>
          <t>INV-5736-1</t>
        </is>
      </c>
      <c r="C96" t="inlineStr">
        <is>
          <t>GST not charged on a taxable sale</t>
        </is>
      </c>
      <c r="D96" s="9" t="n">
        <v>38.5</v>
      </c>
      <c r="E96" t="inlineStr">
        <is>
          <t>Bookkeeper</t>
        </is>
      </c>
      <c r="F96" t="inlineStr">
        <is>
          <t>Correct in FY26 Q3 BAS revision or next BAS, as the accountant advises</t>
        </is>
      </c>
      <c r="G96" t="inlineStr">
        <is>
          <t>Open</t>
        </is>
      </c>
    </row>
    <row r="97">
      <c r="A97" t="inlineStr">
        <is>
          <t>Tax</t>
        </is>
      </c>
      <c r="B97" t="inlineStr">
        <is>
          <t>CN-5945-1</t>
        </is>
      </c>
      <c r="C97" t="inlineStr">
        <is>
          <t>GST charged on a refundable deposit</t>
        </is>
      </c>
      <c r="D97" s="9" t="n">
        <v>58</v>
      </c>
      <c r="E97" t="inlineStr">
        <is>
          <t>Bookkeeper</t>
        </is>
      </c>
      <c r="F97" t="inlineStr">
        <is>
          <t>Correct in FY26 Q3 BAS revision or next BAS, as the accountant advises</t>
        </is>
      </c>
      <c r="G97" t="inlineStr">
        <is>
          <t>Open</t>
        </is>
      </c>
    </row>
    <row r="98">
      <c r="A98" t="inlineStr">
        <is>
          <t>Tax</t>
        </is>
      </c>
      <c r="B98" t="inlineStr">
        <is>
          <t>INV-5812-3</t>
        </is>
      </c>
      <c r="C98" t="inlineStr">
        <is>
          <t>GST not charged on a taxable sale</t>
        </is>
      </c>
      <c r="D98" s="9" t="n">
        <v>12</v>
      </c>
      <c r="E98" t="inlineStr">
        <is>
          <t>Bookkeeper</t>
        </is>
      </c>
      <c r="F98" t="inlineStr">
        <is>
          <t>Correct in FY26 Q3 BAS revision or next BAS, as the accountant advises</t>
        </is>
      </c>
      <c r="G98" t="inlineStr">
        <is>
          <t>Open</t>
        </is>
      </c>
    </row>
    <row r="99">
      <c r="A99" t="inlineStr">
        <is>
          <t>Tax</t>
        </is>
      </c>
      <c r="B99" t="inlineStr">
        <is>
          <t>INV-4310-3</t>
        </is>
      </c>
      <c r="C99" t="inlineStr">
        <is>
          <t>GST charged on a refundable deposit</t>
        </is>
      </c>
      <c r="D99" s="9" t="n">
        <v>-65</v>
      </c>
      <c r="E99" t="inlineStr">
        <is>
          <t>Bookkeeper</t>
        </is>
      </c>
      <c r="F99" t="inlineStr">
        <is>
          <t>Correct in FY26 Q3 BAS revision or next BAS, as the accountant advises</t>
        </is>
      </c>
      <c r="G99" t="inlineStr">
        <is>
          <t>Open</t>
        </is>
      </c>
    </row>
    <row r="100">
      <c r="A100" t="inlineStr">
        <is>
          <t>Tax</t>
        </is>
      </c>
      <c r="B100" t="inlineStr">
        <is>
          <t>CN-5941-1</t>
        </is>
      </c>
      <c r="C100" t="inlineStr">
        <is>
          <t>GST charged on a refundable deposit</t>
        </is>
      </c>
      <c r="D100" s="9" t="n">
        <v>39</v>
      </c>
      <c r="E100" t="inlineStr">
        <is>
          <t>Bookkeeper</t>
        </is>
      </c>
      <c r="F100" t="inlineStr">
        <is>
          <t>Correct in FY26 Q3 BAS revision or next BAS, as the accountant advises</t>
        </is>
      </c>
      <c r="G100" t="inlineStr">
        <is>
          <t>Open</t>
        </is>
      </c>
    </row>
    <row r="101">
      <c r="A101" t="inlineStr">
        <is>
          <t>Tax</t>
        </is>
      </c>
      <c r="B101" t="inlineStr">
        <is>
          <t>INV-4615-1</t>
        </is>
      </c>
      <c r="C101" t="inlineStr">
        <is>
          <t>GST not charged on a taxable sale</t>
        </is>
      </c>
      <c r="D101" s="9" t="n">
        <v>18.9</v>
      </c>
      <c r="E101" t="inlineStr">
        <is>
          <t>Bookkeeper</t>
        </is>
      </c>
      <c r="F101" t="inlineStr">
        <is>
          <t>Correct in FY26 Q3 BAS revision or next BAS, as the accountant advises</t>
        </is>
      </c>
      <c r="G101" t="inlineStr">
        <is>
          <t>Open</t>
        </is>
      </c>
    </row>
    <row r="102">
      <c r="A102" t="inlineStr">
        <is>
          <t>Tax</t>
        </is>
      </c>
      <c r="B102" t="inlineStr">
        <is>
          <t>INV-5634-1</t>
        </is>
      </c>
      <c r="C102" t="inlineStr">
        <is>
          <t>GST not charged on a taxable sale</t>
        </is>
      </c>
      <c r="D102" s="9" t="n">
        <v>56</v>
      </c>
      <c r="E102" t="inlineStr">
        <is>
          <t>Bookkeeper</t>
        </is>
      </c>
      <c r="F102" t="inlineStr">
        <is>
          <t>Correct in FY26 Q3 BAS revision or next BAS, as the accountant advises</t>
        </is>
      </c>
      <c r="G102" t="inlineStr">
        <is>
          <t>Open</t>
        </is>
      </c>
    </row>
    <row r="103">
      <c r="A103" t="inlineStr">
        <is>
          <t>Tax</t>
        </is>
      </c>
      <c r="B103" t="inlineStr">
        <is>
          <t>INV-4311-2</t>
        </is>
      </c>
      <c r="C103" t="inlineStr">
        <is>
          <t>GST not charged on a taxable sale</t>
        </is>
      </c>
      <c r="D103" s="9" t="n">
        <v>17.16</v>
      </c>
      <c r="E103" t="inlineStr">
        <is>
          <t>Bookkeeper</t>
        </is>
      </c>
      <c r="F103" t="inlineStr">
        <is>
          <t>Correct in FY26 Q3 BAS revision or next BAS, as the accountant advises</t>
        </is>
      </c>
      <c r="G103" t="inlineStr">
        <is>
          <t>Open</t>
        </is>
      </c>
    </row>
    <row r="104">
      <c r="A104" t="inlineStr">
        <is>
          <t>Tax</t>
        </is>
      </c>
      <c r="B104" t="inlineStr">
        <is>
          <t>INV-5696-1</t>
        </is>
      </c>
      <c r="C104" t="inlineStr">
        <is>
          <t>GST not charged on a taxable sale</t>
        </is>
      </c>
      <c r="D104" s="9" t="n">
        <v>39.2</v>
      </c>
      <c r="E104" t="inlineStr">
        <is>
          <t>Bookkeeper</t>
        </is>
      </c>
      <c r="F104" t="inlineStr">
        <is>
          <t>Correct in FY26 Q3 BAS revision or next BAS, as the accountant advises</t>
        </is>
      </c>
      <c r="G104" t="inlineStr">
        <is>
          <t>Open</t>
        </is>
      </c>
    </row>
    <row r="105">
      <c r="A105" t="inlineStr">
        <is>
          <t>Tax</t>
        </is>
      </c>
      <c r="B105" t="inlineStr">
        <is>
          <t>INV-5696-2</t>
        </is>
      </c>
      <c r="C105" t="inlineStr">
        <is>
          <t>GST not charged on a taxable sale</t>
        </is>
      </c>
      <c r="D105" s="9" t="n">
        <v>81.25</v>
      </c>
      <c r="E105" t="inlineStr">
        <is>
          <t>Bookkeeper</t>
        </is>
      </c>
      <c r="F105" t="inlineStr">
        <is>
          <t>Correct in FY26 Q3 BAS revision or next BAS, as the accountant advises</t>
        </is>
      </c>
      <c r="G105" t="inlineStr">
        <is>
          <t>Open</t>
        </is>
      </c>
    </row>
    <row r="106">
      <c r="A106" t="inlineStr">
        <is>
          <t>Tax</t>
        </is>
      </c>
      <c r="B106" t="inlineStr">
        <is>
          <t>INV-5864-2</t>
        </is>
      </c>
      <c r="C106" t="inlineStr">
        <is>
          <t>GST not charged on a taxable sale</t>
        </is>
      </c>
      <c r="D106" s="9" t="n">
        <v>75.95999999999999</v>
      </c>
      <c r="E106" t="inlineStr">
        <is>
          <t>Bookkeeper</t>
        </is>
      </c>
      <c r="F106" t="inlineStr">
        <is>
          <t>Correct in FY26 Q3 BAS revision or next BAS, as the accountant advises</t>
        </is>
      </c>
      <c r="G106" t="inlineStr">
        <is>
          <t>Open</t>
        </is>
      </c>
    </row>
    <row r="107">
      <c r="A107" t="inlineStr">
        <is>
          <t>Tax</t>
        </is>
      </c>
      <c r="B107" t="inlineStr">
        <is>
          <t>INV-5049-3</t>
        </is>
      </c>
      <c r="C107" t="inlineStr">
        <is>
          <t>GST charged on a refundable deposit</t>
        </is>
      </c>
      <c r="D107" s="9" t="n">
        <v>-22</v>
      </c>
      <c r="E107" t="inlineStr">
        <is>
          <t>Bookkeeper</t>
        </is>
      </c>
      <c r="F107" t="inlineStr">
        <is>
          <t>Correct in FY26 Q3 BAS revision or next BAS, as the accountant advises</t>
        </is>
      </c>
      <c r="G107" t="inlineStr">
        <is>
          <t>Open</t>
        </is>
      </c>
    </row>
    <row r="108">
      <c r="A108" t="inlineStr">
        <is>
          <t>Tax</t>
        </is>
      </c>
      <c r="B108" t="inlineStr">
        <is>
          <t>INV-5315-1</t>
        </is>
      </c>
      <c r="C108" t="inlineStr">
        <is>
          <t>GST not charged on a taxable sale</t>
        </is>
      </c>
      <c r="D108" s="9" t="n">
        <v>28.5</v>
      </c>
      <c r="E108" t="inlineStr">
        <is>
          <t>Bookkeeper</t>
        </is>
      </c>
      <c r="F108" t="inlineStr">
        <is>
          <t>Correct in FY26 Q3 BAS revision or next BAS, as the accountant advises</t>
        </is>
      </c>
      <c r="G108" t="inlineStr">
        <is>
          <t>Open</t>
        </is>
      </c>
    </row>
    <row r="109">
      <c r="A109" t="inlineStr">
        <is>
          <t>Tax</t>
        </is>
      </c>
      <c r="B109" t="inlineStr">
        <is>
          <t>INV-5554-4</t>
        </is>
      </c>
      <c r="C109" t="inlineStr">
        <is>
          <t>GST not charged on a taxable sale</t>
        </is>
      </c>
      <c r="D109" s="9" t="n">
        <v>12</v>
      </c>
      <c r="E109" t="inlineStr">
        <is>
          <t>Bookkeeper</t>
        </is>
      </c>
      <c r="F109" t="inlineStr">
        <is>
          <t>Correct in FY26 Q3 BAS revision or next BAS, as the accountant advises</t>
        </is>
      </c>
      <c r="G109" t="inlineStr">
        <is>
          <t>Open</t>
        </is>
      </c>
    </row>
    <row r="110">
      <c r="A110" t="inlineStr">
        <is>
          <t>Tax</t>
        </is>
      </c>
      <c r="B110" t="inlineStr">
        <is>
          <t>INV-4738-3</t>
        </is>
      </c>
      <c r="C110" t="inlineStr">
        <is>
          <t>GST charged on a refundable deposit</t>
        </is>
      </c>
      <c r="D110" s="9" t="n">
        <v>-112</v>
      </c>
      <c r="E110" t="inlineStr">
        <is>
          <t>Bookkeeper</t>
        </is>
      </c>
      <c r="F110" t="inlineStr">
        <is>
          <t>Correct in FY26 Q3 BAS revision or next BAS, as the accountant advises</t>
        </is>
      </c>
      <c r="G110" t="inlineStr">
        <is>
          <t>Open</t>
        </is>
      </c>
    </row>
    <row r="111">
      <c r="A111" t="inlineStr">
        <is>
          <t>Tax</t>
        </is>
      </c>
      <c r="B111" t="inlineStr">
        <is>
          <t>INV-5227-1</t>
        </is>
      </c>
      <c r="C111" t="inlineStr">
        <is>
          <t>GST not charged on a taxable sale</t>
        </is>
      </c>
      <c r="D111" s="9" t="n">
        <v>114</v>
      </c>
      <c r="E111" t="inlineStr">
        <is>
          <t>Bookkeeper</t>
        </is>
      </c>
      <c r="F111" t="inlineStr">
        <is>
          <t>Correct in FY26 Q3 BAS revision or next BAS, as the accountant advises</t>
        </is>
      </c>
      <c r="G111" t="inlineStr">
        <is>
          <t>Open</t>
        </is>
      </c>
    </row>
    <row r="112">
      <c r="A112" t="inlineStr">
        <is>
          <t>Tax</t>
        </is>
      </c>
      <c r="B112" t="inlineStr">
        <is>
          <t>INV-5528-1</t>
        </is>
      </c>
      <c r="C112" t="inlineStr">
        <is>
          <t>GST not charged on a taxable sale</t>
        </is>
      </c>
      <c r="D112" s="9" t="n">
        <v>78.40000000000001</v>
      </c>
      <c r="E112" t="inlineStr">
        <is>
          <t>Bookkeeper</t>
        </is>
      </c>
      <c r="F112" t="inlineStr">
        <is>
          <t>Correct in FY26 Q3 BAS revision or next BAS, as the accountant advises</t>
        </is>
      </c>
      <c r="G112" t="inlineStr">
        <is>
          <t>Open</t>
        </is>
      </c>
    </row>
    <row r="113">
      <c r="A113" t="inlineStr">
        <is>
          <t>Tax</t>
        </is>
      </c>
      <c r="B113" t="inlineStr">
        <is>
          <t>INV-5528-2</t>
        </is>
      </c>
      <c r="C113" t="inlineStr">
        <is>
          <t>GST not charged on a taxable sale</t>
        </is>
      </c>
      <c r="D113" s="9" t="n">
        <v>103.99</v>
      </c>
      <c r="E113" t="inlineStr">
        <is>
          <t>Bookkeeper</t>
        </is>
      </c>
      <c r="F113" t="inlineStr">
        <is>
          <t>Correct in FY26 Q3 BAS revision or next BAS, as the accountant advises</t>
        </is>
      </c>
      <c r="G113" t="inlineStr">
        <is>
          <t>Open</t>
        </is>
      </c>
    </row>
    <row r="114">
      <c r="A114" t="inlineStr">
        <is>
          <t>Tax</t>
        </is>
      </c>
      <c r="B114" t="inlineStr">
        <is>
          <t>INV-4648-1</t>
        </is>
      </c>
      <c r="C114" t="inlineStr">
        <is>
          <t>GST not charged on a taxable sale</t>
        </is>
      </c>
      <c r="D114" s="9" t="n">
        <v>63</v>
      </c>
      <c r="E114" t="inlineStr">
        <is>
          <t>Bookkeeper</t>
        </is>
      </c>
      <c r="F114" t="inlineStr">
        <is>
          <t>Correct in FY26 Q4 BAS revision or next BAS, as the accountant advises</t>
        </is>
      </c>
      <c r="G114" t="inlineStr">
        <is>
          <t>Open</t>
        </is>
      </c>
    </row>
    <row r="115">
      <c r="A115" t="inlineStr">
        <is>
          <t>Tax</t>
        </is>
      </c>
      <c r="B115" t="inlineStr">
        <is>
          <t>INV-4568-2</t>
        </is>
      </c>
      <c r="C115" t="inlineStr">
        <is>
          <t>GST not charged on a taxable sale</t>
        </is>
      </c>
      <c r="D115" s="9" t="n">
        <v>25.3</v>
      </c>
      <c r="E115" t="inlineStr">
        <is>
          <t>Bookkeeper</t>
        </is>
      </c>
      <c r="F115" t="inlineStr">
        <is>
          <t>Correct in FY26 Q4 BAS revision or next BAS, as the accountant advises</t>
        </is>
      </c>
      <c r="G115" t="inlineStr">
        <is>
          <t>Open</t>
        </is>
      </c>
    </row>
    <row r="116">
      <c r="A116" t="inlineStr">
        <is>
          <t>Tax</t>
        </is>
      </c>
      <c r="B116" t="inlineStr">
        <is>
          <t>INV-5132-1</t>
        </is>
      </c>
      <c r="C116" t="inlineStr">
        <is>
          <t>GST not charged on a taxable sale</t>
        </is>
      </c>
      <c r="D116" s="9" t="n">
        <v>205.2</v>
      </c>
      <c r="E116" t="inlineStr">
        <is>
          <t>Bookkeeper</t>
        </is>
      </c>
      <c r="F116" t="inlineStr">
        <is>
          <t>Correct in FY26 Q4 BAS revision or next BAS, as the accountant advises</t>
        </is>
      </c>
      <c r="G116" t="inlineStr">
        <is>
          <t>Open</t>
        </is>
      </c>
    </row>
    <row r="117">
      <c r="A117" t="inlineStr">
        <is>
          <t>Tax</t>
        </is>
      </c>
      <c r="B117" t="inlineStr">
        <is>
          <t>INV-5627-1</t>
        </is>
      </c>
      <c r="C117" t="inlineStr">
        <is>
          <t>GST not charged on a taxable sale</t>
        </is>
      </c>
      <c r="D117" s="9" t="n">
        <v>38.5</v>
      </c>
      <c r="E117" t="inlineStr">
        <is>
          <t>Bookkeeper</t>
        </is>
      </c>
      <c r="F117" t="inlineStr">
        <is>
          <t>Correct in FY26 Q4 BAS revision or next BAS, as the accountant advises</t>
        </is>
      </c>
      <c r="G117" t="inlineStr">
        <is>
          <t>Open</t>
        </is>
      </c>
    </row>
    <row r="118">
      <c r="A118" t="inlineStr">
        <is>
          <t>Tax</t>
        </is>
      </c>
      <c r="B118" t="inlineStr">
        <is>
          <t>INV-4660-3</t>
        </is>
      </c>
      <c r="C118" t="inlineStr">
        <is>
          <t>GST charged on a refundable deposit</t>
        </is>
      </c>
      <c r="D118" s="9" t="n">
        <v>-13</v>
      </c>
      <c r="E118" t="inlineStr">
        <is>
          <t>Bookkeeper</t>
        </is>
      </c>
      <c r="F118" t="inlineStr">
        <is>
          <t>Correct in FY26 Q4 BAS revision or next BAS, as the accountant advises</t>
        </is>
      </c>
      <c r="G118" t="inlineStr">
        <is>
          <t>Open</t>
        </is>
      </c>
    </row>
    <row r="119">
      <c r="A119" t="inlineStr">
        <is>
          <t>Tax</t>
        </is>
      </c>
      <c r="B119" t="inlineStr">
        <is>
          <t>INV-4857-1</t>
        </is>
      </c>
      <c r="C119" t="inlineStr">
        <is>
          <t>GST not charged on a taxable sale</t>
        </is>
      </c>
      <c r="D119" s="9" t="n">
        <v>97.2</v>
      </c>
      <c r="E119" t="inlineStr">
        <is>
          <t>Bookkeeper</t>
        </is>
      </c>
      <c r="F119" t="inlineStr">
        <is>
          <t>Correct in FY26 Q4 BAS revision or next BAS, as the accountant advises</t>
        </is>
      </c>
      <c r="G119" t="inlineStr">
        <is>
          <t>Open</t>
        </is>
      </c>
    </row>
    <row r="120">
      <c r="A120" t="inlineStr">
        <is>
          <t>Tax</t>
        </is>
      </c>
      <c r="B120" t="inlineStr">
        <is>
          <t>INV-5577-2</t>
        </is>
      </c>
      <c r="C120" t="inlineStr">
        <is>
          <t>GST not charged on a taxable sale</t>
        </is>
      </c>
      <c r="D120" s="9" t="n">
        <v>67.23999999999999</v>
      </c>
      <c r="E120" t="inlineStr">
        <is>
          <t>Bookkeeper</t>
        </is>
      </c>
      <c r="F120" t="inlineStr">
        <is>
          <t>Correct in FY26 Q4 BAS revision or next BAS, as the accountant advises</t>
        </is>
      </c>
      <c r="G120" t="inlineStr">
        <is>
          <t>Open</t>
        </is>
      </c>
    </row>
    <row r="121">
      <c r="A121" t="inlineStr">
        <is>
          <t>Tax</t>
        </is>
      </c>
      <c r="B121" t="inlineStr">
        <is>
          <t>INV-4600-1</t>
        </is>
      </c>
      <c r="C121" t="inlineStr">
        <is>
          <t>GST not charged on a taxable sale</t>
        </is>
      </c>
      <c r="D121" s="9" t="n">
        <v>253.8</v>
      </c>
      <c r="E121" t="inlineStr">
        <is>
          <t>Bookkeeper</t>
        </is>
      </c>
      <c r="F121" t="inlineStr">
        <is>
          <t>Correct in FY26 Q4 BAS revision or next BAS, as the accountant advises</t>
        </is>
      </c>
      <c r="G121" t="inlineStr">
        <is>
          <t>Open</t>
        </is>
      </c>
    </row>
    <row r="122">
      <c r="A122" t="inlineStr">
        <is>
          <t>Tax</t>
        </is>
      </c>
      <c r="B122" t="inlineStr">
        <is>
          <t>INV-4605-1</t>
        </is>
      </c>
      <c r="C122" t="inlineStr">
        <is>
          <t>GST not charged on a taxable sale</t>
        </is>
      </c>
      <c r="D122" s="9" t="n">
        <v>17.92</v>
      </c>
      <c r="E122" t="inlineStr">
        <is>
          <t>Bookkeeper</t>
        </is>
      </c>
      <c r="F122" t="inlineStr">
        <is>
          <t>Correct in FY26 Q4 BAS revision or next BAS, as the accountant advises</t>
        </is>
      </c>
      <c r="G122" t="inlineStr">
        <is>
          <t>Open</t>
        </is>
      </c>
    </row>
    <row r="123">
      <c r="A123" t="inlineStr">
        <is>
          <t>Tax</t>
        </is>
      </c>
      <c r="B123" t="inlineStr">
        <is>
          <t>INV-5690-1</t>
        </is>
      </c>
      <c r="C123" t="inlineStr">
        <is>
          <t>GST not charged on a taxable sale</t>
        </is>
      </c>
      <c r="D123" s="9" t="n">
        <v>10.5</v>
      </c>
      <c r="E123" t="inlineStr">
        <is>
          <t>Bookkeeper</t>
        </is>
      </c>
      <c r="F123" t="inlineStr">
        <is>
          <t>Correct in FY26 Q4 BAS revision or next BAS, as the accountant advises</t>
        </is>
      </c>
      <c r="G123" t="inlineStr">
        <is>
          <t>Open</t>
        </is>
      </c>
    </row>
    <row r="124">
      <c r="A124" t="inlineStr">
        <is>
          <t>Tax</t>
        </is>
      </c>
      <c r="B124" t="inlineStr">
        <is>
          <t>INV-4914-3</t>
        </is>
      </c>
      <c r="C124" t="inlineStr">
        <is>
          <t>GST charged on a refundable deposit</t>
        </is>
      </c>
      <c r="D124" s="9" t="n">
        <v>-66</v>
      </c>
      <c r="E124" t="inlineStr">
        <is>
          <t>Bookkeeper</t>
        </is>
      </c>
      <c r="F124" t="inlineStr">
        <is>
          <t>Correct in FY26 Q4 BAS revision or next BAS, as the accountant advises</t>
        </is>
      </c>
      <c r="G124" t="inlineStr">
        <is>
          <t>Open</t>
        </is>
      </c>
    </row>
    <row r="125">
      <c r="A125" t="inlineStr">
        <is>
          <t>Tax</t>
        </is>
      </c>
      <c r="B125" t="inlineStr">
        <is>
          <t>INV-5332-1</t>
        </is>
      </c>
      <c r="C125" t="inlineStr">
        <is>
          <t>GST not charged on a taxable sale</t>
        </is>
      </c>
      <c r="D125" s="9" t="n">
        <v>76</v>
      </c>
      <c r="E125" t="inlineStr">
        <is>
          <t>Bookkeeper</t>
        </is>
      </c>
      <c r="F125" t="inlineStr">
        <is>
          <t>Correct in FY26 Q4 BAS revision or next BAS, as the accountant advises</t>
        </is>
      </c>
      <c r="G125" t="inlineStr">
        <is>
          <t>Open</t>
        </is>
      </c>
    </row>
    <row r="126">
      <c r="A126" t="inlineStr">
        <is>
          <t>Tax</t>
        </is>
      </c>
      <c r="B126" t="inlineStr">
        <is>
          <t>INV-5392-1</t>
        </is>
      </c>
      <c r="C126" t="inlineStr">
        <is>
          <t>GST not charged on a taxable sale</t>
        </is>
      </c>
      <c r="D126" s="9" t="n">
        <v>76</v>
      </c>
      <c r="E126" t="inlineStr">
        <is>
          <t>Bookkeeper</t>
        </is>
      </c>
      <c r="F126" t="inlineStr">
        <is>
          <t>Correct in FY26 Q4 BAS revision or next BAS, as the accountant advises</t>
        </is>
      </c>
      <c r="G126" t="inlineStr">
        <is>
          <t>Open</t>
        </is>
      </c>
    </row>
    <row r="127">
      <c r="A127" t="inlineStr">
        <is>
          <t>Tax</t>
        </is>
      </c>
      <c r="B127" t="inlineStr">
        <is>
          <t>INV-5918-1</t>
        </is>
      </c>
      <c r="C127" t="inlineStr">
        <is>
          <t>GST not charged on a taxable sale</t>
        </is>
      </c>
      <c r="D127" s="9" t="n">
        <v>110.97</v>
      </c>
      <c r="E127" t="inlineStr">
        <is>
          <t>Bookkeeper</t>
        </is>
      </c>
      <c r="F127" t="inlineStr">
        <is>
          <t>Correct in FY26 Q4 BAS revision or next BAS, as the accountant advises</t>
        </is>
      </c>
      <c r="G127" t="inlineStr">
        <is>
          <t>Open</t>
        </is>
      </c>
    </row>
    <row r="128">
      <c r="A128" t="inlineStr">
        <is>
          <t>Tax</t>
        </is>
      </c>
      <c r="B128" t="inlineStr">
        <is>
          <t>INV-4225-3</t>
        </is>
      </c>
      <c r="C128" t="inlineStr">
        <is>
          <t>GST charged on a refundable deposit</t>
        </is>
      </c>
      <c r="D128" s="9" t="n">
        <v>-94</v>
      </c>
      <c r="E128" t="inlineStr">
        <is>
          <t>Bookkeeper</t>
        </is>
      </c>
      <c r="F128" t="inlineStr">
        <is>
          <t>Correct in FY26 Q4 BAS revision or next BAS, as the accountant advises</t>
        </is>
      </c>
      <c r="G128" t="inlineStr">
        <is>
          <t>Open</t>
        </is>
      </c>
    </row>
    <row r="129">
      <c r="A129" t="inlineStr">
        <is>
          <t>Tax</t>
        </is>
      </c>
      <c r="B129" t="inlineStr">
        <is>
          <t>INV-4252-3</t>
        </is>
      </c>
      <c r="C129" t="inlineStr">
        <is>
          <t>GST charged on a refundable deposit</t>
        </is>
      </c>
      <c r="D129" s="9" t="n">
        <v>-109</v>
      </c>
      <c r="E129" t="inlineStr">
        <is>
          <t>Bookkeeper</t>
        </is>
      </c>
      <c r="F129" t="inlineStr">
        <is>
          <t>Correct in FY26 Q4 BAS revision or next BAS, as the accountant advises</t>
        </is>
      </c>
      <c r="G129" t="inlineStr">
        <is>
          <t>Open</t>
        </is>
      </c>
    </row>
    <row r="130">
      <c r="A130" t="inlineStr">
        <is>
          <t>Tax</t>
        </is>
      </c>
      <c r="B130" t="inlineStr">
        <is>
          <t>INV-5869-1</t>
        </is>
      </c>
      <c r="C130" t="inlineStr">
        <is>
          <t>GST not charged on a taxable sale</t>
        </is>
      </c>
      <c r="D130" s="9" t="n">
        <v>38.5</v>
      </c>
      <c r="E130" t="inlineStr">
        <is>
          <t>Bookkeeper</t>
        </is>
      </c>
      <c r="F130" t="inlineStr">
        <is>
          <t>Correct in FY26 Q4 BAS revision or next BAS, as the accountant advises</t>
        </is>
      </c>
      <c r="G130" t="inlineStr">
        <is>
          <t>Open</t>
        </is>
      </c>
    </row>
    <row r="131">
      <c r="A131" t="inlineStr">
        <is>
          <t>Tax</t>
        </is>
      </c>
      <c r="B131" t="inlineStr">
        <is>
          <t>INV-5673-2</t>
        </is>
      </c>
      <c r="C131" t="inlineStr">
        <is>
          <t>GST not charged on a taxable sale</t>
        </is>
      </c>
      <c r="D131" s="9" t="n">
        <v>57.96</v>
      </c>
      <c r="E131" t="inlineStr">
        <is>
          <t>Bookkeeper</t>
        </is>
      </c>
      <c r="F131" t="inlineStr">
        <is>
          <t>Correct in FY26 Q4 BAS revision or next BAS, as the accountant advises</t>
        </is>
      </c>
      <c r="G131" t="inlineStr">
        <is>
          <t>Open</t>
        </is>
      </c>
    </row>
    <row r="132">
      <c r="A132" t="inlineStr">
        <is>
          <t>Tax</t>
        </is>
      </c>
      <c r="B132" t="inlineStr">
        <is>
          <t>CN-5944-1</t>
        </is>
      </c>
      <c r="C132" t="inlineStr">
        <is>
          <t>GST charged on a refundable deposit</t>
        </is>
      </c>
      <c r="D132" s="9" t="n">
        <v>53</v>
      </c>
      <c r="E132" t="inlineStr">
        <is>
          <t>Bookkeeper</t>
        </is>
      </c>
      <c r="F132" t="inlineStr">
        <is>
          <t>Correct in FY26 Q4 BAS revision or next BAS, as the accountant advises</t>
        </is>
      </c>
      <c r="G132" t="inlineStr">
        <is>
          <t>Open</t>
        </is>
      </c>
    </row>
    <row r="133">
      <c r="A133" t="inlineStr">
        <is>
          <t>Tax</t>
        </is>
      </c>
      <c r="B133" t="inlineStr">
        <is>
          <t>INV-5734-1</t>
        </is>
      </c>
      <c r="C133" t="inlineStr">
        <is>
          <t>GST not charged on a taxable sale</t>
        </is>
      </c>
      <c r="D133" s="9" t="n">
        <v>29.4</v>
      </c>
      <c r="E133" t="inlineStr">
        <is>
          <t>Bookkeeper</t>
        </is>
      </c>
      <c r="F133" t="inlineStr">
        <is>
          <t>Correct in FY26 Q4 BAS revision or next BAS, as the accountant advises</t>
        </is>
      </c>
      <c r="G133" t="inlineStr">
        <is>
          <t>Open</t>
        </is>
      </c>
    </row>
    <row r="134">
      <c r="A134" t="inlineStr">
        <is>
          <t>Contacts</t>
        </is>
      </c>
      <c r="B134" t="inlineStr">
        <is>
          <t>C0039</t>
        </is>
      </c>
      <c r="C134" t="inlineStr">
        <is>
          <t>Similar name, different tax number to C0010</t>
        </is>
      </c>
      <c r="D134" s="9" t="n">
        <v>0</v>
      </c>
      <c r="E134" t="inlineStr">
        <is>
          <t>Bookkeeper</t>
        </is>
      </c>
      <c r="F134" t="inlineStr">
        <is>
          <t>Kept separate: confirm once</t>
        </is>
      </c>
      <c r="G134" t="inlineStr">
        <is>
          <t>Open</t>
        </is>
      </c>
    </row>
    <row r="135">
      <c r="A135" t="inlineStr">
        <is>
          <t>Contacts</t>
        </is>
      </c>
      <c r="B135" t="inlineStr">
        <is>
          <t>C0040</t>
        </is>
      </c>
      <c r="C135" t="inlineStr">
        <is>
          <t>Similar name, different tax number to C0007</t>
        </is>
      </c>
      <c r="D135" s="9" t="n">
        <v>0</v>
      </c>
      <c r="E135" t="inlineStr">
        <is>
          <t>Bookkeeper</t>
        </is>
      </c>
      <c r="F135" t="inlineStr">
        <is>
          <t>Kept separate: confirm once</t>
        </is>
      </c>
      <c r="G135" t="inlineStr">
        <is>
          <t>Open</t>
        </is>
      </c>
    </row>
    <row r="136">
      <c r="A136" t="inlineStr">
        <is>
          <t>Contacts</t>
        </is>
      </c>
      <c r="B136" t="inlineStr">
        <is>
          <t>C0046</t>
        </is>
      </c>
      <c r="C136" t="inlineStr">
        <is>
          <t>Similar name, different tax number to C0045</t>
        </is>
      </c>
      <c r="D136" s="9" t="n">
        <v>0</v>
      </c>
      <c r="E136" t="inlineStr">
        <is>
          <t>Bookkeeper</t>
        </is>
      </c>
      <c r="F136" t="inlineStr">
        <is>
          <t>Kept separate: confirm once</t>
        </is>
      </c>
      <c r="G136" t="inlineStr">
        <is>
          <t>Open</t>
        </is>
      </c>
    </row>
    <row r="137">
      <c r="A137" t="inlineStr">
        <is>
          <t>Contacts</t>
        </is>
      </c>
      <c r="B137" t="inlineStr">
        <is>
          <t>C0047</t>
        </is>
      </c>
      <c r="C137" t="inlineStr">
        <is>
          <t>Possible duplicate of C0057</t>
        </is>
      </c>
      <c r="D137" s="9" t="n">
        <v>0</v>
      </c>
      <c r="E137" t="inlineStr">
        <is>
          <t>Bookkeeper</t>
        </is>
      </c>
      <c r="F137" t="inlineStr">
        <is>
          <t>Confirm with accounts contact</t>
        </is>
      </c>
      <c r="G137" t="inlineStr">
        <is>
          <t>Open</t>
        </is>
      </c>
    </row>
    <row r="138">
      <c r="A138" t="inlineStr">
        <is>
          <t>Contacts</t>
        </is>
      </c>
      <c r="B138" t="inlineStr">
        <is>
          <t>C0057</t>
        </is>
      </c>
      <c r="C138" t="inlineStr">
        <is>
          <t>Possible duplicate of C0046</t>
        </is>
      </c>
      <c r="D138" s="9" t="n">
        <v>0</v>
      </c>
      <c r="E138" t="inlineStr">
        <is>
          <t>Bookkeeper</t>
        </is>
      </c>
      <c r="F138" t="inlineStr">
        <is>
          <t>Confirm with accounts contact</t>
        </is>
      </c>
      <c r="G138" t="inlineStr">
        <is>
          <t>Open</t>
        </is>
      </c>
    </row>
    <row r="139">
      <c r="A139" t="inlineStr">
        <is>
          <t>Contacts</t>
        </is>
      </c>
      <c r="B139" t="inlineStr">
        <is>
          <t>C0067</t>
        </is>
      </c>
      <c r="C139" t="inlineStr">
        <is>
          <t>Similar name, different tax number to C0064</t>
        </is>
      </c>
      <c r="D139" s="9" t="n">
        <v>0</v>
      </c>
      <c r="E139" t="inlineStr">
        <is>
          <t>Bookkeeper</t>
        </is>
      </c>
      <c r="F139" t="inlineStr">
        <is>
          <t>Kept separate: confirm once</t>
        </is>
      </c>
      <c r="G139" t="inlineStr">
        <is>
          <t>Open</t>
        </is>
      </c>
    </row>
    <row r="140">
      <c r="A140" t="inlineStr">
        <is>
          <t>Contacts</t>
        </is>
      </c>
      <c r="B140" t="inlineStr">
        <is>
          <t>C0112</t>
        </is>
      </c>
      <c r="C140" t="inlineStr">
        <is>
          <t>Possible duplicate of C0101</t>
        </is>
      </c>
      <c r="D140" s="9" t="n">
        <v>0</v>
      </c>
      <c r="E140" t="inlineStr">
        <is>
          <t>Bookkeeper</t>
        </is>
      </c>
      <c r="F140" t="inlineStr">
        <is>
          <t>Confirm with accounts contact</t>
        </is>
      </c>
      <c r="G140" t="inlineStr">
        <is>
          <t>Open</t>
        </is>
      </c>
    </row>
    <row r="141">
      <c r="A141" t="inlineStr">
        <is>
          <t>Contacts</t>
        </is>
      </c>
      <c r="B141" t="inlineStr">
        <is>
          <t>C0122</t>
        </is>
      </c>
      <c r="C141" t="inlineStr">
        <is>
          <t>Similar name, different tax number to C0121</t>
        </is>
      </c>
      <c r="D141" s="9" t="n">
        <v>0</v>
      </c>
      <c r="E141" t="inlineStr">
        <is>
          <t>Bookkeeper</t>
        </is>
      </c>
      <c r="F141" t="inlineStr">
        <is>
          <t>Kept separate: confirm once</t>
        </is>
      </c>
      <c r="G141" t="inlineStr">
        <is>
          <t>Open</t>
        </is>
      </c>
    </row>
    <row r="142">
      <c r="A142" t="inlineStr">
        <is>
          <t>Contacts</t>
        </is>
      </c>
      <c r="B142" t="inlineStr">
        <is>
          <t>C0123</t>
        </is>
      </c>
      <c r="C142" t="inlineStr">
        <is>
          <t>Similar name, different tax number to C0124</t>
        </is>
      </c>
      <c r="D142" s="9" t="n">
        <v>0</v>
      </c>
      <c r="E142" t="inlineStr">
        <is>
          <t>Bookkeeper</t>
        </is>
      </c>
      <c r="F142" t="inlineStr">
        <is>
          <t>Kept separate: confirm once</t>
        </is>
      </c>
      <c r="G142" t="inlineStr">
        <is>
          <t>Open</t>
        </is>
      </c>
    </row>
    <row r="143">
      <c r="A143" t="inlineStr">
        <is>
          <t>Assets</t>
        </is>
      </c>
      <c r="B143" t="inlineStr">
        <is>
          <t>S0018 FP</t>
        </is>
      </c>
      <c r="C143" t="inlineStr">
        <is>
          <t>NOT RETURNED</t>
        </is>
      </c>
      <c r="D143" s="9" t="n">
        <v>7</v>
      </c>
      <c r="E143" t="inlineStr">
        <is>
          <t>Yard lead</t>
        </is>
      </c>
      <c r="F143" t="inlineStr">
        <is>
          <t>Site collected but 7 FP still on the ledger: confirm with the customer, then charge as lost (145.00 each) or write off</t>
        </is>
      </c>
      <c r="G143" t="inlineStr">
        <is>
          <t>Open</t>
        </is>
      </c>
    </row>
    <row r="144">
      <c r="A144" t="inlineStr">
        <is>
          <t>Assets</t>
        </is>
      </c>
      <c r="B144" t="inlineStr">
        <is>
          <t>S0024 FP</t>
        </is>
      </c>
      <c r="C144" t="inlineStr">
        <is>
          <t>NOT RETURNED</t>
        </is>
      </c>
      <c r="D144" s="9" t="n">
        <v>6</v>
      </c>
      <c r="E144" t="inlineStr">
        <is>
          <t>Yard lead</t>
        </is>
      </c>
      <c r="F144" t="inlineStr">
        <is>
          <t>Site collected but 6 FP still on the ledger: confirm with the customer, then charge as lost (145.00 each) or write off</t>
        </is>
      </c>
      <c r="G144" t="inlineStr">
        <is>
          <t>Open</t>
        </is>
      </c>
    </row>
    <row r="145">
      <c r="A145" t="inlineStr">
        <is>
          <t>Assets</t>
        </is>
      </c>
      <c r="B145" t="inlineStr">
        <is>
          <t>S0039 FP</t>
        </is>
      </c>
      <c r="C145" t="inlineStr">
        <is>
          <t>NOT RETURNED</t>
        </is>
      </c>
      <c r="D145" s="9" t="n">
        <v>9</v>
      </c>
      <c r="E145" t="inlineStr">
        <is>
          <t>Yard lead</t>
        </is>
      </c>
      <c r="F145" t="inlineStr">
        <is>
          <t>Site collected but 9 FP still on the ledger: confirm with the customer, then charge as lost (145.00 each) or write off</t>
        </is>
      </c>
      <c r="G145" t="inlineStr">
        <is>
          <t>Open</t>
        </is>
      </c>
    </row>
    <row r="146">
      <c r="A146" t="inlineStr">
        <is>
          <t>Assets</t>
        </is>
      </c>
      <c r="B146" t="inlineStr">
        <is>
          <t>S0063 FP</t>
        </is>
      </c>
      <c r="C146" t="inlineStr">
        <is>
          <t>NOT RETURNED</t>
        </is>
      </c>
      <c r="D146" s="9" t="n">
        <v>3</v>
      </c>
      <c r="E146" t="inlineStr">
        <is>
          <t>Yard lead</t>
        </is>
      </c>
      <c r="F146" t="inlineStr">
        <is>
          <t>Site collected but 3 FP still on the ledger: confirm with the customer, then charge as lost (145.00 each) or write off</t>
        </is>
      </c>
      <c r="G146" t="inlineStr">
        <is>
          <t>Open</t>
        </is>
      </c>
    </row>
    <row r="147">
      <c r="A147" t="inlineStr">
        <is>
          <t>Assets</t>
        </is>
      </c>
      <c r="B147" t="inlineStr">
        <is>
          <t>S0066 FP</t>
        </is>
      </c>
      <c r="C147" t="inlineStr">
        <is>
          <t>NOT RETURNED</t>
        </is>
      </c>
      <c r="D147" s="9" t="n">
        <v>9</v>
      </c>
      <c r="E147" t="inlineStr">
        <is>
          <t>Yard lead</t>
        </is>
      </c>
      <c r="F147" t="inlineStr">
        <is>
          <t>Site collected but 9 FP still on the ledger: confirm with the customer, then charge as lost (145.00 each) or write off</t>
        </is>
      </c>
      <c r="G147" t="inlineStr">
        <is>
          <t>Open</t>
        </is>
      </c>
    </row>
    <row r="148">
      <c r="A148" t="inlineStr">
        <is>
          <t>Assets</t>
        </is>
      </c>
      <c r="B148" t="inlineStr">
        <is>
          <t>S0086 FP</t>
        </is>
      </c>
      <c r="C148" t="inlineStr">
        <is>
          <t>NOT RETURNED</t>
        </is>
      </c>
      <c r="D148" s="9" t="n">
        <v>6</v>
      </c>
      <c r="E148" t="inlineStr">
        <is>
          <t>Yard lead</t>
        </is>
      </c>
      <c r="F148" t="inlineStr">
        <is>
          <t>Site collected but 6 FP still on the ledger: confirm with the customer, then charge as lost (145.00 each) or write off</t>
        </is>
      </c>
      <c r="G148" t="inlineStr">
        <is>
          <t>Open</t>
        </is>
      </c>
    </row>
    <row r="149">
      <c r="A149" t="inlineStr">
        <is>
          <t>Assets</t>
        </is>
      </c>
      <c r="B149" t="inlineStr">
        <is>
          <t>S0097 FP</t>
        </is>
      </c>
      <c r="C149" t="inlineStr">
        <is>
          <t>NOT RETURNED</t>
        </is>
      </c>
      <c r="D149" s="9" t="n">
        <v>4</v>
      </c>
      <c r="E149" t="inlineStr">
        <is>
          <t>Yard lead</t>
        </is>
      </c>
      <c r="F149" t="inlineStr">
        <is>
          <t>Site collected but 4 FP still on the ledger: confirm with the customer, then charge as lost (145.00 each) or write off</t>
        </is>
      </c>
      <c r="G149" t="inlineStr">
        <is>
          <t>Open</t>
        </is>
      </c>
    </row>
    <row r="150">
      <c r="A150" t="inlineStr">
        <is>
          <t>Assets</t>
        </is>
      </c>
      <c r="B150" t="inlineStr">
        <is>
          <t>S0109 FP</t>
        </is>
      </c>
      <c r="C150" t="inlineStr">
        <is>
          <t>NOT RETURNED</t>
        </is>
      </c>
      <c r="D150" s="9" t="n">
        <v>4</v>
      </c>
      <c r="E150" t="inlineStr">
        <is>
          <t>Yard lead</t>
        </is>
      </c>
      <c r="F150" t="inlineStr">
        <is>
          <t>Site collected but 4 FP still on the ledger: confirm with the customer, then charge as lost (145.00 each) or write off</t>
        </is>
      </c>
      <c r="G150" t="inlineStr">
        <is>
          <t>Open</t>
        </is>
      </c>
    </row>
    <row r="151">
      <c r="A151" t="inlineStr">
        <is>
          <t>Assets</t>
        </is>
      </c>
      <c r="B151" t="inlineStr">
        <is>
          <t>S0125 FP</t>
        </is>
      </c>
      <c r="C151" t="inlineStr">
        <is>
          <t>NOT RETURNED</t>
        </is>
      </c>
      <c r="D151" s="9" t="n">
        <v>7</v>
      </c>
      <c r="E151" t="inlineStr">
        <is>
          <t>Yard lead</t>
        </is>
      </c>
      <c r="F151" t="inlineStr">
        <is>
          <t>Site collected but 7 FP still on the ledger: confirm with the customer, then charge as lost (145.00 each) or write off</t>
        </is>
      </c>
      <c r="G151" t="inlineStr">
        <is>
          <t>Open</t>
        </is>
      </c>
    </row>
    <row r="152">
      <c r="A152" t="inlineStr">
        <is>
          <t>Assets</t>
        </is>
      </c>
      <c r="B152" t="inlineStr">
        <is>
          <t>S0136 FP</t>
        </is>
      </c>
      <c r="C152" t="inlineStr">
        <is>
          <t>NOT RETURNED</t>
        </is>
      </c>
      <c r="D152" s="9" t="n">
        <v>5</v>
      </c>
      <c r="E152" t="inlineStr">
        <is>
          <t>Yard lead</t>
        </is>
      </c>
      <c r="F152" t="inlineStr">
        <is>
          <t>Site collected but 5 FP still on the ledger: confirm with the customer, then charge as lost (145.00 each) or write off</t>
        </is>
      </c>
      <c r="G152" t="inlineStr">
        <is>
          <t>Open</t>
        </is>
      </c>
    </row>
    <row r="153">
      <c r="A153" t="inlineStr">
        <is>
          <t>Assets</t>
        </is>
      </c>
      <c r="B153" t="inlineStr">
        <is>
          <t>S0195 FP</t>
        </is>
      </c>
      <c r="C153" t="inlineStr">
        <is>
          <t>NOT RETURNED</t>
        </is>
      </c>
      <c r="D153" s="9" t="n">
        <v>6</v>
      </c>
      <c r="E153" t="inlineStr">
        <is>
          <t>Yard lead</t>
        </is>
      </c>
      <c r="F153" t="inlineStr">
        <is>
          <t>Site collected but 6 FP still on the ledger: confirm with the customer, then charge as lost (145.00 each) or write off</t>
        </is>
      </c>
      <c r="G153" t="inlineStr">
        <is>
          <t>Open</t>
        </is>
      </c>
    </row>
    <row r="154">
      <c r="A154" t="inlineStr">
        <is>
          <t>Assets</t>
        </is>
      </c>
      <c r="B154" t="inlineStr">
        <is>
          <t>S0196 FP</t>
        </is>
      </c>
      <c r="C154" t="inlineStr">
        <is>
          <t>NOT RETURNED</t>
        </is>
      </c>
      <c r="D154" s="9" t="n">
        <v>2</v>
      </c>
      <c r="E154" t="inlineStr">
        <is>
          <t>Yard lead</t>
        </is>
      </c>
      <c r="F154" t="inlineStr">
        <is>
          <t>Site collected but 2 FP still on the ledger: confirm with the customer, then charge as lost (145.00 each) or write off</t>
        </is>
      </c>
      <c r="G154" t="inlineStr">
        <is>
          <t>Open</t>
        </is>
      </c>
    </row>
    <row r="155">
      <c r="A155" t="inlineStr">
        <is>
          <t>Assets</t>
        </is>
      </c>
      <c r="B155" t="inlineStr">
        <is>
          <t>S0202 FP</t>
        </is>
      </c>
      <c r="C155" t="inlineStr">
        <is>
          <t>NOT RETURNED</t>
        </is>
      </c>
      <c r="D155" s="9" t="n">
        <v>2</v>
      </c>
      <c r="E155" t="inlineStr">
        <is>
          <t>Yard lead</t>
        </is>
      </c>
      <c r="F155" t="inlineStr">
        <is>
          <t>Site collected but 2 FP still on the ledger: confirm with the customer, then charge as lost (145.00 each) or write off</t>
        </is>
      </c>
      <c r="G155" t="inlineStr">
        <is>
          <t>Open</t>
        </is>
      </c>
    </row>
    <row r="156">
      <c r="A156" t="inlineStr">
        <is>
          <t>Assets</t>
        </is>
      </c>
      <c r="B156" t="inlineStr">
        <is>
          <t>S0232 FP</t>
        </is>
      </c>
      <c r="C156" t="inlineStr">
        <is>
          <t>NOT RETURNED</t>
        </is>
      </c>
      <c r="D156" s="9" t="n">
        <v>9</v>
      </c>
      <c r="E156" t="inlineStr">
        <is>
          <t>Yard lead</t>
        </is>
      </c>
      <c r="F156" t="inlineStr">
        <is>
          <t>Site collected but 9 FP still on the ledger: confirm with the customer, then charge as lost (145.00 each) or write off</t>
        </is>
      </c>
      <c r="G156" t="inlineStr">
        <is>
          <t>Open</t>
        </is>
      </c>
    </row>
    <row r="157">
      <c r="A157" t="inlineStr">
        <is>
          <t>Assets</t>
        </is>
      </c>
      <c r="B157" t="inlineStr">
        <is>
          <t>YARD FP</t>
        </is>
      </c>
      <c r="C157" t="inlineStr">
        <is>
          <t>STOCKTAKE VARIANCE</t>
        </is>
      </c>
      <c r="D157" s="9" t="n">
        <v>4</v>
      </c>
      <c r="E157" t="inlineStr">
        <is>
          <t>Yard lead</t>
        </is>
      </c>
      <c r="F157" t="inlineStr">
        <is>
          <t>Recount the yard; if confirmed, write off</t>
        </is>
      </c>
      <c r="G157" t="inlineStr">
        <is>
          <t>Open</t>
        </is>
      </c>
    </row>
    <row r="158">
      <c r="A158" t="inlineStr">
        <is>
          <t>Assets</t>
        </is>
      </c>
      <c r="B158" t="inlineStr">
        <is>
          <t>YARD FB</t>
        </is>
      </c>
      <c r="C158" t="inlineStr">
        <is>
          <t>STOCKTAKE VARIANCE</t>
        </is>
      </c>
      <c r="D158" s="9" t="n">
        <v>-3</v>
      </c>
      <c r="E158" t="inlineStr">
        <is>
          <t>Yard lead</t>
        </is>
      </c>
      <c r="F158" t="inlineStr">
        <is>
          <t>Recount the yard; if confirmed, write off</t>
        </is>
      </c>
      <c r="G158" t="inlineStr">
        <is>
          <t>Open</t>
        </is>
      </c>
    </row>
    <row r="159">
      <c r="A159" t="inlineStr">
        <is>
          <t>Billing</t>
        </is>
      </c>
      <c r="B159" t="inlineStr">
        <is>
          <t>S0001 FP</t>
        </is>
      </c>
      <c r="C159" t="inlineStr">
        <is>
          <t>Over-billed</t>
        </is>
      </c>
      <c r="D159" s="9" t="n">
        <v>-333</v>
      </c>
      <c r="E159" t="inlineStr">
        <is>
          <t>Owner</t>
        </is>
      </c>
      <c r="F159" t="inlineStr">
        <is>
          <t>Issue a credit note</t>
        </is>
      </c>
      <c r="G159" t="inlineStr">
        <is>
          <t>Open</t>
        </is>
      </c>
    </row>
    <row r="160">
      <c r="A160" t="inlineStr">
        <is>
          <t>Billing</t>
        </is>
      </c>
      <c r="B160" t="inlineStr">
        <is>
          <t>S0004 FP</t>
        </is>
      </c>
      <c r="C160" t="inlineStr">
        <is>
          <t>Under-billed</t>
        </is>
      </c>
      <c r="D160" s="9" t="n">
        <v>562.5</v>
      </c>
      <c r="E160" t="inlineStr">
        <is>
          <t>Owner</t>
        </is>
      </c>
      <c r="F160" t="inlineStr">
        <is>
          <t>Raise a catch-up invoice</t>
        </is>
      </c>
      <c r="G160" t="inlineStr">
        <is>
          <t>Open</t>
        </is>
      </c>
    </row>
    <row r="161">
      <c r="A161" t="inlineStr">
        <is>
          <t>Billing</t>
        </is>
      </c>
      <c r="B161" t="inlineStr">
        <is>
          <t>S0018 FP</t>
        </is>
      </c>
      <c r="C161" t="inlineStr">
        <is>
          <t>Over-billed</t>
        </is>
      </c>
      <c r="D161" s="9" t="n">
        <v>-324</v>
      </c>
      <c r="E161" t="inlineStr">
        <is>
          <t>Owner</t>
        </is>
      </c>
      <c r="F161" t="inlineStr">
        <is>
          <t>Issue a credit note</t>
        </is>
      </c>
      <c r="G161" t="inlineStr">
        <is>
          <t>Open</t>
        </is>
      </c>
    </row>
    <row r="162">
      <c r="A162" t="inlineStr">
        <is>
          <t>Billing</t>
        </is>
      </c>
      <c r="B162" t="inlineStr">
        <is>
          <t>S0019 FP</t>
        </is>
      </c>
      <c r="C162" t="inlineStr">
        <is>
          <t>Under-billed</t>
        </is>
      </c>
      <c r="D162" s="9" t="n">
        <v>328.5</v>
      </c>
      <c r="E162" t="inlineStr">
        <is>
          <t>Owner</t>
        </is>
      </c>
      <c r="F162" t="inlineStr">
        <is>
          <t>Raise a catch-up invoice</t>
        </is>
      </c>
      <c r="G162" t="inlineStr">
        <is>
          <t>Open</t>
        </is>
      </c>
    </row>
    <row r="163">
      <c r="A163" t="inlineStr">
        <is>
          <t>Billing</t>
        </is>
      </c>
      <c r="B163" t="inlineStr">
        <is>
          <t>S0020 FP</t>
        </is>
      </c>
      <c r="C163" t="inlineStr">
        <is>
          <t>Over-billed</t>
        </is>
      </c>
      <c r="D163" s="9" t="n">
        <v>-418.5</v>
      </c>
      <c r="E163" t="inlineStr">
        <is>
          <t>Owner</t>
        </is>
      </c>
      <c r="F163" t="inlineStr">
        <is>
          <t>Issue a credit note</t>
        </is>
      </c>
      <c r="G163" t="inlineStr">
        <is>
          <t>Open</t>
        </is>
      </c>
    </row>
    <row r="164">
      <c r="A164" t="inlineStr">
        <is>
          <t>Billing</t>
        </is>
      </c>
      <c r="B164" t="inlineStr">
        <is>
          <t>S0036 FP</t>
        </is>
      </c>
      <c r="C164" t="inlineStr">
        <is>
          <t>Under-billed</t>
        </is>
      </c>
      <c r="D164" s="9" t="n">
        <v>2844</v>
      </c>
      <c r="E164" t="inlineStr">
        <is>
          <t>Owner</t>
        </is>
      </c>
      <c r="F164" t="inlineStr">
        <is>
          <t>Raise a catch-up invoice</t>
        </is>
      </c>
      <c r="G164" t="inlineStr">
        <is>
          <t>Open</t>
        </is>
      </c>
    </row>
    <row r="165">
      <c r="A165" t="inlineStr">
        <is>
          <t>Billing</t>
        </is>
      </c>
      <c r="B165" t="inlineStr">
        <is>
          <t>S0041 FP</t>
        </is>
      </c>
      <c r="C165" t="inlineStr">
        <is>
          <t>Under-billed</t>
        </is>
      </c>
      <c r="D165" s="9" t="n">
        <v>1660.5</v>
      </c>
      <c r="E165" t="inlineStr">
        <is>
          <t>Owner</t>
        </is>
      </c>
      <c r="F165" t="inlineStr">
        <is>
          <t>Raise a catch-up invoice</t>
        </is>
      </c>
      <c r="G165" t="inlineStr">
        <is>
          <t>Open</t>
        </is>
      </c>
    </row>
    <row r="166">
      <c r="A166" t="inlineStr">
        <is>
          <t>Billing</t>
        </is>
      </c>
      <c r="B166" t="inlineStr">
        <is>
          <t>S0043 FP</t>
        </is>
      </c>
      <c r="C166" t="inlineStr">
        <is>
          <t>Under-billed</t>
        </is>
      </c>
      <c r="D166" s="9" t="n">
        <v>1053</v>
      </c>
      <c r="E166" t="inlineStr">
        <is>
          <t>Owner</t>
        </is>
      </c>
      <c r="F166" t="inlineStr">
        <is>
          <t>Raise a catch-up invoice</t>
        </is>
      </c>
      <c r="G166" t="inlineStr">
        <is>
          <t>Open</t>
        </is>
      </c>
    </row>
    <row r="167">
      <c r="A167" t="inlineStr">
        <is>
          <t>Billing</t>
        </is>
      </c>
      <c r="B167" t="inlineStr">
        <is>
          <t>S0049 FP</t>
        </is>
      </c>
      <c r="C167" t="inlineStr">
        <is>
          <t>Over-billed</t>
        </is>
      </c>
      <c r="D167" s="9" t="n">
        <v>-108</v>
      </c>
      <c r="E167" t="inlineStr">
        <is>
          <t>Owner</t>
        </is>
      </c>
      <c r="F167" t="inlineStr">
        <is>
          <t>Issue a credit note</t>
        </is>
      </c>
      <c r="G167" t="inlineStr">
        <is>
          <t>Open</t>
        </is>
      </c>
    </row>
    <row r="168">
      <c r="A168" t="inlineStr">
        <is>
          <t>Billing</t>
        </is>
      </c>
      <c r="B168" t="inlineStr">
        <is>
          <t>S0052 FP</t>
        </is>
      </c>
      <c r="C168" t="inlineStr">
        <is>
          <t>Under-billed</t>
        </is>
      </c>
      <c r="D168" s="9" t="n">
        <v>1926</v>
      </c>
      <c r="E168" t="inlineStr">
        <is>
          <t>Owner</t>
        </is>
      </c>
      <c r="F168" t="inlineStr">
        <is>
          <t>Raise a catch-up invoice</t>
        </is>
      </c>
      <c r="G168" t="inlineStr">
        <is>
          <t>Open</t>
        </is>
      </c>
    </row>
    <row r="169">
      <c r="A169" t="inlineStr">
        <is>
          <t>Billing</t>
        </is>
      </c>
      <c r="B169" t="inlineStr">
        <is>
          <t>S0053 FP</t>
        </is>
      </c>
      <c r="C169" t="inlineStr">
        <is>
          <t>Under-billed</t>
        </is>
      </c>
      <c r="D169" s="9" t="n">
        <v>2574</v>
      </c>
      <c r="E169" t="inlineStr">
        <is>
          <t>Owner</t>
        </is>
      </c>
      <c r="F169" t="inlineStr">
        <is>
          <t>Raise a catch-up invoice</t>
        </is>
      </c>
      <c r="G169" t="inlineStr">
        <is>
          <t>Open</t>
        </is>
      </c>
    </row>
    <row r="170">
      <c r="A170" t="inlineStr">
        <is>
          <t>Billing</t>
        </is>
      </c>
      <c r="B170" t="inlineStr">
        <is>
          <t>S0056 FP</t>
        </is>
      </c>
      <c r="C170" t="inlineStr">
        <is>
          <t>Under-billed</t>
        </is>
      </c>
      <c r="D170" s="9" t="n">
        <v>918</v>
      </c>
      <c r="E170" t="inlineStr">
        <is>
          <t>Owner</t>
        </is>
      </c>
      <c r="F170" t="inlineStr">
        <is>
          <t>Raise a catch-up invoice</t>
        </is>
      </c>
      <c r="G170" t="inlineStr">
        <is>
          <t>Open</t>
        </is>
      </c>
    </row>
    <row r="171">
      <c r="A171" t="inlineStr">
        <is>
          <t>Billing</t>
        </is>
      </c>
      <c r="B171" t="inlineStr">
        <is>
          <t>S0061 BR</t>
        </is>
      </c>
      <c r="C171" t="inlineStr">
        <is>
          <t>Under-billed</t>
        </is>
      </c>
      <c r="D171" s="9" t="n">
        <v>115.2</v>
      </c>
      <c r="E171" t="inlineStr">
        <is>
          <t>Owner</t>
        </is>
      </c>
      <c r="F171" t="inlineStr">
        <is>
          <t>Raise a catch-up invoice</t>
        </is>
      </c>
      <c r="G171" t="inlineStr">
        <is>
          <t>Open</t>
        </is>
      </c>
    </row>
    <row r="172">
      <c r="A172" t="inlineStr">
        <is>
          <t>Billing</t>
        </is>
      </c>
      <c r="B172" t="inlineStr">
        <is>
          <t>S0061 FP</t>
        </is>
      </c>
      <c r="C172" t="inlineStr">
        <is>
          <t>Under-billed</t>
        </is>
      </c>
      <c r="D172" s="9" t="n">
        <v>2286</v>
      </c>
      <c r="E172" t="inlineStr">
        <is>
          <t>Owner</t>
        </is>
      </c>
      <c r="F172" t="inlineStr">
        <is>
          <t>Raise a catch-up invoice</t>
        </is>
      </c>
      <c r="G172" t="inlineStr">
        <is>
          <t>Open</t>
        </is>
      </c>
    </row>
    <row r="173">
      <c r="A173" t="inlineStr">
        <is>
          <t>Billing</t>
        </is>
      </c>
      <c r="B173" t="inlineStr">
        <is>
          <t>S0062 FP</t>
        </is>
      </c>
      <c r="C173" t="inlineStr">
        <is>
          <t>Under-billed</t>
        </is>
      </c>
      <c r="D173" s="9" t="n">
        <v>243</v>
      </c>
      <c r="E173" t="inlineStr">
        <is>
          <t>Owner</t>
        </is>
      </c>
      <c r="F173" t="inlineStr">
        <is>
          <t>Raise a catch-up invoice</t>
        </is>
      </c>
      <c r="G173" t="inlineStr">
        <is>
          <t>Open</t>
        </is>
      </c>
    </row>
    <row r="174">
      <c r="A174" t="inlineStr">
        <is>
          <t>Billing</t>
        </is>
      </c>
      <c r="B174" t="inlineStr">
        <is>
          <t>S0065 FP</t>
        </is>
      </c>
      <c r="C174" t="inlineStr">
        <is>
          <t>Under-billed</t>
        </is>
      </c>
      <c r="D174" s="9" t="n">
        <v>1944</v>
      </c>
      <c r="E174" t="inlineStr">
        <is>
          <t>Owner</t>
        </is>
      </c>
      <c r="F174" t="inlineStr">
        <is>
          <t>Raise a catch-up invoice</t>
        </is>
      </c>
      <c r="G174" t="inlineStr">
        <is>
          <t>Open</t>
        </is>
      </c>
    </row>
    <row r="175">
      <c r="A175" t="inlineStr">
        <is>
          <t>Billing</t>
        </is>
      </c>
      <c r="B175" t="inlineStr">
        <is>
          <t>S0066 FP</t>
        </is>
      </c>
      <c r="C175" t="inlineStr">
        <is>
          <t>Over-billed</t>
        </is>
      </c>
      <c r="D175" s="9" t="n">
        <v>-121.5</v>
      </c>
      <c r="E175" t="inlineStr">
        <is>
          <t>Owner</t>
        </is>
      </c>
      <c r="F175" t="inlineStr">
        <is>
          <t>Issue a credit note</t>
        </is>
      </c>
      <c r="G175" t="inlineStr">
        <is>
          <t>Open</t>
        </is>
      </c>
    </row>
    <row r="176">
      <c r="A176" t="inlineStr">
        <is>
          <t>Billing</t>
        </is>
      </c>
      <c r="B176" t="inlineStr">
        <is>
          <t>S0068 FP</t>
        </is>
      </c>
      <c r="C176" t="inlineStr">
        <is>
          <t>Under-billed</t>
        </is>
      </c>
      <c r="D176" s="9" t="n">
        <v>171</v>
      </c>
      <c r="E176" t="inlineStr">
        <is>
          <t>Owner</t>
        </is>
      </c>
      <c r="F176" t="inlineStr">
        <is>
          <t>Raise a catch-up invoice</t>
        </is>
      </c>
      <c r="G176" t="inlineStr">
        <is>
          <t>Open</t>
        </is>
      </c>
    </row>
    <row r="177">
      <c r="A177" t="inlineStr">
        <is>
          <t>Billing</t>
        </is>
      </c>
      <c r="B177" t="inlineStr">
        <is>
          <t>S0070 FP</t>
        </is>
      </c>
      <c r="C177" t="inlineStr">
        <is>
          <t>Under-billed</t>
        </is>
      </c>
      <c r="D177" s="9" t="n">
        <v>522</v>
      </c>
      <c r="E177" t="inlineStr">
        <is>
          <t>Owner</t>
        </is>
      </c>
      <c r="F177" t="inlineStr">
        <is>
          <t>Raise a catch-up invoice</t>
        </is>
      </c>
      <c r="G177" t="inlineStr">
        <is>
          <t>Open</t>
        </is>
      </c>
    </row>
    <row r="178">
      <c r="A178" t="inlineStr">
        <is>
          <t>Billing</t>
        </is>
      </c>
      <c r="B178" t="inlineStr">
        <is>
          <t>S0074 FP</t>
        </is>
      </c>
      <c r="C178" t="inlineStr">
        <is>
          <t>Under-billed</t>
        </is>
      </c>
      <c r="D178" s="9" t="n">
        <v>283.5</v>
      </c>
      <c r="E178" t="inlineStr">
        <is>
          <t>Owner</t>
        </is>
      </c>
      <c r="F178" t="inlineStr">
        <is>
          <t>Raise a catch-up invoice</t>
        </is>
      </c>
      <c r="G178" t="inlineStr">
        <is>
          <t>Open</t>
        </is>
      </c>
    </row>
    <row r="179">
      <c r="A179" t="inlineStr">
        <is>
          <t>Billing</t>
        </is>
      </c>
      <c r="B179" t="inlineStr">
        <is>
          <t>S0085 FP</t>
        </is>
      </c>
      <c r="C179" t="inlineStr">
        <is>
          <t>Under-billed</t>
        </is>
      </c>
      <c r="D179" s="9" t="n">
        <v>234</v>
      </c>
      <c r="E179" t="inlineStr">
        <is>
          <t>Owner</t>
        </is>
      </c>
      <c r="F179" t="inlineStr">
        <is>
          <t>Raise a catch-up invoice</t>
        </is>
      </c>
      <c r="G179" t="inlineStr">
        <is>
          <t>Open</t>
        </is>
      </c>
    </row>
    <row r="180">
      <c r="A180" t="inlineStr">
        <is>
          <t>Billing</t>
        </is>
      </c>
      <c r="B180" t="inlineStr">
        <is>
          <t>S0100 FP</t>
        </is>
      </c>
      <c r="C180" t="inlineStr">
        <is>
          <t>Under-billed</t>
        </is>
      </c>
      <c r="D180" s="9" t="n">
        <v>2538</v>
      </c>
      <c r="E180" t="inlineStr">
        <is>
          <t>Owner</t>
        </is>
      </c>
      <c r="F180" t="inlineStr">
        <is>
          <t>Raise a catch-up invoice</t>
        </is>
      </c>
      <c r="G180" t="inlineStr">
        <is>
          <t>Open</t>
        </is>
      </c>
    </row>
    <row r="181">
      <c r="A181" t="inlineStr">
        <is>
          <t>Billing</t>
        </is>
      </c>
      <c r="B181" t="inlineStr">
        <is>
          <t>S0109 FP</t>
        </is>
      </c>
      <c r="C181" t="inlineStr">
        <is>
          <t>Over-billed</t>
        </is>
      </c>
      <c r="D181" s="9" t="n">
        <v>-472.5</v>
      </c>
      <c r="E181" t="inlineStr">
        <is>
          <t>Owner</t>
        </is>
      </c>
      <c r="F181" t="inlineStr">
        <is>
          <t>Issue a credit note</t>
        </is>
      </c>
      <c r="G181" t="inlineStr">
        <is>
          <t>Open</t>
        </is>
      </c>
    </row>
    <row r="182">
      <c r="A182" t="inlineStr">
        <is>
          <t>Billing</t>
        </is>
      </c>
      <c r="B182" t="inlineStr">
        <is>
          <t>S0116 FP</t>
        </is>
      </c>
      <c r="C182" t="inlineStr">
        <is>
          <t>Under-billed</t>
        </is>
      </c>
      <c r="D182" s="9" t="n">
        <v>729</v>
      </c>
      <c r="E182" t="inlineStr">
        <is>
          <t>Owner</t>
        </is>
      </c>
      <c r="F182" t="inlineStr">
        <is>
          <t>Raise a catch-up invoice</t>
        </is>
      </c>
      <c r="G182" t="inlineStr">
        <is>
          <t>Open</t>
        </is>
      </c>
    </row>
    <row r="183">
      <c r="A183" t="inlineStr">
        <is>
          <t>Billing</t>
        </is>
      </c>
      <c r="B183" t="inlineStr">
        <is>
          <t>S0121 FP</t>
        </is>
      </c>
      <c r="C183" t="inlineStr">
        <is>
          <t>Under-billed</t>
        </is>
      </c>
      <c r="D183" s="9" t="n">
        <v>175.5</v>
      </c>
      <c r="E183" t="inlineStr">
        <is>
          <t>Owner</t>
        </is>
      </c>
      <c r="F183" t="inlineStr">
        <is>
          <t>Raise a catch-up invoice</t>
        </is>
      </c>
      <c r="G183" t="inlineStr">
        <is>
          <t>Open</t>
        </is>
      </c>
    </row>
    <row r="184">
      <c r="A184" t="inlineStr">
        <is>
          <t>Billing</t>
        </is>
      </c>
      <c r="B184" t="inlineStr">
        <is>
          <t>S0123 FP</t>
        </is>
      </c>
      <c r="C184" t="inlineStr">
        <is>
          <t>Under-billed</t>
        </is>
      </c>
      <c r="D184" s="9" t="n">
        <v>877.5</v>
      </c>
      <c r="E184" t="inlineStr">
        <is>
          <t>Owner</t>
        </is>
      </c>
      <c r="F184" t="inlineStr">
        <is>
          <t>Raise a catch-up invoice</t>
        </is>
      </c>
      <c r="G184" t="inlineStr">
        <is>
          <t>Open</t>
        </is>
      </c>
    </row>
    <row r="185">
      <c r="A185" t="inlineStr">
        <is>
          <t>Billing</t>
        </is>
      </c>
      <c r="B185" t="inlineStr">
        <is>
          <t>S0124 FP</t>
        </is>
      </c>
      <c r="C185" t="inlineStr">
        <is>
          <t>Under-billed</t>
        </is>
      </c>
      <c r="D185" s="9" t="n">
        <v>2178</v>
      </c>
      <c r="E185" t="inlineStr">
        <is>
          <t>Owner</t>
        </is>
      </c>
      <c r="F185" t="inlineStr">
        <is>
          <t>Raise a catch-up invoice</t>
        </is>
      </c>
      <c r="G185" t="inlineStr">
        <is>
          <t>Open</t>
        </is>
      </c>
    </row>
    <row r="186">
      <c r="A186" t="inlineStr">
        <is>
          <t>Billing</t>
        </is>
      </c>
      <c r="B186" t="inlineStr">
        <is>
          <t>S0126 FP</t>
        </is>
      </c>
      <c r="C186" t="inlineStr">
        <is>
          <t>Under-billed</t>
        </is>
      </c>
      <c r="D186" s="9" t="n">
        <v>22.5</v>
      </c>
      <c r="E186" t="inlineStr">
        <is>
          <t>Owner</t>
        </is>
      </c>
      <c r="F186" t="inlineStr">
        <is>
          <t>Raise a catch-up invoice</t>
        </is>
      </c>
      <c r="G186" t="inlineStr">
        <is>
          <t>Open</t>
        </is>
      </c>
    </row>
    <row r="187">
      <c r="A187" t="inlineStr">
        <is>
          <t>Billing</t>
        </is>
      </c>
      <c r="B187" t="inlineStr">
        <is>
          <t>S0134 FP</t>
        </is>
      </c>
      <c r="C187" t="inlineStr">
        <is>
          <t>Under-billed</t>
        </is>
      </c>
      <c r="D187" s="9" t="n">
        <v>4212</v>
      </c>
      <c r="E187" t="inlineStr">
        <is>
          <t>Owner</t>
        </is>
      </c>
      <c r="F187" t="inlineStr">
        <is>
          <t>Raise a catch-up invoice</t>
        </is>
      </c>
      <c r="G187" t="inlineStr">
        <is>
          <t>Open</t>
        </is>
      </c>
    </row>
    <row r="188">
      <c r="A188" t="inlineStr">
        <is>
          <t>Billing</t>
        </is>
      </c>
      <c r="B188" t="inlineStr">
        <is>
          <t>S0142 FP</t>
        </is>
      </c>
      <c r="C188" t="inlineStr">
        <is>
          <t>Under-billed</t>
        </is>
      </c>
      <c r="D188" s="9" t="n">
        <v>702</v>
      </c>
      <c r="E188" t="inlineStr">
        <is>
          <t>Owner</t>
        </is>
      </c>
      <c r="F188" t="inlineStr">
        <is>
          <t>Raise a catch-up invoice</t>
        </is>
      </c>
      <c r="G188" t="inlineStr">
        <is>
          <t>Open</t>
        </is>
      </c>
    </row>
    <row r="189">
      <c r="A189" t="inlineStr">
        <is>
          <t>Billing</t>
        </is>
      </c>
      <c r="B189" t="inlineStr">
        <is>
          <t>S0143 FP</t>
        </is>
      </c>
      <c r="C189" t="inlineStr">
        <is>
          <t>Over-billed</t>
        </is>
      </c>
      <c r="D189" s="9" t="n">
        <v>-630</v>
      </c>
      <c r="E189" t="inlineStr">
        <is>
          <t>Owner</t>
        </is>
      </c>
      <c r="F189" t="inlineStr">
        <is>
          <t>Issue a credit note</t>
        </is>
      </c>
      <c r="G189" t="inlineStr">
        <is>
          <t>Open</t>
        </is>
      </c>
    </row>
    <row r="190">
      <c r="A190" t="inlineStr">
        <is>
          <t>Billing</t>
        </is>
      </c>
      <c r="B190" t="inlineStr">
        <is>
          <t>S0147 FP</t>
        </is>
      </c>
      <c r="C190" t="inlineStr">
        <is>
          <t>Under-billed</t>
        </is>
      </c>
      <c r="D190" s="9" t="n">
        <v>549</v>
      </c>
      <c r="E190" t="inlineStr">
        <is>
          <t>Owner</t>
        </is>
      </c>
      <c r="F190" t="inlineStr">
        <is>
          <t>Raise a catch-up invoice</t>
        </is>
      </c>
      <c r="G190" t="inlineStr">
        <is>
          <t>Open</t>
        </is>
      </c>
    </row>
    <row r="191">
      <c r="A191" t="inlineStr">
        <is>
          <t>Billing</t>
        </is>
      </c>
      <c r="B191" t="inlineStr">
        <is>
          <t>S0148 FP</t>
        </is>
      </c>
      <c r="C191" t="inlineStr">
        <is>
          <t>Under-billed</t>
        </is>
      </c>
      <c r="D191" s="9" t="n">
        <v>288</v>
      </c>
      <c r="E191" t="inlineStr">
        <is>
          <t>Owner</t>
        </is>
      </c>
      <c r="F191" t="inlineStr">
        <is>
          <t>Raise a catch-up invoice</t>
        </is>
      </c>
      <c r="G191" t="inlineStr">
        <is>
          <t>Open</t>
        </is>
      </c>
    </row>
    <row r="192">
      <c r="A192" t="inlineStr">
        <is>
          <t>Billing</t>
        </is>
      </c>
      <c r="B192" t="inlineStr">
        <is>
          <t>S0154 FP</t>
        </is>
      </c>
      <c r="C192" t="inlineStr">
        <is>
          <t>Under-billed</t>
        </is>
      </c>
      <c r="D192" s="9" t="n">
        <v>207</v>
      </c>
      <c r="E192" t="inlineStr">
        <is>
          <t>Owner</t>
        </is>
      </c>
      <c r="F192" t="inlineStr">
        <is>
          <t>Raise a catch-up invoice</t>
        </is>
      </c>
      <c r="G192" t="inlineStr">
        <is>
          <t>Open</t>
        </is>
      </c>
    </row>
    <row r="193">
      <c r="A193" t="inlineStr">
        <is>
          <t>Billing</t>
        </is>
      </c>
      <c r="B193" t="inlineStr">
        <is>
          <t>S0158 FP</t>
        </is>
      </c>
      <c r="C193" t="inlineStr">
        <is>
          <t>Under-billed</t>
        </is>
      </c>
      <c r="D193" s="9" t="n">
        <v>36</v>
      </c>
      <c r="E193" t="inlineStr">
        <is>
          <t>Owner</t>
        </is>
      </c>
      <c r="F193" t="inlineStr">
        <is>
          <t>Raise a catch-up invoice</t>
        </is>
      </c>
      <c r="G193" t="inlineStr">
        <is>
          <t>Open</t>
        </is>
      </c>
    </row>
    <row r="194">
      <c r="A194" t="inlineStr">
        <is>
          <t>Billing</t>
        </is>
      </c>
      <c r="B194" t="inlineStr">
        <is>
          <t>S0159 FP</t>
        </is>
      </c>
      <c r="C194" t="inlineStr">
        <is>
          <t>Under-billed</t>
        </is>
      </c>
      <c r="D194" s="9" t="n">
        <v>540</v>
      </c>
      <c r="E194" t="inlineStr">
        <is>
          <t>Owner</t>
        </is>
      </c>
      <c r="F194" t="inlineStr">
        <is>
          <t>Raise a catch-up invoice</t>
        </is>
      </c>
      <c r="G194" t="inlineStr">
        <is>
          <t>Open</t>
        </is>
      </c>
    </row>
    <row r="195">
      <c r="A195" t="inlineStr">
        <is>
          <t>Billing</t>
        </is>
      </c>
      <c r="B195" t="inlineStr">
        <is>
          <t>S0160 FP</t>
        </is>
      </c>
      <c r="C195" t="inlineStr">
        <is>
          <t>Under-billed</t>
        </is>
      </c>
      <c r="D195" s="9" t="n">
        <v>1138.5</v>
      </c>
      <c r="E195" t="inlineStr">
        <is>
          <t>Owner</t>
        </is>
      </c>
      <c r="F195" t="inlineStr">
        <is>
          <t>Raise a catch-up invoice</t>
        </is>
      </c>
      <c r="G195" t="inlineStr">
        <is>
          <t>Open</t>
        </is>
      </c>
    </row>
    <row r="196">
      <c r="A196" t="inlineStr">
        <is>
          <t>Billing</t>
        </is>
      </c>
      <c r="B196" t="inlineStr">
        <is>
          <t>S0162 FP</t>
        </is>
      </c>
      <c r="C196" t="inlineStr">
        <is>
          <t>Under-billed</t>
        </is>
      </c>
      <c r="D196" s="9" t="n">
        <v>823.5</v>
      </c>
      <c r="E196" t="inlineStr">
        <is>
          <t>Owner</t>
        </is>
      </c>
      <c r="F196" t="inlineStr">
        <is>
          <t>Raise a catch-up invoice</t>
        </is>
      </c>
      <c r="G196" t="inlineStr">
        <is>
          <t>Open</t>
        </is>
      </c>
    </row>
    <row r="197">
      <c r="A197" t="inlineStr">
        <is>
          <t>Billing</t>
        </is>
      </c>
      <c r="B197" t="inlineStr">
        <is>
          <t>S0179 FP</t>
        </is>
      </c>
      <c r="C197" t="inlineStr">
        <is>
          <t>Under-billed</t>
        </is>
      </c>
      <c r="D197" s="9" t="n">
        <v>864</v>
      </c>
      <c r="E197" t="inlineStr">
        <is>
          <t>Owner</t>
        </is>
      </c>
      <c r="F197" t="inlineStr">
        <is>
          <t>Raise a catch-up invoice</t>
        </is>
      </c>
      <c r="G197" t="inlineStr">
        <is>
          <t>Open</t>
        </is>
      </c>
    </row>
    <row r="198">
      <c r="A198" t="inlineStr">
        <is>
          <t>Billing</t>
        </is>
      </c>
      <c r="B198" t="inlineStr">
        <is>
          <t>S0187 FP</t>
        </is>
      </c>
      <c r="C198" t="inlineStr">
        <is>
          <t>Under-billed</t>
        </is>
      </c>
      <c r="D198" s="9" t="n">
        <v>2160</v>
      </c>
      <c r="E198" t="inlineStr">
        <is>
          <t>Owner</t>
        </is>
      </c>
      <c r="F198" t="inlineStr">
        <is>
          <t>Raise a catch-up invoice</t>
        </is>
      </c>
      <c r="G198" t="inlineStr">
        <is>
          <t>Open</t>
        </is>
      </c>
    </row>
    <row r="199">
      <c r="A199" t="inlineStr">
        <is>
          <t>Billing</t>
        </is>
      </c>
      <c r="B199" t="inlineStr">
        <is>
          <t>S0189 FP</t>
        </is>
      </c>
      <c r="C199" t="inlineStr">
        <is>
          <t>Under-billed</t>
        </is>
      </c>
      <c r="D199" s="9" t="n">
        <v>1404</v>
      </c>
      <c r="E199" t="inlineStr">
        <is>
          <t>Owner</t>
        </is>
      </c>
      <c r="F199" t="inlineStr">
        <is>
          <t>Raise a catch-up invoice</t>
        </is>
      </c>
      <c r="G199" t="inlineStr">
        <is>
          <t>Open</t>
        </is>
      </c>
    </row>
    <row r="200">
      <c r="A200" t="inlineStr">
        <is>
          <t>Billing</t>
        </is>
      </c>
      <c r="B200" t="inlineStr">
        <is>
          <t>S0197 FP</t>
        </is>
      </c>
      <c r="C200" t="inlineStr">
        <is>
          <t>Over-billed</t>
        </is>
      </c>
      <c r="D200" s="9" t="n">
        <v>-171</v>
      </c>
      <c r="E200" t="inlineStr">
        <is>
          <t>Owner</t>
        </is>
      </c>
      <c r="F200" t="inlineStr">
        <is>
          <t>Issue a credit note</t>
        </is>
      </c>
      <c r="G200" t="inlineStr">
        <is>
          <t>Open</t>
        </is>
      </c>
    </row>
    <row r="201">
      <c r="A201" t="inlineStr">
        <is>
          <t>Billing</t>
        </is>
      </c>
      <c r="B201" t="inlineStr">
        <is>
          <t>S0203 BR</t>
        </is>
      </c>
      <c r="C201" t="inlineStr">
        <is>
          <t>Under-billed</t>
        </is>
      </c>
      <c r="D201" s="9" t="n">
        <v>115.2</v>
      </c>
      <c r="E201" t="inlineStr">
        <is>
          <t>Owner</t>
        </is>
      </c>
      <c r="F201" t="inlineStr">
        <is>
          <t>Raise a catch-up invoice</t>
        </is>
      </c>
      <c r="G201" t="inlineStr">
        <is>
          <t>Open</t>
        </is>
      </c>
    </row>
    <row r="202">
      <c r="A202" t="inlineStr">
        <is>
          <t>Billing</t>
        </is>
      </c>
      <c r="B202" t="inlineStr">
        <is>
          <t>S0203 FP</t>
        </is>
      </c>
      <c r="C202" t="inlineStr">
        <is>
          <t>Under-billed</t>
        </is>
      </c>
      <c r="D202" s="9" t="n">
        <v>504</v>
      </c>
      <c r="E202" t="inlineStr">
        <is>
          <t>Owner</t>
        </is>
      </c>
      <c r="F202" t="inlineStr">
        <is>
          <t>Raise a catch-up invoice</t>
        </is>
      </c>
      <c r="G202" t="inlineStr">
        <is>
          <t>Open</t>
        </is>
      </c>
    </row>
    <row r="203">
      <c r="A203" t="inlineStr">
        <is>
          <t>Billing</t>
        </is>
      </c>
      <c r="B203" t="inlineStr">
        <is>
          <t>S0205 FP</t>
        </is>
      </c>
      <c r="C203" t="inlineStr">
        <is>
          <t>Under-billed</t>
        </is>
      </c>
      <c r="D203" s="9" t="n">
        <v>1602</v>
      </c>
      <c r="E203" t="inlineStr">
        <is>
          <t>Owner</t>
        </is>
      </c>
      <c r="F203" t="inlineStr">
        <is>
          <t>Raise a catch-up invoice</t>
        </is>
      </c>
      <c r="G203" t="inlineStr">
        <is>
          <t>Open</t>
        </is>
      </c>
    </row>
    <row r="204">
      <c r="A204" t="inlineStr">
        <is>
          <t>Billing</t>
        </is>
      </c>
      <c r="B204" t="inlineStr">
        <is>
          <t>S0213 FP</t>
        </is>
      </c>
      <c r="C204" t="inlineStr">
        <is>
          <t>Under-billed</t>
        </is>
      </c>
      <c r="D204" s="9" t="n">
        <v>1404</v>
      </c>
      <c r="E204" t="inlineStr">
        <is>
          <t>Owner</t>
        </is>
      </c>
      <c r="F204" t="inlineStr">
        <is>
          <t>Raise a catch-up invoice</t>
        </is>
      </c>
      <c r="G204" t="inlineStr">
        <is>
          <t>Open</t>
        </is>
      </c>
    </row>
    <row r="205">
      <c r="A205" t="inlineStr">
        <is>
          <t>Billing</t>
        </is>
      </c>
      <c r="B205" t="inlineStr">
        <is>
          <t>S0215 BR</t>
        </is>
      </c>
      <c r="C205" t="inlineStr">
        <is>
          <t>Under-billed</t>
        </is>
      </c>
      <c r="D205" s="9" t="n">
        <v>230.4</v>
      </c>
      <c r="E205" t="inlineStr">
        <is>
          <t>Owner</t>
        </is>
      </c>
      <c r="F205" t="inlineStr">
        <is>
          <t>Raise a catch-up invoice</t>
        </is>
      </c>
      <c r="G205" t="inlineStr">
        <is>
          <t>Open</t>
        </is>
      </c>
    </row>
    <row r="206">
      <c r="A206" t="inlineStr">
        <is>
          <t>Billing</t>
        </is>
      </c>
      <c r="B206" t="inlineStr">
        <is>
          <t>S0215 FP</t>
        </is>
      </c>
      <c r="C206" t="inlineStr">
        <is>
          <t>Under-billed</t>
        </is>
      </c>
      <c r="D206" s="9" t="n">
        <v>1638</v>
      </c>
      <c r="E206" t="inlineStr">
        <is>
          <t>Owner</t>
        </is>
      </c>
      <c r="F206" t="inlineStr">
        <is>
          <t>Raise a catch-up invoice</t>
        </is>
      </c>
      <c r="G206" t="inlineStr">
        <is>
          <t>Open</t>
        </is>
      </c>
    </row>
    <row r="207">
      <c r="A207" t="inlineStr">
        <is>
          <t>Billing</t>
        </is>
      </c>
      <c r="B207" t="inlineStr">
        <is>
          <t>S0221 FP</t>
        </is>
      </c>
      <c r="C207" t="inlineStr">
        <is>
          <t>Under-billed</t>
        </is>
      </c>
      <c r="D207" s="9" t="n">
        <v>756</v>
      </c>
      <c r="E207" t="inlineStr">
        <is>
          <t>Owner</t>
        </is>
      </c>
      <c r="F207" t="inlineStr">
        <is>
          <t>Raise a catch-up invoice</t>
        </is>
      </c>
      <c r="G207" t="inlineStr">
        <is>
          <t>Open</t>
        </is>
      </c>
    </row>
    <row r="208">
      <c r="A208" t="inlineStr">
        <is>
          <t>Billing</t>
        </is>
      </c>
      <c r="B208" t="inlineStr">
        <is>
          <t>S0222 FP</t>
        </is>
      </c>
      <c r="C208" t="inlineStr">
        <is>
          <t>Under-billed</t>
        </is>
      </c>
      <c r="D208" s="9" t="n">
        <v>2196</v>
      </c>
      <c r="E208" t="inlineStr">
        <is>
          <t>Owner</t>
        </is>
      </c>
      <c r="F208" t="inlineStr">
        <is>
          <t>Raise a catch-up invoice</t>
        </is>
      </c>
      <c r="G208" t="inlineStr">
        <is>
          <t>Open</t>
        </is>
      </c>
    </row>
    <row r="209">
      <c r="A209" t="inlineStr">
        <is>
          <t>Billing</t>
        </is>
      </c>
      <c r="B209" t="inlineStr">
        <is>
          <t>S0225 BR</t>
        </is>
      </c>
      <c r="C209" t="inlineStr">
        <is>
          <t>Under-billed</t>
        </is>
      </c>
      <c r="D209" s="9" t="n">
        <v>204.8</v>
      </c>
      <c r="E209" t="inlineStr">
        <is>
          <t>Owner</t>
        </is>
      </c>
      <c r="F209" t="inlineStr">
        <is>
          <t>Raise a catch-up invoice</t>
        </is>
      </c>
      <c r="G209" t="inlineStr">
        <is>
          <t>Open</t>
        </is>
      </c>
    </row>
    <row r="210">
      <c r="A210" t="inlineStr">
        <is>
          <t>Billing</t>
        </is>
      </c>
      <c r="B210" t="inlineStr">
        <is>
          <t>S0228 BR</t>
        </is>
      </c>
      <c r="C210" t="inlineStr">
        <is>
          <t>Under-billed</t>
        </is>
      </c>
      <c r="D210" s="9" t="n">
        <v>153.6</v>
      </c>
      <c r="E210" t="inlineStr">
        <is>
          <t>Owner</t>
        </is>
      </c>
      <c r="F210" t="inlineStr">
        <is>
          <t>Raise a catch-up invoice</t>
        </is>
      </c>
      <c r="G210" t="inlineStr">
        <is>
          <t>Open</t>
        </is>
      </c>
    </row>
    <row r="211">
      <c r="A211" t="inlineStr">
        <is>
          <t>Billing</t>
        </is>
      </c>
      <c r="B211" t="inlineStr">
        <is>
          <t>S0231 FP</t>
        </is>
      </c>
      <c r="C211" t="inlineStr">
        <is>
          <t>Under-billed</t>
        </is>
      </c>
      <c r="D211" s="9" t="n">
        <v>2250</v>
      </c>
      <c r="E211" t="inlineStr">
        <is>
          <t>Owner</t>
        </is>
      </c>
      <c r="F211" t="inlineStr">
        <is>
          <t>Raise a catch-up invoice</t>
        </is>
      </c>
      <c r="G211" t="inlineStr">
        <is>
          <t>Open</t>
        </is>
      </c>
    </row>
    <row r="212">
      <c r="A212" t="inlineStr">
        <is>
          <t>Billing</t>
        </is>
      </c>
      <c r="B212" t="inlineStr">
        <is>
          <t>S0233 ST</t>
        </is>
      </c>
      <c r="C212" t="inlineStr">
        <is>
          <t>Under-billed</t>
        </is>
      </c>
      <c r="D212" s="9" t="n">
        <v>190</v>
      </c>
      <c r="E212" t="inlineStr">
        <is>
          <t>Owner</t>
        </is>
      </c>
      <c r="F212" t="inlineStr">
        <is>
          <t>Raise a catch-up invoice</t>
        </is>
      </c>
      <c r="G212" t="inlineStr">
        <is>
          <t>Open</t>
        </is>
      </c>
    </row>
    <row r="213">
      <c r="A213" t="inlineStr">
        <is>
          <t>Billing</t>
        </is>
      </c>
      <c r="B213" t="inlineStr">
        <is>
          <t>S0245 ST</t>
        </is>
      </c>
      <c r="C213" t="inlineStr">
        <is>
          <t>Under-billed</t>
        </is>
      </c>
      <c r="D213" s="9" t="n">
        <v>1520</v>
      </c>
      <c r="E213" t="inlineStr">
        <is>
          <t>Owner</t>
        </is>
      </c>
      <c r="F213" t="inlineStr">
        <is>
          <t>Raise a catch-up invoice</t>
        </is>
      </c>
      <c r="G213" t="inlineStr">
        <is>
          <t>Open</t>
        </is>
      </c>
    </row>
    <row r="214">
      <c r="A214" t="inlineStr">
        <is>
          <t>Billing</t>
        </is>
      </c>
      <c r="B214" t="inlineStr">
        <is>
          <t>S0251 ST</t>
        </is>
      </c>
      <c r="C214" t="inlineStr">
        <is>
          <t>Under-billed</t>
        </is>
      </c>
      <c r="D214" s="9" t="n">
        <v>380</v>
      </c>
      <c r="E214" t="inlineStr">
        <is>
          <t>Owner</t>
        </is>
      </c>
      <c r="F214" t="inlineStr">
        <is>
          <t>Raise a catch-up invoice</t>
        </is>
      </c>
      <c r="G214" t="inlineStr">
        <is>
          <t>Open</t>
        </is>
      </c>
    </row>
    <row r="215">
      <c r="A215" t="inlineStr">
        <is>
          <t>Billing</t>
        </is>
      </c>
      <c r="B215" t="inlineStr">
        <is>
          <t>S0261 ST</t>
        </is>
      </c>
      <c r="C215" t="inlineStr">
        <is>
          <t>Under-billed</t>
        </is>
      </c>
      <c r="D215" s="9" t="n">
        <v>1520</v>
      </c>
      <c r="E215" t="inlineStr">
        <is>
          <t>Owner</t>
        </is>
      </c>
      <c r="F215" t="inlineStr">
        <is>
          <t>Raise a catch-up invoice</t>
        </is>
      </c>
      <c r="G215" t="inlineStr">
        <is>
          <t>Open</t>
        </is>
      </c>
    </row>
    <row r="216">
      <c r="A216" t="inlineStr">
        <is>
          <t>Billing</t>
        </is>
      </c>
      <c r="B216" t="inlineStr">
        <is>
          <t>S0270 ST</t>
        </is>
      </c>
      <c r="C216" t="inlineStr">
        <is>
          <t>Under-billed</t>
        </is>
      </c>
      <c r="D216" s="9" t="n">
        <v>2280</v>
      </c>
      <c r="E216" t="inlineStr">
        <is>
          <t>Owner</t>
        </is>
      </c>
      <c r="F216" t="inlineStr">
        <is>
          <t>Raise a catch-up invoice</t>
        </is>
      </c>
      <c r="G216" t="inlineStr">
        <is>
          <t>Open</t>
        </is>
      </c>
    </row>
    <row r="217">
      <c r="A217" t="inlineStr">
        <is>
          <t>Billing</t>
        </is>
      </c>
      <c r="B217" t="inlineStr">
        <is>
          <t>S0276 ST</t>
        </is>
      </c>
      <c r="C217" t="inlineStr">
        <is>
          <t>Under-billed</t>
        </is>
      </c>
      <c r="D217" s="9" t="n">
        <v>760</v>
      </c>
      <c r="E217" t="inlineStr">
        <is>
          <t>Owner</t>
        </is>
      </c>
      <c r="F217" t="inlineStr">
        <is>
          <t>Raise a catch-up invoice</t>
        </is>
      </c>
      <c r="G217" t="inlineStr">
        <is>
          <t>Open</t>
        </is>
      </c>
    </row>
    <row r="218">
      <c r="A218" t="inlineStr">
        <is>
          <t>Billing</t>
        </is>
      </c>
      <c r="B218" t="inlineStr">
        <is>
          <t>S0279 ST</t>
        </is>
      </c>
      <c r="C218" t="inlineStr">
        <is>
          <t>Under-billed</t>
        </is>
      </c>
      <c r="D218" s="9" t="n">
        <v>760</v>
      </c>
      <c r="E218" t="inlineStr">
        <is>
          <t>Owner</t>
        </is>
      </c>
      <c r="F218" t="inlineStr">
        <is>
          <t>Raise a catch-up invoice</t>
        </is>
      </c>
      <c r="G218" t="inlineStr">
        <is>
          <t>Open</t>
        </is>
      </c>
    </row>
    <row r="219">
      <c r="A219" t="inlineStr">
        <is>
          <t>Billing</t>
        </is>
      </c>
      <c r="B219" t="inlineStr">
        <is>
          <t>S0282 ST</t>
        </is>
      </c>
      <c r="C219" t="inlineStr">
        <is>
          <t>Under-billed</t>
        </is>
      </c>
      <c r="D219" s="9" t="n">
        <v>380</v>
      </c>
      <c r="E219" t="inlineStr">
        <is>
          <t>Owner</t>
        </is>
      </c>
      <c r="F219" t="inlineStr">
        <is>
          <t>Raise a catch-up invoice</t>
        </is>
      </c>
      <c r="G219" t="inlineStr">
        <is>
          <t>Open</t>
        </is>
      </c>
    </row>
    <row r="220">
      <c r="A220" t="inlineStr">
        <is>
          <t>Billing</t>
        </is>
      </c>
      <c r="B220" t="inlineStr">
        <is>
          <t>S0292 ST</t>
        </is>
      </c>
      <c r="C220" t="inlineStr">
        <is>
          <t>Under-billed</t>
        </is>
      </c>
      <c r="D220" s="9" t="n">
        <v>380</v>
      </c>
      <c r="E220" t="inlineStr">
        <is>
          <t>Owner</t>
        </is>
      </c>
      <c r="F220" t="inlineStr">
        <is>
          <t>Raise a catch-up invoice</t>
        </is>
      </c>
      <c r="G220" t="inlineStr">
        <is>
          <t>Open</t>
        </is>
      </c>
    </row>
    <row r="221">
      <c r="A221" t="inlineStr">
        <is>
          <t>Billing</t>
        </is>
      </c>
      <c r="B221" t="inlineStr">
        <is>
          <t>S0293 ST</t>
        </is>
      </c>
      <c r="C221" t="inlineStr">
        <is>
          <t>Under-billed</t>
        </is>
      </c>
      <c r="D221" s="9" t="n">
        <v>2280</v>
      </c>
      <c r="E221" t="inlineStr">
        <is>
          <t>Owner</t>
        </is>
      </c>
      <c r="F221" t="inlineStr">
        <is>
          <t>Raise a catch-up invoice</t>
        </is>
      </c>
      <c r="G221" t="inlineStr">
        <is>
          <t>Open</t>
        </is>
      </c>
    </row>
    <row r="222">
      <c r="A222" t="inlineStr">
        <is>
          <t>Billing</t>
        </is>
      </c>
      <c r="B222" t="inlineStr">
        <is>
          <t>S0399 TK</t>
        </is>
      </c>
      <c r="C222" t="inlineStr">
        <is>
          <t>Under-billed</t>
        </is>
      </c>
      <c r="D222" s="9" t="n">
        <v>420</v>
      </c>
      <c r="E222" t="inlineStr">
        <is>
          <t>Owner</t>
        </is>
      </c>
      <c r="F222" t="inlineStr">
        <is>
          <t>Raise a catch-up invoice</t>
        </is>
      </c>
      <c r="G222" t="inlineStr">
        <is>
          <t>Open</t>
        </is>
      </c>
    </row>
    <row r="223">
      <c r="A223" t="inlineStr">
        <is>
          <t>Billing</t>
        </is>
      </c>
      <c r="B223" t="inlineStr">
        <is>
          <t>S0470 TK</t>
        </is>
      </c>
      <c r="C223" t="inlineStr">
        <is>
          <t>Under-billed</t>
        </is>
      </c>
      <c r="D223" s="9" t="n">
        <v>420</v>
      </c>
      <c r="E223" t="inlineStr">
        <is>
          <t>Owner</t>
        </is>
      </c>
      <c r="F223" t="inlineStr">
        <is>
          <t>Raise a catch-up invoice</t>
        </is>
      </c>
      <c r="G223" t="inlineStr">
        <is>
          <t>Open</t>
        </is>
      </c>
    </row>
    <row r="224">
      <c r="A224" t="inlineStr">
        <is>
          <t>Billing</t>
        </is>
      </c>
      <c r="B224" t="inlineStr">
        <is>
          <t>S0491 TK</t>
        </is>
      </c>
      <c r="C224" t="inlineStr">
        <is>
          <t>Under-billed</t>
        </is>
      </c>
      <c r="D224" s="9" t="n">
        <v>280</v>
      </c>
      <c r="E224" t="inlineStr">
        <is>
          <t>Owner</t>
        </is>
      </c>
      <c r="F224" t="inlineStr">
        <is>
          <t>Raise a catch-up invoice</t>
        </is>
      </c>
      <c r="G224" t="inlineStr">
        <is>
          <t>Open</t>
        </is>
      </c>
    </row>
    <row r="225">
      <c r="A225" t="inlineStr">
        <is>
          <t>Billing</t>
        </is>
      </c>
      <c r="B225" t="inlineStr">
        <is>
          <t>S0501 TK</t>
        </is>
      </c>
      <c r="C225" t="inlineStr">
        <is>
          <t>Under-billed</t>
        </is>
      </c>
      <c r="D225" s="9" t="n">
        <v>420</v>
      </c>
      <c r="E225" t="inlineStr">
        <is>
          <t>Owner</t>
        </is>
      </c>
      <c r="F225" t="inlineStr">
        <is>
          <t>Raise a catch-up invoice</t>
        </is>
      </c>
      <c r="G225" t="inlineStr">
        <is>
          <t>Open</t>
        </is>
      </c>
    </row>
    <row r="226">
      <c r="A226" t="inlineStr">
        <is>
          <t>Billing</t>
        </is>
      </c>
      <c r="B226" t="inlineStr">
        <is>
          <t>S0508 TK</t>
        </is>
      </c>
      <c r="C226" t="inlineStr">
        <is>
          <t>Under-billed</t>
        </is>
      </c>
      <c r="D226" s="9" t="n">
        <v>105</v>
      </c>
      <c r="E226" t="inlineStr">
        <is>
          <t>Owner</t>
        </is>
      </c>
      <c r="F226" t="inlineStr">
        <is>
          <t>Raise a catch-up invoice</t>
        </is>
      </c>
      <c r="G226" t="inlineStr">
        <is>
          <t>Open</t>
        </is>
      </c>
    </row>
    <row r="227">
      <c r="A227" t="inlineStr">
        <is>
          <t>Chart of accounts</t>
        </is>
      </c>
      <c r="B227" t="inlineStr">
        <is>
          <t>999</t>
        </is>
      </c>
      <c r="C227" t="inlineStr">
        <is>
          <t>Suspense balance</t>
        </is>
      </c>
      <c r="D227" s="9" t="n">
        <v>6342.18</v>
      </c>
      <c r="E227" t="inlineStr">
        <is>
          <t>Accountant</t>
        </is>
      </c>
      <c r="F227" t="inlineStr">
        <is>
          <t>Identify each item, journal out, archive 999</t>
        </is>
      </c>
      <c r="G227" t="inlineStr">
        <is>
          <t>Open</t>
        </is>
      </c>
    </row>
  </sheetData>
  <autoFilter ref="A4:G227"/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80" customWidth="1" min="3" max="3"/>
  </cols>
  <sheetData>
    <row r="1">
      <c r="A1" s="6" t="inlineStr">
        <is>
          <t>Airtable base design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Table</t>
        </is>
      </c>
      <c r="B4" s="7" t="inlineStr">
        <is>
          <t>Field</t>
        </is>
      </c>
      <c r="C4" s="7" t="inlineStr">
        <is>
          <t>Type and rule</t>
        </is>
      </c>
    </row>
    <row r="5">
      <c r="A5" t="inlineStr">
        <is>
          <t>Sites</t>
        </is>
      </c>
      <c r="B5" t="inlineStr">
        <is>
          <t>Site ID</t>
        </is>
      </c>
      <c r="C5" t="inlineStr">
        <is>
          <t>Primary field, S0001 format, matches the Xero invoice Reference</t>
        </is>
      </c>
    </row>
    <row r="6">
      <c r="A6" t="inlineStr">
        <is>
          <t>Sites</t>
        </is>
      </c>
      <c r="B6" t="inlineStr">
        <is>
          <t>Customer</t>
        </is>
      </c>
      <c r="C6" t="inlineStr">
        <is>
          <t>Link to Customers</t>
        </is>
      </c>
    </row>
    <row r="7">
      <c r="A7" t="inlineStr">
        <is>
          <t>Sites</t>
        </is>
      </c>
      <c r="B7" t="inlineStr">
        <is>
          <t>Job type</t>
        </is>
      </c>
      <c r="C7" t="inlineStr">
        <is>
          <t>Single select: Fencing, Scaffolding, Make-safe, Roofing</t>
        </is>
      </c>
    </row>
    <row r="8">
      <c r="A8" t="inlineStr">
        <is>
          <t>Sites</t>
        </is>
      </c>
      <c r="B8" t="inlineStr">
        <is>
          <t>Hire start</t>
        </is>
      </c>
      <c r="C8" t="inlineStr">
        <is>
          <t>Date: the cycle anchor</t>
        </is>
      </c>
    </row>
    <row r="9">
      <c r="A9" t="inlineStr">
        <is>
          <t>Sites</t>
        </is>
      </c>
      <c r="B9" t="inlineStr">
        <is>
          <t>Status</t>
        </is>
      </c>
      <c r="C9" t="inlineStr">
        <is>
          <t>Single select: Active, Collected, Closed</t>
        </is>
      </c>
    </row>
    <row r="10">
      <c r="A10" t="inlineStr">
        <is>
          <t>Sites</t>
        </is>
      </c>
      <c r="B10" t="inlineStr">
        <is>
          <t>Units on site (per asset)</t>
        </is>
      </c>
      <c r="C10" t="inlineStr">
        <is>
          <t>Rollup of Movements signed qty</t>
        </is>
      </c>
    </row>
    <row r="11">
      <c r="A11" t="inlineStr">
        <is>
          <t>Customers</t>
        </is>
      </c>
      <c r="B11" t="inlineStr">
        <is>
          <t>Xero ContactID</t>
        </is>
      </c>
      <c r="C11" t="inlineStr">
        <is>
          <t>Synced from Xero by S3; the only key used to raise invoices</t>
        </is>
      </c>
    </row>
    <row r="12">
      <c r="A12" t="inlineStr">
        <is>
          <t>Customers</t>
        </is>
      </c>
      <c r="B12" t="inlineStr">
        <is>
          <t>Name</t>
        </is>
      </c>
      <c r="C12" t="inlineStr">
        <is>
          <t>From Xero master contact</t>
        </is>
      </c>
    </row>
    <row r="13">
      <c r="A13" t="inlineStr">
        <is>
          <t>Customers</t>
        </is>
      </c>
      <c r="B13" t="inlineStr">
        <is>
          <t>Billing email</t>
        </is>
      </c>
      <c r="C13" t="inlineStr">
        <is>
          <t>From Xero</t>
        </is>
      </c>
    </row>
    <row r="14">
      <c r="A14" t="inlineStr">
        <is>
          <t>Assets</t>
        </is>
      </c>
      <c r="B14" t="inlineStr">
        <is>
          <t>Class</t>
        </is>
      </c>
      <c r="C14" t="inlineStr">
        <is>
          <t>FP, FB, BR, ST, TK</t>
        </is>
      </c>
    </row>
    <row r="15">
      <c r="A15" t="inlineStr">
        <is>
          <t>Assets</t>
        </is>
      </c>
      <c r="B15" t="inlineStr">
        <is>
          <t>Rate per unit-week</t>
        </is>
      </c>
      <c r="C15" t="inlineStr">
        <is>
          <t>Currency; used by S2</t>
        </is>
      </c>
    </row>
    <row r="16">
      <c r="A16" t="inlineStr">
        <is>
          <t>Assets</t>
        </is>
      </c>
      <c r="B16" t="inlineStr">
        <is>
          <t>Lost charge</t>
        </is>
      </c>
      <c r="C16" t="inlineStr">
        <is>
          <t>Currency: 145.00 per panel</t>
        </is>
      </c>
    </row>
    <row r="17">
      <c r="A17" t="inlineStr">
        <is>
          <t>Movements</t>
        </is>
      </c>
      <c r="B17" t="inlineStr">
        <is>
          <t>Docket</t>
        </is>
      </c>
      <c r="C17" t="inlineStr">
        <is>
          <t>Unique with Asset and Direction; Glide blocks a repeat</t>
        </is>
      </c>
    </row>
    <row r="18">
      <c r="A18" t="inlineStr">
        <is>
          <t>Movements</t>
        </is>
      </c>
      <c r="B18" t="inlineStr">
        <is>
          <t>Date</t>
        </is>
      </c>
      <c r="C18" t="inlineStr">
        <is>
          <t>Date</t>
        </is>
      </c>
    </row>
    <row r="19">
      <c r="A19" t="inlineStr">
        <is>
          <t>Movements</t>
        </is>
      </c>
      <c r="B19" t="inlineStr">
        <is>
          <t>Site</t>
        </is>
      </c>
      <c r="C19" t="inlineStr">
        <is>
          <t>Link to Sites (picked from a list, never typed)</t>
        </is>
      </c>
    </row>
    <row r="20">
      <c r="A20" t="inlineStr">
        <is>
          <t>Movements</t>
        </is>
      </c>
      <c r="B20" t="inlineStr">
        <is>
          <t>Asset</t>
        </is>
      </c>
      <c r="C20" t="inlineStr">
        <is>
          <t>Link to Assets</t>
        </is>
      </c>
    </row>
    <row r="21">
      <c r="A21" t="inlineStr">
        <is>
          <t>Movements</t>
        </is>
      </c>
      <c r="B21" t="inlineStr">
        <is>
          <t>Direction</t>
        </is>
      </c>
      <c r="C21" t="inlineStr">
        <is>
          <t>OUT, IN, LOST</t>
        </is>
      </c>
    </row>
    <row r="22">
      <c r="A22" t="inlineStr">
        <is>
          <t>Movements</t>
        </is>
      </c>
      <c r="B22" t="inlineStr">
        <is>
          <t>Qty</t>
        </is>
      </c>
      <c r="C22" t="inlineStr">
        <is>
          <t>Number &gt; 0</t>
        </is>
      </c>
    </row>
    <row r="23">
      <c r="A23" t="inlineStr">
        <is>
          <t>Movements</t>
        </is>
      </c>
      <c r="B23" t="inlineStr">
        <is>
          <t>Signed qty</t>
        </is>
      </c>
      <c r="C23" t="inlineStr">
        <is>
          <t>Formula: OUT +, IN and LOST -</t>
        </is>
      </c>
    </row>
    <row r="24">
      <c r="A24" t="inlineStr">
        <is>
          <t>Movements</t>
        </is>
      </c>
      <c r="B24" t="inlineStr">
        <is>
          <t>Photo of docket</t>
        </is>
      </c>
      <c r="C24" t="inlineStr">
        <is>
          <t>Attachment from Glide camera</t>
        </is>
      </c>
    </row>
    <row r="25">
      <c r="A25" t="inlineStr">
        <is>
          <t>Movements</t>
        </is>
      </c>
      <c r="B25" t="inlineStr">
        <is>
          <t>Entered by</t>
        </is>
      </c>
      <c r="C25" t="inlineStr">
        <is>
          <t>Glide user</t>
        </is>
      </c>
    </row>
    <row r="26">
      <c r="A26" t="inlineStr">
        <is>
          <t>Hire Periods</t>
        </is>
      </c>
      <c r="B26" t="inlineStr">
        <is>
          <t>Key</t>
        </is>
      </c>
      <c r="C26" t="inlineStr">
        <is>
          <t>Site|Asset|Cycle start: the idempotency key</t>
        </is>
      </c>
    </row>
    <row r="27">
      <c r="A27" t="inlineStr">
        <is>
          <t>Hire Periods</t>
        </is>
      </c>
      <c r="B27" t="inlineStr">
        <is>
          <t>Billable unit-weeks</t>
        </is>
      </c>
      <c r="C27" t="inlineStr">
        <is>
          <t>Sum of the weekly peak on site</t>
        </is>
      </c>
    </row>
    <row r="28">
      <c r="A28" t="inlineStr">
        <is>
          <t>Hire Periods</t>
        </is>
      </c>
      <c r="B28" t="inlineStr">
        <is>
          <t>Xero invoice ID</t>
        </is>
      </c>
      <c r="C28" t="inlineStr">
        <is>
          <t>Written back by S2</t>
        </is>
      </c>
    </row>
    <row r="29">
      <c r="A29" t="inlineStr">
        <is>
          <t>Hire Periods</t>
        </is>
      </c>
      <c r="B29" t="inlineStr">
        <is>
          <t>Status</t>
        </is>
      </c>
      <c r="C29" t="inlineStr">
        <is>
          <t>Draft, Approved, Sent, Paid</t>
        </is>
      </c>
    </row>
    <row r="30">
      <c r="A30" t="inlineStr">
        <is>
          <t>Billing Runs</t>
        </is>
      </c>
      <c r="B30" t="inlineStr">
        <is>
          <t>Run date</t>
        </is>
      </c>
      <c r="C30" t="inlineStr">
        <is>
          <t>Date</t>
        </is>
      </c>
    </row>
    <row r="31">
      <c r="A31" t="inlineStr">
        <is>
          <t>Billing Runs</t>
        </is>
      </c>
      <c r="B31" t="inlineStr">
        <is>
          <t>Drafts created</t>
        </is>
      </c>
      <c r="C31" t="inlineStr">
        <is>
          <t>Count</t>
        </is>
      </c>
    </row>
    <row r="32">
      <c r="A32" t="inlineStr">
        <is>
          <t>Billing Runs</t>
        </is>
      </c>
      <c r="B32" t="inlineStr">
        <is>
          <t>Keys skipped</t>
        </is>
      </c>
      <c r="C32" t="inlineStr">
        <is>
          <t>Count, already invoiced</t>
        </is>
      </c>
    </row>
    <row r="33">
      <c r="A33" t="inlineStr">
        <is>
          <t>Exceptions</t>
        </is>
      </c>
      <c r="B33" t="inlineStr">
        <is>
          <t>Type</t>
        </is>
      </c>
      <c r="C33" t="inlineStr">
        <is>
          <t>Negative balance, not returned, stocktake, sync error</t>
        </is>
      </c>
    </row>
    <row r="34">
      <c r="A34" t="inlineStr">
        <is>
          <t>Exceptions</t>
        </is>
      </c>
      <c r="B34" t="inlineStr">
        <is>
          <t>Owner</t>
        </is>
      </c>
      <c r="C34" t="inlineStr">
        <is>
          <t>Collaborator</t>
        </is>
      </c>
    </row>
    <row r="35">
      <c r="A35" t="inlineStr">
        <is>
          <t>Exceptions</t>
        </is>
      </c>
      <c r="B35" t="inlineStr">
        <is>
          <t>Status</t>
        </is>
      </c>
      <c r="C35" t="inlineStr">
        <is>
          <t>Open, Resolved</t>
        </is>
      </c>
    </row>
  </sheetData>
  <autoFilter ref="A4:C35"/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50" customWidth="1" min="2" max="2"/>
    <col width="64" customWidth="1" min="3" max="3"/>
  </cols>
  <sheetData>
    <row r="1">
      <c r="A1" s="6" t="inlineStr">
        <is>
          <t>Glide app screens (yard, drivers, office)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Screen</t>
        </is>
      </c>
      <c r="B4" s="7" t="inlineStr">
        <is>
          <t>What it shows or asks for</t>
        </is>
      </c>
      <c r="C4" s="7" t="inlineStr">
        <is>
          <t>What it writes</t>
        </is>
      </c>
    </row>
    <row r="5">
      <c r="A5" t="inlineStr">
        <is>
          <t>Yard: Load out</t>
        </is>
      </c>
      <c r="B5" t="inlineStr">
        <is>
          <t>Pick site from list, asset, qty, docket photo</t>
        </is>
      </c>
      <c r="C5" t="inlineStr">
        <is>
          <t>Creates a Movement OUT; blocks a docket already used</t>
        </is>
      </c>
    </row>
    <row r="6">
      <c r="A6" t="inlineStr">
        <is>
          <t>Yard: Return</t>
        </is>
      </c>
      <c r="B6" t="inlineStr">
        <is>
          <t>Pick site, asset, qty counted</t>
        </is>
      </c>
      <c r="C6" t="inlineStr">
        <is>
          <t>Creates a Movement IN; warns if qty &gt; units on site</t>
        </is>
      </c>
    </row>
    <row r="7">
      <c r="A7" t="inlineStr">
        <is>
          <t>Yard: Lost or damaged</t>
        </is>
      </c>
      <c r="B7" t="inlineStr">
        <is>
          <t>Site, asset, qty, photo</t>
        </is>
      </c>
      <c r="C7" t="inlineStr">
        <is>
          <t>Creates a Movement LOST and an Exception for the office</t>
        </is>
      </c>
    </row>
    <row r="8">
      <c r="A8" t="inlineStr">
        <is>
          <t>Driver: Today's runs</t>
        </is>
      </c>
      <c r="B8" t="inlineStr">
        <is>
          <t>Filtered list of sites to deliver or collect</t>
        </is>
      </c>
      <c r="C8" t="inlineStr">
        <is>
          <t>Read only</t>
        </is>
      </c>
    </row>
    <row r="9">
      <c r="A9" t="inlineStr">
        <is>
          <t>Driver: Site detail</t>
        </is>
      </c>
      <c r="B9" t="inlineStr">
        <is>
          <t>Units on site by asset, map link</t>
        </is>
      </c>
      <c r="C9" t="inlineStr">
        <is>
          <t>Rollup from Movements</t>
        </is>
      </c>
    </row>
    <row r="10">
      <c r="A10" t="inlineStr">
        <is>
          <t>Office: Exceptions</t>
        </is>
      </c>
      <c r="B10" t="inlineStr">
        <is>
          <t>Open exceptions with owner</t>
        </is>
      </c>
      <c r="C10" t="inlineStr">
        <is>
          <t>Resolve button writes status</t>
        </is>
      </c>
    </row>
    <row r="11">
      <c r="A11" t="inlineStr">
        <is>
          <t>Office: Hire periods</t>
        </is>
      </c>
      <c r="B11" t="inlineStr">
        <is>
          <t>Draft hire periods before S2 runs</t>
        </is>
      </c>
      <c r="C11" t="inlineStr">
        <is>
          <t>Approve or hold a period</t>
        </is>
      </c>
    </row>
    <row r="12">
      <c r="A12" t="inlineStr">
        <is>
          <t>Office: Stocktake</t>
        </is>
      </c>
      <c r="B12" t="inlineStr">
        <is>
          <t>Count by class vs ledger</t>
        </is>
      </c>
      <c r="C12" t="inlineStr">
        <is>
          <t>Writes a Stocktake record</t>
        </is>
      </c>
    </row>
  </sheetData>
  <autoFilter ref="A4:C12"/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38" customWidth="1" min="3" max="3"/>
    <col width="14" customWidth="1" min="4" max="4"/>
    <col width="8" customWidth="1" min="5" max="5"/>
    <col width="9" customWidth="1" min="6" max="6"/>
    <col width="9" customWidth="1" min="7" max="7"/>
    <col width="70" customWidth="1" min="8" max="8"/>
    <col width="28" customWidth="1" min="9" max="9"/>
  </cols>
  <sheetData>
    <row r="1">
      <c r="A1" s="6" t="inlineStr">
        <is>
          <t>Make suite: ten scenarios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Scenario</t>
        </is>
      </c>
      <c r="B4" s="7" t="inlineStr">
        <is>
          <t>Name</t>
        </is>
      </c>
      <c r="C4" s="7" t="inlineStr">
        <is>
          <t>Trigger</t>
        </is>
      </c>
      <c r="D4" s="7" t="inlineStr">
        <is>
          <t>Schedule</t>
        </is>
      </c>
      <c r="E4" s="7" t="inlineStr">
        <is>
          <t>Modules</t>
        </is>
      </c>
      <c r="F4" s="7" t="inlineStr">
        <is>
          <t>Ops per record</t>
        </is>
      </c>
      <c r="G4" s="7" t="inlineStr">
        <is>
          <t>Ops per poll</t>
        </is>
      </c>
      <c r="H4" s="7" t="inlineStr">
        <is>
          <t>Error handling</t>
        </is>
      </c>
      <c r="I4" s="7" t="inlineStr">
        <is>
          <t>Alert</t>
        </is>
      </c>
    </row>
    <row r="5">
      <c r="A5" t="inlineStr">
        <is>
          <t>S01</t>
        </is>
      </c>
      <c r="B5" t="inlineStr">
        <is>
          <t>Movement in</t>
        </is>
      </c>
      <c r="C5" t="inlineStr">
        <is>
          <t>Airtable: Watch records (Movements, created)</t>
        </is>
      </c>
      <c r="D5" t="inlineStr">
        <is>
          <t>Every 15 min</t>
        </is>
      </c>
      <c r="E5" t="n">
        <v>6</v>
      </c>
      <c r="F5" t="n">
        <v>5</v>
      </c>
      <c r="G5" t="n">
        <v>1</v>
      </c>
      <c r="H5" t="inlineStr">
        <is>
          <t>Break: 3 retries, 15 min apart; balance below zero goes to Exceptions, not an error</t>
        </is>
      </c>
      <c r="I5" t="inlineStr">
        <is>
          <t>Yard lead email on exception</t>
        </is>
      </c>
    </row>
    <row r="6">
      <c r="A6" t="inlineStr">
        <is>
          <t>S02</t>
        </is>
      </c>
      <c r="B6" t="inlineStr">
        <is>
          <t>Hire billing run</t>
        </is>
      </c>
      <c r="C6" t="inlineStr">
        <is>
          <t>Scheduler</t>
        </is>
      </c>
      <c r="D6" t="inlineStr">
        <is>
          <t>Daily 06:00</t>
        </is>
      </c>
      <c r="E6" t="n">
        <v>9</v>
      </c>
      <c r="F6" t="n">
        <v>6</v>
      </c>
      <c r="G6" t="n">
        <v>1</v>
      </c>
      <c r="H6" t="inlineStr">
        <is>
          <t>Key check before any write; Break with 3 retries on Xero calls; incomplete executions stored, never a second draft</t>
        </is>
      </c>
      <c r="I6" t="inlineStr">
        <is>
          <t>Office email on any incomplete run</t>
        </is>
      </c>
    </row>
    <row r="7">
      <c r="A7" t="inlineStr">
        <is>
          <t>S03</t>
        </is>
      </c>
      <c r="B7" t="inlineStr">
        <is>
          <t>Payments back from Xero</t>
        </is>
      </c>
      <c r="C7" t="inlineStr">
        <is>
          <t>Xero: Watch invoices (status PAID)</t>
        </is>
      </c>
      <c r="D7" t="inlineStr">
        <is>
          <t>Every 15 min</t>
        </is>
      </c>
      <c r="E7" t="n">
        <v>4</v>
      </c>
      <c r="F7" t="n">
        <v>3</v>
      </c>
      <c r="G7" t="n">
        <v>1</v>
      </c>
      <c r="H7" t="inlineStr">
        <is>
          <t>Resume: invoice with no Hire Period goes to Exceptions; Break on Airtable errors</t>
        </is>
      </c>
      <c r="I7" t="inlineStr">
        <is>
          <t>Run log only</t>
        </is>
      </c>
    </row>
    <row r="8">
      <c r="A8" t="inlineStr">
        <is>
          <t>S04</t>
        </is>
      </c>
      <c r="B8" t="inlineStr">
        <is>
          <t>Contacts from Xero</t>
        </is>
      </c>
      <c r="C8" t="inlineStr">
        <is>
          <t>Xero: Watch contacts (updated)</t>
        </is>
      </c>
      <c r="D8" t="inlineStr">
        <is>
          <t>Hourly</t>
        </is>
      </c>
      <c r="E8" t="n">
        <v>4</v>
      </c>
      <c r="F8" t="n">
        <v>3</v>
      </c>
      <c r="G8" t="n">
        <v>1</v>
      </c>
      <c r="H8" t="inlineStr">
        <is>
          <t>Ignore on unchanged records; Break on Airtable errors; never creates a customer in Airtable</t>
        </is>
      </c>
      <c r="I8" t="inlineStr">
        <is>
          <t>Run log only</t>
        </is>
      </c>
    </row>
    <row r="9">
      <c r="A9" t="inlineStr">
        <is>
          <t>S05</t>
        </is>
      </c>
      <c r="B9" t="inlineStr">
        <is>
          <t>Nightly checks</t>
        </is>
      </c>
      <c r="C9" t="inlineStr">
        <is>
          <t>Scheduler</t>
        </is>
      </c>
      <c r="D9" t="inlineStr">
        <is>
          <t>Daily 22:00</t>
        </is>
      </c>
      <c r="E9" t="n">
        <v>8</v>
      </c>
      <c r="F9" t="n">
        <v>0</v>
      </c>
      <c r="G9" t="n">
        <v>14</v>
      </c>
      <c r="H9" t="inlineStr">
        <is>
          <t>Break: 3 retries; a failed run is flagged by S10 the next morning</t>
        </is>
      </c>
      <c r="I9" t="inlineStr">
        <is>
          <t>Owner and office summary email</t>
        </is>
      </c>
    </row>
    <row r="10">
      <c r="A10" t="inlineStr">
        <is>
          <t>S06</t>
        </is>
      </c>
      <c r="B10" t="inlineStr">
        <is>
          <t>Docket photo to Drive</t>
        </is>
      </c>
      <c r="C10" t="inlineStr">
        <is>
          <t>Glide: webhook (photo added)</t>
        </is>
      </c>
      <c r="D10" t="inlineStr">
        <is>
          <t>Instant</t>
        </is>
      </c>
      <c r="E10" t="n">
        <v>5</v>
      </c>
      <c r="F10" t="n">
        <v>4</v>
      </c>
      <c r="G10" t="n">
        <v>0</v>
      </c>
      <c r="H10" t="inlineStr">
        <is>
          <t>Break: 3 retries; Drive quota or file errors go to Exceptions with the Movement ID</t>
        </is>
      </c>
      <c r="I10" t="inlineStr">
        <is>
          <t>Run log only</t>
        </is>
      </c>
    </row>
    <row r="11">
      <c r="A11" t="inlineStr">
        <is>
          <t>S07</t>
        </is>
      </c>
      <c r="B11" t="inlineStr">
        <is>
          <t>Lost or damaged charge</t>
        </is>
      </c>
      <c r="C11" t="inlineStr">
        <is>
          <t>Airtable: Watch records (Movements, LOST)</t>
        </is>
      </c>
      <c r="D11" t="inlineStr">
        <is>
          <t>Every 15 min</t>
        </is>
      </c>
      <c r="E11" t="n">
        <v>6</v>
      </c>
      <c r="F11" t="n">
        <v>5</v>
      </c>
      <c r="G11" t="n">
        <v>1</v>
      </c>
      <c r="H11" t="inlineStr">
        <is>
          <t>Rollback: no draft if the lost charge or customer is missing; Exception for the office</t>
        </is>
      </c>
      <c r="I11" t="inlineStr">
        <is>
          <t>Office email</t>
        </is>
      </c>
    </row>
    <row r="12">
      <c r="A12" t="inlineStr">
        <is>
          <t>S08</t>
        </is>
      </c>
      <c r="B12" t="inlineStr">
        <is>
          <t>Site collected, final cycle</t>
        </is>
      </c>
      <c r="C12" t="inlineStr">
        <is>
          <t>Airtable: Watch records (Sites, status Collected)</t>
        </is>
      </c>
      <c r="D12" t="inlineStr">
        <is>
          <t>Every 15 min</t>
        </is>
      </c>
      <c r="E12" t="n">
        <v>7</v>
      </c>
      <c r="F12" t="n">
        <v>6</v>
      </c>
      <c r="G12" t="n">
        <v>1</v>
      </c>
      <c r="H12" t="inlineStr">
        <is>
          <t>Same key check as S02, so the final cycle is billed once</t>
        </is>
      </c>
      <c r="I12" t="inlineStr">
        <is>
          <t>Office email on any incomplete run</t>
        </is>
      </c>
    </row>
    <row r="13">
      <c r="A13" t="inlineStr">
        <is>
          <t>S09</t>
        </is>
      </c>
      <c r="B13" t="inlineStr">
        <is>
          <t>Weekly backup</t>
        </is>
      </c>
      <c r="C13" t="inlineStr">
        <is>
          <t>Scheduler</t>
        </is>
      </c>
      <c r="D13" t="inlineStr">
        <is>
          <t>Sunday 00:00</t>
        </is>
      </c>
      <c r="E13" t="n">
        <v>6</v>
      </c>
      <c r="F13" t="n">
        <v>0</v>
      </c>
      <c r="G13" t="n">
        <v>7</v>
      </c>
      <c r="H13" t="inlineStr">
        <is>
          <t>Break: 3 retries; a missed backup is flagged by S10</t>
        </is>
      </c>
      <c r="I13" t="inlineStr">
        <is>
          <t>Office email if it fails</t>
        </is>
      </c>
    </row>
    <row r="14">
      <c r="A14" t="inlineStr">
        <is>
          <t>S10</t>
        </is>
      </c>
      <c r="B14" t="inlineStr">
        <is>
          <t>Error monitor</t>
        </is>
      </c>
      <c r="C14" t="inlineStr">
        <is>
          <t>Scheduler</t>
        </is>
      </c>
      <c r="D14" t="inlineStr">
        <is>
          <t>Daily 07:00</t>
        </is>
      </c>
      <c r="E14" t="n">
        <v>5</v>
      </c>
      <c r="F14" t="n">
        <v>0</v>
      </c>
      <c r="G14" t="n">
        <v>6</v>
      </c>
      <c r="H14" t="inlineStr">
        <is>
          <t>Lists incomplete executions and any scenario that has not run on schedule</t>
        </is>
      </c>
      <c r="I14" t="inlineStr">
        <is>
          <t>Owner and office email</t>
        </is>
      </c>
    </row>
  </sheetData>
  <autoFilter ref="A4:I14"/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90" customWidth="1" min="3" max="3"/>
  </cols>
  <sheetData>
    <row r="1">
      <c r="A1" s="6" t="inlineStr">
        <is>
          <t>Make scenarios, module by module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Scenario</t>
        </is>
      </c>
      <c r="B4" s="7" t="inlineStr">
        <is>
          <t>Module</t>
        </is>
      </c>
      <c r="C4" s="7" t="inlineStr">
        <is>
          <t>What it does</t>
        </is>
      </c>
    </row>
    <row r="5">
      <c r="A5" t="inlineStr">
        <is>
          <t>S01 Movement in</t>
        </is>
      </c>
      <c r="B5" t="inlineStr">
        <is>
          <t>Watch Airtable records (Movements, created)</t>
        </is>
      </c>
      <c r="C5" t="inlineStr">
        <is>
          <t>Glide writes the row; S1 checks the site is Active and the balance does not go below zero</t>
        </is>
      </c>
    </row>
    <row r="6">
      <c r="A6" t="inlineStr">
        <is>
          <t>S01 Movement in</t>
        </is>
      </c>
      <c r="B6" t="inlineStr">
        <is>
          <t>Router: balance &lt; 0</t>
        </is>
      </c>
      <c r="C6" t="inlineStr">
        <is>
          <t>Create an Exception, notify the yard lead by email</t>
        </is>
      </c>
    </row>
    <row r="7">
      <c r="A7" t="inlineStr">
        <is>
          <t>S01 Movement in</t>
        </is>
      </c>
      <c r="B7" t="inlineStr">
        <is>
          <t>Router: site now empty</t>
        </is>
      </c>
      <c r="C7" t="inlineStr">
        <is>
          <t>Set Site status Collected; queue the final cycle</t>
        </is>
      </c>
    </row>
    <row r="8">
      <c r="A8" t="inlineStr">
        <is>
          <t>S02 Billing run</t>
        </is>
      </c>
      <c r="B8" t="inlineStr">
        <is>
          <t>Scheduler: daily 6:00</t>
        </is>
      </c>
      <c r="C8" t="inlineStr">
        <is>
          <t>Find Sites whose 4-week cycle ends today</t>
        </is>
      </c>
    </row>
    <row r="9">
      <c r="A9" t="inlineStr">
        <is>
          <t>S02 Billing run</t>
        </is>
      </c>
      <c r="B9" t="inlineStr">
        <is>
          <t>Airtable search: Hire Periods by key</t>
        </is>
      </c>
      <c r="C9" t="inlineStr">
        <is>
          <t>Skip if Site|Asset|Cycle start exists (idempotency)</t>
        </is>
      </c>
    </row>
    <row r="10">
      <c r="A10" t="inlineStr">
        <is>
          <t>S02 Billing run</t>
        </is>
      </c>
      <c r="B10" t="inlineStr">
        <is>
          <t>Compute billable unit-weeks</t>
        </is>
      </c>
      <c r="C10" t="inlineStr">
        <is>
          <t>Peak units each week from Movements, times the asset rate</t>
        </is>
      </c>
    </row>
    <row r="11">
      <c r="A11" t="inlineStr">
        <is>
          <t>S02 Billing run</t>
        </is>
      </c>
      <c r="B11" t="inlineStr">
        <is>
          <t>Xero: Create invoice (DRAFT)</t>
        </is>
      </c>
      <c r="C11" t="inlineStr">
        <is>
          <t>ContactID from Customers, Reference = Site ID, account 4010, tracking Service line</t>
        </is>
      </c>
    </row>
    <row r="12">
      <c r="A12" t="inlineStr">
        <is>
          <t>S02 Billing run</t>
        </is>
      </c>
      <c r="B12" t="inlineStr">
        <is>
          <t>Airtable: create Hire Period</t>
        </is>
      </c>
      <c r="C12" t="inlineStr">
        <is>
          <t>Key, units, Xero invoice ID, status Draft</t>
        </is>
      </c>
    </row>
    <row r="13">
      <c r="A13" t="inlineStr">
        <is>
          <t>S02 Billing run</t>
        </is>
      </c>
      <c r="B13" t="inlineStr">
        <is>
          <t>Error handler</t>
        </is>
      </c>
      <c r="C13" t="inlineStr">
        <is>
          <t>Break with 3 retries; on failure write an Exception, never a second draft</t>
        </is>
      </c>
    </row>
    <row r="14">
      <c r="A14" t="inlineStr">
        <is>
          <t>S03 Payments back</t>
        </is>
      </c>
      <c r="B14" t="inlineStr">
        <is>
          <t>Xero: Watch invoices (status PAID)</t>
        </is>
      </c>
      <c r="C14" t="inlineStr">
        <is>
          <t>Find Hire Period by Xero invoice ID and set Paid</t>
        </is>
      </c>
    </row>
    <row r="15">
      <c r="A15" t="inlineStr">
        <is>
          <t>S03 Payments back</t>
        </is>
      </c>
      <c r="B15" t="inlineStr">
        <is>
          <t>Xero: Watch contacts</t>
        </is>
      </c>
      <c r="C15" t="inlineStr">
        <is>
          <t>Update Customers (name, email); never creates customers in Airtable</t>
        </is>
      </c>
    </row>
    <row r="16">
      <c r="A16" t="inlineStr">
        <is>
          <t>S05 Nightly checks</t>
        </is>
      </c>
      <c r="B16" t="inlineStr">
        <is>
          <t>Scheduler: daily 22:00</t>
        </is>
      </c>
      <c r="C16" t="inlineStr">
        <is>
          <t>Units on hire per class vs fleet register minus yard</t>
        </is>
      </c>
    </row>
    <row r="17">
      <c r="A17" t="inlineStr">
        <is>
          <t>S05 Nightly checks</t>
        </is>
      </c>
      <c r="B17" t="inlineStr">
        <is>
          <t>Airtable search: Sites Collected with units</t>
        </is>
      </c>
      <c r="C17" t="inlineStr">
        <is>
          <t>Raise NOT RETURNED exceptions</t>
        </is>
      </c>
    </row>
    <row r="18">
      <c r="A18" t="inlineStr">
        <is>
          <t>S05 Nightly checks</t>
        </is>
      </c>
      <c r="B18" t="inlineStr">
        <is>
          <t>Email summary</t>
        </is>
      </c>
      <c r="C18" t="inlineStr">
        <is>
          <t>Open exceptions, drafts awaiting approval, failed runs</t>
        </is>
      </c>
    </row>
    <row r="19">
      <c r="A19" t="inlineStr">
        <is>
          <t>S04 Contacts from Xero</t>
        </is>
      </c>
      <c r="B19" t="inlineStr">
        <is>
          <t>Xero: Watch contacts (updated)</t>
        </is>
      </c>
      <c r="C19" t="inlineStr">
        <is>
          <t>Find Customer by ContactID; update name and email; Ignore if nothing changed</t>
        </is>
      </c>
    </row>
    <row r="20">
      <c r="A20" t="inlineStr">
        <is>
          <t>S06 Docket photo</t>
        </is>
      </c>
      <c r="B20" t="inlineStr">
        <is>
          <t>Glide webhook</t>
        </is>
      </c>
      <c r="C20" t="inlineStr">
        <is>
          <t>Download the photo, save to Drive /Dockets/Site, write the link on the Movement</t>
        </is>
      </c>
    </row>
    <row r="21">
      <c r="A21" t="inlineStr">
        <is>
          <t>S07 Lost or damaged</t>
        </is>
      </c>
      <c r="B21" t="inlineStr">
        <is>
          <t>Router: lost charge and customer present</t>
        </is>
      </c>
      <c r="C21" t="inlineStr">
        <is>
          <t>Create a DRAFT Xero invoice line at the asset's lost charge; Rollback and Exception if either is missing</t>
        </is>
      </c>
    </row>
    <row r="22">
      <c r="A22" t="inlineStr">
        <is>
          <t>S08 Final cycle</t>
        </is>
      </c>
      <c r="B22" t="inlineStr">
        <is>
          <t>Airtable search: Hire Periods by key</t>
        </is>
      </c>
      <c r="C22" t="inlineStr">
        <is>
          <t>Same key check as S02; bill the part cycle to the collection date</t>
        </is>
      </c>
    </row>
    <row r="23">
      <c r="A23" t="inlineStr">
        <is>
          <t>S09 Weekly backup</t>
        </is>
      </c>
      <c r="B23" t="inlineStr">
        <is>
          <t>Airtable: list all records, 7 tables</t>
        </is>
      </c>
      <c r="C23" t="inlineStr">
        <is>
          <t>Write one CSV per table to Drive /Backups/yyyy-mm-dd</t>
        </is>
      </c>
    </row>
    <row r="24">
      <c r="A24" t="inlineStr">
        <is>
          <t>S10 Error monitor</t>
        </is>
      </c>
      <c r="B24" t="inlineStr">
        <is>
          <t>Make: list incomplete executions; scenario last-run times</t>
        </is>
      </c>
      <c r="C24" t="inlineStr">
        <is>
          <t>Email a list of anything incomplete or not run on schedule</t>
        </is>
      </c>
    </row>
  </sheetData>
  <autoFilter ref="A4:C24"/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L8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8" customWidth="1" min="2" max="2"/>
    <col width="32" customWidth="1" min="3" max="3"/>
    <col width="6" customWidth="1" min="4" max="4"/>
    <col width="11" customWidth="1" min="5" max="5"/>
    <col width="6" customWidth="1" min="6" max="6"/>
    <col width="8" customWidth="1" min="7" max="7"/>
    <col width="9" customWidth="1" min="8" max="8"/>
    <col width="7" customWidth="1" min="9" max="9"/>
    <col width="12" customWidth="1" min="10" max="10"/>
    <col width="8" customWidth="1" min="11" max="11"/>
    <col width="8" customWidth="1" min="12" max="12"/>
  </cols>
  <sheetData>
    <row r="1">
      <c r="A1" s="6" t="inlineStr">
        <is>
          <t>Simulated S2 run, July 2026 (second run created 0 new drafts)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Idempotency key</t>
        </is>
      </c>
      <c r="B4" s="7" t="inlineStr">
        <is>
          <t>Site</t>
        </is>
      </c>
      <c r="C4" s="7" t="inlineStr">
        <is>
          <t>Customer</t>
        </is>
      </c>
      <c r="D4" s="7" t="inlineStr">
        <is>
          <t>Asset</t>
        </is>
      </c>
      <c r="E4" s="7" t="inlineStr">
        <is>
          <t>Invoice date</t>
        </is>
      </c>
      <c r="F4" s="7" t="inlineStr">
        <is>
          <t>Weeks</t>
        </is>
      </c>
      <c r="G4" s="7" t="inlineStr">
        <is>
          <t>Units on hire</t>
        </is>
      </c>
      <c r="H4" s="7" t="inlineStr">
        <is>
          <t>Unit-weeks</t>
        </is>
      </c>
      <c r="I4" s="7" t="inlineStr">
        <is>
          <t>Rate</t>
        </is>
      </c>
      <c r="J4" s="7" t="inlineStr">
        <is>
          <t>Amount (ex GST)</t>
        </is>
      </c>
      <c r="K4" s="7" t="inlineStr">
        <is>
          <t>Status</t>
        </is>
      </c>
      <c r="L4" s="7" t="inlineStr">
        <is>
          <t>Key count</t>
        </is>
      </c>
    </row>
    <row r="5">
      <c r="A5" t="inlineStr">
        <is>
          <t>S0002|BR|2026-06-14</t>
        </is>
      </c>
      <c r="B5" t="inlineStr">
        <is>
          <t>S0002</t>
        </is>
      </c>
      <c r="C5" t="inlineStr">
        <is>
          <t>Parkview Homes Pty Ltd</t>
        </is>
      </c>
      <c r="D5" t="inlineStr">
        <is>
          <t>BR</t>
        </is>
      </c>
      <c r="E5" s="11" t="n">
        <v>46215</v>
      </c>
      <c r="F5" t="n">
        <v>4</v>
      </c>
      <c r="G5" t="n">
        <v>13</v>
      </c>
      <c r="H5">
        <f>F5*G5</f>
        <v>52</v>
      </c>
      <c r="I5" s="9" t="n">
        <v>3.2</v>
      </c>
      <c r="J5" s="9">
        <f>ROUND(H5*I5,2)</f>
        <v>166.4</v>
      </c>
      <c r="K5" t="inlineStr">
        <is>
          <t>DRAFT</t>
        </is>
      </c>
      <c r="L5">
        <f>COUNTIF('Make July Run'!$A$5:$A$80,A5)</f>
        <v>1</v>
      </c>
    </row>
    <row r="6">
      <c r="A6" t="inlineStr">
        <is>
          <t>S0002|FP|2026-06-14</t>
        </is>
      </c>
      <c r="B6" t="inlineStr">
        <is>
          <t>S0002</t>
        </is>
      </c>
      <c r="C6" t="inlineStr">
        <is>
          <t>Parkview Homes Pty Ltd</t>
        </is>
      </c>
      <c r="D6" t="inlineStr">
        <is>
          <t>FP</t>
        </is>
      </c>
      <c r="E6" s="11" t="n">
        <v>46215</v>
      </c>
      <c r="F6" t="n">
        <v>4</v>
      </c>
      <c r="G6" t="n">
        <v>13</v>
      </c>
      <c r="H6">
        <f>F6*G6</f>
        <v>52</v>
      </c>
      <c r="I6" s="9" t="n">
        <v>4.5</v>
      </c>
      <c r="J6" s="9">
        <f>ROUND(H6*I6,2)</f>
        <v>234</v>
      </c>
      <c r="K6" t="inlineStr">
        <is>
          <t>DRAFT</t>
        </is>
      </c>
      <c r="L6">
        <f>COUNTIF('Make July Run'!$A$5:$A$80,A6)</f>
        <v>1</v>
      </c>
    </row>
    <row r="7">
      <c r="A7" t="inlineStr">
        <is>
          <t>S0009|BR|2026-06-18</t>
        </is>
      </c>
      <c r="B7" t="inlineStr">
        <is>
          <t>S0009</t>
        </is>
      </c>
      <c r="C7" t="inlineStr">
        <is>
          <t>Riverbend Homes Pty Ltd</t>
        </is>
      </c>
      <c r="D7" t="inlineStr">
        <is>
          <t>BR</t>
        </is>
      </c>
      <c r="E7" s="11" t="n">
        <v>46219</v>
      </c>
      <c r="F7" t="n">
        <v>4</v>
      </c>
      <c r="G7" t="n">
        <v>4</v>
      </c>
      <c r="H7">
        <f>F7*G7</f>
        <v>16</v>
      </c>
      <c r="I7" s="9" t="n">
        <v>3.2</v>
      </c>
      <c r="J7" s="9">
        <f>ROUND(H7*I7,2)</f>
        <v>51.2</v>
      </c>
      <c r="K7" t="inlineStr">
        <is>
          <t>DRAFT</t>
        </is>
      </c>
      <c r="L7">
        <f>COUNTIF('Make July Run'!$A$5:$A$80,A7)</f>
        <v>1</v>
      </c>
    </row>
    <row r="8">
      <c r="A8" t="inlineStr">
        <is>
          <t>S0009|FP|2026-06-18</t>
        </is>
      </c>
      <c r="B8" t="inlineStr">
        <is>
          <t>S0009</t>
        </is>
      </c>
      <c r="C8" t="inlineStr">
        <is>
          <t>Riverbend Homes Pty Ltd</t>
        </is>
      </c>
      <c r="D8" t="inlineStr">
        <is>
          <t>FP</t>
        </is>
      </c>
      <c r="E8" s="11" t="n">
        <v>46219</v>
      </c>
      <c r="F8" t="n">
        <v>4</v>
      </c>
      <c r="G8" t="n">
        <v>43</v>
      </c>
      <c r="H8">
        <f>F8*G8</f>
        <v>172</v>
      </c>
      <c r="I8" s="9" t="n">
        <v>4.5</v>
      </c>
      <c r="J8" s="9">
        <f>ROUND(H8*I8,2)</f>
        <v>774</v>
      </c>
      <c r="K8" t="inlineStr">
        <is>
          <t>DRAFT</t>
        </is>
      </c>
      <c r="L8">
        <f>COUNTIF('Make July Run'!$A$5:$A$80,A8)</f>
        <v>1</v>
      </c>
    </row>
    <row r="9">
      <c r="A9" t="inlineStr">
        <is>
          <t>S0012|BR|2026-06-06</t>
        </is>
      </c>
      <c r="B9" t="inlineStr">
        <is>
          <t>S0012</t>
        </is>
      </c>
      <c r="C9" t="inlineStr">
        <is>
          <t>Bluegum Developments</t>
        </is>
      </c>
      <c r="D9" t="inlineStr">
        <is>
          <t>BR</t>
        </is>
      </c>
      <c r="E9" s="11" t="n">
        <v>46207</v>
      </c>
      <c r="F9" t="n">
        <v>4</v>
      </c>
      <c r="G9" t="n">
        <v>4</v>
      </c>
      <c r="H9">
        <f>F9*G9</f>
        <v>16</v>
      </c>
      <c r="I9" s="9" t="n">
        <v>3.2</v>
      </c>
      <c r="J9" s="9">
        <f>ROUND(H9*I9,2)</f>
        <v>51.2</v>
      </c>
      <c r="K9" t="inlineStr">
        <is>
          <t>DRAFT</t>
        </is>
      </c>
      <c r="L9">
        <f>COUNTIF('Make July Run'!$A$5:$A$80,A9)</f>
        <v>1</v>
      </c>
    </row>
    <row r="10">
      <c r="A10" t="inlineStr">
        <is>
          <t>S0012|FP|2026-06-06</t>
        </is>
      </c>
      <c r="B10" t="inlineStr">
        <is>
          <t>S0012</t>
        </is>
      </c>
      <c r="C10" t="inlineStr">
        <is>
          <t>Bluegum Developments</t>
        </is>
      </c>
      <c r="D10" t="inlineStr">
        <is>
          <t>FP</t>
        </is>
      </c>
      <c r="E10" s="11" t="n">
        <v>46207</v>
      </c>
      <c r="F10" t="n">
        <v>4</v>
      </c>
      <c r="G10" t="n">
        <v>86</v>
      </c>
      <c r="H10">
        <f>F10*G10</f>
        <v>344</v>
      </c>
      <c r="I10" s="9" t="n">
        <v>4.5</v>
      </c>
      <c r="J10" s="9">
        <f>ROUND(H10*I10,2)</f>
        <v>1548</v>
      </c>
      <c r="K10" t="inlineStr">
        <is>
          <t>DRAFT</t>
        </is>
      </c>
      <c r="L10">
        <f>COUNTIF('Make July Run'!$A$5:$A$80,A10)</f>
        <v>1</v>
      </c>
    </row>
    <row r="11">
      <c r="A11" t="inlineStr">
        <is>
          <t>S0014|BR|2026-06-21</t>
        </is>
      </c>
      <c r="B11" t="inlineStr">
        <is>
          <t>S0014</t>
        </is>
      </c>
      <c r="C11" t="inlineStr">
        <is>
          <t>Banksia Homes</t>
        </is>
      </c>
      <c r="D11" t="inlineStr">
        <is>
          <t>BR</t>
        </is>
      </c>
      <c r="E11" s="11" t="n">
        <v>46222</v>
      </c>
      <c r="F11" t="n">
        <v>4</v>
      </c>
      <c r="G11" t="n">
        <v>14</v>
      </c>
      <c r="H11">
        <f>F11*G11</f>
        <v>56</v>
      </c>
      <c r="I11" s="9" t="n">
        <v>3.2</v>
      </c>
      <c r="J11" s="9">
        <f>ROUND(H11*I11,2)</f>
        <v>179.2</v>
      </c>
      <c r="K11" t="inlineStr">
        <is>
          <t>DRAFT</t>
        </is>
      </c>
      <c r="L11">
        <f>COUNTIF('Make July Run'!$A$5:$A$80,A11)</f>
        <v>1</v>
      </c>
    </row>
    <row r="12">
      <c r="A12" t="inlineStr">
        <is>
          <t>S0014|FP|2026-06-21</t>
        </is>
      </c>
      <c r="B12" t="inlineStr">
        <is>
          <t>S0014</t>
        </is>
      </c>
      <c r="C12" t="inlineStr">
        <is>
          <t>Banksia Homes</t>
        </is>
      </c>
      <c r="D12" t="inlineStr">
        <is>
          <t>FP</t>
        </is>
      </c>
      <c r="E12" s="11" t="n">
        <v>46222</v>
      </c>
      <c r="F12" t="n">
        <v>4</v>
      </c>
      <c r="G12" t="n">
        <v>30</v>
      </c>
      <c r="H12">
        <f>F12*G12</f>
        <v>120</v>
      </c>
      <c r="I12" s="9" t="n">
        <v>4.5</v>
      </c>
      <c r="J12" s="9">
        <f>ROUND(H12*I12,2)</f>
        <v>540</v>
      </c>
      <c r="K12" t="inlineStr">
        <is>
          <t>DRAFT</t>
        </is>
      </c>
      <c r="L12">
        <f>COUNTIF('Make July Run'!$A$5:$A$80,A12)</f>
        <v>1</v>
      </c>
    </row>
    <row r="13">
      <c r="A13" t="inlineStr">
        <is>
          <t>S0016|BR|2026-06-21</t>
        </is>
      </c>
      <c r="B13" t="inlineStr">
        <is>
          <t>S0016</t>
        </is>
      </c>
      <c r="C13" t="inlineStr">
        <is>
          <t>Cobalt Developments Pty Ltd</t>
        </is>
      </c>
      <c r="D13" t="inlineStr">
        <is>
          <t>BR</t>
        </is>
      </c>
      <c r="E13" s="11" t="n">
        <v>46222</v>
      </c>
      <c r="F13" t="n">
        <v>4</v>
      </c>
      <c r="G13" t="n">
        <v>13</v>
      </c>
      <c r="H13">
        <f>F13*G13</f>
        <v>52</v>
      </c>
      <c r="I13" s="9" t="n">
        <v>3.2</v>
      </c>
      <c r="J13" s="9">
        <f>ROUND(H13*I13,2)</f>
        <v>166.4</v>
      </c>
      <c r="K13" t="inlineStr">
        <is>
          <t>DRAFT</t>
        </is>
      </c>
      <c r="L13">
        <f>COUNTIF('Make July Run'!$A$5:$A$80,A13)</f>
        <v>1</v>
      </c>
    </row>
    <row r="14">
      <c r="A14" t="inlineStr">
        <is>
          <t>S0016|FP|2026-06-21</t>
        </is>
      </c>
      <c r="B14" t="inlineStr">
        <is>
          <t>S0016</t>
        </is>
      </c>
      <c r="C14" t="inlineStr">
        <is>
          <t>Cobalt Developments Pty Ltd</t>
        </is>
      </c>
      <c r="D14" t="inlineStr">
        <is>
          <t>FP</t>
        </is>
      </c>
      <c r="E14" s="11" t="n">
        <v>46222</v>
      </c>
      <c r="F14" t="n">
        <v>4</v>
      </c>
      <c r="G14" t="n">
        <v>49</v>
      </c>
      <c r="H14">
        <f>F14*G14</f>
        <v>196</v>
      </c>
      <c r="I14" s="9" t="n">
        <v>4.5</v>
      </c>
      <c r="J14" s="9">
        <f>ROUND(H14*I14,2)</f>
        <v>882</v>
      </c>
      <c r="K14" t="inlineStr">
        <is>
          <t>DRAFT</t>
        </is>
      </c>
      <c r="L14">
        <f>COUNTIF('Make July Run'!$A$5:$A$80,A14)</f>
        <v>1</v>
      </c>
    </row>
    <row r="15">
      <c r="A15" t="inlineStr">
        <is>
          <t>S0020|BR|2026-06-03</t>
        </is>
      </c>
      <c r="B15" t="inlineStr">
        <is>
          <t>S0020</t>
        </is>
      </c>
      <c r="C15" t="inlineStr">
        <is>
          <t>Granite Projects Pty Ltd</t>
        </is>
      </c>
      <c r="D15" t="inlineStr">
        <is>
          <t>BR</t>
        </is>
      </c>
      <c r="E15" s="11" t="n">
        <v>46204</v>
      </c>
      <c r="F15" t="n">
        <v>4</v>
      </c>
      <c r="G15" t="n">
        <v>11</v>
      </c>
      <c r="H15">
        <f>F15*G15</f>
        <v>44</v>
      </c>
      <c r="I15" s="9" t="n">
        <v>3.2</v>
      </c>
      <c r="J15" s="9">
        <f>ROUND(H15*I15,2)</f>
        <v>140.8</v>
      </c>
      <c r="K15" t="inlineStr">
        <is>
          <t>DRAFT</t>
        </is>
      </c>
      <c r="L15">
        <f>COUNTIF('Make July Run'!$A$5:$A$80,A15)</f>
        <v>1</v>
      </c>
    </row>
    <row r="16">
      <c r="A16" t="inlineStr">
        <is>
          <t>S0020|FP|2026-06-03</t>
        </is>
      </c>
      <c r="B16" t="inlineStr">
        <is>
          <t>S0020</t>
        </is>
      </c>
      <c r="C16" t="inlineStr">
        <is>
          <t>Granite Projects Pty Ltd</t>
        </is>
      </c>
      <c r="D16" t="inlineStr">
        <is>
          <t>FP</t>
        </is>
      </c>
      <c r="E16" s="11" t="n">
        <v>46204</v>
      </c>
      <c r="F16" t="n">
        <v>4</v>
      </c>
      <c r="G16" t="n">
        <v>26</v>
      </c>
      <c r="H16">
        <f>F16*G16</f>
        <v>104</v>
      </c>
      <c r="I16" s="9" t="n">
        <v>4.5</v>
      </c>
      <c r="J16" s="9">
        <f>ROUND(H16*I16,2)</f>
        <v>468</v>
      </c>
      <c r="K16" t="inlineStr">
        <is>
          <t>DRAFT</t>
        </is>
      </c>
      <c r="L16">
        <f>COUNTIF('Make July Run'!$A$5:$A$80,A16)</f>
        <v>1</v>
      </c>
    </row>
    <row r="17">
      <c r="A17" t="inlineStr">
        <is>
          <t>S0023|FP|2026-06-07</t>
        </is>
      </c>
      <c r="B17" t="inlineStr">
        <is>
          <t>S0023</t>
        </is>
      </c>
      <c r="C17" t="inlineStr">
        <is>
          <t>Bluegum Body Corporate Pty Ltd</t>
        </is>
      </c>
      <c r="D17" t="inlineStr">
        <is>
          <t>FP</t>
        </is>
      </c>
      <c r="E17" s="11" t="n">
        <v>46208</v>
      </c>
      <c r="F17" t="n">
        <v>4</v>
      </c>
      <c r="G17" t="n">
        <v>117</v>
      </c>
      <c r="H17">
        <f>F17*G17</f>
        <v>468</v>
      </c>
      <c r="I17" s="9" t="n">
        <v>4.5</v>
      </c>
      <c r="J17" s="9">
        <f>ROUND(H17*I17,2)</f>
        <v>2106</v>
      </c>
      <c r="K17" t="inlineStr">
        <is>
          <t>DRAFT</t>
        </is>
      </c>
      <c r="L17">
        <f>COUNTIF('Make July Run'!$A$5:$A$80,A17)</f>
        <v>1</v>
      </c>
    </row>
    <row r="18">
      <c r="A18" t="inlineStr">
        <is>
          <t>S0027|FP|2026-06-13</t>
        </is>
      </c>
      <c r="B18" t="inlineStr">
        <is>
          <t>S0027</t>
        </is>
      </c>
      <c r="C18" t="inlineStr">
        <is>
          <t>Bluegum Construction Pty Ltd</t>
        </is>
      </c>
      <c r="D18" t="inlineStr">
        <is>
          <t>FP</t>
        </is>
      </c>
      <c r="E18" s="11" t="n">
        <v>46214</v>
      </c>
      <c r="F18" t="n">
        <v>4</v>
      </c>
      <c r="G18" t="n">
        <v>79</v>
      </c>
      <c r="H18">
        <f>F18*G18</f>
        <v>316</v>
      </c>
      <c r="I18" s="9" t="n">
        <v>4.5</v>
      </c>
      <c r="J18" s="9">
        <f>ROUND(H18*I18,2)</f>
        <v>1422</v>
      </c>
      <c r="K18" t="inlineStr">
        <is>
          <t>DRAFT</t>
        </is>
      </c>
      <c r="L18">
        <f>COUNTIF('Make July Run'!$A$5:$A$80,A18)</f>
        <v>1</v>
      </c>
    </row>
    <row r="19">
      <c r="A19" t="inlineStr">
        <is>
          <t>S0029|FP|2026-06-11</t>
        </is>
      </c>
      <c r="B19" t="inlineStr">
        <is>
          <t>S0029</t>
        </is>
      </c>
      <c r="C19" t="inlineStr">
        <is>
          <t>Lakeside Constructions Pty Ltd</t>
        </is>
      </c>
      <c r="D19" t="inlineStr">
        <is>
          <t>FP</t>
        </is>
      </c>
      <c r="E19" s="11" t="n">
        <v>46212</v>
      </c>
      <c r="F19" t="n">
        <v>4</v>
      </c>
      <c r="G19" t="n">
        <v>126</v>
      </c>
      <c r="H19">
        <f>F19*G19</f>
        <v>504</v>
      </c>
      <c r="I19" s="9" t="n">
        <v>4.5</v>
      </c>
      <c r="J19" s="9">
        <f>ROUND(H19*I19,2)</f>
        <v>2268</v>
      </c>
      <c r="K19" t="inlineStr">
        <is>
          <t>DRAFT</t>
        </is>
      </c>
      <c r="L19">
        <f>COUNTIF('Make July Run'!$A$5:$A$80,A19)</f>
        <v>1</v>
      </c>
    </row>
    <row r="20">
      <c r="A20" t="inlineStr">
        <is>
          <t>S0040|BR|2026-06-04</t>
        </is>
      </c>
      <c r="B20" t="inlineStr">
        <is>
          <t>S0040</t>
        </is>
      </c>
      <c r="C20" t="inlineStr">
        <is>
          <t>Riverbend Homes Pty Ltd</t>
        </is>
      </c>
      <c r="D20" t="inlineStr">
        <is>
          <t>BR</t>
        </is>
      </c>
      <c r="E20" s="11" t="n">
        <v>46205</v>
      </c>
      <c r="F20" t="n">
        <v>4</v>
      </c>
      <c r="G20" t="n">
        <v>4</v>
      </c>
      <c r="H20">
        <f>F20*G20</f>
        <v>16</v>
      </c>
      <c r="I20" s="9" t="n">
        <v>3.2</v>
      </c>
      <c r="J20" s="9">
        <f>ROUND(H20*I20,2)</f>
        <v>51.2</v>
      </c>
      <c r="K20" t="inlineStr">
        <is>
          <t>DRAFT</t>
        </is>
      </c>
      <c r="L20">
        <f>COUNTIF('Make July Run'!$A$5:$A$80,A20)</f>
        <v>1</v>
      </c>
    </row>
    <row r="21">
      <c r="A21" t="inlineStr">
        <is>
          <t>S0040|FP|2026-06-04</t>
        </is>
      </c>
      <c r="B21" t="inlineStr">
        <is>
          <t>S0040</t>
        </is>
      </c>
      <c r="C21" t="inlineStr">
        <is>
          <t>Riverbend Homes Pty Ltd</t>
        </is>
      </c>
      <c r="D21" t="inlineStr">
        <is>
          <t>FP</t>
        </is>
      </c>
      <c r="E21" s="11" t="n">
        <v>46205</v>
      </c>
      <c r="F21" t="n">
        <v>4</v>
      </c>
      <c r="G21" t="n">
        <v>149</v>
      </c>
      <c r="H21">
        <f>F21*G21</f>
        <v>596</v>
      </c>
      <c r="I21" s="9" t="n">
        <v>4.5</v>
      </c>
      <c r="J21" s="9">
        <f>ROUND(H21*I21,2)</f>
        <v>2682</v>
      </c>
      <c r="K21" t="inlineStr">
        <is>
          <t>DRAFT</t>
        </is>
      </c>
      <c r="L21">
        <f>COUNTIF('Make July Run'!$A$5:$A$80,A21)</f>
        <v>1</v>
      </c>
    </row>
    <row r="22">
      <c r="A22" t="inlineStr">
        <is>
          <t>S0042|FP|2026-06-22</t>
        </is>
      </c>
      <c r="B22" t="inlineStr">
        <is>
          <t>S0042</t>
        </is>
      </c>
      <c r="C22" t="inlineStr">
        <is>
          <t>Noah Williams</t>
        </is>
      </c>
      <c r="D22" t="inlineStr">
        <is>
          <t>FP</t>
        </is>
      </c>
      <c r="E22" s="11" t="n">
        <v>46223</v>
      </c>
      <c r="F22" t="n">
        <v>4</v>
      </c>
      <c r="G22" t="n">
        <v>81</v>
      </c>
      <c r="H22">
        <f>F22*G22</f>
        <v>324</v>
      </c>
      <c r="I22" s="9" t="n">
        <v>4.5</v>
      </c>
      <c r="J22" s="9">
        <f>ROUND(H22*I22,2)</f>
        <v>1458</v>
      </c>
      <c r="K22" t="inlineStr">
        <is>
          <t>DRAFT</t>
        </is>
      </c>
      <c r="L22">
        <f>COUNTIF('Make July Run'!$A$5:$A$80,A22)</f>
        <v>1</v>
      </c>
    </row>
    <row r="23">
      <c r="A23" t="inlineStr">
        <is>
          <t>S0052|FP|2026-06-26</t>
        </is>
      </c>
      <c r="B23" t="inlineStr">
        <is>
          <t>S0052</t>
        </is>
      </c>
      <c r="C23" t="inlineStr">
        <is>
          <t>Banksia Projects Pty Ltd</t>
        </is>
      </c>
      <c r="D23" t="inlineStr">
        <is>
          <t>FP</t>
        </is>
      </c>
      <c r="E23" s="11" t="n">
        <v>46227</v>
      </c>
      <c r="F23" t="n">
        <v>4</v>
      </c>
      <c r="G23" t="n">
        <v>107</v>
      </c>
      <c r="H23">
        <f>F23*G23</f>
        <v>428</v>
      </c>
      <c r="I23" s="9" t="n">
        <v>4.5</v>
      </c>
      <c r="J23" s="9">
        <f>ROUND(H23*I23,2)</f>
        <v>1926</v>
      </c>
      <c r="K23" t="inlineStr">
        <is>
          <t>DRAFT</t>
        </is>
      </c>
      <c r="L23">
        <f>COUNTIF('Make July Run'!$A$5:$A$80,A23)</f>
        <v>1</v>
      </c>
    </row>
    <row r="24">
      <c r="A24" t="inlineStr">
        <is>
          <t>S0056|BR|2026-06-07</t>
        </is>
      </c>
      <c r="B24" t="inlineStr">
        <is>
          <t>S0056</t>
        </is>
      </c>
      <c r="C24" t="inlineStr">
        <is>
          <t>Bluegum Developments</t>
        </is>
      </c>
      <c r="D24" t="inlineStr">
        <is>
          <t>BR</t>
        </is>
      </c>
      <c r="E24" s="11" t="n">
        <v>46208</v>
      </c>
      <c r="F24" t="n">
        <v>4</v>
      </c>
      <c r="G24" t="n">
        <v>9</v>
      </c>
      <c r="H24">
        <f>F24*G24</f>
        <v>36</v>
      </c>
      <c r="I24" s="9" t="n">
        <v>3.2</v>
      </c>
      <c r="J24" s="9">
        <f>ROUND(H24*I24,2)</f>
        <v>115.2</v>
      </c>
      <c r="K24" t="inlineStr">
        <is>
          <t>DRAFT</t>
        </is>
      </c>
      <c r="L24">
        <f>COUNTIF('Make July Run'!$A$5:$A$80,A24)</f>
        <v>1</v>
      </c>
    </row>
    <row r="25">
      <c r="A25" t="inlineStr">
        <is>
          <t>S0056|FP|2026-06-07</t>
        </is>
      </c>
      <c r="B25" t="inlineStr">
        <is>
          <t>S0056</t>
        </is>
      </c>
      <c r="C25" t="inlineStr">
        <is>
          <t>Bluegum Developments</t>
        </is>
      </c>
      <c r="D25" t="inlineStr">
        <is>
          <t>FP</t>
        </is>
      </c>
      <c r="E25" s="11" t="n">
        <v>46208</v>
      </c>
      <c r="F25" t="n">
        <v>4</v>
      </c>
      <c r="G25" t="n">
        <v>51</v>
      </c>
      <c r="H25">
        <f>F25*G25</f>
        <v>204</v>
      </c>
      <c r="I25" s="9" t="n">
        <v>4.5</v>
      </c>
      <c r="J25" s="9">
        <f>ROUND(H25*I25,2)</f>
        <v>918</v>
      </c>
      <c r="K25" t="inlineStr">
        <is>
          <t>DRAFT</t>
        </is>
      </c>
      <c r="L25">
        <f>COUNTIF('Make July Run'!$A$5:$A$80,A25)</f>
        <v>1</v>
      </c>
    </row>
    <row r="26">
      <c r="A26" t="inlineStr">
        <is>
          <t>S0057|FP|2026-06-20</t>
        </is>
      </c>
      <c r="B26" t="inlineStr">
        <is>
          <t>S0057</t>
        </is>
      </c>
      <c r="C26" t="inlineStr">
        <is>
          <t>Highpoint Projects</t>
        </is>
      </c>
      <c r="D26" t="inlineStr">
        <is>
          <t>FP</t>
        </is>
      </c>
      <c r="E26" s="11" t="n">
        <v>46221</v>
      </c>
      <c r="F26" t="n">
        <v>4</v>
      </c>
      <c r="G26" t="n">
        <v>133</v>
      </c>
      <c r="H26">
        <f>F26*G26</f>
        <v>532</v>
      </c>
      <c r="I26" s="9" t="n">
        <v>4.5</v>
      </c>
      <c r="J26" s="9">
        <f>ROUND(H26*I26,2)</f>
        <v>2394</v>
      </c>
      <c r="K26" t="inlineStr">
        <is>
          <t>DRAFT</t>
        </is>
      </c>
      <c r="L26">
        <f>COUNTIF('Make July Run'!$A$5:$A$80,A26)</f>
        <v>1</v>
      </c>
    </row>
    <row r="27">
      <c r="A27" t="inlineStr">
        <is>
          <t>S0058|BR|2026-06-11</t>
        </is>
      </c>
      <c r="B27" t="inlineStr">
        <is>
          <t>S0058</t>
        </is>
      </c>
      <c r="C27" t="inlineStr">
        <is>
          <t>Riverbend Homes Pty Ltd</t>
        </is>
      </c>
      <c r="D27" t="inlineStr">
        <is>
          <t>BR</t>
        </is>
      </c>
      <c r="E27" s="11" t="n">
        <v>46212</v>
      </c>
      <c r="F27" t="n">
        <v>4</v>
      </c>
      <c r="G27" t="n">
        <v>13</v>
      </c>
      <c r="H27">
        <f>F27*G27</f>
        <v>52</v>
      </c>
      <c r="I27" s="9" t="n">
        <v>3.2</v>
      </c>
      <c r="J27" s="9">
        <f>ROUND(H27*I27,2)</f>
        <v>166.4</v>
      </c>
      <c r="K27" t="inlineStr">
        <is>
          <t>DRAFT</t>
        </is>
      </c>
      <c r="L27">
        <f>COUNTIF('Make July Run'!$A$5:$A$80,A27)</f>
        <v>1</v>
      </c>
    </row>
    <row r="28">
      <c r="A28" t="inlineStr">
        <is>
          <t>S0058|FP|2026-06-11</t>
        </is>
      </c>
      <c r="B28" t="inlineStr">
        <is>
          <t>S0058</t>
        </is>
      </c>
      <c r="C28" t="inlineStr">
        <is>
          <t>Riverbend Homes Pty Ltd</t>
        </is>
      </c>
      <c r="D28" t="inlineStr">
        <is>
          <t>FP</t>
        </is>
      </c>
      <c r="E28" s="11" t="n">
        <v>46212</v>
      </c>
      <c r="F28" t="n">
        <v>4</v>
      </c>
      <c r="G28" t="n">
        <v>42</v>
      </c>
      <c r="H28">
        <f>F28*G28</f>
        <v>168</v>
      </c>
      <c r="I28" s="9" t="n">
        <v>4.5</v>
      </c>
      <c r="J28" s="9">
        <f>ROUND(H28*I28,2)</f>
        <v>756</v>
      </c>
      <c r="K28" t="inlineStr">
        <is>
          <t>DRAFT</t>
        </is>
      </c>
      <c r="L28">
        <f>COUNTIF('Make July Run'!$A$5:$A$80,A28)</f>
        <v>1</v>
      </c>
    </row>
    <row r="29">
      <c r="A29" t="inlineStr">
        <is>
          <t>S0060|BR|2026-06-30</t>
        </is>
      </c>
      <c r="B29" t="inlineStr">
        <is>
          <t>S0060</t>
        </is>
      </c>
      <c r="C29" t="inlineStr">
        <is>
          <t>Bluegum Constructions</t>
        </is>
      </c>
      <c r="D29" t="inlineStr">
        <is>
          <t>BR</t>
        </is>
      </c>
      <c r="E29" s="11" t="n">
        <v>46231</v>
      </c>
      <c r="F29" t="n">
        <v>4</v>
      </c>
      <c r="G29" t="n">
        <v>19</v>
      </c>
      <c r="H29">
        <f>F29*G29</f>
        <v>76</v>
      </c>
      <c r="I29" s="9" t="n">
        <v>3.2</v>
      </c>
      <c r="J29" s="9">
        <f>ROUND(H29*I29,2)</f>
        <v>243.2</v>
      </c>
      <c r="K29" t="inlineStr">
        <is>
          <t>DRAFT</t>
        </is>
      </c>
      <c r="L29">
        <f>COUNTIF('Make July Run'!$A$5:$A$80,A29)</f>
        <v>1</v>
      </c>
    </row>
    <row r="30">
      <c r="A30" t="inlineStr">
        <is>
          <t>S0060|FP|2026-06-30</t>
        </is>
      </c>
      <c r="B30" t="inlineStr">
        <is>
          <t>S0060</t>
        </is>
      </c>
      <c r="C30" t="inlineStr">
        <is>
          <t>Bluegum Constructions</t>
        </is>
      </c>
      <c r="D30" t="inlineStr">
        <is>
          <t>FP</t>
        </is>
      </c>
      <c r="E30" s="11" t="n">
        <v>46231</v>
      </c>
      <c r="F30" t="n">
        <v>4</v>
      </c>
      <c r="G30" t="n">
        <v>36</v>
      </c>
      <c r="H30">
        <f>F30*G30</f>
        <v>144</v>
      </c>
      <c r="I30" s="9" t="n">
        <v>4.5</v>
      </c>
      <c r="J30" s="9">
        <f>ROUND(H30*I30,2)</f>
        <v>648</v>
      </c>
      <c r="K30" t="inlineStr">
        <is>
          <t>DRAFT</t>
        </is>
      </c>
      <c r="L30">
        <f>COUNTIF('Make July Run'!$A$5:$A$80,A30)</f>
        <v>1</v>
      </c>
    </row>
    <row r="31">
      <c r="A31" t="inlineStr">
        <is>
          <t>S0064|BR|2026-06-07</t>
        </is>
      </c>
      <c r="B31" t="inlineStr">
        <is>
          <t>S0064</t>
        </is>
      </c>
      <c r="C31" t="inlineStr">
        <is>
          <t>Banksia Projects Pty Ltd</t>
        </is>
      </c>
      <c r="D31" t="inlineStr">
        <is>
          <t>BR</t>
        </is>
      </c>
      <c r="E31" s="11" t="n">
        <v>46208</v>
      </c>
      <c r="F31" t="n">
        <v>4</v>
      </c>
      <c r="G31" t="n">
        <v>20</v>
      </c>
      <c r="H31">
        <f>F31*G31</f>
        <v>80</v>
      </c>
      <c r="I31" s="9" t="n">
        <v>3.2</v>
      </c>
      <c r="J31" s="9">
        <f>ROUND(H31*I31,2)</f>
        <v>256</v>
      </c>
      <c r="K31" t="inlineStr">
        <is>
          <t>DRAFT</t>
        </is>
      </c>
      <c r="L31">
        <f>COUNTIF('Make July Run'!$A$5:$A$80,A31)</f>
        <v>1</v>
      </c>
    </row>
    <row r="32">
      <c r="A32" t="inlineStr">
        <is>
          <t>S0064|FP|2026-06-07</t>
        </is>
      </c>
      <c r="B32" t="inlineStr">
        <is>
          <t>S0064</t>
        </is>
      </c>
      <c r="C32" t="inlineStr">
        <is>
          <t>Banksia Projects Pty Ltd</t>
        </is>
      </c>
      <c r="D32" t="inlineStr">
        <is>
          <t>FP</t>
        </is>
      </c>
      <c r="E32" s="11" t="n">
        <v>46208</v>
      </c>
      <c r="F32" t="n">
        <v>4</v>
      </c>
      <c r="G32" t="n">
        <v>42</v>
      </c>
      <c r="H32">
        <f>F32*G32</f>
        <v>168</v>
      </c>
      <c r="I32" s="9" t="n">
        <v>4.5</v>
      </c>
      <c r="J32" s="9">
        <f>ROUND(H32*I32,2)</f>
        <v>756</v>
      </c>
      <c r="K32" t="inlineStr">
        <is>
          <t>DRAFT</t>
        </is>
      </c>
      <c r="L32">
        <f>COUNTIF('Make July Run'!$A$5:$A$80,A32)</f>
        <v>1</v>
      </c>
    </row>
    <row r="33">
      <c r="A33" t="inlineStr">
        <is>
          <t>S0070|FP|2026-06-04</t>
        </is>
      </c>
      <c r="B33" t="inlineStr">
        <is>
          <t>S0070</t>
        </is>
      </c>
      <c r="C33" t="inlineStr">
        <is>
          <t>Maribyrnong City Council</t>
        </is>
      </c>
      <c r="D33" t="inlineStr">
        <is>
          <t>FP</t>
        </is>
      </c>
      <c r="E33" s="11" t="n">
        <v>46205</v>
      </c>
      <c r="F33" t="n">
        <v>4</v>
      </c>
      <c r="G33" t="n">
        <v>29</v>
      </c>
      <c r="H33">
        <f>F33*G33</f>
        <v>116</v>
      </c>
      <c r="I33" s="9" t="n">
        <v>4.5</v>
      </c>
      <c r="J33" s="9">
        <f>ROUND(H33*I33,2)</f>
        <v>522</v>
      </c>
      <c r="K33" t="inlineStr">
        <is>
          <t>DRAFT</t>
        </is>
      </c>
      <c r="L33">
        <f>COUNTIF('Make July Run'!$A$5:$A$80,A33)</f>
        <v>1</v>
      </c>
    </row>
    <row r="34">
      <c r="A34" t="inlineStr">
        <is>
          <t>S0073|BR|2026-06-26</t>
        </is>
      </c>
      <c r="B34" t="inlineStr">
        <is>
          <t>S0073</t>
        </is>
      </c>
      <c r="C34" t="inlineStr">
        <is>
          <t>Wattle Constructions Pty Ltd</t>
        </is>
      </c>
      <c r="D34" t="inlineStr">
        <is>
          <t>BR</t>
        </is>
      </c>
      <c r="E34" s="11" t="n">
        <v>46227</v>
      </c>
      <c r="F34" t="n">
        <v>4</v>
      </c>
      <c r="G34" t="n">
        <v>23</v>
      </c>
      <c r="H34">
        <f>F34*G34</f>
        <v>92</v>
      </c>
      <c r="I34" s="9" t="n">
        <v>3.2</v>
      </c>
      <c r="J34" s="9">
        <f>ROUND(H34*I34,2)</f>
        <v>294.4</v>
      </c>
      <c r="K34" t="inlineStr">
        <is>
          <t>DRAFT</t>
        </is>
      </c>
      <c r="L34">
        <f>COUNTIF('Make July Run'!$A$5:$A$80,A34)</f>
        <v>1</v>
      </c>
    </row>
    <row r="35">
      <c r="A35" t="inlineStr">
        <is>
          <t>S0073|FP|2026-06-26</t>
        </is>
      </c>
      <c r="B35" t="inlineStr">
        <is>
          <t>S0073</t>
        </is>
      </c>
      <c r="C35" t="inlineStr">
        <is>
          <t>Wattle Constructions Pty Ltd</t>
        </is>
      </c>
      <c r="D35" t="inlineStr">
        <is>
          <t>FP</t>
        </is>
      </c>
      <c r="E35" s="11" t="n">
        <v>46227</v>
      </c>
      <c r="F35" t="n">
        <v>4</v>
      </c>
      <c r="G35" t="n">
        <v>70</v>
      </c>
      <c r="H35">
        <f>F35*G35</f>
        <v>280</v>
      </c>
      <c r="I35" s="9" t="n">
        <v>4.5</v>
      </c>
      <c r="J35" s="9">
        <f>ROUND(H35*I35,2)</f>
        <v>1260</v>
      </c>
      <c r="K35" t="inlineStr">
        <is>
          <t>DRAFT</t>
        </is>
      </c>
      <c r="L35">
        <f>COUNTIF('Make July Run'!$A$5:$A$80,A35)</f>
        <v>1</v>
      </c>
    </row>
    <row r="36">
      <c r="A36" t="inlineStr">
        <is>
          <t>S0092|FP|2026-06-25</t>
        </is>
      </c>
      <c r="B36" t="inlineStr">
        <is>
          <t>S0092</t>
        </is>
      </c>
      <c r="C36" t="inlineStr">
        <is>
          <t>Banksia Homes</t>
        </is>
      </c>
      <c r="D36" t="inlineStr">
        <is>
          <t>FP</t>
        </is>
      </c>
      <c r="E36" s="11" t="n">
        <v>46226</v>
      </c>
      <c r="F36" t="n">
        <v>4</v>
      </c>
      <c r="G36" t="n">
        <v>104</v>
      </c>
      <c r="H36">
        <f>F36*G36</f>
        <v>416</v>
      </c>
      <c r="I36" s="9" t="n">
        <v>4.5</v>
      </c>
      <c r="J36" s="9">
        <f>ROUND(H36*I36,2)</f>
        <v>1872</v>
      </c>
      <c r="K36" t="inlineStr">
        <is>
          <t>DRAFT</t>
        </is>
      </c>
      <c r="L36">
        <f>COUNTIF('Make July Run'!$A$5:$A$80,A36)</f>
        <v>1</v>
      </c>
    </row>
    <row r="37">
      <c r="A37" t="inlineStr">
        <is>
          <t>S0095|FP|2026-06-28</t>
        </is>
      </c>
      <c r="B37" t="inlineStr">
        <is>
          <t>S0095</t>
        </is>
      </c>
      <c r="C37" t="inlineStr">
        <is>
          <t>Banksia Projects Pty Ltd</t>
        </is>
      </c>
      <c r="D37" t="inlineStr">
        <is>
          <t>FP</t>
        </is>
      </c>
      <c r="E37" s="11" t="n">
        <v>46229</v>
      </c>
      <c r="F37" t="n">
        <v>4</v>
      </c>
      <c r="G37" t="n">
        <v>129</v>
      </c>
      <c r="H37">
        <f>F37*G37</f>
        <v>516</v>
      </c>
      <c r="I37" s="9" t="n">
        <v>4.5</v>
      </c>
      <c r="J37" s="9">
        <f>ROUND(H37*I37,2)</f>
        <v>2322</v>
      </c>
      <c r="K37" t="inlineStr">
        <is>
          <t>DRAFT</t>
        </is>
      </c>
      <c r="L37">
        <f>COUNTIF('Make July Run'!$A$5:$A$80,A37)</f>
        <v>1</v>
      </c>
    </row>
    <row r="38">
      <c r="A38" t="inlineStr">
        <is>
          <t>S0096|FP|2026-06-20</t>
        </is>
      </c>
      <c r="B38" t="inlineStr">
        <is>
          <t>S0096</t>
        </is>
      </c>
      <c r="C38" t="inlineStr">
        <is>
          <t>Summit Builders Pty Ltd</t>
        </is>
      </c>
      <c r="D38" t="inlineStr">
        <is>
          <t>FP</t>
        </is>
      </c>
      <c r="E38" s="11" t="n">
        <v>46221</v>
      </c>
      <c r="F38" t="n">
        <v>4</v>
      </c>
      <c r="G38" t="n">
        <v>88</v>
      </c>
      <c r="H38">
        <f>F38*G38</f>
        <v>352</v>
      </c>
      <c r="I38" s="9" t="n">
        <v>4.5</v>
      </c>
      <c r="J38" s="9">
        <f>ROUND(H38*I38,2)</f>
        <v>1584</v>
      </c>
      <c r="K38" t="inlineStr">
        <is>
          <t>DRAFT</t>
        </is>
      </c>
      <c r="L38">
        <f>COUNTIF('Make July Run'!$A$5:$A$80,A38)</f>
        <v>1</v>
      </c>
    </row>
    <row r="39">
      <c r="A39" t="inlineStr">
        <is>
          <t>S0099|BR|2026-06-15</t>
        </is>
      </c>
      <c r="B39" t="inlineStr">
        <is>
          <t>S0099</t>
        </is>
      </c>
      <c r="C39" t="inlineStr">
        <is>
          <t>Highpoint Projects</t>
        </is>
      </c>
      <c r="D39" t="inlineStr">
        <is>
          <t>BR</t>
        </is>
      </c>
      <c r="E39" s="11" t="n">
        <v>46216</v>
      </c>
      <c r="F39" t="n">
        <v>4</v>
      </c>
      <c r="G39" t="n">
        <v>10</v>
      </c>
      <c r="H39">
        <f>F39*G39</f>
        <v>40</v>
      </c>
      <c r="I39" s="9" t="n">
        <v>3.2</v>
      </c>
      <c r="J39" s="9">
        <f>ROUND(H39*I39,2)</f>
        <v>128</v>
      </c>
      <c r="K39" t="inlineStr">
        <is>
          <t>DRAFT</t>
        </is>
      </c>
      <c r="L39">
        <f>COUNTIF('Make July Run'!$A$5:$A$80,A39)</f>
        <v>1</v>
      </c>
    </row>
    <row r="40">
      <c r="A40" t="inlineStr">
        <is>
          <t>S0099|FP|2026-06-15</t>
        </is>
      </c>
      <c r="B40" t="inlineStr">
        <is>
          <t>S0099</t>
        </is>
      </c>
      <c r="C40" t="inlineStr">
        <is>
          <t>Highpoint Projects</t>
        </is>
      </c>
      <c r="D40" t="inlineStr">
        <is>
          <t>FP</t>
        </is>
      </c>
      <c r="E40" s="11" t="n">
        <v>46216</v>
      </c>
      <c r="F40" t="n">
        <v>4</v>
      </c>
      <c r="G40" t="n">
        <v>70</v>
      </c>
      <c r="H40">
        <f>F40*G40</f>
        <v>280</v>
      </c>
      <c r="I40" s="9" t="n">
        <v>4.5</v>
      </c>
      <c r="J40" s="9">
        <f>ROUND(H40*I40,2)</f>
        <v>1260</v>
      </c>
      <c r="K40" t="inlineStr">
        <is>
          <t>DRAFT</t>
        </is>
      </c>
      <c r="L40">
        <f>COUNTIF('Make July Run'!$A$5:$A$80,A40)</f>
        <v>1</v>
      </c>
    </row>
    <row r="41">
      <c r="A41" t="inlineStr">
        <is>
          <t>S0100|BR|2026-06-17</t>
        </is>
      </c>
      <c r="B41" t="inlineStr">
        <is>
          <t>S0100</t>
        </is>
      </c>
      <c r="C41" t="inlineStr">
        <is>
          <t>Metro Projects Pty Ltd</t>
        </is>
      </c>
      <c r="D41" t="inlineStr">
        <is>
          <t>BR</t>
        </is>
      </c>
      <c r="E41" s="11" t="n">
        <v>46218</v>
      </c>
      <c r="F41" t="n">
        <v>4</v>
      </c>
      <c r="G41" t="n">
        <v>14</v>
      </c>
      <c r="H41">
        <f>F41*G41</f>
        <v>56</v>
      </c>
      <c r="I41" s="9" t="n">
        <v>3.2</v>
      </c>
      <c r="J41" s="9">
        <f>ROUND(H41*I41,2)</f>
        <v>179.2</v>
      </c>
      <c r="K41" t="inlineStr">
        <is>
          <t>DRAFT</t>
        </is>
      </c>
      <c r="L41">
        <f>COUNTIF('Make July Run'!$A$5:$A$80,A41)</f>
        <v>1</v>
      </c>
    </row>
    <row r="42">
      <c r="A42" t="inlineStr">
        <is>
          <t>S0100|FP|2026-06-17</t>
        </is>
      </c>
      <c r="B42" t="inlineStr">
        <is>
          <t>S0100</t>
        </is>
      </c>
      <c r="C42" t="inlineStr">
        <is>
          <t>Metro Projects Pty Ltd</t>
        </is>
      </c>
      <c r="D42" t="inlineStr">
        <is>
          <t>FP</t>
        </is>
      </c>
      <c r="E42" s="11" t="n">
        <v>46218</v>
      </c>
      <c r="F42" t="n">
        <v>4</v>
      </c>
      <c r="G42" t="n">
        <v>141</v>
      </c>
      <c r="H42">
        <f>F42*G42</f>
        <v>564</v>
      </c>
      <c r="I42" s="9" t="n">
        <v>4.5</v>
      </c>
      <c r="J42" s="9">
        <f>ROUND(H42*I42,2)</f>
        <v>2538</v>
      </c>
      <c r="K42" t="inlineStr">
        <is>
          <t>DRAFT</t>
        </is>
      </c>
      <c r="L42">
        <f>COUNTIF('Make July Run'!$A$5:$A$80,A42)</f>
        <v>1</v>
      </c>
    </row>
    <row r="43">
      <c r="A43" t="inlineStr">
        <is>
          <t>S0118|FP|2026-06-21</t>
        </is>
      </c>
      <c r="B43" t="inlineStr">
        <is>
          <t>S0118</t>
        </is>
      </c>
      <c r="C43" t="inlineStr">
        <is>
          <t>Northgate Insurance Repairs</t>
        </is>
      </c>
      <c r="D43" t="inlineStr">
        <is>
          <t>FP</t>
        </is>
      </c>
      <c r="E43" s="11" t="n">
        <v>46222</v>
      </c>
      <c r="F43" t="n">
        <v>4</v>
      </c>
      <c r="G43" t="n">
        <v>136</v>
      </c>
      <c r="H43">
        <f>F43*G43</f>
        <v>544</v>
      </c>
      <c r="I43" s="9" t="n">
        <v>4.5</v>
      </c>
      <c r="J43" s="9">
        <f>ROUND(H43*I43,2)</f>
        <v>2448</v>
      </c>
      <c r="K43" t="inlineStr">
        <is>
          <t>DRAFT</t>
        </is>
      </c>
      <c r="L43">
        <f>COUNTIF('Make July Run'!$A$5:$A$80,A43)</f>
        <v>1</v>
      </c>
    </row>
    <row r="44">
      <c r="A44" t="inlineStr">
        <is>
          <t>S0127|FP|2026-06-13</t>
        </is>
      </c>
      <c r="B44" t="inlineStr">
        <is>
          <t>S0127</t>
        </is>
      </c>
      <c r="C44" t="inlineStr">
        <is>
          <t>Granite Projects Pty Ltd</t>
        </is>
      </c>
      <c r="D44" t="inlineStr">
        <is>
          <t>FP</t>
        </is>
      </c>
      <c r="E44" s="11" t="n">
        <v>46214</v>
      </c>
      <c r="F44" t="n">
        <v>4</v>
      </c>
      <c r="G44" t="n">
        <v>51</v>
      </c>
      <c r="H44">
        <f>F44*G44</f>
        <v>204</v>
      </c>
      <c r="I44" s="9" t="n">
        <v>4.5</v>
      </c>
      <c r="J44" s="9">
        <f>ROUND(H44*I44,2)</f>
        <v>918</v>
      </c>
      <c r="K44" t="inlineStr">
        <is>
          <t>DRAFT</t>
        </is>
      </c>
      <c r="L44">
        <f>COUNTIF('Make July Run'!$A$5:$A$80,A44)</f>
        <v>1</v>
      </c>
    </row>
    <row r="45">
      <c r="A45" t="inlineStr">
        <is>
          <t>S0133|FP|2026-06-12</t>
        </is>
      </c>
      <c r="B45" t="inlineStr">
        <is>
          <t>S0133</t>
        </is>
      </c>
      <c r="C45" t="inlineStr">
        <is>
          <t>Granite Projects Pty Ltd</t>
        </is>
      </c>
      <c r="D45" t="inlineStr">
        <is>
          <t>FP</t>
        </is>
      </c>
      <c r="E45" s="11" t="n">
        <v>46213</v>
      </c>
      <c r="F45" t="n">
        <v>4</v>
      </c>
      <c r="G45" t="n">
        <v>140</v>
      </c>
      <c r="H45">
        <f>F45*G45</f>
        <v>560</v>
      </c>
      <c r="I45" s="9" t="n">
        <v>4.5</v>
      </c>
      <c r="J45" s="9">
        <f>ROUND(H45*I45,2)</f>
        <v>2520</v>
      </c>
      <c r="K45" t="inlineStr">
        <is>
          <t>DRAFT</t>
        </is>
      </c>
      <c r="L45">
        <f>COUNTIF('Make July Run'!$A$5:$A$80,A45)</f>
        <v>1</v>
      </c>
    </row>
    <row r="46">
      <c r="A46" t="inlineStr">
        <is>
          <t>S0134|FP|2026-06-18</t>
        </is>
      </c>
      <c r="B46" t="inlineStr">
        <is>
          <t>S0134</t>
        </is>
      </c>
      <c r="C46" t="inlineStr">
        <is>
          <t>Northgate Building Group</t>
        </is>
      </c>
      <c r="D46" t="inlineStr">
        <is>
          <t>FP</t>
        </is>
      </c>
      <c r="E46" s="11" t="n">
        <v>46219</v>
      </c>
      <c r="F46" t="n">
        <v>4</v>
      </c>
      <c r="G46" t="n">
        <v>117</v>
      </c>
      <c r="H46">
        <f>F46*G46</f>
        <v>468</v>
      </c>
      <c r="I46" s="9" t="n">
        <v>4.5</v>
      </c>
      <c r="J46" s="9">
        <f>ROUND(H46*I46,2)</f>
        <v>2106</v>
      </c>
      <c r="K46" t="inlineStr">
        <is>
          <t>DRAFT</t>
        </is>
      </c>
      <c r="L46">
        <f>COUNTIF('Make July Run'!$A$5:$A$80,A46)</f>
        <v>1</v>
      </c>
    </row>
    <row r="47">
      <c r="A47" t="inlineStr">
        <is>
          <t>S0142|FP|2026-06-27</t>
        </is>
      </c>
      <c r="B47" t="inlineStr">
        <is>
          <t>S0142</t>
        </is>
      </c>
      <c r="C47" t="inlineStr">
        <is>
          <t>Highpoint Projects</t>
        </is>
      </c>
      <c r="D47" t="inlineStr">
        <is>
          <t>FP</t>
        </is>
      </c>
      <c r="E47" s="11" t="n">
        <v>46228</v>
      </c>
      <c r="F47" t="n">
        <v>4</v>
      </c>
      <c r="G47" t="n">
        <v>3</v>
      </c>
      <c r="H47">
        <f>F47*G47</f>
        <v>12</v>
      </c>
      <c r="I47" s="9" t="n">
        <v>4.5</v>
      </c>
      <c r="J47" s="9">
        <f>ROUND(H47*I47,2)</f>
        <v>54</v>
      </c>
      <c r="K47" t="inlineStr">
        <is>
          <t>DRAFT</t>
        </is>
      </c>
      <c r="L47">
        <f>COUNTIF('Make July Run'!$A$5:$A$80,A47)</f>
        <v>1</v>
      </c>
    </row>
    <row r="48">
      <c r="A48" t="inlineStr">
        <is>
          <t>S0143|FP|2026-06-27</t>
        </is>
      </c>
      <c r="B48" t="inlineStr">
        <is>
          <t>S0143</t>
        </is>
      </c>
      <c r="C48" t="inlineStr">
        <is>
          <t>Noah Williams</t>
        </is>
      </c>
      <c r="D48" t="inlineStr">
        <is>
          <t>FP</t>
        </is>
      </c>
      <c r="E48" s="11" t="n">
        <v>46228</v>
      </c>
      <c r="F48" t="n">
        <v>4</v>
      </c>
      <c r="G48" t="n">
        <v>70</v>
      </c>
      <c r="H48">
        <f>F48*G48</f>
        <v>280</v>
      </c>
      <c r="I48" s="9" t="n">
        <v>4.5</v>
      </c>
      <c r="J48" s="9">
        <f>ROUND(H48*I48,2)</f>
        <v>1260</v>
      </c>
      <c r="K48" t="inlineStr">
        <is>
          <t>DRAFT</t>
        </is>
      </c>
      <c r="L48">
        <f>COUNTIF('Make July Run'!$A$5:$A$80,A48)</f>
        <v>1</v>
      </c>
    </row>
    <row r="49">
      <c r="A49" t="inlineStr">
        <is>
          <t>S0148|FP|2026-06-12</t>
        </is>
      </c>
      <c r="B49" t="inlineStr">
        <is>
          <t>S0148</t>
        </is>
      </c>
      <c r="C49" t="inlineStr">
        <is>
          <t>Parkview Homes Pty Ltd</t>
        </is>
      </c>
      <c r="D49" t="inlineStr">
        <is>
          <t>FP</t>
        </is>
      </c>
      <c r="E49" s="11" t="n">
        <v>46213</v>
      </c>
      <c r="F49" t="n">
        <v>4</v>
      </c>
      <c r="G49" t="n">
        <v>171</v>
      </c>
      <c r="H49">
        <f>F49*G49</f>
        <v>684</v>
      </c>
      <c r="I49" s="9" t="n">
        <v>4.5</v>
      </c>
      <c r="J49" s="9">
        <f>ROUND(H49*I49,2)</f>
        <v>3078</v>
      </c>
      <c r="K49" t="inlineStr">
        <is>
          <t>DRAFT</t>
        </is>
      </c>
      <c r="L49">
        <f>COUNTIF('Make July Run'!$A$5:$A$80,A49)</f>
        <v>1</v>
      </c>
    </row>
    <row r="50">
      <c r="A50" t="inlineStr">
        <is>
          <t>S0158|BR|2026-06-11</t>
        </is>
      </c>
      <c r="B50" t="inlineStr">
        <is>
          <t>S0158</t>
        </is>
      </c>
      <c r="C50" t="inlineStr">
        <is>
          <t>Summit Homes Pty Ltd</t>
        </is>
      </c>
      <c r="D50" t="inlineStr">
        <is>
          <t>BR</t>
        </is>
      </c>
      <c r="E50" s="11" t="n">
        <v>46212</v>
      </c>
      <c r="F50" t="n">
        <v>4</v>
      </c>
      <c r="G50" t="n">
        <v>23</v>
      </c>
      <c r="H50">
        <f>F50*G50</f>
        <v>92</v>
      </c>
      <c r="I50" s="9" t="n">
        <v>3.2</v>
      </c>
      <c r="J50" s="9">
        <f>ROUND(H50*I50,2)</f>
        <v>294.4</v>
      </c>
      <c r="K50" t="inlineStr">
        <is>
          <t>DRAFT</t>
        </is>
      </c>
      <c r="L50">
        <f>COUNTIF('Make July Run'!$A$5:$A$80,A50)</f>
        <v>1</v>
      </c>
    </row>
    <row r="51">
      <c r="A51" t="inlineStr">
        <is>
          <t>S0158|FP|2026-06-11</t>
        </is>
      </c>
      <c r="B51" t="inlineStr">
        <is>
          <t>S0158</t>
        </is>
      </c>
      <c r="C51" t="inlineStr">
        <is>
          <t>Summit Homes Pty Ltd</t>
        </is>
      </c>
      <c r="D51" t="inlineStr">
        <is>
          <t>FP</t>
        </is>
      </c>
      <c r="E51" s="11" t="n">
        <v>46212</v>
      </c>
      <c r="F51" t="n">
        <v>4</v>
      </c>
      <c r="G51" t="n">
        <v>29</v>
      </c>
      <c r="H51">
        <f>F51*G51</f>
        <v>116</v>
      </c>
      <c r="I51" s="9" t="n">
        <v>4.5</v>
      </c>
      <c r="J51" s="9">
        <f>ROUND(H51*I51,2)</f>
        <v>522</v>
      </c>
      <c r="K51" t="inlineStr">
        <is>
          <t>DRAFT</t>
        </is>
      </c>
      <c r="L51">
        <f>COUNTIF('Make July Run'!$A$5:$A$80,A51)</f>
        <v>1</v>
      </c>
    </row>
    <row r="52">
      <c r="A52" t="inlineStr">
        <is>
          <t>S0162|FP|2026-06-18</t>
        </is>
      </c>
      <c r="B52" t="inlineStr">
        <is>
          <t>S0162</t>
        </is>
      </c>
      <c r="C52" t="inlineStr">
        <is>
          <t>Highpoint Projects</t>
        </is>
      </c>
      <c r="D52" t="inlineStr">
        <is>
          <t>FP</t>
        </is>
      </c>
      <c r="E52" s="11" t="n">
        <v>46219</v>
      </c>
      <c r="F52" t="n">
        <v>4</v>
      </c>
      <c r="G52" t="n">
        <v>39</v>
      </c>
      <c r="H52">
        <f>F52*G52</f>
        <v>156</v>
      </c>
      <c r="I52" s="9" t="n">
        <v>4.5</v>
      </c>
      <c r="J52" s="9">
        <f>ROUND(H52*I52,2)</f>
        <v>702</v>
      </c>
      <c r="K52" t="inlineStr">
        <is>
          <t>DRAFT</t>
        </is>
      </c>
      <c r="L52">
        <f>COUNTIF('Make July Run'!$A$5:$A$80,A52)</f>
        <v>1</v>
      </c>
    </row>
    <row r="53">
      <c r="A53" t="inlineStr">
        <is>
          <t>S0165|FP|2026-06-20</t>
        </is>
      </c>
      <c r="B53" t="inlineStr">
        <is>
          <t>S0165</t>
        </is>
      </c>
      <c r="C53" t="inlineStr">
        <is>
          <t>Northgate Builders Pty Ltd</t>
        </is>
      </c>
      <c r="D53" t="inlineStr">
        <is>
          <t>FP</t>
        </is>
      </c>
      <c r="E53" s="11" t="n">
        <v>46221</v>
      </c>
      <c r="F53" t="n">
        <v>4</v>
      </c>
      <c r="G53" t="n">
        <v>140</v>
      </c>
      <c r="H53">
        <f>F53*G53</f>
        <v>560</v>
      </c>
      <c r="I53" s="9" t="n">
        <v>4.5</v>
      </c>
      <c r="J53" s="9">
        <f>ROUND(H53*I53,2)</f>
        <v>2520</v>
      </c>
      <c r="K53" t="inlineStr">
        <is>
          <t>DRAFT</t>
        </is>
      </c>
      <c r="L53">
        <f>COUNTIF('Make July Run'!$A$5:$A$80,A53)</f>
        <v>1</v>
      </c>
    </row>
    <row r="54">
      <c r="A54" t="inlineStr">
        <is>
          <t>S0166|FP|2026-06-03</t>
        </is>
      </c>
      <c r="B54" t="inlineStr">
        <is>
          <t>S0166</t>
        </is>
      </c>
      <c r="C54" t="inlineStr">
        <is>
          <t>Metro Developments</t>
        </is>
      </c>
      <c r="D54" t="inlineStr">
        <is>
          <t>FP</t>
        </is>
      </c>
      <c r="E54" s="11" t="n">
        <v>46204</v>
      </c>
      <c r="F54" t="n">
        <v>4</v>
      </c>
      <c r="G54" t="n">
        <v>79</v>
      </c>
      <c r="H54">
        <f>F54*G54</f>
        <v>316</v>
      </c>
      <c r="I54" s="9" t="n">
        <v>4.5</v>
      </c>
      <c r="J54" s="9">
        <f>ROUND(H54*I54,2)</f>
        <v>1422</v>
      </c>
      <c r="K54" t="inlineStr">
        <is>
          <t>DRAFT</t>
        </is>
      </c>
      <c r="L54">
        <f>COUNTIF('Make July Run'!$A$5:$A$80,A54)</f>
        <v>1</v>
      </c>
    </row>
    <row r="55">
      <c r="A55" t="inlineStr">
        <is>
          <t>S0168|FP|2026-06-06</t>
        </is>
      </c>
      <c r="B55" t="inlineStr">
        <is>
          <t>S0168</t>
        </is>
      </c>
      <c r="C55" t="inlineStr">
        <is>
          <t>Cobalt Developments Pty Ltd</t>
        </is>
      </c>
      <c r="D55" t="inlineStr">
        <is>
          <t>FP</t>
        </is>
      </c>
      <c r="E55" s="11" t="n">
        <v>46207</v>
      </c>
      <c r="F55" t="n">
        <v>4</v>
      </c>
      <c r="G55" t="n">
        <v>127</v>
      </c>
      <c r="H55">
        <f>F55*G55</f>
        <v>508</v>
      </c>
      <c r="I55" s="9" t="n">
        <v>4.5</v>
      </c>
      <c r="J55" s="9">
        <f>ROUND(H55*I55,2)</f>
        <v>2286</v>
      </c>
      <c r="K55" t="inlineStr">
        <is>
          <t>DRAFT</t>
        </is>
      </c>
      <c r="L55">
        <f>COUNTIF('Make July Run'!$A$5:$A$80,A55)</f>
        <v>1</v>
      </c>
    </row>
    <row r="56">
      <c r="A56" t="inlineStr">
        <is>
          <t>S0169|BR|2026-06-22</t>
        </is>
      </c>
      <c r="B56" t="inlineStr">
        <is>
          <t>S0169</t>
        </is>
      </c>
      <c r="C56" t="inlineStr">
        <is>
          <t>Wattle Homes Pty Ltd</t>
        </is>
      </c>
      <c r="D56" t="inlineStr">
        <is>
          <t>BR</t>
        </is>
      </c>
      <c r="E56" s="11" t="n">
        <v>46223</v>
      </c>
      <c r="F56" t="n">
        <v>4</v>
      </c>
      <c r="G56" t="n">
        <v>16</v>
      </c>
      <c r="H56">
        <f>F56*G56</f>
        <v>64</v>
      </c>
      <c r="I56" s="9" t="n">
        <v>3.2</v>
      </c>
      <c r="J56" s="9">
        <f>ROUND(H56*I56,2)</f>
        <v>204.8</v>
      </c>
      <c r="K56" t="inlineStr">
        <is>
          <t>DRAFT</t>
        </is>
      </c>
      <c r="L56">
        <f>COUNTIF('Make July Run'!$A$5:$A$80,A56)</f>
        <v>1</v>
      </c>
    </row>
    <row r="57">
      <c r="A57" t="inlineStr">
        <is>
          <t>S0169|FP|2026-06-22</t>
        </is>
      </c>
      <c r="B57" t="inlineStr">
        <is>
          <t>S0169</t>
        </is>
      </c>
      <c r="C57" t="inlineStr">
        <is>
          <t>Wattle Homes Pty Ltd</t>
        </is>
      </c>
      <c r="D57" t="inlineStr">
        <is>
          <t>FP</t>
        </is>
      </c>
      <c r="E57" s="11" t="n">
        <v>46223</v>
      </c>
      <c r="F57" t="n">
        <v>4</v>
      </c>
      <c r="G57" t="n">
        <v>29</v>
      </c>
      <c r="H57">
        <f>F57*G57</f>
        <v>116</v>
      </c>
      <c r="I57" s="9" t="n">
        <v>4.5</v>
      </c>
      <c r="J57" s="9">
        <f>ROUND(H57*I57,2)</f>
        <v>522</v>
      </c>
      <c r="K57" t="inlineStr">
        <is>
          <t>DRAFT</t>
        </is>
      </c>
      <c r="L57">
        <f>COUNTIF('Make July Run'!$A$5:$A$80,A57)</f>
        <v>1</v>
      </c>
    </row>
    <row r="58">
      <c r="A58" t="inlineStr">
        <is>
          <t>S0171|BR|2026-06-18</t>
        </is>
      </c>
      <c r="B58" t="inlineStr">
        <is>
          <t>S0171</t>
        </is>
      </c>
      <c r="C58" t="inlineStr">
        <is>
          <t>Arjun Doyle</t>
        </is>
      </c>
      <c r="D58" t="inlineStr">
        <is>
          <t>BR</t>
        </is>
      </c>
      <c r="E58" s="11" t="n">
        <v>46219</v>
      </c>
      <c r="F58" t="n">
        <v>4</v>
      </c>
      <c r="G58" t="n">
        <v>15</v>
      </c>
      <c r="H58">
        <f>F58*G58</f>
        <v>60</v>
      </c>
      <c r="I58" s="9" t="n">
        <v>3.2</v>
      </c>
      <c r="J58" s="9">
        <f>ROUND(H58*I58,2)</f>
        <v>192</v>
      </c>
      <c r="K58" t="inlineStr">
        <is>
          <t>DRAFT</t>
        </is>
      </c>
      <c r="L58">
        <f>COUNTIF('Make July Run'!$A$5:$A$80,A58)</f>
        <v>1</v>
      </c>
    </row>
    <row r="59">
      <c r="A59" t="inlineStr">
        <is>
          <t>S0171|FP|2026-06-18</t>
        </is>
      </c>
      <c r="B59" t="inlineStr">
        <is>
          <t>S0171</t>
        </is>
      </c>
      <c r="C59" t="inlineStr">
        <is>
          <t>Arjun Doyle</t>
        </is>
      </c>
      <c r="D59" t="inlineStr">
        <is>
          <t>FP</t>
        </is>
      </c>
      <c r="E59" s="11" t="n">
        <v>46219</v>
      </c>
      <c r="F59" t="n">
        <v>4</v>
      </c>
      <c r="G59" t="n">
        <v>82</v>
      </c>
      <c r="H59">
        <f>F59*G59</f>
        <v>328</v>
      </c>
      <c r="I59" s="9" t="n">
        <v>4.5</v>
      </c>
      <c r="J59" s="9">
        <f>ROUND(H59*I59,2)</f>
        <v>1476</v>
      </c>
      <c r="K59" t="inlineStr">
        <is>
          <t>DRAFT</t>
        </is>
      </c>
      <c r="L59">
        <f>COUNTIF('Make July Run'!$A$5:$A$80,A59)</f>
        <v>1</v>
      </c>
    </row>
    <row r="60">
      <c r="A60" t="inlineStr">
        <is>
          <t>S0173|FP|2026-06-24</t>
        </is>
      </c>
      <c r="B60" t="inlineStr">
        <is>
          <t>S0173</t>
        </is>
      </c>
      <c r="C60" t="inlineStr">
        <is>
          <t>Wattle Constructions Pty Ltd</t>
        </is>
      </c>
      <c r="D60" t="inlineStr">
        <is>
          <t>FP</t>
        </is>
      </c>
      <c r="E60" s="11" t="n">
        <v>46225</v>
      </c>
      <c r="F60" t="n">
        <v>4</v>
      </c>
      <c r="G60" t="n">
        <v>149</v>
      </c>
      <c r="H60">
        <f>F60*G60</f>
        <v>596</v>
      </c>
      <c r="I60" s="9" t="n">
        <v>4.5</v>
      </c>
      <c r="J60" s="9">
        <f>ROUND(H60*I60,2)</f>
        <v>2682</v>
      </c>
      <c r="K60" t="inlineStr">
        <is>
          <t>DRAFT</t>
        </is>
      </c>
      <c r="L60">
        <f>COUNTIF('Make July Run'!$A$5:$A$80,A60)</f>
        <v>1</v>
      </c>
    </row>
    <row r="61">
      <c r="A61" t="inlineStr">
        <is>
          <t>S0176|FP|2026-06-30</t>
        </is>
      </c>
      <c r="B61" t="inlineStr">
        <is>
          <t>S0176</t>
        </is>
      </c>
      <c r="C61" t="inlineStr">
        <is>
          <t>Coastline Projects Pty Ltd</t>
        </is>
      </c>
      <c r="D61" t="inlineStr">
        <is>
          <t>FP</t>
        </is>
      </c>
      <c r="E61" s="11" t="n">
        <v>46231</v>
      </c>
      <c r="F61" t="n">
        <v>4</v>
      </c>
      <c r="G61" t="n">
        <v>79</v>
      </c>
      <c r="H61">
        <f>F61*G61</f>
        <v>316</v>
      </c>
      <c r="I61" s="9" t="n">
        <v>4.5</v>
      </c>
      <c r="J61" s="9">
        <f>ROUND(H61*I61,2)</f>
        <v>1422</v>
      </c>
      <c r="K61" t="inlineStr">
        <is>
          <t>DRAFT</t>
        </is>
      </c>
      <c r="L61">
        <f>COUNTIF('Make July Run'!$A$5:$A$80,A61)</f>
        <v>1</v>
      </c>
    </row>
    <row r="62">
      <c r="A62" t="inlineStr">
        <is>
          <t>S0182|FP|2026-06-30</t>
        </is>
      </c>
      <c r="B62" t="inlineStr">
        <is>
          <t>S0182</t>
        </is>
      </c>
      <c r="C62" t="inlineStr">
        <is>
          <t>Highpoint Projects</t>
        </is>
      </c>
      <c r="D62" t="inlineStr">
        <is>
          <t>FP</t>
        </is>
      </c>
      <c r="E62" s="11" t="n">
        <v>46231</v>
      </c>
      <c r="F62" t="n">
        <v>4</v>
      </c>
      <c r="G62" t="n">
        <v>111</v>
      </c>
      <c r="H62">
        <f>F62*G62</f>
        <v>444</v>
      </c>
      <c r="I62" s="9" t="n">
        <v>4.5</v>
      </c>
      <c r="J62" s="9">
        <f>ROUND(H62*I62,2)</f>
        <v>1998</v>
      </c>
      <c r="K62" t="inlineStr">
        <is>
          <t>DRAFT</t>
        </is>
      </c>
      <c r="L62">
        <f>COUNTIF('Make July Run'!$A$5:$A$80,A62)</f>
        <v>1</v>
      </c>
    </row>
    <row r="63">
      <c r="A63" t="inlineStr">
        <is>
          <t>S0187|FP|2026-06-16</t>
        </is>
      </c>
      <c r="B63" t="inlineStr">
        <is>
          <t>S0187</t>
        </is>
      </c>
      <c r="C63" t="inlineStr">
        <is>
          <t>Eastlink Developments</t>
        </is>
      </c>
      <c r="D63" t="inlineStr">
        <is>
          <t>FP</t>
        </is>
      </c>
      <c r="E63" s="11" t="n">
        <v>46217</v>
      </c>
      <c r="F63" t="n">
        <v>4</v>
      </c>
      <c r="G63" t="n">
        <v>120</v>
      </c>
      <c r="H63">
        <f>F63*G63</f>
        <v>480</v>
      </c>
      <c r="I63" s="9" t="n">
        <v>4.5</v>
      </c>
      <c r="J63" s="9">
        <f>ROUND(H63*I63,2)</f>
        <v>2160</v>
      </c>
      <c r="K63" t="inlineStr">
        <is>
          <t>DRAFT</t>
        </is>
      </c>
      <c r="L63">
        <f>COUNTIF('Make July Run'!$A$5:$A$80,A63)</f>
        <v>1</v>
      </c>
    </row>
    <row r="64">
      <c r="A64" t="inlineStr">
        <is>
          <t>S0198|FP|2026-06-19</t>
        </is>
      </c>
      <c r="B64" t="inlineStr">
        <is>
          <t>S0198</t>
        </is>
      </c>
      <c r="C64" t="inlineStr">
        <is>
          <t>Bluegum Building Group</t>
        </is>
      </c>
      <c r="D64" t="inlineStr">
        <is>
          <t>FP</t>
        </is>
      </c>
      <c r="E64" s="11" t="n">
        <v>46220</v>
      </c>
      <c r="F64" t="n">
        <v>4</v>
      </c>
      <c r="G64" t="n">
        <v>84</v>
      </c>
      <c r="H64">
        <f>F64*G64</f>
        <v>336</v>
      </c>
      <c r="I64" s="9" t="n">
        <v>4.5</v>
      </c>
      <c r="J64" s="9">
        <f>ROUND(H64*I64,2)</f>
        <v>1512</v>
      </c>
      <c r="K64" t="inlineStr">
        <is>
          <t>DRAFT</t>
        </is>
      </c>
      <c r="L64">
        <f>COUNTIF('Make July Run'!$A$5:$A$80,A64)</f>
        <v>1</v>
      </c>
    </row>
    <row r="65">
      <c r="A65" t="inlineStr">
        <is>
          <t>S0219|FP|2026-06-09</t>
        </is>
      </c>
      <c r="B65" t="inlineStr">
        <is>
          <t>S0219</t>
        </is>
      </c>
      <c r="C65" t="inlineStr">
        <is>
          <t>Cobalt Constructions Pty Ltd</t>
        </is>
      </c>
      <c r="D65" t="inlineStr">
        <is>
          <t>FP</t>
        </is>
      </c>
      <c r="E65" s="11" t="n">
        <v>46210</v>
      </c>
      <c r="F65" t="n">
        <v>4</v>
      </c>
      <c r="G65" t="n">
        <v>110</v>
      </c>
      <c r="H65">
        <f>F65*G65</f>
        <v>440</v>
      </c>
      <c r="I65" s="9" t="n">
        <v>4.5</v>
      </c>
      <c r="J65" s="9">
        <f>ROUND(H65*I65,2)</f>
        <v>1980</v>
      </c>
      <c r="K65" t="inlineStr">
        <is>
          <t>DRAFT</t>
        </is>
      </c>
      <c r="L65">
        <f>COUNTIF('Make July Run'!$A$5:$A$80,A65)</f>
        <v>1</v>
      </c>
    </row>
    <row r="66">
      <c r="A66" t="inlineStr">
        <is>
          <t>S0221|FP|2026-06-27</t>
        </is>
      </c>
      <c r="B66" t="inlineStr">
        <is>
          <t>S0221</t>
        </is>
      </c>
      <c r="C66" t="inlineStr">
        <is>
          <t>Summit Homes Pty Ltd</t>
        </is>
      </c>
      <c r="D66" t="inlineStr">
        <is>
          <t>FP</t>
        </is>
      </c>
      <c r="E66" s="11" t="n">
        <v>46228</v>
      </c>
      <c r="F66" t="n">
        <v>4</v>
      </c>
      <c r="G66" t="n">
        <v>42</v>
      </c>
      <c r="H66">
        <f>F66*G66</f>
        <v>168</v>
      </c>
      <c r="I66" s="9" t="n">
        <v>4.5</v>
      </c>
      <c r="J66" s="9">
        <f>ROUND(H66*I66,2)</f>
        <v>756</v>
      </c>
      <c r="K66" t="inlineStr">
        <is>
          <t>DRAFT</t>
        </is>
      </c>
      <c r="L66">
        <f>COUNTIF('Make July Run'!$A$5:$A$80,A66)</f>
        <v>1</v>
      </c>
    </row>
    <row r="67">
      <c r="A67" t="inlineStr">
        <is>
          <t>S0266|ST|2026-06-16</t>
        </is>
      </c>
      <c r="B67" t="inlineStr">
        <is>
          <t>S0266</t>
        </is>
      </c>
      <c r="C67" t="inlineStr">
        <is>
          <t>Cobalt Constructions Pty Ltd</t>
        </is>
      </c>
      <c r="D67" t="inlineStr">
        <is>
          <t>ST</t>
        </is>
      </c>
      <c r="E67" s="11" t="n">
        <v>46217</v>
      </c>
      <c r="F67" t="n">
        <v>4</v>
      </c>
      <c r="G67" t="n">
        <v>4</v>
      </c>
      <c r="H67">
        <f>F67*G67</f>
        <v>16</v>
      </c>
      <c r="I67" s="9" t="n">
        <v>95</v>
      </c>
      <c r="J67" s="9">
        <f>ROUND(H67*I67,2)</f>
        <v>1520</v>
      </c>
      <c r="K67" t="inlineStr">
        <is>
          <t>DRAFT</t>
        </is>
      </c>
      <c r="L67">
        <f>COUNTIF('Make July Run'!$A$5:$A$80,A67)</f>
        <v>1</v>
      </c>
    </row>
    <row r="68">
      <c r="A68" t="inlineStr">
        <is>
          <t>S0267|ST|2026-06-22</t>
        </is>
      </c>
      <c r="B68" t="inlineStr">
        <is>
          <t>S0267</t>
        </is>
      </c>
      <c r="C68" t="inlineStr">
        <is>
          <t>Mei Ali</t>
        </is>
      </c>
      <c r="D68" t="inlineStr">
        <is>
          <t>ST</t>
        </is>
      </c>
      <c r="E68" s="11" t="n">
        <v>46223</v>
      </c>
      <c r="F68" t="n">
        <v>4</v>
      </c>
      <c r="G68" t="n">
        <v>2</v>
      </c>
      <c r="H68">
        <f>F68*G68</f>
        <v>8</v>
      </c>
      <c r="I68" s="9" t="n">
        <v>95</v>
      </c>
      <c r="J68" s="9">
        <f>ROUND(H68*I68,2)</f>
        <v>760</v>
      </c>
      <c r="K68" t="inlineStr">
        <is>
          <t>DRAFT</t>
        </is>
      </c>
      <c r="L68">
        <f>COUNTIF('Make July Run'!$A$5:$A$80,A68)</f>
        <v>1</v>
      </c>
    </row>
    <row r="69">
      <c r="A69" t="inlineStr">
        <is>
          <t>S0320|TK|2026-06-30</t>
        </is>
      </c>
      <c r="B69" t="inlineStr">
        <is>
          <t>S0320</t>
        </is>
      </c>
      <c r="C69" t="inlineStr">
        <is>
          <t>Wattle Constructions Pty Ltd</t>
        </is>
      </c>
      <c r="D69" t="inlineStr">
        <is>
          <t>TK</t>
        </is>
      </c>
      <c r="E69" s="11" t="n">
        <v>46231</v>
      </c>
      <c r="F69" t="n">
        <v>4</v>
      </c>
      <c r="G69" t="n">
        <v>1</v>
      </c>
      <c r="H69">
        <f>F69*G69</f>
        <v>4</v>
      </c>
      <c r="I69" s="9" t="n">
        <v>35</v>
      </c>
      <c r="J69" s="9">
        <f>ROUND(H69*I69,2)</f>
        <v>140</v>
      </c>
      <c r="K69" t="inlineStr">
        <is>
          <t>DRAFT</t>
        </is>
      </c>
      <c r="L69">
        <f>COUNTIF('Make July Run'!$A$5:$A$80,A69)</f>
        <v>1</v>
      </c>
    </row>
    <row r="70">
      <c r="A70" t="inlineStr">
        <is>
          <t>S0349|TK|2026-06-28</t>
        </is>
      </c>
      <c r="B70" t="inlineStr">
        <is>
          <t>S0349</t>
        </is>
      </c>
      <c r="C70" t="inlineStr">
        <is>
          <t>Redline Claims Services</t>
        </is>
      </c>
      <c r="D70" t="inlineStr">
        <is>
          <t>TK</t>
        </is>
      </c>
      <c r="E70" s="11" t="n">
        <v>46229</v>
      </c>
      <c r="F70" t="n">
        <v>4</v>
      </c>
      <c r="G70" t="n">
        <v>1</v>
      </c>
      <c r="H70">
        <f>F70*G70</f>
        <v>4</v>
      </c>
      <c r="I70" s="9" t="n">
        <v>35</v>
      </c>
      <c r="J70" s="9">
        <f>ROUND(H70*I70,2)</f>
        <v>140</v>
      </c>
      <c r="K70" t="inlineStr">
        <is>
          <t>DRAFT</t>
        </is>
      </c>
      <c r="L70">
        <f>COUNTIF('Make July Run'!$A$5:$A$80,A70)</f>
        <v>1</v>
      </c>
    </row>
    <row r="71">
      <c r="A71" t="inlineStr">
        <is>
          <t>S0356|TK|2026-06-21</t>
        </is>
      </c>
      <c r="B71" t="inlineStr">
        <is>
          <t>S0356</t>
        </is>
      </c>
      <c r="C71" t="inlineStr">
        <is>
          <t>Ashford Constructions Pty Ltd</t>
        </is>
      </c>
      <c r="D71" t="inlineStr">
        <is>
          <t>TK</t>
        </is>
      </c>
      <c r="E71" s="11" t="n">
        <v>46222</v>
      </c>
      <c r="F71" t="n">
        <v>4</v>
      </c>
      <c r="G71" t="n">
        <v>3</v>
      </c>
      <c r="H71">
        <f>F71*G71</f>
        <v>12</v>
      </c>
      <c r="I71" s="9" t="n">
        <v>35</v>
      </c>
      <c r="J71" s="9">
        <f>ROUND(H71*I71,2)</f>
        <v>420</v>
      </c>
      <c r="K71" t="inlineStr">
        <is>
          <t>DRAFT</t>
        </is>
      </c>
      <c r="L71">
        <f>COUNTIF('Make July Run'!$A$5:$A$80,A71)</f>
        <v>1</v>
      </c>
    </row>
    <row r="72">
      <c r="A72" t="inlineStr">
        <is>
          <t>S0359|TK|2026-06-05</t>
        </is>
      </c>
      <c r="B72" t="inlineStr">
        <is>
          <t>S0359</t>
        </is>
      </c>
      <c r="C72" t="inlineStr">
        <is>
          <t>Northgate Insurance Repairs</t>
        </is>
      </c>
      <c r="D72" t="inlineStr">
        <is>
          <t>TK</t>
        </is>
      </c>
      <c r="E72" s="11" t="n">
        <v>46206</v>
      </c>
      <c r="F72" t="n">
        <v>4</v>
      </c>
      <c r="G72" t="n">
        <v>2</v>
      </c>
      <c r="H72">
        <f>F72*G72</f>
        <v>8</v>
      </c>
      <c r="I72" s="9" t="n">
        <v>35</v>
      </c>
      <c r="J72" s="9">
        <f>ROUND(H72*I72,2)</f>
        <v>280</v>
      </c>
      <c r="K72" t="inlineStr">
        <is>
          <t>DRAFT</t>
        </is>
      </c>
      <c r="L72">
        <f>COUNTIF('Make July Run'!$A$5:$A$80,A72)</f>
        <v>1</v>
      </c>
    </row>
    <row r="73">
      <c r="A73" t="inlineStr">
        <is>
          <t>S0387|TK|2026-06-19</t>
        </is>
      </c>
      <c r="B73" t="inlineStr">
        <is>
          <t>S0387</t>
        </is>
      </c>
      <c r="C73" t="inlineStr">
        <is>
          <t>Silverleaf Insurance Repairs Pty Ltd</t>
        </is>
      </c>
      <c r="D73" t="inlineStr">
        <is>
          <t>TK</t>
        </is>
      </c>
      <c r="E73" s="11" t="n">
        <v>46220</v>
      </c>
      <c r="F73" t="n">
        <v>4</v>
      </c>
      <c r="G73" t="n">
        <v>2</v>
      </c>
      <c r="H73">
        <f>F73*G73</f>
        <v>8</v>
      </c>
      <c r="I73" s="9" t="n">
        <v>35</v>
      </c>
      <c r="J73" s="9">
        <f>ROUND(H73*I73,2)</f>
        <v>280</v>
      </c>
      <c r="K73" t="inlineStr">
        <is>
          <t>DRAFT</t>
        </is>
      </c>
      <c r="L73">
        <f>COUNTIF('Make July Run'!$A$5:$A$80,A73)</f>
        <v>1</v>
      </c>
    </row>
    <row r="74">
      <c r="A74" t="inlineStr">
        <is>
          <t>S0400|TK|2026-06-11</t>
        </is>
      </c>
      <c r="B74" t="inlineStr">
        <is>
          <t>S0400</t>
        </is>
      </c>
      <c r="C74" t="inlineStr">
        <is>
          <t>Wattle Homes Pty Ltd</t>
        </is>
      </c>
      <c r="D74" t="inlineStr">
        <is>
          <t>TK</t>
        </is>
      </c>
      <c r="E74" s="11" t="n">
        <v>46212</v>
      </c>
      <c r="F74" t="n">
        <v>4</v>
      </c>
      <c r="G74" t="n">
        <v>2</v>
      </c>
      <c r="H74">
        <f>F74*G74</f>
        <v>8</v>
      </c>
      <c r="I74" s="9" t="n">
        <v>35</v>
      </c>
      <c r="J74" s="9">
        <f>ROUND(H74*I74,2)</f>
        <v>280</v>
      </c>
      <c r="K74" t="inlineStr">
        <is>
          <t>DRAFT</t>
        </is>
      </c>
      <c r="L74">
        <f>COUNTIF('Make July Run'!$A$5:$A$80,A74)</f>
        <v>1</v>
      </c>
    </row>
    <row r="75">
      <c r="A75" t="inlineStr">
        <is>
          <t>S0432|TK|2026-06-29</t>
        </is>
      </c>
      <c r="B75" t="inlineStr">
        <is>
          <t>S0432</t>
        </is>
      </c>
      <c r="C75" t="inlineStr">
        <is>
          <t>Granite Body Corporate Pty Ltd</t>
        </is>
      </c>
      <c r="D75" t="inlineStr">
        <is>
          <t>TK</t>
        </is>
      </c>
      <c r="E75" s="11" t="n">
        <v>46230</v>
      </c>
      <c r="F75" t="n">
        <v>4</v>
      </c>
      <c r="G75" t="n">
        <v>1</v>
      </c>
      <c r="H75">
        <f>F75*G75</f>
        <v>4</v>
      </c>
      <c r="I75" s="9" t="n">
        <v>35</v>
      </c>
      <c r="J75" s="9">
        <f>ROUND(H75*I75,2)</f>
        <v>140</v>
      </c>
      <c r="K75" t="inlineStr">
        <is>
          <t>DRAFT</t>
        </is>
      </c>
      <c r="L75">
        <f>COUNTIF('Make July Run'!$A$5:$A$80,A75)</f>
        <v>1</v>
      </c>
    </row>
    <row r="76">
      <c r="A76" t="inlineStr">
        <is>
          <t>S0475|TK|2026-06-26</t>
        </is>
      </c>
      <c r="B76" t="inlineStr">
        <is>
          <t>S0475</t>
        </is>
      </c>
      <c r="C76" t="inlineStr">
        <is>
          <t>Arjun Doyle</t>
        </is>
      </c>
      <c r="D76" t="inlineStr">
        <is>
          <t>TK</t>
        </is>
      </c>
      <c r="E76" s="11" t="n">
        <v>46227</v>
      </c>
      <c r="F76" t="n">
        <v>4</v>
      </c>
      <c r="G76" t="n">
        <v>1</v>
      </c>
      <c r="H76">
        <f>F76*G76</f>
        <v>4</v>
      </c>
      <c r="I76" s="9" t="n">
        <v>35</v>
      </c>
      <c r="J76" s="9">
        <f>ROUND(H76*I76,2)</f>
        <v>140</v>
      </c>
      <c r="K76" t="inlineStr">
        <is>
          <t>DRAFT</t>
        </is>
      </c>
      <c r="L76">
        <f>COUNTIF('Make July Run'!$A$5:$A$80,A76)</f>
        <v>1</v>
      </c>
    </row>
    <row r="77">
      <c r="A77" t="inlineStr">
        <is>
          <t>S0492|TK|2026-06-28</t>
        </is>
      </c>
      <c r="B77" t="inlineStr">
        <is>
          <t>S0492</t>
        </is>
      </c>
      <c r="C77" t="inlineStr">
        <is>
          <t>Bayside Owners Corporation Services Pty Ltd</t>
        </is>
      </c>
      <c r="D77" t="inlineStr">
        <is>
          <t>TK</t>
        </is>
      </c>
      <c r="E77" s="11" t="n">
        <v>46229</v>
      </c>
      <c r="F77" t="n">
        <v>4</v>
      </c>
      <c r="G77" t="n">
        <v>2</v>
      </c>
      <c r="H77">
        <f>F77*G77</f>
        <v>8</v>
      </c>
      <c r="I77" s="9" t="n">
        <v>35</v>
      </c>
      <c r="J77" s="9">
        <f>ROUND(H77*I77,2)</f>
        <v>280</v>
      </c>
      <c r="K77" t="inlineStr">
        <is>
          <t>DRAFT</t>
        </is>
      </c>
      <c r="L77">
        <f>COUNTIF('Make July Run'!$A$5:$A$80,A77)</f>
        <v>1</v>
      </c>
    </row>
    <row r="78">
      <c r="A78" t="inlineStr">
        <is>
          <t>S0510|TK|2026-06-23</t>
        </is>
      </c>
      <c r="B78" t="inlineStr">
        <is>
          <t>S0510</t>
        </is>
      </c>
      <c r="C78" t="inlineStr">
        <is>
          <t>Redline Claims Services</t>
        </is>
      </c>
      <c r="D78" t="inlineStr">
        <is>
          <t>TK</t>
        </is>
      </c>
      <c r="E78" s="11" t="n">
        <v>46224</v>
      </c>
      <c r="F78" t="n">
        <v>4</v>
      </c>
      <c r="G78" t="n">
        <v>1</v>
      </c>
      <c r="H78">
        <f>F78*G78</f>
        <v>4</v>
      </c>
      <c r="I78" s="9" t="n">
        <v>35</v>
      </c>
      <c r="J78" s="9">
        <f>ROUND(H78*I78,2)</f>
        <v>140</v>
      </c>
      <c r="K78" t="inlineStr">
        <is>
          <t>DRAFT</t>
        </is>
      </c>
      <c r="L78">
        <f>COUNTIF('Make July Run'!$A$5:$A$80,A78)</f>
        <v>1</v>
      </c>
    </row>
    <row r="79">
      <c r="A79" t="inlineStr">
        <is>
          <t>S0525|TK|2026-06-28</t>
        </is>
      </c>
      <c r="B79" t="inlineStr">
        <is>
          <t>S0525</t>
        </is>
      </c>
      <c r="C79" t="inlineStr">
        <is>
          <t>Coastline Strata Management Pty Ltd</t>
        </is>
      </c>
      <c r="D79" t="inlineStr">
        <is>
          <t>TK</t>
        </is>
      </c>
      <c r="E79" s="11" t="n">
        <v>46229</v>
      </c>
      <c r="F79" t="n">
        <v>4</v>
      </c>
      <c r="G79" t="n">
        <v>2</v>
      </c>
      <c r="H79">
        <f>F79*G79</f>
        <v>8</v>
      </c>
      <c r="I79" s="9" t="n">
        <v>35</v>
      </c>
      <c r="J79" s="9">
        <f>ROUND(H79*I79,2)</f>
        <v>280</v>
      </c>
      <c r="K79" t="inlineStr">
        <is>
          <t>DRAFT</t>
        </is>
      </c>
      <c r="L79">
        <f>COUNTIF('Make July Run'!$A$5:$A$80,A79)</f>
        <v>1</v>
      </c>
    </row>
    <row r="80">
      <c r="A80" t="inlineStr">
        <is>
          <t>S0526|TK|2026-06-07</t>
        </is>
      </c>
      <c r="B80" t="inlineStr">
        <is>
          <t>S0526</t>
        </is>
      </c>
      <c r="C80" t="inlineStr">
        <is>
          <t>Highpoint Insurance Repairs Pty Ltd</t>
        </is>
      </c>
      <c r="D80" t="inlineStr">
        <is>
          <t>TK</t>
        </is>
      </c>
      <c r="E80" s="11" t="n">
        <v>46208</v>
      </c>
      <c r="F80" t="n">
        <v>4</v>
      </c>
      <c r="G80" t="n">
        <v>3</v>
      </c>
      <c r="H80">
        <f>F80*G80</f>
        <v>12</v>
      </c>
      <c r="I80" s="9" t="n">
        <v>35</v>
      </c>
      <c r="J80" s="9">
        <f>ROUND(H80*I80,2)</f>
        <v>420</v>
      </c>
      <c r="K80" t="inlineStr">
        <is>
          <t>DRAFT</t>
        </is>
      </c>
      <c r="L80">
        <f>COUNTIF('Make July Run'!$A$5:$A$80,A80)</f>
        <v>1</v>
      </c>
    </row>
  </sheetData>
  <autoFilter ref="A4:L80"/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K2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24" customWidth="1" min="3" max="3"/>
    <col width="10" customWidth="1" min="4" max="4"/>
    <col width="10" customWidth="1" min="5" max="5"/>
    <col width="10" customWidth="1" min="6" max="6"/>
    <col width="8" customWidth="1" min="7" max="7"/>
    <col width="9" customWidth="1" min="8" max="8"/>
    <col width="10" customWidth="1" min="9" max="9"/>
    <col width="10" customWidth="1" min="10" max="10"/>
    <col width="10" customWidth="1" min="11" max="11"/>
  </cols>
  <sheetData>
    <row r="1">
      <c r="A1" s="6" t="inlineStr">
        <is>
          <t>Make run history, July 2026 (one row per scenario per day)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Date</t>
        </is>
      </c>
      <c r="B4" s="7" t="inlineStr">
        <is>
          <t>Scenario</t>
        </is>
      </c>
      <c r="C4" s="7" t="inlineStr">
        <is>
          <t>Name</t>
        </is>
      </c>
      <c r="D4" s="7" t="inlineStr">
        <is>
          <t>Executions</t>
        </is>
      </c>
      <c r="E4" s="7" t="inlineStr">
        <is>
          <t>Records processed</t>
        </is>
      </c>
      <c r="F4" s="7" t="inlineStr">
        <is>
          <t>Operations</t>
        </is>
      </c>
      <c r="G4" s="7" t="inlineStr">
        <is>
          <t>Errors</t>
        </is>
      </c>
      <c r="H4" s="7" t="inlineStr">
        <is>
          <t>Retried OK</t>
        </is>
      </c>
      <c r="I4" s="7" t="inlineStr">
        <is>
          <t>Incomplete, resolved</t>
        </is>
      </c>
      <c r="J4" s="7" t="inlineStr">
        <is>
          <t>Exception raised</t>
        </is>
      </c>
      <c r="K4" s="7" t="inlineStr">
        <is>
          <t>Unresolved</t>
        </is>
      </c>
    </row>
    <row r="5">
      <c r="A5" s="11" t="n">
        <v>46204</v>
      </c>
      <c r="B5" t="inlineStr">
        <is>
          <t>S01</t>
        </is>
      </c>
      <c r="C5" t="inlineStr">
        <is>
          <t>Movement in</t>
        </is>
      </c>
      <c r="D5" t="n">
        <v>96</v>
      </c>
      <c r="E5" t="n">
        <v>44</v>
      </c>
      <c r="F5" t="n">
        <v>316</v>
      </c>
      <c r="G5" t="n">
        <v>0</v>
      </c>
      <c r="H5" t="n">
        <v>0</v>
      </c>
      <c r="I5" t="n">
        <v>0</v>
      </c>
      <c r="J5" t="n">
        <v>0</v>
      </c>
      <c r="K5">
        <f>G5-H5-I5-J5</f>
        <v>0</v>
      </c>
    </row>
    <row r="6">
      <c r="A6" s="11" t="n">
        <v>46204</v>
      </c>
      <c r="B6" t="inlineStr">
        <is>
          <t>S02</t>
        </is>
      </c>
      <c r="C6" t="inlineStr">
        <is>
          <t>Hire billing run</t>
        </is>
      </c>
      <c r="D6" t="n">
        <v>1</v>
      </c>
      <c r="E6" t="n">
        <v>3</v>
      </c>
      <c r="F6" t="n">
        <v>19</v>
      </c>
      <c r="G6" t="n">
        <v>0</v>
      </c>
      <c r="H6" t="n">
        <v>0</v>
      </c>
      <c r="I6" t="n">
        <v>0</v>
      </c>
      <c r="J6" t="n">
        <v>0</v>
      </c>
      <c r="K6">
        <f>G6-H6-I6-J6</f>
        <v>0</v>
      </c>
    </row>
    <row r="7">
      <c r="A7" s="11" t="n">
        <v>46204</v>
      </c>
      <c r="B7" t="inlineStr">
        <is>
          <t>S03</t>
        </is>
      </c>
      <c r="C7" t="inlineStr">
        <is>
          <t>Payments back from Xero</t>
        </is>
      </c>
      <c r="D7" t="n">
        <v>96</v>
      </c>
      <c r="E7" t="n">
        <v>12</v>
      </c>
      <c r="F7" t="n">
        <v>132</v>
      </c>
      <c r="G7" t="n">
        <v>0</v>
      </c>
      <c r="H7" t="n">
        <v>0</v>
      </c>
      <c r="I7" t="n">
        <v>0</v>
      </c>
      <c r="J7" t="n">
        <v>0</v>
      </c>
      <c r="K7">
        <f>G7-H7-I7-J7</f>
        <v>0</v>
      </c>
    </row>
    <row r="8">
      <c r="A8" s="11" t="n">
        <v>46204</v>
      </c>
      <c r="B8" t="inlineStr">
        <is>
          <t>S04</t>
        </is>
      </c>
      <c r="C8" t="inlineStr">
        <is>
          <t>Contacts from Xero</t>
        </is>
      </c>
      <c r="D8" t="n">
        <v>24</v>
      </c>
      <c r="E8" t="n">
        <v>2</v>
      </c>
      <c r="F8" t="n">
        <v>30</v>
      </c>
      <c r="G8" t="n">
        <v>0</v>
      </c>
      <c r="H8" t="n">
        <v>0</v>
      </c>
      <c r="I8" t="n">
        <v>0</v>
      </c>
      <c r="J8" t="n">
        <v>0</v>
      </c>
      <c r="K8">
        <f>G8-H8-I8-J8</f>
        <v>0</v>
      </c>
    </row>
    <row r="9">
      <c r="A9" s="11" t="n">
        <v>46204</v>
      </c>
      <c r="B9" t="inlineStr">
        <is>
          <t>S05</t>
        </is>
      </c>
      <c r="C9" t="inlineStr">
        <is>
          <t>Nightly checks</t>
        </is>
      </c>
      <c r="D9" t="n">
        <v>1</v>
      </c>
      <c r="E9" t="n">
        <v>1</v>
      </c>
      <c r="F9" t="n">
        <v>22</v>
      </c>
      <c r="G9" t="n">
        <v>0</v>
      </c>
      <c r="H9" t="n">
        <v>0</v>
      </c>
      <c r="I9" t="n">
        <v>0</v>
      </c>
      <c r="J9" t="n">
        <v>0</v>
      </c>
      <c r="K9">
        <f>G9-H9-I9-J9</f>
        <v>0</v>
      </c>
    </row>
    <row r="10">
      <c r="A10" s="11" t="n">
        <v>46204</v>
      </c>
      <c r="B10" t="inlineStr">
        <is>
          <t>S06</t>
        </is>
      </c>
      <c r="C10" t="inlineStr">
        <is>
          <t>Docket photo to Drive</t>
        </is>
      </c>
      <c r="D10" t="n">
        <v>34</v>
      </c>
      <c r="E10" t="n">
        <v>34</v>
      </c>
      <c r="F10" t="n">
        <v>136</v>
      </c>
      <c r="G10" t="n">
        <v>0</v>
      </c>
      <c r="H10" t="n">
        <v>0</v>
      </c>
      <c r="I10" t="n">
        <v>0</v>
      </c>
      <c r="J10" t="n">
        <v>0</v>
      </c>
      <c r="K10">
        <f>G10-H10-I10-J10</f>
        <v>0</v>
      </c>
    </row>
    <row r="11">
      <c r="A11" s="11" t="n">
        <v>46204</v>
      </c>
      <c r="B11" t="inlineStr">
        <is>
          <t>S07</t>
        </is>
      </c>
      <c r="C11" t="inlineStr">
        <is>
          <t>Lost or damaged charge</t>
        </is>
      </c>
      <c r="D11" t="n">
        <v>96</v>
      </c>
      <c r="E11" t="n">
        <v>0</v>
      </c>
      <c r="F11" t="n">
        <v>96</v>
      </c>
      <c r="G11" t="n">
        <v>0</v>
      </c>
      <c r="H11" t="n">
        <v>0</v>
      </c>
      <c r="I11" t="n">
        <v>0</v>
      </c>
      <c r="J11" t="n">
        <v>0</v>
      </c>
      <c r="K11">
        <f>G11-H11-I11-J11</f>
        <v>0</v>
      </c>
    </row>
    <row r="12">
      <c r="A12" s="11" t="n">
        <v>46204</v>
      </c>
      <c r="B12" t="inlineStr">
        <is>
          <t>S08</t>
        </is>
      </c>
      <c r="C12" t="inlineStr">
        <is>
          <t>Site collected, final cycle</t>
        </is>
      </c>
      <c r="D12" t="n">
        <v>96</v>
      </c>
      <c r="E12" t="n">
        <v>3</v>
      </c>
      <c r="F12" t="n">
        <v>114</v>
      </c>
      <c r="G12" t="n">
        <v>0</v>
      </c>
      <c r="H12" t="n">
        <v>0</v>
      </c>
      <c r="I12" t="n">
        <v>0</v>
      </c>
      <c r="J12" t="n">
        <v>0</v>
      </c>
      <c r="K12">
        <f>G12-H12-I12-J12</f>
        <v>0</v>
      </c>
    </row>
    <row r="13">
      <c r="A13" s="11" t="n">
        <v>46204</v>
      </c>
      <c r="B13" t="inlineStr">
        <is>
          <t>S10</t>
        </is>
      </c>
      <c r="C13" t="inlineStr">
        <is>
          <t>Error monitor</t>
        </is>
      </c>
      <c r="D13" t="n">
        <v>1</v>
      </c>
      <c r="E13" t="n">
        <v>1</v>
      </c>
      <c r="F13" t="n">
        <v>11</v>
      </c>
      <c r="G13" t="n">
        <v>0</v>
      </c>
      <c r="H13" t="n">
        <v>0</v>
      </c>
      <c r="I13" t="n">
        <v>0</v>
      </c>
      <c r="J13" t="n">
        <v>0</v>
      </c>
      <c r="K13">
        <f>G13-H13-I13-J13</f>
        <v>0</v>
      </c>
    </row>
    <row r="14">
      <c r="A14" s="11" t="n">
        <v>46205</v>
      </c>
      <c r="B14" t="inlineStr">
        <is>
          <t>S01</t>
        </is>
      </c>
      <c r="C14" t="inlineStr">
        <is>
          <t>Movement in</t>
        </is>
      </c>
      <c r="D14" t="n">
        <v>96</v>
      </c>
      <c r="E14" t="n">
        <v>26</v>
      </c>
      <c r="F14" t="n">
        <v>226</v>
      </c>
      <c r="G14" t="n">
        <v>0</v>
      </c>
      <c r="H14" t="n">
        <v>0</v>
      </c>
      <c r="I14" t="n">
        <v>0</v>
      </c>
      <c r="J14" t="n">
        <v>0</v>
      </c>
      <c r="K14">
        <f>G14-H14-I14-J14</f>
        <v>0</v>
      </c>
    </row>
    <row r="15">
      <c r="A15" s="11" t="n">
        <v>46205</v>
      </c>
      <c r="B15" t="inlineStr">
        <is>
          <t>S02</t>
        </is>
      </c>
      <c r="C15" t="inlineStr">
        <is>
          <t>Hire billing run</t>
        </is>
      </c>
      <c r="D15" t="n">
        <v>1</v>
      </c>
      <c r="E15" t="n">
        <v>3</v>
      </c>
      <c r="F15" t="n">
        <v>19</v>
      </c>
      <c r="G15" t="n">
        <v>0</v>
      </c>
      <c r="H15" t="n">
        <v>0</v>
      </c>
      <c r="I15" t="n">
        <v>0</v>
      </c>
      <c r="J15" t="n">
        <v>0</v>
      </c>
      <c r="K15">
        <f>G15-H15-I15-J15</f>
        <v>0</v>
      </c>
    </row>
    <row r="16">
      <c r="A16" s="11" t="n">
        <v>46205</v>
      </c>
      <c r="B16" t="inlineStr">
        <is>
          <t>S03</t>
        </is>
      </c>
      <c r="C16" t="inlineStr">
        <is>
          <t>Payments back from Xero</t>
        </is>
      </c>
      <c r="D16" t="n">
        <v>96</v>
      </c>
      <c r="E16" t="n">
        <v>22</v>
      </c>
      <c r="F16" t="n">
        <v>162</v>
      </c>
      <c r="G16" t="n">
        <v>0</v>
      </c>
      <c r="H16" t="n">
        <v>0</v>
      </c>
      <c r="I16" t="n">
        <v>0</v>
      </c>
      <c r="J16" t="n">
        <v>0</v>
      </c>
      <c r="K16">
        <f>G16-H16-I16-J16</f>
        <v>0</v>
      </c>
    </row>
    <row r="17">
      <c r="A17" s="11" t="n">
        <v>46205</v>
      </c>
      <c r="B17" t="inlineStr">
        <is>
          <t>S04</t>
        </is>
      </c>
      <c r="C17" t="inlineStr">
        <is>
          <t>Contacts from Xero</t>
        </is>
      </c>
      <c r="D17" t="n">
        <v>24</v>
      </c>
      <c r="E17" t="n">
        <v>0</v>
      </c>
      <c r="F17" t="n">
        <v>24</v>
      </c>
      <c r="G17" t="n">
        <v>0</v>
      </c>
      <c r="H17" t="n">
        <v>0</v>
      </c>
      <c r="I17" t="n">
        <v>0</v>
      </c>
      <c r="J17" t="n">
        <v>0</v>
      </c>
      <c r="K17">
        <f>G17-H17-I17-J17</f>
        <v>0</v>
      </c>
    </row>
    <row r="18">
      <c r="A18" s="11" t="n">
        <v>46205</v>
      </c>
      <c r="B18" t="inlineStr">
        <is>
          <t>S05</t>
        </is>
      </c>
      <c r="C18" t="inlineStr">
        <is>
          <t>Nightly checks</t>
        </is>
      </c>
      <c r="D18" t="n">
        <v>1</v>
      </c>
      <c r="E18" t="n">
        <v>1</v>
      </c>
      <c r="F18" t="n">
        <v>22</v>
      </c>
      <c r="G18" t="n">
        <v>0</v>
      </c>
      <c r="H18" t="n">
        <v>0</v>
      </c>
      <c r="I18" t="n">
        <v>0</v>
      </c>
      <c r="J18" t="n">
        <v>0</v>
      </c>
      <c r="K18">
        <f>G18-H18-I18-J18</f>
        <v>0</v>
      </c>
    </row>
    <row r="19">
      <c r="A19" s="11" t="n">
        <v>46205</v>
      </c>
      <c r="B19" t="inlineStr">
        <is>
          <t>S06</t>
        </is>
      </c>
      <c r="C19" t="inlineStr">
        <is>
          <t>Docket photo to Drive</t>
        </is>
      </c>
      <c r="D19" t="n">
        <v>18</v>
      </c>
      <c r="E19" t="n">
        <v>18</v>
      </c>
      <c r="F19" t="n">
        <v>72</v>
      </c>
      <c r="G19" t="n">
        <v>0</v>
      </c>
      <c r="H19" t="n">
        <v>0</v>
      </c>
      <c r="I19" t="n">
        <v>0</v>
      </c>
      <c r="J19" t="n">
        <v>0</v>
      </c>
      <c r="K19">
        <f>G19-H19-I19-J19</f>
        <v>0</v>
      </c>
    </row>
    <row r="20">
      <c r="A20" s="11" t="n">
        <v>46205</v>
      </c>
      <c r="B20" t="inlineStr">
        <is>
          <t>S07</t>
        </is>
      </c>
      <c r="C20" t="inlineStr">
        <is>
          <t>Lost or damaged charge</t>
        </is>
      </c>
      <c r="D20" t="n">
        <v>96</v>
      </c>
      <c r="E20" t="n">
        <v>0</v>
      </c>
      <c r="F20" t="n">
        <v>96</v>
      </c>
      <c r="G20" t="n">
        <v>0</v>
      </c>
      <c r="H20" t="n">
        <v>0</v>
      </c>
      <c r="I20" t="n">
        <v>0</v>
      </c>
      <c r="J20" t="n">
        <v>0</v>
      </c>
      <c r="K20">
        <f>G20-H20-I20-J20</f>
        <v>0</v>
      </c>
    </row>
    <row r="21">
      <c r="A21" s="11" t="n">
        <v>46205</v>
      </c>
      <c r="B21" t="inlineStr">
        <is>
          <t>S08</t>
        </is>
      </c>
      <c r="C21" t="inlineStr">
        <is>
          <t>Site collected, final cycle</t>
        </is>
      </c>
      <c r="D21" t="n">
        <v>96</v>
      </c>
      <c r="E21" t="n">
        <v>0</v>
      </c>
      <c r="F21" t="n">
        <v>96</v>
      </c>
      <c r="G21" t="n">
        <v>0</v>
      </c>
      <c r="H21" t="n">
        <v>0</v>
      </c>
      <c r="I21" t="n">
        <v>0</v>
      </c>
      <c r="J21" t="n">
        <v>0</v>
      </c>
      <c r="K21">
        <f>G21-H21-I21-J21</f>
        <v>0</v>
      </c>
    </row>
    <row r="22">
      <c r="A22" s="11" t="n">
        <v>46205</v>
      </c>
      <c r="B22" t="inlineStr">
        <is>
          <t>S10</t>
        </is>
      </c>
      <c r="C22" t="inlineStr">
        <is>
          <t>Error monitor</t>
        </is>
      </c>
      <c r="D22" t="n">
        <v>1</v>
      </c>
      <c r="E22" t="n">
        <v>1</v>
      </c>
      <c r="F22" t="n">
        <v>11</v>
      </c>
      <c r="G22" t="n">
        <v>0</v>
      </c>
      <c r="H22" t="n">
        <v>0</v>
      </c>
      <c r="I22" t="n">
        <v>0</v>
      </c>
      <c r="J22" t="n">
        <v>0</v>
      </c>
      <c r="K22">
        <f>G22-H22-I22-J22</f>
        <v>0</v>
      </c>
    </row>
    <row r="23">
      <c r="A23" s="11" t="n">
        <v>46206</v>
      </c>
      <c r="B23" t="inlineStr">
        <is>
          <t>S01</t>
        </is>
      </c>
      <c r="C23" t="inlineStr">
        <is>
          <t>Movement in</t>
        </is>
      </c>
      <c r="D23" t="n">
        <v>96</v>
      </c>
      <c r="E23" t="n">
        <v>31</v>
      </c>
      <c r="F23" t="n">
        <v>251</v>
      </c>
      <c r="G23" t="n">
        <v>0</v>
      </c>
      <c r="H23" t="n">
        <v>0</v>
      </c>
      <c r="I23" t="n">
        <v>0</v>
      </c>
      <c r="J23" t="n">
        <v>0</v>
      </c>
      <c r="K23">
        <f>G23-H23-I23-J23</f>
        <v>0</v>
      </c>
    </row>
    <row r="24">
      <c r="A24" s="11" t="n">
        <v>46206</v>
      </c>
      <c r="B24" t="inlineStr">
        <is>
          <t>S02</t>
        </is>
      </c>
      <c r="C24" t="inlineStr">
        <is>
          <t>Hire billing run</t>
        </is>
      </c>
      <c r="D24" t="n">
        <v>1</v>
      </c>
      <c r="E24" t="n">
        <v>1</v>
      </c>
      <c r="F24" t="n">
        <v>7</v>
      </c>
      <c r="G24" t="n">
        <v>0</v>
      </c>
      <c r="H24" t="n">
        <v>0</v>
      </c>
      <c r="I24" t="n">
        <v>0</v>
      </c>
      <c r="J24" t="n">
        <v>0</v>
      </c>
      <c r="K24">
        <f>G24-H24-I24-J24</f>
        <v>0</v>
      </c>
    </row>
    <row r="25">
      <c r="A25" s="11" t="n">
        <v>46206</v>
      </c>
      <c r="B25" t="inlineStr">
        <is>
          <t>S03</t>
        </is>
      </c>
      <c r="C25" t="inlineStr">
        <is>
          <t>Payments back from Xero</t>
        </is>
      </c>
      <c r="D25" t="n">
        <v>96</v>
      </c>
      <c r="E25" t="n">
        <v>14</v>
      </c>
      <c r="F25" t="n">
        <v>138</v>
      </c>
      <c r="G25" t="n">
        <v>0</v>
      </c>
      <c r="H25" t="n">
        <v>0</v>
      </c>
      <c r="I25" t="n">
        <v>0</v>
      </c>
      <c r="J25" t="n">
        <v>0</v>
      </c>
      <c r="K25">
        <f>G25-H25-I25-J25</f>
        <v>0</v>
      </c>
    </row>
    <row r="26">
      <c r="A26" s="11" t="n">
        <v>46206</v>
      </c>
      <c r="B26" t="inlineStr">
        <is>
          <t>S04</t>
        </is>
      </c>
      <c r="C26" t="inlineStr">
        <is>
          <t>Contacts from Xero</t>
        </is>
      </c>
      <c r="D26" t="n">
        <v>24</v>
      </c>
      <c r="E26" t="n">
        <v>0</v>
      </c>
      <c r="F26" t="n">
        <v>24</v>
      </c>
      <c r="G26" t="n">
        <v>0</v>
      </c>
      <c r="H26" t="n">
        <v>0</v>
      </c>
      <c r="I26" t="n">
        <v>0</v>
      </c>
      <c r="J26" t="n">
        <v>0</v>
      </c>
      <c r="K26">
        <f>G26-H26-I26-J26</f>
        <v>0</v>
      </c>
    </row>
    <row r="27">
      <c r="A27" s="11" t="n">
        <v>46206</v>
      </c>
      <c r="B27" t="inlineStr">
        <is>
          <t>S05</t>
        </is>
      </c>
      <c r="C27" t="inlineStr">
        <is>
          <t>Nightly checks</t>
        </is>
      </c>
      <c r="D27" t="n">
        <v>1</v>
      </c>
      <c r="E27" t="n">
        <v>1</v>
      </c>
      <c r="F27" t="n">
        <v>22</v>
      </c>
      <c r="G27" t="n">
        <v>0</v>
      </c>
      <c r="H27" t="n">
        <v>0</v>
      </c>
      <c r="I27" t="n">
        <v>0</v>
      </c>
      <c r="J27" t="n">
        <v>0</v>
      </c>
      <c r="K27">
        <f>G27-H27-I27-J27</f>
        <v>0</v>
      </c>
    </row>
    <row r="28">
      <c r="A28" s="11" t="n">
        <v>46206</v>
      </c>
      <c r="B28" t="inlineStr">
        <is>
          <t>S06</t>
        </is>
      </c>
      <c r="C28" t="inlineStr">
        <is>
          <t>Docket photo to Drive</t>
        </is>
      </c>
      <c r="D28" t="n">
        <v>20</v>
      </c>
      <c r="E28" t="n">
        <v>20</v>
      </c>
      <c r="F28" t="n">
        <v>80</v>
      </c>
      <c r="G28" t="n">
        <v>1</v>
      </c>
      <c r="H28" t="n">
        <v>1</v>
      </c>
      <c r="I28" t="n">
        <v>0</v>
      </c>
      <c r="J28" t="n">
        <v>0</v>
      </c>
      <c r="K28">
        <f>G28-H28-I28-J28</f>
        <v>0</v>
      </c>
    </row>
    <row r="29">
      <c r="A29" s="11" t="n">
        <v>46206</v>
      </c>
      <c r="B29" t="inlineStr">
        <is>
          <t>S07</t>
        </is>
      </c>
      <c r="C29" t="inlineStr">
        <is>
          <t>Lost or damaged charge</t>
        </is>
      </c>
      <c r="D29" t="n">
        <v>96</v>
      </c>
      <c r="E29" t="n">
        <v>1</v>
      </c>
      <c r="F29" t="n">
        <v>101</v>
      </c>
      <c r="G29" t="n">
        <v>0</v>
      </c>
      <c r="H29" t="n">
        <v>0</v>
      </c>
      <c r="I29" t="n">
        <v>0</v>
      </c>
      <c r="J29" t="n">
        <v>0</v>
      </c>
      <c r="K29">
        <f>G29-H29-I29-J29</f>
        <v>0</v>
      </c>
    </row>
    <row r="30">
      <c r="A30" s="11" t="n">
        <v>46206</v>
      </c>
      <c r="B30" t="inlineStr">
        <is>
          <t>S08</t>
        </is>
      </c>
      <c r="C30" t="inlineStr">
        <is>
          <t>Site collected, final cycle</t>
        </is>
      </c>
      <c r="D30" t="n">
        <v>96</v>
      </c>
      <c r="E30" t="n">
        <v>1</v>
      </c>
      <c r="F30" t="n">
        <v>102</v>
      </c>
      <c r="G30" t="n">
        <v>0</v>
      </c>
      <c r="H30" t="n">
        <v>0</v>
      </c>
      <c r="I30" t="n">
        <v>0</v>
      </c>
      <c r="J30" t="n">
        <v>0</v>
      </c>
      <c r="K30">
        <f>G30-H30-I30-J30</f>
        <v>0</v>
      </c>
    </row>
    <row r="31">
      <c r="A31" s="11" t="n">
        <v>46206</v>
      </c>
      <c r="B31" t="inlineStr">
        <is>
          <t>S10</t>
        </is>
      </c>
      <c r="C31" t="inlineStr">
        <is>
          <t>Error monitor</t>
        </is>
      </c>
      <c r="D31" t="n">
        <v>1</v>
      </c>
      <c r="E31" t="n">
        <v>1</v>
      </c>
      <c r="F31" t="n">
        <v>11</v>
      </c>
      <c r="G31" t="n">
        <v>0</v>
      </c>
      <c r="H31" t="n">
        <v>0</v>
      </c>
      <c r="I31" t="n">
        <v>0</v>
      </c>
      <c r="J31" t="n">
        <v>0</v>
      </c>
      <c r="K31">
        <f>G31-H31-I31-J31</f>
        <v>0</v>
      </c>
    </row>
    <row r="32">
      <c r="A32" s="11" t="n">
        <v>46207</v>
      </c>
      <c r="B32" t="inlineStr">
        <is>
          <t>S01</t>
        </is>
      </c>
      <c r="C32" t="inlineStr">
        <is>
          <t>Movement in</t>
        </is>
      </c>
      <c r="D32" t="n">
        <v>96</v>
      </c>
      <c r="E32" t="n">
        <v>0</v>
      </c>
      <c r="F32" t="n">
        <v>96</v>
      </c>
      <c r="G32" t="n">
        <v>0</v>
      </c>
      <c r="H32" t="n">
        <v>0</v>
      </c>
      <c r="I32" t="n">
        <v>0</v>
      </c>
      <c r="J32" t="n">
        <v>0</v>
      </c>
      <c r="K32">
        <f>G32-H32-I32-J32</f>
        <v>0</v>
      </c>
    </row>
    <row r="33">
      <c r="A33" s="11" t="n">
        <v>46207</v>
      </c>
      <c r="B33" t="inlineStr">
        <is>
          <t>S02</t>
        </is>
      </c>
      <c r="C33" t="inlineStr">
        <is>
          <t>Hire billing run</t>
        </is>
      </c>
      <c r="D33" t="n">
        <v>1</v>
      </c>
      <c r="E33" t="n">
        <v>3</v>
      </c>
      <c r="F33" t="n">
        <v>19</v>
      </c>
      <c r="G33" t="n">
        <v>0</v>
      </c>
      <c r="H33" t="n">
        <v>0</v>
      </c>
      <c r="I33" t="n">
        <v>0</v>
      </c>
      <c r="J33" t="n">
        <v>0</v>
      </c>
      <c r="K33">
        <f>G33-H33-I33-J33</f>
        <v>0</v>
      </c>
    </row>
    <row r="34">
      <c r="A34" s="11" t="n">
        <v>46207</v>
      </c>
      <c r="B34" t="inlineStr">
        <is>
          <t>S03</t>
        </is>
      </c>
      <c r="C34" t="inlineStr">
        <is>
          <t>Payments back from Xero</t>
        </is>
      </c>
      <c r="D34" t="n">
        <v>96</v>
      </c>
      <c r="E34" t="n">
        <v>3</v>
      </c>
      <c r="F34" t="n">
        <v>105</v>
      </c>
      <c r="G34" t="n">
        <v>0</v>
      </c>
      <c r="H34" t="n">
        <v>0</v>
      </c>
      <c r="I34" t="n">
        <v>0</v>
      </c>
      <c r="J34" t="n">
        <v>0</v>
      </c>
      <c r="K34">
        <f>G34-H34-I34-J34</f>
        <v>0</v>
      </c>
    </row>
    <row r="35">
      <c r="A35" s="11" t="n">
        <v>46207</v>
      </c>
      <c r="B35" t="inlineStr">
        <is>
          <t>S04</t>
        </is>
      </c>
      <c r="C35" t="inlineStr">
        <is>
          <t>Contacts from Xero</t>
        </is>
      </c>
      <c r="D35" t="n">
        <v>24</v>
      </c>
      <c r="E35" t="n">
        <v>0</v>
      </c>
      <c r="F35" t="n">
        <v>24</v>
      </c>
      <c r="G35" t="n">
        <v>0</v>
      </c>
      <c r="H35" t="n">
        <v>0</v>
      </c>
      <c r="I35" t="n">
        <v>0</v>
      </c>
      <c r="J35" t="n">
        <v>0</v>
      </c>
      <c r="K35">
        <f>G35-H35-I35-J35</f>
        <v>0</v>
      </c>
    </row>
    <row r="36">
      <c r="A36" s="11" t="n">
        <v>46207</v>
      </c>
      <c r="B36" t="inlineStr">
        <is>
          <t>S05</t>
        </is>
      </c>
      <c r="C36" t="inlineStr">
        <is>
          <t>Nightly checks</t>
        </is>
      </c>
      <c r="D36" t="n">
        <v>1</v>
      </c>
      <c r="E36" t="n">
        <v>1</v>
      </c>
      <c r="F36" t="n">
        <v>22</v>
      </c>
      <c r="G36" t="n">
        <v>0</v>
      </c>
      <c r="H36" t="n">
        <v>0</v>
      </c>
      <c r="I36" t="n">
        <v>0</v>
      </c>
      <c r="J36" t="n">
        <v>0</v>
      </c>
      <c r="K36">
        <f>G36-H36-I36-J36</f>
        <v>0</v>
      </c>
    </row>
    <row r="37">
      <c r="A37" s="11" t="n">
        <v>46207</v>
      </c>
      <c r="B37" t="inlineStr">
        <is>
          <t>S06</t>
        </is>
      </c>
      <c r="C37" t="inlineStr">
        <is>
          <t>Docket photo to Drive</t>
        </is>
      </c>
      <c r="D37" t="n">
        <v>4</v>
      </c>
      <c r="E37" t="n">
        <v>4</v>
      </c>
      <c r="F37" t="n">
        <v>16</v>
      </c>
      <c r="G37" t="n">
        <v>0</v>
      </c>
      <c r="H37" t="n">
        <v>0</v>
      </c>
      <c r="I37" t="n">
        <v>0</v>
      </c>
      <c r="J37" t="n">
        <v>0</v>
      </c>
      <c r="K37">
        <f>G37-H37-I37-J37</f>
        <v>0</v>
      </c>
    </row>
    <row r="38">
      <c r="A38" s="11" t="n">
        <v>46207</v>
      </c>
      <c r="B38" t="inlineStr">
        <is>
          <t>S07</t>
        </is>
      </c>
      <c r="C38" t="inlineStr">
        <is>
          <t>Lost or damaged charge</t>
        </is>
      </c>
      <c r="D38" t="n">
        <v>96</v>
      </c>
      <c r="E38" t="n">
        <v>0</v>
      </c>
      <c r="F38" t="n">
        <v>96</v>
      </c>
      <c r="G38" t="n">
        <v>0</v>
      </c>
      <c r="H38" t="n">
        <v>0</v>
      </c>
      <c r="I38" t="n">
        <v>0</v>
      </c>
      <c r="J38" t="n">
        <v>0</v>
      </c>
      <c r="K38">
        <f>G38-H38-I38-J38</f>
        <v>0</v>
      </c>
    </row>
    <row r="39">
      <c r="A39" s="11" t="n">
        <v>46207</v>
      </c>
      <c r="B39" t="inlineStr">
        <is>
          <t>S08</t>
        </is>
      </c>
      <c r="C39" t="inlineStr">
        <is>
          <t>Site collected, final cycle</t>
        </is>
      </c>
      <c r="D39" t="n">
        <v>96</v>
      </c>
      <c r="E39" t="n">
        <v>0</v>
      </c>
      <c r="F39" t="n">
        <v>96</v>
      </c>
      <c r="G39" t="n">
        <v>0</v>
      </c>
      <c r="H39" t="n">
        <v>0</v>
      </c>
      <c r="I39" t="n">
        <v>0</v>
      </c>
      <c r="J39" t="n">
        <v>0</v>
      </c>
      <c r="K39">
        <f>G39-H39-I39-J39</f>
        <v>0</v>
      </c>
    </row>
    <row r="40">
      <c r="A40" s="11" t="n">
        <v>46207</v>
      </c>
      <c r="B40" t="inlineStr">
        <is>
          <t>S10</t>
        </is>
      </c>
      <c r="C40" t="inlineStr">
        <is>
          <t>Error monitor</t>
        </is>
      </c>
      <c r="D40" t="n">
        <v>1</v>
      </c>
      <c r="E40" t="n">
        <v>1</v>
      </c>
      <c r="F40" t="n">
        <v>11</v>
      </c>
      <c r="G40" t="n">
        <v>0</v>
      </c>
      <c r="H40" t="n">
        <v>0</v>
      </c>
      <c r="I40" t="n">
        <v>0</v>
      </c>
      <c r="J40" t="n">
        <v>0</v>
      </c>
      <c r="K40">
        <f>G40-H40-I40-J40</f>
        <v>0</v>
      </c>
    </row>
    <row r="41">
      <c r="A41" s="11" t="n">
        <v>46208</v>
      </c>
      <c r="B41" t="inlineStr">
        <is>
          <t>S01</t>
        </is>
      </c>
      <c r="C41" t="inlineStr">
        <is>
          <t>Movement in</t>
        </is>
      </c>
      <c r="D41" t="n">
        <v>96</v>
      </c>
      <c r="E41" t="n">
        <v>1</v>
      </c>
      <c r="F41" t="n">
        <v>101</v>
      </c>
      <c r="G41" t="n">
        <v>0</v>
      </c>
      <c r="H41" t="n">
        <v>0</v>
      </c>
      <c r="I41" t="n">
        <v>0</v>
      </c>
      <c r="J41" t="n">
        <v>0</v>
      </c>
      <c r="K41">
        <f>G41-H41-I41-J41</f>
        <v>0</v>
      </c>
    </row>
    <row r="42">
      <c r="A42" s="11" t="n">
        <v>46208</v>
      </c>
      <c r="B42" t="inlineStr">
        <is>
          <t>S02</t>
        </is>
      </c>
      <c r="C42" t="inlineStr">
        <is>
          <t>Hire billing run</t>
        </is>
      </c>
      <c r="D42" t="n">
        <v>1</v>
      </c>
      <c r="E42" t="n">
        <v>6</v>
      </c>
      <c r="F42" t="n">
        <v>37</v>
      </c>
      <c r="G42" t="n">
        <v>0</v>
      </c>
      <c r="H42" t="n">
        <v>0</v>
      </c>
      <c r="I42" t="n">
        <v>0</v>
      </c>
      <c r="J42" t="n">
        <v>0</v>
      </c>
      <c r="K42">
        <f>G42-H42-I42-J42</f>
        <v>0</v>
      </c>
    </row>
    <row r="43">
      <c r="A43" s="11" t="n">
        <v>46208</v>
      </c>
      <c r="B43" t="inlineStr">
        <is>
          <t>S03</t>
        </is>
      </c>
      <c r="C43" t="inlineStr">
        <is>
          <t>Payments back from Xero</t>
        </is>
      </c>
      <c r="D43" t="n">
        <v>96</v>
      </c>
      <c r="E43" t="n">
        <v>0</v>
      </c>
      <c r="F43" t="n">
        <v>96</v>
      </c>
      <c r="G43" t="n">
        <v>0</v>
      </c>
      <c r="H43" t="n">
        <v>0</v>
      </c>
      <c r="I43" t="n">
        <v>0</v>
      </c>
      <c r="J43" t="n">
        <v>0</v>
      </c>
      <c r="K43">
        <f>G43-H43-I43-J43</f>
        <v>0</v>
      </c>
    </row>
    <row r="44">
      <c r="A44" s="11" t="n">
        <v>46208</v>
      </c>
      <c r="B44" t="inlineStr">
        <is>
          <t>S04</t>
        </is>
      </c>
      <c r="C44" t="inlineStr">
        <is>
          <t>Contacts from Xero</t>
        </is>
      </c>
      <c r="D44" t="n">
        <v>24</v>
      </c>
      <c r="E44" t="n">
        <v>0</v>
      </c>
      <c r="F44" t="n">
        <v>24</v>
      </c>
      <c r="G44" t="n">
        <v>0</v>
      </c>
      <c r="H44" t="n">
        <v>0</v>
      </c>
      <c r="I44" t="n">
        <v>0</v>
      </c>
      <c r="J44" t="n">
        <v>0</v>
      </c>
      <c r="K44">
        <f>G44-H44-I44-J44</f>
        <v>0</v>
      </c>
    </row>
    <row r="45">
      <c r="A45" s="11" t="n">
        <v>46208</v>
      </c>
      <c r="B45" t="inlineStr">
        <is>
          <t>S05</t>
        </is>
      </c>
      <c r="C45" t="inlineStr">
        <is>
          <t>Nightly checks</t>
        </is>
      </c>
      <c r="D45" t="n">
        <v>1</v>
      </c>
      <c r="E45" t="n">
        <v>1</v>
      </c>
      <c r="F45" t="n">
        <v>22</v>
      </c>
      <c r="G45" t="n">
        <v>0</v>
      </c>
      <c r="H45" t="n">
        <v>0</v>
      </c>
      <c r="I45" t="n">
        <v>0</v>
      </c>
      <c r="J45" t="n">
        <v>0</v>
      </c>
      <c r="K45">
        <f>G45-H45-I45-J45</f>
        <v>0</v>
      </c>
    </row>
    <row r="46">
      <c r="A46" s="11" t="n">
        <v>46208</v>
      </c>
      <c r="B46" t="inlineStr">
        <is>
          <t>S06</t>
        </is>
      </c>
      <c r="C46" t="inlineStr">
        <is>
          <t>Docket photo to Drive</t>
        </is>
      </c>
      <c r="D46" t="n">
        <v>5</v>
      </c>
      <c r="E46" t="n">
        <v>5</v>
      </c>
      <c r="F46" t="n">
        <v>20</v>
      </c>
      <c r="G46" t="n">
        <v>0</v>
      </c>
      <c r="H46" t="n">
        <v>0</v>
      </c>
      <c r="I46" t="n">
        <v>0</v>
      </c>
      <c r="J46" t="n">
        <v>0</v>
      </c>
      <c r="K46">
        <f>G46-H46-I46-J46</f>
        <v>0</v>
      </c>
    </row>
    <row r="47">
      <c r="A47" s="11" t="n">
        <v>46208</v>
      </c>
      <c r="B47" t="inlineStr">
        <is>
          <t>S07</t>
        </is>
      </c>
      <c r="C47" t="inlineStr">
        <is>
          <t>Lost or damaged charge</t>
        </is>
      </c>
      <c r="D47" t="n">
        <v>96</v>
      </c>
      <c r="E47" t="n">
        <v>0</v>
      </c>
      <c r="F47" t="n">
        <v>96</v>
      </c>
      <c r="G47" t="n">
        <v>0</v>
      </c>
      <c r="H47" t="n">
        <v>0</v>
      </c>
      <c r="I47" t="n">
        <v>0</v>
      </c>
      <c r="J47" t="n">
        <v>0</v>
      </c>
      <c r="K47">
        <f>G47-H47-I47-J47</f>
        <v>0</v>
      </c>
    </row>
    <row r="48">
      <c r="A48" s="11" t="n">
        <v>46208</v>
      </c>
      <c r="B48" t="inlineStr">
        <is>
          <t>S08</t>
        </is>
      </c>
      <c r="C48" t="inlineStr">
        <is>
          <t>Site collected, final cycle</t>
        </is>
      </c>
      <c r="D48" t="n">
        <v>96</v>
      </c>
      <c r="E48" t="n">
        <v>0</v>
      </c>
      <c r="F48" t="n">
        <v>96</v>
      </c>
      <c r="G48" t="n">
        <v>0</v>
      </c>
      <c r="H48" t="n">
        <v>0</v>
      </c>
      <c r="I48" t="n">
        <v>0</v>
      </c>
      <c r="J48" t="n">
        <v>0</v>
      </c>
      <c r="K48">
        <f>G48-H48-I48-J48</f>
        <v>0</v>
      </c>
    </row>
    <row r="49">
      <c r="A49" s="11" t="n">
        <v>46208</v>
      </c>
      <c r="B49" t="inlineStr">
        <is>
          <t>S09</t>
        </is>
      </c>
      <c r="C49" t="inlineStr">
        <is>
          <t>Weekly backup</t>
        </is>
      </c>
      <c r="D49" t="n">
        <v>1</v>
      </c>
      <c r="E49" t="n">
        <v>1</v>
      </c>
      <c r="F49" t="n">
        <v>13</v>
      </c>
      <c r="G49" t="n">
        <v>0</v>
      </c>
      <c r="H49" t="n">
        <v>0</v>
      </c>
      <c r="I49" t="n">
        <v>0</v>
      </c>
      <c r="J49" t="n">
        <v>0</v>
      </c>
      <c r="K49">
        <f>G49-H49-I49-J49</f>
        <v>0</v>
      </c>
    </row>
    <row r="50">
      <c r="A50" s="11" t="n">
        <v>46208</v>
      </c>
      <c r="B50" t="inlineStr">
        <is>
          <t>S10</t>
        </is>
      </c>
      <c r="C50" t="inlineStr">
        <is>
          <t>Error monitor</t>
        </is>
      </c>
      <c r="D50" t="n">
        <v>1</v>
      </c>
      <c r="E50" t="n">
        <v>1</v>
      </c>
      <c r="F50" t="n">
        <v>11</v>
      </c>
      <c r="G50" t="n">
        <v>0</v>
      </c>
      <c r="H50" t="n">
        <v>0</v>
      </c>
      <c r="I50" t="n">
        <v>0</v>
      </c>
      <c r="J50" t="n">
        <v>0</v>
      </c>
      <c r="K50">
        <f>G50-H50-I50-J50</f>
        <v>0</v>
      </c>
    </row>
    <row r="51">
      <c r="A51" s="11" t="n">
        <v>46209</v>
      </c>
      <c r="B51" t="inlineStr">
        <is>
          <t>S01</t>
        </is>
      </c>
      <c r="C51" t="inlineStr">
        <is>
          <t>Movement in</t>
        </is>
      </c>
      <c r="D51" t="n">
        <v>96</v>
      </c>
      <c r="E51" t="n">
        <v>25</v>
      </c>
      <c r="F51" t="n">
        <v>221</v>
      </c>
      <c r="G51" t="n">
        <v>1</v>
      </c>
      <c r="H51" t="n">
        <v>1</v>
      </c>
      <c r="I51" t="n">
        <v>0</v>
      </c>
      <c r="J51" t="n">
        <v>0</v>
      </c>
      <c r="K51">
        <f>G51-H51-I51-J51</f>
        <v>0</v>
      </c>
    </row>
    <row r="52">
      <c r="A52" s="11" t="n">
        <v>46209</v>
      </c>
      <c r="B52" t="inlineStr">
        <is>
          <t>S02</t>
        </is>
      </c>
      <c r="C52" t="inlineStr">
        <is>
          <t>Hire billing run</t>
        </is>
      </c>
      <c r="D52" t="n">
        <v>1</v>
      </c>
      <c r="E52" t="n">
        <v>0</v>
      </c>
      <c r="F52" t="n">
        <v>1</v>
      </c>
      <c r="G52" t="n">
        <v>0</v>
      </c>
      <c r="H52" t="n">
        <v>0</v>
      </c>
      <c r="I52" t="n">
        <v>0</v>
      </c>
      <c r="J52" t="n">
        <v>0</v>
      </c>
      <c r="K52">
        <f>G52-H52-I52-J52</f>
        <v>0</v>
      </c>
    </row>
    <row r="53">
      <c r="A53" s="11" t="n">
        <v>46209</v>
      </c>
      <c r="B53" t="inlineStr">
        <is>
          <t>S03</t>
        </is>
      </c>
      <c r="C53" t="inlineStr">
        <is>
          <t>Payments back from Xero</t>
        </is>
      </c>
      <c r="D53" t="n">
        <v>96</v>
      </c>
      <c r="E53" t="n">
        <v>20</v>
      </c>
      <c r="F53" t="n">
        <v>156</v>
      </c>
      <c r="G53" t="n">
        <v>0</v>
      </c>
      <c r="H53" t="n">
        <v>0</v>
      </c>
      <c r="I53" t="n">
        <v>0</v>
      </c>
      <c r="J53" t="n">
        <v>0</v>
      </c>
      <c r="K53">
        <f>G53-H53-I53-J53</f>
        <v>0</v>
      </c>
    </row>
    <row r="54">
      <c r="A54" s="11" t="n">
        <v>46209</v>
      </c>
      <c r="B54" t="inlineStr">
        <is>
          <t>S04</t>
        </is>
      </c>
      <c r="C54" t="inlineStr">
        <is>
          <t>Contacts from Xero</t>
        </is>
      </c>
      <c r="D54" t="n">
        <v>24</v>
      </c>
      <c r="E54" t="n">
        <v>3</v>
      </c>
      <c r="F54" t="n">
        <v>33</v>
      </c>
      <c r="G54" t="n">
        <v>0</v>
      </c>
      <c r="H54" t="n">
        <v>0</v>
      </c>
      <c r="I54" t="n">
        <v>0</v>
      </c>
      <c r="J54" t="n">
        <v>0</v>
      </c>
      <c r="K54">
        <f>G54-H54-I54-J54</f>
        <v>0</v>
      </c>
    </row>
    <row r="55">
      <c r="A55" s="11" t="n">
        <v>46209</v>
      </c>
      <c r="B55" t="inlineStr">
        <is>
          <t>S05</t>
        </is>
      </c>
      <c r="C55" t="inlineStr">
        <is>
          <t>Nightly checks</t>
        </is>
      </c>
      <c r="D55" t="n">
        <v>1</v>
      </c>
      <c r="E55" t="n">
        <v>1</v>
      </c>
      <c r="F55" t="n">
        <v>22</v>
      </c>
      <c r="G55" t="n">
        <v>0</v>
      </c>
      <c r="H55" t="n">
        <v>0</v>
      </c>
      <c r="I55" t="n">
        <v>0</v>
      </c>
      <c r="J55" t="n">
        <v>0</v>
      </c>
      <c r="K55">
        <f>G55-H55-I55-J55</f>
        <v>0</v>
      </c>
    </row>
    <row r="56">
      <c r="A56" s="11" t="n">
        <v>46209</v>
      </c>
      <c r="B56" t="inlineStr">
        <is>
          <t>S06</t>
        </is>
      </c>
      <c r="C56" t="inlineStr">
        <is>
          <t>Docket photo to Drive</t>
        </is>
      </c>
      <c r="D56" t="n">
        <v>38</v>
      </c>
      <c r="E56" t="n">
        <v>38</v>
      </c>
      <c r="F56" t="n">
        <v>152</v>
      </c>
      <c r="G56" t="n">
        <v>0</v>
      </c>
      <c r="H56" t="n">
        <v>0</v>
      </c>
      <c r="I56" t="n">
        <v>0</v>
      </c>
      <c r="J56" t="n">
        <v>0</v>
      </c>
      <c r="K56">
        <f>G56-H56-I56-J56</f>
        <v>0</v>
      </c>
    </row>
    <row r="57">
      <c r="A57" s="11" t="n">
        <v>46209</v>
      </c>
      <c r="B57" t="inlineStr">
        <is>
          <t>S07</t>
        </is>
      </c>
      <c r="C57" t="inlineStr">
        <is>
          <t>Lost or damaged charge</t>
        </is>
      </c>
      <c r="D57" t="n">
        <v>96</v>
      </c>
      <c r="E57" t="n">
        <v>0</v>
      </c>
      <c r="F57" t="n">
        <v>96</v>
      </c>
      <c r="G57" t="n">
        <v>0</v>
      </c>
      <c r="H57" t="n">
        <v>0</v>
      </c>
      <c r="I57" t="n">
        <v>0</v>
      </c>
      <c r="J57" t="n">
        <v>0</v>
      </c>
      <c r="K57">
        <f>G57-H57-I57-J57</f>
        <v>0</v>
      </c>
    </row>
    <row r="58">
      <c r="A58" s="11" t="n">
        <v>46209</v>
      </c>
      <c r="B58" t="inlineStr">
        <is>
          <t>S08</t>
        </is>
      </c>
      <c r="C58" t="inlineStr">
        <is>
          <t>Site collected, final cycle</t>
        </is>
      </c>
      <c r="D58" t="n">
        <v>96</v>
      </c>
      <c r="E58" t="n">
        <v>4</v>
      </c>
      <c r="F58" t="n">
        <v>120</v>
      </c>
      <c r="G58" t="n">
        <v>0</v>
      </c>
      <c r="H58" t="n">
        <v>0</v>
      </c>
      <c r="I58" t="n">
        <v>0</v>
      </c>
      <c r="J58" t="n">
        <v>0</v>
      </c>
      <c r="K58">
        <f>G58-H58-I58-J58</f>
        <v>0</v>
      </c>
    </row>
    <row r="59">
      <c r="A59" s="11" t="n">
        <v>46209</v>
      </c>
      <c r="B59" t="inlineStr">
        <is>
          <t>S10</t>
        </is>
      </c>
      <c r="C59" t="inlineStr">
        <is>
          <t>Error monitor</t>
        </is>
      </c>
      <c r="D59" t="n">
        <v>1</v>
      </c>
      <c r="E59" t="n">
        <v>1</v>
      </c>
      <c r="F59" t="n">
        <v>11</v>
      </c>
      <c r="G59" t="n">
        <v>0</v>
      </c>
      <c r="H59" t="n">
        <v>0</v>
      </c>
      <c r="I59" t="n">
        <v>0</v>
      </c>
      <c r="J59" t="n">
        <v>0</v>
      </c>
      <c r="K59">
        <f>G59-H59-I59-J59</f>
        <v>0</v>
      </c>
    </row>
    <row r="60">
      <c r="A60" s="11" t="n">
        <v>46210</v>
      </c>
      <c r="B60" t="inlineStr">
        <is>
          <t>S01</t>
        </is>
      </c>
      <c r="C60" t="inlineStr">
        <is>
          <t>Movement in</t>
        </is>
      </c>
      <c r="D60" t="n">
        <v>96</v>
      </c>
      <c r="E60" t="n">
        <v>23</v>
      </c>
      <c r="F60" t="n">
        <v>211</v>
      </c>
      <c r="G60" t="n">
        <v>0</v>
      </c>
      <c r="H60" t="n">
        <v>0</v>
      </c>
      <c r="I60" t="n">
        <v>0</v>
      </c>
      <c r="J60" t="n">
        <v>0</v>
      </c>
      <c r="K60">
        <f>G60-H60-I60-J60</f>
        <v>0</v>
      </c>
    </row>
    <row r="61">
      <c r="A61" s="11" t="n">
        <v>46210</v>
      </c>
      <c r="B61" t="inlineStr">
        <is>
          <t>S02</t>
        </is>
      </c>
      <c r="C61" t="inlineStr">
        <is>
          <t>Hire billing run</t>
        </is>
      </c>
      <c r="D61" t="n">
        <v>1</v>
      </c>
      <c r="E61" t="n">
        <v>1</v>
      </c>
      <c r="F61" t="n">
        <v>7</v>
      </c>
      <c r="G61" t="n">
        <v>0</v>
      </c>
      <c r="H61" t="n">
        <v>0</v>
      </c>
      <c r="I61" t="n">
        <v>0</v>
      </c>
      <c r="J61" t="n">
        <v>0</v>
      </c>
      <c r="K61">
        <f>G61-H61-I61-J61</f>
        <v>0</v>
      </c>
    </row>
    <row r="62">
      <c r="A62" s="11" t="n">
        <v>46210</v>
      </c>
      <c r="B62" t="inlineStr">
        <is>
          <t>S03</t>
        </is>
      </c>
      <c r="C62" t="inlineStr">
        <is>
          <t>Payments back from Xero</t>
        </is>
      </c>
      <c r="D62" t="n">
        <v>96</v>
      </c>
      <c r="E62" t="n">
        <v>10</v>
      </c>
      <c r="F62" t="n">
        <v>126</v>
      </c>
      <c r="G62" t="n">
        <v>0</v>
      </c>
      <c r="H62" t="n">
        <v>0</v>
      </c>
      <c r="I62" t="n">
        <v>0</v>
      </c>
      <c r="J62" t="n">
        <v>0</v>
      </c>
      <c r="K62">
        <f>G62-H62-I62-J62</f>
        <v>0</v>
      </c>
    </row>
    <row r="63">
      <c r="A63" s="11" t="n">
        <v>46210</v>
      </c>
      <c r="B63" t="inlineStr">
        <is>
          <t>S04</t>
        </is>
      </c>
      <c r="C63" t="inlineStr">
        <is>
          <t>Contacts from Xero</t>
        </is>
      </c>
      <c r="D63" t="n">
        <v>24</v>
      </c>
      <c r="E63" t="n">
        <v>3</v>
      </c>
      <c r="F63" t="n">
        <v>33</v>
      </c>
      <c r="G63" t="n">
        <v>0</v>
      </c>
      <c r="H63" t="n">
        <v>0</v>
      </c>
      <c r="I63" t="n">
        <v>0</v>
      </c>
      <c r="J63" t="n">
        <v>0</v>
      </c>
      <c r="K63">
        <f>G63-H63-I63-J63</f>
        <v>0</v>
      </c>
    </row>
    <row r="64">
      <c r="A64" s="11" t="n">
        <v>46210</v>
      </c>
      <c r="B64" t="inlineStr">
        <is>
          <t>S05</t>
        </is>
      </c>
      <c r="C64" t="inlineStr">
        <is>
          <t>Nightly checks</t>
        </is>
      </c>
      <c r="D64" t="n">
        <v>1</v>
      </c>
      <c r="E64" t="n">
        <v>1</v>
      </c>
      <c r="F64" t="n">
        <v>22</v>
      </c>
      <c r="G64" t="n">
        <v>0</v>
      </c>
      <c r="H64" t="n">
        <v>0</v>
      </c>
      <c r="I64" t="n">
        <v>0</v>
      </c>
      <c r="J64" t="n">
        <v>0</v>
      </c>
      <c r="K64">
        <f>G64-H64-I64-J64</f>
        <v>0</v>
      </c>
    </row>
    <row r="65">
      <c r="A65" s="11" t="n">
        <v>46210</v>
      </c>
      <c r="B65" t="inlineStr">
        <is>
          <t>S06</t>
        </is>
      </c>
      <c r="C65" t="inlineStr">
        <is>
          <t>Docket photo to Drive</t>
        </is>
      </c>
      <c r="D65" t="n">
        <v>31</v>
      </c>
      <c r="E65" t="n">
        <v>31</v>
      </c>
      <c r="F65" t="n">
        <v>124</v>
      </c>
      <c r="G65" t="n">
        <v>0</v>
      </c>
      <c r="H65" t="n">
        <v>0</v>
      </c>
      <c r="I65" t="n">
        <v>0</v>
      </c>
      <c r="J65" t="n">
        <v>0</v>
      </c>
      <c r="K65">
        <f>G65-H65-I65-J65</f>
        <v>0</v>
      </c>
    </row>
    <row r="66">
      <c r="A66" s="11" t="n">
        <v>46210</v>
      </c>
      <c r="B66" t="inlineStr">
        <is>
          <t>S07</t>
        </is>
      </c>
      <c r="C66" t="inlineStr">
        <is>
          <t>Lost or damaged charge</t>
        </is>
      </c>
      <c r="D66" t="n">
        <v>96</v>
      </c>
      <c r="E66" t="n">
        <v>0</v>
      </c>
      <c r="F66" t="n">
        <v>96</v>
      </c>
      <c r="G66" t="n">
        <v>0</v>
      </c>
      <c r="H66" t="n">
        <v>0</v>
      </c>
      <c r="I66" t="n">
        <v>0</v>
      </c>
      <c r="J66" t="n">
        <v>0</v>
      </c>
      <c r="K66">
        <f>G66-H66-I66-J66</f>
        <v>0</v>
      </c>
    </row>
    <row r="67">
      <c r="A67" s="11" t="n">
        <v>46210</v>
      </c>
      <c r="B67" t="inlineStr">
        <is>
          <t>S08</t>
        </is>
      </c>
      <c r="C67" t="inlineStr">
        <is>
          <t>Site collected, final cycle</t>
        </is>
      </c>
      <c r="D67" t="n">
        <v>96</v>
      </c>
      <c r="E67" t="n">
        <v>1</v>
      </c>
      <c r="F67" t="n">
        <v>102</v>
      </c>
      <c r="G67" t="n">
        <v>0</v>
      </c>
      <c r="H67" t="n">
        <v>0</v>
      </c>
      <c r="I67" t="n">
        <v>0</v>
      </c>
      <c r="J67" t="n">
        <v>0</v>
      </c>
      <c r="K67">
        <f>G67-H67-I67-J67</f>
        <v>0</v>
      </c>
    </row>
    <row r="68">
      <c r="A68" s="11" t="n">
        <v>46210</v>
      </c>
      <c r="B68" t="inlineStr">
        <is>
          <t>S10</t>
        </is>
      </c>
      <c r="C68" t="inlineStr">
        <is>
          <t>Error monitor</t>
        </is>
      </c>
      <c r="D68" t="n">
        <v>1</v>
      </c>
      <c r="E68" t="n">
        <v>1</v>
      </c>
      <c r="F68" t="n">
        <v>11</v>
      </c>
      <c r="G68" t="n">
        <v>0</v>
      </c>
      <c r="H68" t="n">
        <v>0</v>
      </c>
      <c r="I68" t="n">
        <v>0</v>
      </c>
      <c r="J68" t="n">
        <v>0</v>
      </c>
      <c r="K68">
        <f>G68-H68-I68-J68</f>
        <v>0</v>
      </c>
    </row>
    <row r="69">
      <c r="A69" s="11" t="n">
        <v>46211</v>
      </c>
      <c r="B69" t="inlineStr">
        <is>
          <t>S01</t>
        </is>
      </c>
      <c r="C69" t="inlineStr">
        <is>
          <t>Movement in</t>
        </is>
      </c>
      <c r="D69" t="n">
        <v>96</v>
      </c>
      <c r="E69" t="n">
        <v>25</v>
      </c>
      <c r="F69" t="n">
        <v>221</v>
      </c>
      <c r="G69" t="n">
        <v>0</v>
      </c>
      <c r="H69" t="n">
        <v>0</v>
      </c>
      <c r="I69" t="n">
        <v>0</v>
      </c>
      <c r="J69" t="n">
        <v>0</v>
      </c>
      <c r="K69">
        <f>G69-H69-I69-J69</f>
        <v>0</v>
      </c>
    </row>
    <row r="70">
      <c r="A70" s="11" t="n">
        <v>46211</v>
      </c>
      <c r="B70" t="inlineStr">
        <is>
          <t>S02</t>
        </is>
      </c>
      <c r="C70" t="inlineStr">
        <is>
          <t>Hire billing run</t>
        </is>
      </c>
      <c r="D70" t="n">
        <v>1</v>
      </c>
      <c r="E70" t="n">
        <v>0</v>
      </c>
      <c r="F70" t="n">
        <v>1</v>
      </c>
      <c r="G70" t="n">
        <v>0</v>
      </c>
      <c r="H70" t="n">
        <v>0</v>
      </c>
      <c r="I70" t="n">
        <v>0</v>
      </c>
      <c r="J70" t="n">
        <v>0</v>
      </c>
      <c r="K70">
        <f>G70-H70-I70-J70</f>
        <v>0</v>
      </c>
    </row>
    <row r="71">
      <c r="A71" s="11" t="n">
        <v>46211</v>
      </c>
      <c r="B71" t="inlineStr">
        <is>
          <t>S03</t>
        </is>
      </c>
      <c r="C71" t="inlineStr">
        <is>
          <t>Payments back from Xero</t>
        </is>
      </c>
      <c r="D71" t="n">
        <v>96</v>
      </c>
      <c r="E71" t="n">
        <v>17</v>
      </c>
      <c r="F71" t="n">
        <v>147</v>
      </c>
      <c r="G71" t="n">
        <v>0</v>
      </c>
      <c r="H71" t="n">
        <v>0</v>
      </c>
      <c r="I71" t="n">
        <v>0</v>
      </c>
      <c r="J71" t="n">
        <v>0</v>
      </c>
      <c r="K71">
        <f>G71-H71-I71-J71</f>
        <v>0</v>
      </c>
    </row>
    <row r="72">
      <c r="A72" s="11" t="n">
        <v>46211</v>
      </c>
      <c r="B72" t="inlineStr">
        <is>
          <t>S04</t>
        </is>
      </c>
      <c r="C72" t="inlineStr">
        <is>
          <t>Contacts from Xero</t>
        </is>
      </c>
      <c r="D72" t="n">
        <v>24</v>
      </c>
      <c r="E72" t="n">
        <v>0</v>
      </c>
      <c r="F72" t="n">
        <v>24</v>
      </c>
      <c r="G72" t="n">
        <v>0</v>
      </c>
      <c r="H72" t="n">
        <v>0</v>
      </c>
      <c r="I72" t="n">
        <v>0</v>
      </c>
      <c r="J72" t="n">
        <v>0</v>
      </c>
      <c r="K72">
        <f>G72-H72-I72-J72</f>
        <v>0</v>
      </c>
    </row>
    <row r="73">
      <c r="A73" s="11" t="n">
        <v>46211</v>
      </c>
      <c r="B73" t="inlineStr">
        <is>
          <t>S05</t>
        </is>
      </c>
      <c r="C73" t="inlineStr">
        <is>
          <t>Nightly checks</t>
        </is>
      </c>
      <c r="D73" t="n">
        <v>1</v>
      </c>
      <c r="E73" t="n">
        <v>1</v>
      </c>
      <c r="F73" t="n">
        <v>22</v>
      </c>
      <c r="G73" t="n">
        <v>0</v>
      </c>
      <c r="H73" t="n">
        <v>0</v>
      </c>
      <c r="I73" t="n">
        <v>0</v>
      </c>
      <c r="J73" t="n">
        <v>0</v>
      </c>
      <c r="K73">
        <f>G73-H73-I73-J73</f>
        <v>0</v>
      </c>
    </row>
    <row r="74">
      <c r="A74" s="11" t="n">
        <v>46211</v>
      </c>
      <c r="B74" t="inlineStr">
        <is>
          <t>S06</t>
        </is>
      </c>
      <c r="C74" t="inlineStr">
        <is>
          <t>Docket photo to Drive</t>
        </is>
      </c>
      <c r="D74" t="n">
        <v>37</v>
      </c>
      <c r="E74" t="n">
        <v>37</v>
      </c>
      <c r="F74" t="n">
        <v>148</v>
      </c>
      <c r="G74" t="n">
        <v>0</v>
      </c>
      <c r="H74" t="n">
        <v>0</v>
      </c>
      <c r="I74" t="n">
        <v>0</v>
      </c>
      <c r="J74" t="n">
        <v>0</v>
      </c>
      <c r="K74">
        <f>G74-H74-I74-J74</f>
        <v>0</v>
      </c>
    </row>
    <row r="75">
      <c r="A75" s="11" t="n">
        <v>46211</v>
      </c>
      <c r="B75" t="inlineStr">
        <is>
          <t>S07</t>
        </is>
      </c>
      <c r="C75" t="inlineStr">
        <is>
          <t>Lost or damaged charge</t>
        </is>
      </c>
      <c r="D75" t="n">
        <v>96</v>
      </c>
      <c r="E75" t="n">
        <v>0</v>
      </c>
      <c r="F75" t="n">
        <v>96</v>
      </c>
      <c r="G75" t="n">
        <v>1</v>
      </c>
      <c r="H75" t="n">
        <v>0</v>
      </c>
      <c r="I75" t="n">
        <v>0</v>
      </c>
      <c r="J75" t="n">
        <v>1</v>
      </c>
      <c r="K75">
        <f>G75-H75-I75-J75</f>
        <v>0</v>
      </c>
    </row>
    <row r="76">
      <c r="A76" s="11" t="n">
        <v>46211</v>
      </c>
      <c r="B76" t="inlineStr">
        <is>
          <t>S08</t>
        </is>
      </c>
      <c r="C76" t="inlineStr">
        <is>
          <t>Site collected, final cycle</t>
        </is>
      </c>
      <c r="D76" t="n">
        <v>96</v>
      </c>
      <c r="E76" t="n">
        <v>4</v>
      </c>
      <c r="F76" t="n">
        <v>120</v>
      </c>
      <c r="G76" t="n">
        <v>0</v>
      </c>
      <c r="H76" t="n">
        <v>0</v>
      </c>
      <c r="I76" t="n">
        <v>0</v>
      </c>
      <c r="J76" t="n">
        <v>0</v>
      </c>
      <c r="K76">
        <f>G76-H76-I76-J76</f>
        <v>0</v>
      </c>
    </row>
    <row r="77">
      <c r="A77" s="11" t="n">
        <v>46211</v>
      </c>
      <c r="B77" t="inlineStr">
        <is>
          <t>S10</t>
        </is>
      </c>
      <c r="C77" t="inlineStr">
        <is>
          <t>Error monitor</t>
        </is>
      </c>
      <c r="D77" t="n">
        <v>1</v>
      </c>
      <c r="E77" t="n">
        <v>1</v>
      </c>
      <c r="F77" t="n">
        <v>11</v>
      </c>
      <c r="G77" t="n">
        <v>0</v>
      </c>
      <c r="H77" t="n">
        <v>0</v>
      </c>
      <c r="I77" t="n">
        <v>0</v>
      </c>
      <c r="J77" t="n">
        <v>0</v>
      </c>
      <c r="K77">
        <f>G77-H77-I77-J77</f>
        <v>0</v>
      </c>
    </row>
    <row r="78">
      <c r="A78" s="11" t="n">
        <v>46212</v>
      </c>
      <c r="B78" t="inlineStr">
        <is>
          <t>S01</t>
        </is>
      </c>
      <c r="C78" t="inlineStr">
        <is>
          <t>Movement in</t>
        </is>
      </c>
      <c r="D78" t="n">
        <v>96</v>
      </c>
      <c r="E78" t="n">
        <v>29</v>
      </c>
      <c r="F78" t="n">
        <v>241</v>
      </c>
      <c r="G78" t="n">
        <v>0</v>
      </c>
      <c r="H78" t="n">
        <v>0</v>
      </c>
      <c r="I78" t="n">
        <v>0</v>
      </c>
      <c r="J78" t="n">
        <v>0</v>
      </c>
      <c r="K78">
        <f>G78-H78-I78-J78</f>
        <v>0</v>
      </c>
    </row>
    <row r="79">
      <c r="A79" s="11" t="n">
        <v>46212</v>
      </c>
      <c r="B79" t="inlineStr">
        <is>
          <t>S02</t>
        </is>
      </c>
      <c r="C79" t="inlineStr">
        <is>
          <t>Hire billing run</t>
        </is>
      </c>
      <c r="D79" t="n">
        <v>1</v>
      </c>
      <c r="E79" t="n">
        <v>6</v>
      </c>
      <c r="F79" t="n">
        <v>37</v>
      </c>
      <c r="G79" t="n">
        <v>0</v>
      </c>
      <c r="H79" t="n">
        <v>0</v>
      </c>
      <c r="I79" t="n">
        <v>0</v>
      </c>
      <c r="J79" t="n">
        <v>0</v>
      </c>
      <c r="K79">
        <f>G79-H79-I79-J79</f>
        <v>0</v>
      </c>
    </row>
    <row r="80">
      <c r="A80" s="11" t="n">
        <v>46212</v>
      </c>
      <c r="B80" t="inlineStr">
        <is>
          <t>S03</t>
        </is>
      </c>
      <c r="C80" t="inlineStr">
        <is>
          <t>Payments back from Xero</t>
        </is>
      </c>
      <c r="D80" t="n">
        <v>96</v>
      </c>
      <c r="E80" t="n">
        <v>13</v>
      </c>
      <c r="F80" t="n">
        <v>135</v>
      </c>
      <c r="G80" t="n">
        <v>0</v>
      </c>
      <c r="H80" t="n">
        <v>0</v>
      </c>
      <c r="I80" t="n">
        <v>0</v>
      </c>
      <c r="J80" t="n">
        <v>0</v>
      </c>
      <c r="K80">
        <f>G80-H80-I80-J80</f>
        <v>0</v>
      </c>
    </row>
    <row r="81">
      <c r="A81" s="11" t="n">
        <v>46212</v>
      </c>
      <c r="B81" t="inlineStr">
        <is>
          <t>S04</t>
        </is>
      </c>
      <c r="C81" t="inlineStr">
        <is>
          <t>Contacts from Xero</t>
        </is>
      </c>
      <c r="D81" t="n">
        <v>24</v>
      </c>
      <c r="E81" t="n">
        <v>1</v>
      </c>
      <c r="F81" t="n">
        <v>27</v>
      </c>
      <c r="G81" t="n">
        <v>0</v>
      </c>
      <c r="H81" t="n">
        <v>0</v>
      </c>
      <c r="I81" t="n">
        <v>0</v>
      </c>
      <c r="J81" t="n">
        <v>0</v>
      </c>
      <c r="K81">
        <f>G81-H81-I81-J81</f>
        <v>0</v>
      </c>
    </row>
    <row r="82">
      <c r="A82" s="11" t="n">
        <v>46212</v>
      </c>
      <c r="B82" t="inlineStr">
        <is>
          <t>S05</t>
        </is>
      </c>
      <c r="C82" t="inlineStr">
        <is>
          <t>Nightly checks</t>
        </is>
      </c>
      <c r="D82" t="n">
        <v>1</v>
      </c>
      <c r="E82" t="n">
        <v>1</v>
      </c>
      <c r="F82" t="n">
        <v>22</v>
      </c>
      <c r="G82" t="n">
        <v>0</v>
      </c>
      <c r="H82" t="n">
        <v>0</v>
      </c>
      <c r="I82" t="n">
        <v>0</v>
      </c>
      <c r="J82" t="n">
        <v>0</v>
      </c>
      <c r="K82">
        <f>G82-H82-I82-J82</f>
        <v>0</v>
      </c>
    </row>
    <row r="83">
      <c r="A83" s="11" t="n">
        <v>46212</v>
      </c>
      <c r="B83" t="inlineStr">
        <is>
          <t>S06</t>
        </is>
      </c>
      <c r="C83" t="inlineStr">
        <is>
          <t>Docket photo to Drive</t>
        </is>
      </c>
      <c r="D83" t="n">
        <v>23</v>
      </c>
      <c r="E83" t="n">
        <v>23</v>
      </c>
      <c r="F83" t="n">
        <v>92</v>
      </c>
      <c r="G83" t="n">
        <v>0</v>
      </c>
      <c r="H83" t="n">
        <v>0</v>
      </c>
      <c r="I83" t="n">
        <v>0</v>
      </c>
      <c r="J83" t="n">
        <v>0</v>
      </c>
      <c r="K83">
        <f>G83-H83-I83-J83</f>
        <v>0</v>
      </c>
    </row>
    <row r="84">
      <c r="A84" s="11" t="n">
        <v>46212</v>
      </c>
      <c r="B84" t="inlineStr">
        <is>
          <t>S07</t>
        </is>
      </c>
      <c r="C84" t="inlineStr">
        <is>
          <t>Lost or damaged charge</t>
        </is>
      </c>
      <c r="D84" t="n">
        <v>96</v>
      </c>
      <c r="E84" t="n">
        <v>0</v>
      </c>
      <c r="F84" t="n">
        <v>96</v>
      </c>
      <c r="G84" t="n">
        <v>0</v>
      </c>
      <c r="H84" t="n">
        <v>0</v>
      </c>
      <c r="I84" t="n">
        <v>0</v>
      </c>
      <c r="J84" t="n">
        <v>0</v>
      </c>
      <c r="K84">
        <f>G84-H84-I84-J84</f>
        <v>0</v>
      </c>
    </row>
    <row r="85">
      <c r="A85" s="11" t="n">
        <v>46212</v>
      </c>
      <c r="B85" t="inlineStr">
        <is>
          <t>S08</t>
        </is>
      </c>
      <c r="C85" t="inlineStr">
        <is>
          <t>Site collected, final cycle</t>
        </is>
      </c>
      <c r="D85" t="n">
        <v>96</v>
      </c>
      <c r="E85" t="n">
        <v>1</v>
      </c>
      <c r="F85" t="n">
        <v>102</v>
      </c>
      <c r="G85" t="n">
        <v>0</v>
      </c>
      <c r="H85" t="n">
        <v>0</v>
      </c>
      <c r="I85" t="n">
        <v>0</v>
      </c>
      <c r="J85" t="n">
        <v>0</v>
      </c>
      <c r="K85">
        <f>G85-H85-I85-J85</f>
        <v>0</v>
      </c>
    </row>
    <row r="86">
      <c r="A86" s="11" t="n">
        <v>46212</v>
      </c>
      <c r="B86" t="inlineStr">
        <is>
          <t>S10</t>
        </is>
      </c>
      <c r="C86" t="inlineStr">
        <is>
          <t>Error monitor</t>
        </is>
      </c>
      <c r="D86" t="n">
        <v>1</v>
      </c>
      <c r="E86" t="n">
        <v>1</v>
      </c>
      <c r="F86" t="n">
        <v>11</v>
      </c>
      <c r="G86" t="n">
        <v>0</v>
      </c>
      <c r="H86" t="n">
        <v>0</v>
      </c>
      <c r="I86" t="n">
        <v>0</v>
      </c>
      <c r="J86" t="n">
        <v>0</v>
      </c>
      <c r="K86">
        <f>G86-H86-I86-J86</f>
        <v>0</v>
      </c>
    </row>
    <row r="87">
      <c r="A87" s="11" t="n">
        <v>46213</v>
      </c>
      <c r="B87" t="inlineStr">
        <is>
          <t>S01</t>
        </is>
      </c>
      <c r="C87" t="inlineStr">
        <is>
          <t>Movement in</t>
        </is>
      </c>
      <c r="D87" t="n">
        <v>96</v>
      </c>
      <c r="E87" t="n">
        <v>44</v>
      </c>
      <c r="F87" t="n">
        <v>316</v>
      </c>
      <c r="G87" t="n">
        <v>0</v>
      </c>
      <c r="H87" t="n">
        <v>0</v>
      </c>
      <c r="I87" t="n">
        <v>0</v>
      </c>
      <c r="J87" t="n">
        <v>0</v>
      </c>
      <c r="K87">
        <f>G87-H87-I87-J87</f>
        <v>0</v>
      </c>
    </row>
    <row r="88">
      <c r="A88" s="11" t="n">
        <v>46213</v>
      </c>
      <c r="B88" t="inlineStr">
        <is>
          <t>S02</t>
        </is>
      </c>
      <c r="C88" t="inlineStr">
        <is>
          <t>Hire billing run</t>
        </is>
      </c>
      <c r="D88" t="n">
        <v>1</v>
      </c>
      <c r="E88" t="n">
        <v>2</v>
      </c>
      <c r="F88" t="n">
        <v>13</v>
      </c>
      <c r="G88" t="n">
        <v>0</v>
      </c>
      <c r="H88" t="n">
        <v>0</v>
      </c>
      <c r="I88" t="n">
        <v>0</v>
      </c>
      <c r="J88" t="n">
        <v>0</v>
      </c>
      <c r="K88">
        <f>G88-H88-I88-J88</f>
        <v>0</v>
      </c>
    </row>
    <row r="89">
      <c r="A89" s="11" t="n">
        <v>46213</v>
      </c>
      <c r="B89" t="inlineStr">
        <is>
          <t>S03</t>
        </is>
      </c>
      <c r="C89" t="inlineStr">
        <is>
          <t>Payments back from Xero</t>
        </is>
      </c>
      <c r="D89" t="n">
        <v>96</v>
      </c>
      <c r="E89" t="n">
        <v>14</v>
      </c>
      <c r="F89" t="n">
        <v>138</v>
      </c>
      <c r="G89" t="n">
        <v>0</v>
      </c>
      <c r="H89" t="n">
        <v>0</v>
      </c>
      <c r="I89" t="n">
        <v>0</v>
      </c>
      <c r="J89" t="n">
        <v>0</v>
      </c>
      <c r="K89">
        <f>G89-H89-I89-J89</f>
        <v>0</v>
      </c>
    </row>
    <row r="90">
      <c r="A90" s="11" t="n">
        <v>46213</v>
      </c>
      <c r="B90" t="inlineStr">
        <is>
          <t>S04</t>
        </is>
      </c>
      <c r="C90" t="inlineStr">
        <is>
          <t>Contacts from Xero</t>
        </is>
      </c>
      <c r="D90" t="n">
        <v>24</v>
      </c>
      <c r="E90" t="n">
        <v>0</v>
      </c>
      <c r="F90" t="n">
        <v>24</v>
      </c>
      <c r="G90" t="n">
        <v>0</v>
      </c>
      <c r="H90" t="n">
        <v>0</v>
      </c>
      <c r="I90" t="n">
        <v>0</v>
      </c>
      <c r="J90" t="n">
        <v>0</v>
      </c>
      <c r="K90">
        <f>G90-H90-I90-J90</f>
        <v>0</v>
      </c>
    </row>
    <row r="91">
      <c r="A91" s="11" t="n">
        <v>46213</v>
      </c>
      <c r="B91" t="inlineStr">
        <is>
          <t>S05</t>
        </is>
      </c>
      <c r="C91" t="inlineStr">
        <is>
          <t>Nightly checks</t>
        </is>
      </c>
      <c r="D91" t="n">
        <v>1</v>
      </c>
      <c r="E91" t="n">
        <v>1</v>
      </c>
      <c r="F91" t="n">
        <v>22</v>
      </c>
      <c r="G91" t="n">
        <v>0</v>
      </c>
      <c r="H91" t="n">
        <v>0</v>
      </c>
      <c r="I91" t="n">
        <v>0</v>
      </c>
      <c r="J91" t="n">
        <v>0</v>
      </c>
      <c r="K91">
        <f>G91-H91-I91-J91</f>
        <v>0</v>
      </c>
    </row>
    <row r="92">
      <c r="A92" s="11" t="n">
        <v>46213</v>
      </c>
      <c r="B92" t="inlineStr">
        <is>
          <t>S06</t>
        </is>
      </c>
      <c r="C92" t="inlineStr">
        <is>
          <t>Docket photo to Drive</t>
        </is>
      </c>
      <c r="D92" t="n">
        <v>18</v>
      </c>
      <c r="E92" t="n">
        <v>18</v>
      </c>
      <c r="F92" t="n">
        <v>72</v>
      </c>
      <c r="G92" t="n">
        <v>0</v>
      </c>
      <c r="H92" t="n">
        <v>0</v>
      </c>
      <c r="I92" t="n">
        <v>0</v>
      </c>
      <c r="J92" t="n">
        <v>0</v>
      </c>
      <c r="K92">
        <f>G92-H92-I92-J92</f>
        <v>0</v>
      </c>
    </row>
    <row r="93">
      <c r="A93" s="11" t="n">
        <v>46213</v>
      </c>
      <c r="B93" t="inlineStr">
        <is>
          <t>S07</t>
        </is>
      </c>
      <c r="C93" t="inlineStr">
        <is>
          <t>Lost or damaged charge</t>
        </is>
      </c>
      <c r="D93" t="n">
        <v>96</v>
      </c>
      <c r="E93" t="n">
        <v>1</v>
      </c>
      <c r="F93" t="n">
        <v>101</v>
      </c>
      <c r="G93" t="n">
        <v>0</v>
      </c>
      <c r="H93" t="n">
        <v>0</v>
      </c>
      <c r="I93" t="n">
        <v>0</v>
      </c>
      <c r="J93" t="n">
        <v>0</v>
      </c>
      <c r="K93">
        <f>G93-H93-I93-J93</f>
        <v>0</v>
      </c>
    </row>
    <row r="94">
      <c r="A94" s="11" t="n">
        <v>46213</v>
      </c>
      <c r="B94" t="inlineStr">
        <is>
          <t>S08</t>
        </is>
      </c>
      <c r="C94" t="inlineStr">
        <is>
          <t>Site collected, final cycle</t>
        </is>
      </c>
      <c r="D94" t="n">
        <v>96</v>
      </c>
      <c r="E94" t="n">
        <v>3</v>
      </c>
      <c r="F94" t="n">
        <v>114</v>
      </c>
      <c r="G94" t="n">
        <v>0</v>
      </c>
      <c r="H94" t="n">
        <v>0</v>
      </c>
      <c r="I94" t="n">
        <v>0</v>
      </c>
      <c r="J94" t="n">
        <v>0</v>
      </c>
      <c r="K94">
        <f>G94-H94-I94-J94</f>
        <v>0</v>
      </c>
    </row>
    <row r="95">
      <c r="A95" s="11" t="n">
        <v>46213</v>
      </c>
      <c r="B95" t="inlineStr">
        <is>
          <t>S10</t>
        </is>
      </c>
      <c r="C95" t="inlineStr">
        <is>
          <t>Error monitor</t>
        </is>
      </c>
      <c r="D95" t="n">
        <v>1</v>
      </c>
      <c r="E95" t="n">
        <v>1</v>
      </c>
      <c r="F95" t="n">
        <v>11</v>
      </c>
      <c r="G95" t="n">
        <v>0</v>
      </c>
      <c r="H95" t="n">
        <v>0</v>
      </c>
      <c r="I95" t="n">
        <v>0</v>
      </c>
      <c r="J95" t="n">
        <v>0</v>
      </c>
      <c r="K95">
        <f>G95-H95-I95-J95</f>
        <v>0</v>
      </c>
    </row>
    <row r="96">
      <c r="A96" s="11" t="n">
        <v>46214</v>
      </c>
      <c r="B96" t="inlineStr">
        <is>
          <t>S01</t>
        </is>
      </c>
      <c r="C96" t="inlineStr">
        <is>
          <t>Movement in</t>
        </is>
      </c>
      <c r="D96" t="n">
        <v>96</v>
      </c>
      <c r="E96" t="n">
        <v>3</v>
      </c>
      <c r="F96" t="n">
        <v>111</v>
      </c>
      <c r="G96" t="n">
        <v>0</v>
      </c>
      <c r="H96" t="n">
        <v>0</v>
      </c>
      <c r="I96" t="n">
        <v>0</v>
      </c>
      <c r="J96" t="n">
        <v>0</v>
      </c>
      <c r="K96">
        <f>G96-H96-I96-J96</f>
        <v>0</v>
      </c>
    </row>
    <row r="97">
      <c r="A97" s="11" t="n">
        <v>46214</v>
      </c>
      <c r="B97" t="inlineStr">
        <is>
          <t>S02</t>
        </is>
      </c>
      <c r="C97" t="inlineStr">
        <is>
          <t>Hire billing run</t>
        </is>
      </c>
      <c r="D97" t="n">
        <v>1</v>
      </c>
      <c r="E97" t="n">
        <v>2</v>
      </c>
      <c r="F97" t="n">
        <v>13</v>
      </c>
      <c r="G97" t="n">
        <v>0</v>
      </c>
      <c r="H97" t="n">
        <v>0</v>
      </c>
      <c r="I97" t="n">
        <v>0</v>
      </c>
      <c r="J97" t="n">
        <v>0</v>
      </c>
      <c r="K97">
        <f>G97-H97-I97-J97</f>
        <v>0</v>
      </c>
    </row>
    <row r="98">
      <c r="A98" s="11" t="n">
        <v>46214</v>
      </c>
      <c r="B98" t="inlineStr">
        <is>
          <t>S03</t>
        </is>
      </c>
      <c r="C98" t="inlineStr">
        <is>
          <t>Payments back from Xero</t>
        </is>
      </c>
      <c r="D98" t="n">
        <v>96</v>
      </c>
      <c r="E98" t="n">
        <v>2</v>
      </c>
      <c r="F98" t="n">
        <v>102</v>
      </c>
      <c r="G98" t="n">
        <v>0</v>
      </c>
      <c r="H98" t="n">
        <v>0</v>
      </c>
      <c r="I98" t="n">
        <v>0</v>
      </c>
      <c r="J98" t="n">
        <v>0</v>
      </c>
      <c r="K98">
        <f>G98-H98-I98-J98</f>
        <v>0</v>
      </c>
    </row>
    <row r="99">
      <c r="A99" s="11" t="n">
        <v>46214</v>
      </c>
      <c r="B99" t="inlineStr">
        <is>
          <t>S04</t>
        </is>
      </c>
      <c r="C99" t="inlineStr">
        <is>
          <t>Contacts from Xero</t>
        </is>
      </c>
      <c r="D99" t="n">
        <v>24</v>
      </c>
      <c r="E99" t="n">
        <v>0</v>
      </c>
      <c r="F99" t="n">
        <v>24</v>
      </c>
      <c r="G99" t="n">
        <v>0</v>
      </c>
      <c r="H99" t="n">
        <v>0</v>
      </c>
      <c r="I99" t="n">
        <v>0</v>
      </c>
      <c r="J99" t="n">
        <v>0</v>
      </c>
      <c r="K99">
        <f>G99-H99-I99-J99</f>
        <v>0</v>
      </c>
    </row>
    <row r="100">
      <c r="A100" s="11" t="n">
        <v>46214</v>
      </c>
      <c r="B100" t="inlineStr">
        <is>
          <t>S05</t>
        </is>
      </c>
      <c r="C100" t="inlineStr">
        <is>
          <t>Nightly checks</t>
        </is>
      </c>
      <c r="D100" t="n">
        <v>1</v>
      </c>
      <c r="E100" t="n">
        <v>1</v>
      </c>
      <c r="F100" t="n">
        <v>22</v>
      </c>
      <c r="G100" t="n">
        <v>0</v>
      </c>
      <c r="H100" t="n">
        <v>0</v>
      </c>
      <c r="I100" t="n">
        <v>0</v>
      </c>
      <c r="J100" t="n">
        <v>0</v>
      </c>
      <c r="K100">
        <f>G100-H100-I100-J100</f>
        <v>0</v>
      </c>
    </row>
    <row r="101">
      <c r="A101" s="11" t="n">
        <v>46214</v>
      </c>
      <c r="B101" t="inlineStr">
        <is>
          <t>S06</t>
        </is>
      </c>
      <c r="C101" t="inlineStr">
        <is>
          <t>Docket photo to Drive</t>
        </is>
      </c>
      <c r="D101" t="n">
        <v>2</v>
      </c>
      <c r="E101" t="n">
        <v>2</v>
      </c>
      <c r="F101" t="n">
        <v>8</v>
      </c>
      <c r="G101" t="n">
        <v>0</v>
      </c>
      <c r="H101" t="n">
        <v>0</v>
      </c>
      <c r="I101" t="n">
        <v>0</v>
      </c>
      <c r="J101" t="n">
        <v>0</v>
      </c>
      <c r="K101">
        <f>G101-H101-I101-J101</f>
        <v>0</v>
      </c>
    </row>
    <row r="102">
      <c r="A102" s="11" t="n">
        <v>46214</v>
      </c>
      <c r="B102" t="inlineStr">
        <is>
          <t>S07</t>
        </is>
      </c>
      <c r="C102" t="inlineStr">
        <is>
          <t>Lost or damaged charge</t>
        </is>
      </c>
      <c r="D102" t="n">
        <v>96</v>
      </c>
      <c r="E102" t="n">
        <v>0</v>
      </c>
      <c r="F102" t="n">
        <v>96</v>
      </c>
      <c r="G102" t="n">
        <v>0</v>
      </c>
      <c r="H102" t="n">
        <v>0</v>
      </c>
      <c r="I102" t="n">
        <v>0</v>
      </c>
      <c r="J102" t="n">
        <v>0</v>
      </c>
      <c r="K102">
        <f>G102-H102-I102-J102</f>
        <v>0</v>
      </c>
    </row>
    <row r="103">
      <c r="A103" s="11" t="n">
        <v>46214</v>
      </c>
      <c r="B103" t="inlineStr">
        <is>
          <t>S08</t>
        </is>
      </c>
      <c r="C103" t="inlineStr">
        <is>
          <t>Site collected, final cycle</t>
        </is>
      </c>
      <c r="D103" t="n">
        <v>96</v>
      </c>
      <c r="E103" t="n">
        <v>0</v>
      </c>
      <c r="F103" t="n">
        <v>96</v>
      </c>
      <c r="G103" t="n">
        <v>0</v>
      </c>
      <c r="H103" t="n">
        <v>0</v>
      </c>
      <c r="I103" t="n">
        <v>0</v>
      </c>
      <c r="J103" t="n">
        <v>0</v>
      </c>
      <c r="K103">
        <f>G103-H103-I103-J103</f>
        <v>0</v>
      </c>
    </row>
    <row r="104">
      <c r="A104" s="11" t="n">
        <v>46214</v>
      </c>
      <c r="B104" t="inlineStr">
        <is>
          <t>S10</t>
        </is>
      </c>
      <c r="C104" t="inlineStr">
        <is>
          <t>Error monitor</t>
        </is>
      </c>
      <c r="D104" t="n">
        <v>1</v>
      </c>
      <c r="E104" t="n">
        <v>1</v>
      </c>
      <c r="F104" t="n">
        <v>11</v>
      </c>
      <c r="G104" t="n">
        <v>0</v>
      </c>
      <c r="H104" t="n">
        <v>0</v>
      </c>
      <c r="I104" t="n">
        <v>0</v>
      </c>
      <c r="J104" t="n">
        <v>0</v>
      </c>
      <c r="K104">
        <f>G104-H104-I104-J104</f>
        <v>0</v>
      </c>
    </row>
    <row r="105">
      <c r="A105" s="11" t="n">
        <v>46215</v>
      </c>
      <c r="B105" t="inlineStr">
        <is>
          <t>S01</t>
        </is>
      </c>
      <c r="C105" t="inlineStr">
        <is>
          <t>Movement in</t>
        </is>
      </c>
      <c r="D105" t="n">
        <v>96</v>
      </c>
      <c r="E105" t="n">
        <v>6</v>
      </c>
      <c r="F105" t="n">
        <v>126</v>
      </c>
      <c r="G105" t="n">
        <v>0</v>
      </c>
      <c r="H105" t="n">
        <v>0</v>
      </c>
      <c r="I105" t="n">
        <v>0</v>
      </c>
      <c r="J105" t="n">
        <v>0</v>
      </c>
      <c r="K105">
        <f>G105-H105-I105-J105</f>
        <v>0</v>
      </c>
    </row>
    <row r="106">
      <c r="A106" s="11" t="n">
        <v>46215</v>
      </c>
      <c r="B106" t="inlineStr">
        <is>
          <t>S02</t>
        </is>
      </c>
      <c r="C106" t="inlineStr">
        <is>
          <t>Hire billing run</t>
        </is>
      </c>
      <c r="D106" t="n">
        <v>1</v>
      </c>
      <c r="E106" t="n">
        <v>2</v>
      </c>
      <c r="F106" t="n">
        <v>13</v>
      </c>
      <c r="G106" t="n">
        <v>0</v>
      </c>
      <c r="H106" t="n">
        <v>0</v>
      </c>
      <c r="I106" t="n">
        <v>0</v>
      </c>
      <c r="J106" t="n">
        <v>0</v>
      </c>
      <c r="K106">
        <f>G106-H106-I106-J106</f>
        <v>0</v>
      </c>
    </row>
    <row r="107">
      <c r="A107" s="11" t="n">
        <v>46215</v>
      </c>
      <c r="B107" t="inlineStr">
        <is>
          <t>S03</t>
        </is>
      </c>
      <c r="C107" t="inlineStr">
        <is>
          <t>Payments back from Xero</t>
        </is>
      </c>
      <c r="D107" t="n">
        <v>96</v>
      </c>
      <c r="E107" t="n">
        <v>2</v>
      </c>
      <c r="F107" t="n">
        <v>102</v>
      </c>
      <c r="G107" t="n">
        <v>0</v>
      </c>
      <c r="H107" t="n">
        <v>0</v>
      </c>
      <c r="I107" t="n">
        <v>0</v>
      </c>
      <c r="J107" t="n">
        <v>0</v>
      </c>
      <c r="K107">
        <f>G107-H107-I107-J107</f>
        <v>0</v>
      </c>
    </row>
    <row r="108">
      <c r="A108" s="11" t="n">
        <v>46215</v>
      </c>
      <c r="B108" t="inlineStr">
        <is>
          <t>S04</t>
        </is>
      </c>
      <c r="C108" t="inlineStr">
        <is>
          <t>Contacts from Xero</t>
        </is>
      </c>
      <c r="D108" t="n">
        <v>24</v>
      </c>
      <c r="E108" t="n">
        <v>0</v>
      </c>
      <c r="F108" t="n">
        <v>24</v>
      </c>
      <c r="G108" t="n">
        <v>0</v>
      </c>
      <c r="H108" t="n">
        <v>0</v>
      </c>
      <c r="I108" t="n">
        <v>0</v>
      </c>
      <c r="J108" t="n">
        <v>0</v>
      </c>
      <c r="K108">
        <f>G108-H108-I108-J108</f>
        <v>0</v>
      </c>
    </row>
    <row r="109">
      <c r="A109" s="11" t="n">
        <v>46215</v>
      </c>
      <c r="B109" t="inlineStr">
        <is>
          <t>S05</t>
        </is>
      </c>
      <c r="C109" t="inlineStr">
        <is>
          <t>Nightly checks</t>
        </is>
      </c>
      <c r="D109" t="n">
        <v>1</v>
      </c>
      <c r="E109" t="n">
        <v>1</v>
      </c>
      <c r="F109" t="n">
        <v>22</v>
      </c>
      <c r="G109" t="n">
        <v>0</v>
      </c>
      <c r="H109" t="n">
        <v>0</v>
      </c>
      <c r="I109" t="n">
        <v>0</v>
      </c>
      <c r="J109" t="n">
        <v>0</v>
      </c>
      <c r="K109">
        <f>G109-H109-I109-J109</f>
        <v>0</v>
      </c>
    </row>
    <row r="110">
      <c r="A110" s="11" t="n">
        <v>46215</v>
      </c>
      <c r="B110" t="inlineStr">
        <is>
          <t>S06</t>
        </is>
      </c>
      <c r="C110" t="inlineStr">
        <is>
          <t>Docket photo to Drive</t>
        </is>
      </c>
      <c r="D110" t="n">
        <v>1</v>
      </c>
      <c r="E110" t="n">
        <v>1</v>
      </c>
      <c r="F110" t="n">
        <v>4</v>
      </c>
      <c r="G110" t="n">
        <v>0</v>
      </c>
      <c r="H110" t="n">
        <v>0</v>
      </c>
      <c r="I110" t="n">
        <v>0</v>
      </c>
      <c r="J110" t="n">
        <v>0</v>
      </c>
      <c r="K110">
        <f>G110-H110-I110-J110</f>
        <v>0</v>
      </c>
    </row>
    <row r="111">
      <c r="A111" s="11" t="n">
        <v>46215</v>
      </c>
      <c r="B111" t="inlineStr">
        <is>
          <t>S07</t>
        </is>
      </c>
      <c r="C111" t="inlineStr">
        <is>
          <t>Lost or damaged charge</t>
        </is>
      </c>
      <c r="D111" t="n">
        <v>96</v>
      </c>
      <c r="E111" t="n">
        <v>0</v>
      </c>
      <c r="F111" t="n">
        <v>96</v>
      </c>
      <c r="G111" t="n">
        <v>0</v>
      </c>
      <c r="H111" t="n">
        <v>0</v>
      </c>
      <c r="I111" t="n">
        <v>0</v>
      </c>
      <c r="J111" t="n">
        <v>0</v>
      </c>
      <c r="K111">
        <f>G111-H111-I111-J111</f>
        <v>0</v>
      </c>
    </row>
    <row r="112">
      <c r="A112" s="11" t="n">
        <v>46215</v>
      </c>
      <c r="B112" t="inlineStr">
        <is>
          <t>S08</t>
        </is>
      </c>
      <c r="C112" t="inlineStr">
        <is>
          <t>Site collected, final cycle</t>
        </is>
      </c>
      <c r="D112" t="n">
        <v>96</v>
      </c>
      <c r="E112" t="n">
        <v>0</v>
      </c>
      <c r="F112" t="n">
        <v>96</v>
      </c>
      <c r="G112" t="n">
        <v>0</v>
      </c>
      <c r="H112" t="n">
        <v>0</v>
      </c>
      <c r="I112" t="n">
        <v>0</v>
      </c>
      <c r="J112" t="n">
        <v>0</v>
      </c>
      <c r="K112">
        <f>G112-H112-I112-J112</f>
        <v>0</v>
      </c>
    </row>
    <row r="113">
      <c r="A113" s="11" t="n">
        <v>46215</v>
      </c>
      <c r="B113" t="inlineStr">
        <is>
          <t>S09</t>
        </is>
      </c>
      <c r="C113" t="inlineStr">
        <is>
          <t>Weekly backup</t>
        </is>
      </c>
      <c r="D113" t="n">
        <v>1</v>
      </c>
      <c r="E113" t="n">
        <v>1</v>
      </c>
      <c r="F113" t="n">
        <v>13</v>
      </c>
      <c r="G113" t="n">
        <v>0</v>
      </c>
      <c r="H113" t="n">
        <v>0</v>
      </c>
      <c r="I113" t="n">
        <v>0</v>
      </c>
      <c r="J113" t="n">
        <v>0</v>
      </c>
      <c r="K113">
        <f>G113-H113-I113-J113</f>
        <v>0</v>
      </c>
    </row>
    <row r="114">
      <c r="A114" s="11" t="n">
        <v>46215</v>
      </c>
      <c r="B114" t="inlineStr">
        <is>
          <t>S10</t>
        </is>
      </c>
      <c r="C114" t="inlineStr">
        <is>
          <t>Error monitor</t>
        </is>
      </c>
      <c r="D114" t="n">
        <v>1</v>
      </c>
      <c r="E114" t="n">
        <v>1</v>
      </c>
      <c r="F114" t="n">
        <v>11</v>
      </c>
      <c r="G114" t="n">
        <v>0</v>
      </c>
      <c r="H114" t="n">
        <v>0</v>
      </c>
      <c r="I114" t="n">
        <v>0</v>
      </c>
      <c r="J114" t="n">
        <v>0</v>
      </c>
      <c r="K114">
        <f>G114-H114-I114-J114</f>
        <v>0</v>
      </c>
    </row>
    <row r="115">
      <c r="A115" s="11" t="n">
        <v>46216</v>
      </c>
      <c r="B115" t="inlineStr">
        <is>
          <t>S01</t>
        </is>
      </c>
      <c r="C115" t="inlineStr">
        <is>
          <t>Movement in</t>
        </is>
      </c>
      <c r="D115" t="n">
        <v>96</v>
      </c>
      <c r="E115" t="n">
        <v>24</v>
      </c>
      <c r="F115" t="n">
        <v>216</v>
      </c>
      <c r="G115" t="n">
        <v>0</v>
      </c>
      <c r="H115" t="n">
        <v>0</v>
      </c>
      <c r="I115" t="n">
        <v>0</v>
      </c>
      <c r="J115" t="n">
        <v>0</v>
      </c>
      <c r="K115">
        <f>G115-H115-I115-J115</f>
        <v>0</v>
      </c>
    </row>
    <row r="116">
      <c r="A116" s="11" t="n">
        <v>46216</v>
      </c>
      <c r="B116" t="inlineStr">
        <is>
          <t>S02</t>
        </is>
      </c>
      <c r="C116" t="inlineStr">
        <is>
          <t>Hire billing run</t>
        </is>
      </c>
      <c r="D116" t="n">
        <v>1</v>
      </c>
      <c r="E116" t="n">
        <v>2</v>
      </c>
      <c r="F116" t="n">
        <v>13</v>
      </c>
      <c r="G116" t="n">
        <v>0</v>
      </c>
      <c r="H116" t="n">
        <v>0</v>
      </c>
      <c r="I116" t="n">
        <v>0</v>
      </c>
      <c r="J116" t="n">
        <v>0</v>
      </c>
      <c r="K116">
        <f>G116-H116-I116-J116</f>
        <v>0</v>
      </c>
    </row>
    <row r="117">
      <c r="A117" s="11" t="n">
        <v>46216</v>
      </c>
      <c r="B117" t="inlineStr">
        <is>
          <t>S03</t>
        </is>
      </c>
      <c r="C117" t="inlineStr">
        <is>
          <t>Payments back from Xero</t>
        </is>
      </c>
      <c r="D117" t="n">
        <v>96</v>
      </c>
      <c r="E117" t="n">
        <v>21</v>
      </c>
      <c r="F117" t="n">
        <v>159</v>
      </c>
      <c r="G117" t="n">
        <v>1</v>
      </c>
      <c r="H117" t="n">
        <v>0</v>
      </c>
      <c r="I117" t="n">
        <v>0</v>
      </c>
      <c r="J117" t="n">
        <v>1</v>
      </c>
      <c r="K117">
        <f>G117-H117-I117-J117</f>
        <v>0</v>
      </c>
    </row>
    <row r="118">
      <c r="A118" s="11" t="n">
        <v>46216</v>
      </c>
      <c r="B118" t="inlineStr">
        <is>
          <t>S04</t>
        </is>
      </c>
      <c r="C118" t="inlineStr">
        <is>
          <t>Contacts from Xero</t>
        </is>
      </c>
      <c r="D118" t="n">
        <v>24</v>
      </c>
      <c r="E118" t="n">
        <v>4</v>
      </c>
      <c r="F118" t="n">
        <v>36</v>
      </c>
      <c r="G118" t="n">
        <v>0</v>
      </c>
      <c r="H118" t="n">
        <v>0</v>
      </c>
      <c r="I118" t="n">
        <v>0</v>
      </c>
      <c r="J118" t="n">
        <v>0</v>
      </c>
      <c r="K118">
        <f>G118-H118-I118-J118</f>
        <v>0</v>
      </c>
    </row>
    <row r="119">
      <c r="A119" s="11" t="n">
        <v>46216</v>
      </c>
      <c r="B119" t="inlineStr">
        <is>
          <t>S05</t>
        </is>
      </c>
      <c r="C119" t="inlineStr">
        <is>
          <t>Nightly checks</t>
        </is>
      </c>
      <c r="D119" t="n">
        <v>1</v>
      </c>
      <c r="E119" t="n">
        <v>1</v>
      </c>
      <c r="F119" t="n">
        <v>22</v>
      </c>
      <c r="G119" t="n">
        <v>0</v>
      </c>
      <c r="H119" t="n">
        <v>0</v>
      </c>
      <c r="I119" t="n">
        <v>0</v>
      </c>
      <c r="J119" t="n">
        <v>0</v>
      </c>
      <c r="K119">
        <f>G119-H119-I119-J119</f>
        <v>0</v>
      </c>
    </row>
    <row r="120">
      <c r="A120" s="11" t="n">
        <v>46216</v>
      </c>
      <c r="B120" t="inlineStr">
        <is>
          <t>S06</t>
        </is>
      </c>
      <c r="C120" t="inlineStr">
        <is>
          <t>Docket photo to Drive</t>
        </is>
      </c>
      <c r="D120" t="n">
        <v>30</v>
      </c>
      <c r="E120" t="n">
        <v>30</v>
      </c>
      <c r="F120" t="n">
        <v>120</v>
      </c>
      <c r="G120" t="n">
        <v>0</v>
      </c>
      <c r="H120" t="n">
        <v>0</v>
      </c>
      <c r="I120" t="n">
        <v>0</v>
      </c>
      <c r="J120" t="n">
        <v>0</v>
      </c>
      <c r="K120">
        <f>G120-H120-I120-J120</f>
        <v>0</v>
      </c>
    </row>
    <row r="121">
      <c r="A121" s="11" t="n">
        <v>46216</v>
      </c>
      <c r="B121" t="inlineStr">
        <is>
          <t>S07</t>
        </is>
      </c>
      <c r="C121" t="inlineStr">
        <is>
          <t>Lost or damaged charge</t>
        </is>
      </c>
      <c r="D121" t="n">
        <v>96</v>
      </c>
      <c r="E121" t="n">
        <v>1</v>
      </c>
      <c r="F121" t="n">
        <v>101</v>
      </c>
      <c r="G121" t="n">
        <v>0</v>
      </c>
      <c r="H121" t="n">
        <v>0</v>
      </c>
      <c r="I121" t="n">
        <v>0</v>
      </c>
      <c r="J121" t="n">
        <v>0</v>
      </c>
      <c r="K121">
        <f>G121-H121-I121-J121</f>
        <v>0</v>
      </c>
    </row>
    <row r="122">
      <c r="A122" s="11" t="n">
        <v>46216</v>
      </c>
      <c r="B122" t="inlineStr">
        <is>
          <t>S08</t>
        </is>
      </c>
      <c r="C122" t="inlineStr">
        <is>
          <t>Site collected, final cycle</t>
        </is>
      </c>
      <c r="D122" t="n">
        <v>96</v>
      </c>
      <c r="E122" t="n">
        <v>0</v>
      </c>
      <c r="F122" t="n">
        <v>96</v>
      </c>
      <c r="G122" t="n">
        <v>0</v>
      </c>
      <c r="H122" t="n">
        <v>0</v>
      </c>
      <c r="I122" t="n">
        <v>0</v>
      </c>
      <c r="J122" t="n">
        <v>0</v>
      </c>
      <c r="K122">
        <f>G122-H122-I122-J122</f>
        <v>0</v>
      </c>
    </row>
    <row r="123">
      <c r="A123" s="11" t="n">
        <v>46216</v>
      </c>
      <c r="B123" t="inlineStr">
        <is>
          <t>S10</t>
        </is>
      </c>
      <c r="C123" t="inlineStr">
        <is>
          <t>Error monitor</t>
        </is>
      </c>
      <c r="D123" t="n">
        <v>1</v>
      </c>
      <c r="E123" t="n">
        <v>1</v>
      </c>
      <c r="F123" t="n">
        <v>11</v>
      </c>
      <c r="G123" t="n">
        <v>0</v>
      </c>
      <c r="H123" t="n">
        <v>0</v>
      </c>
      <c r="I123" t="n">
        <v>0</v>
      </c>
      <c r="J123" t="n">
        <v>0</v>
      </c>
      <c r="K123">
        <f>G123-H123-I123-J123</f>
        <v>0</v>
      </c>
    </row>
    <row r="124">
      <c r="A124" s="11" t="n">
        <v>46217</v>
      </c>
      <c r="B124" t="inlineStr">
        <is>
          <t>S01</t>
        </is>
      </c>
      <c r="C124" t="inlineStr">
        <is>
          <t>Movement in</t>
        </is>
      </c>
      <c r="D124" t="n">
        <v>96</v>
      </c>
      <c r="E124" t="n">
        <v>25</v>
      </c>
      <c r="F124" t="n">
        <v>221</v>
      </c>
      <c r="G124" t="n">
        <v>0</v>
      </c>
      <c r="H124" t="n">
        <v>0</v>
      </c>
      <c r="I124" t="n">
        <v>0</v>
      </c>
      <c r="J124" t="n">
        <v>0</v>
      </c>
      <c r="K124">
        <f>G124-H124-I124-J124</f>
        <v>0</v>
      </c>
    </row>
    <row r="125">
      <c r="A125" s="11" t="n">
        <v>46217</v>
      </c>
      <c r="B125" t="inlineStr">
        <is>
          <t>S02</t>
        </is>
      </c>
      <c r="C125" t="inlineStr">
        <is>
          <t>Hire billing run</t>
        </is>
      </c>
      <c r="D125" t="n">
        <v>1</v>
      </c>
      <c r="E125" t="n">
        <v>2</v>
      </c>
      <c r="F125" t="n">
        <v>13</v>
      </c>
      <c r="G125" t="n">
        <v>1</v>
      </c>
      <c r="H125" t="n">
        <v>0</v>
      </c>
      <c r="I125" t="n">
        <v>1</v>
      </c>
      <c r="J125" t="n">
        <v>0</v>
      </c>
      <c r="K125">
        <f>G125-H125-I125-J125</f>
        <v>0</v>
      </c>
    </row>
    <row r="126">
      <c r="A126" s="11" t="n">
        <v>46217</v>
      </c>
      <c r="B126" t="inlineStr">
        <is>
          <t>S03</t>
        </is>
      </c>
      <c r="C126" t="inlineStr">
        <is>
          <t>Payments back from Xero</t>
        </is>
      </c>
      <c r="D126" t="n">
        <v>96</v>
      </c>
      <c r="E126" t="n">
        <v>13</v>
      </c>
      <c r="F126" t="n">
        <v>135</v>
      </c>
      <c r="G126" t="n">
        <v>1</v>
      </c>
      <c r="H126" t="n">
        <v>0</v>
      </c>
      <c r="I126" t="n">
        <v>1</v>
      </c>
      <c r="J126" t="n">
        <v>0</v>
      </c>
      <c r="K126">
        <f>G126-H126-I126-J126</f>
        <v>0</v>
      </c>
    </row>
    <row r="127">
      <c r="A127" s="11" t="n">
        <v>46217</v>
      </c>
      <c r="B127" t="inlineStr">
        <is>
          <t>S04</t>
        </is>
      </c>
      <c r="C127" t="inlineStr">
        <is>
          <t>Contacts from Xero</t>
        </is>
      </c>
      <c r="D127" t="n">
        <v>24</v>
      </c>
      <c r="E127" t="n">
        <v>1</v>
      </c>
      <c r="F127" t="n">
        <v>27</v>
      </c>
      <c r="G127" t="n">
        <v>1</v>
      </c>
      <c r="H127" t="n">
        <v>0</v>
      </c>
      <c r="I127" t="n">
        <v>1</v>
      </c>
      <c r="J127" t="n">
        <v>0</v>
      </c>
      <c r="K127">
        <f>G127-H127-I127-J127</f>
        <v>0</v>
      </c>
    </row>
    <row r="128">
      <c r="A128" s="11" t="n">
        <v>46217</v>
      </c>
      <c r="B128" t="inlineStr">
        <is>
          <t>S05</t>
        </is>
      </c>
      <c r="C128" t="inlineStr">
        <is>
          <t>Nightly checks</t>
        </is>
      </c>
      <c r="D128" t="n">
        <v>1</v>
      </c>
      <c r="E128" t="n">
        <v>1</v>
      </c>
      <c r="F128" t="n">
        <v>22</v>
      </c>
      <c r="G128" t="n">
        <v>0</v>
      </c>
      <c r="H128" t="n">
        <v>0</v>
      </c>
      <c r="I128" t="n">
        <v>0</v>
      </c>
      <c r="J128" t="n">
        <v>0</v>
      </c>
      <c r="K128">
        <f>G128-H128-I128-J128</f>
        <v>0</v>
      </c>
    </row>
    <row r="129">
      <c r="A129" s="11" t="n">
        <v>46217</v>
      </c>
      <c r="B129" t="inlineStr">
        <is>
          <t>S06</t>
        </is>
      </c>
      <c r="C129" t="inlineStr">
        <is>
          <t>Docket photo to Drive</t>
        </is>
      </c>
      <c r="D129" t="n">
        <v>23</v>
      </c>
      <c r="E129" t="n">
        <v>23</v>
      </c>
      <c r="F129" t="n">
        <v>92</v>
      </c>
      <c r="G129" t="n">
        <v>0</v>
      </c>
      <c r="H129" t="n">
        <v>0</v>
      </c>
      <c r="I129" t="n">
        <v>0</v>
      </c>
      <c r="J129" t="n">
        <v>0</v>
      </c>
      <c r="K129">
        <f>G129-H129-I129-J129</f>
        <v>0</v>
      </c>
    </row>
    <row r="130">
      <c r="A130" s="11" t="n">
        <v>46217</v>
      </c>
      <c r="B130" t="inlineStr">
        <is>
          <t>S07</t>
        </is>
      </c>
      <c r="C130" t="inlineStr">
        <is>
          <t>Lost or damaged charge</t>
        </is>
      </c>
      <c r="D130" t="n">
        <v>96</v>
      </c>
      <c r="E130" t="n">
        <v>0</v>
      </c>
      <c r="F130" t="n">
        <v>96</v>
      </c>
      <c r="G130" t="n">
        <v>0</v>
      </c>
      <c r="H130" t="n">
        <v>0</v>
      </c>
      <c r="I130" t="n">
        <v>0</v>
      </c>
      <c r="J130" t="n">
        <v>0</v>
      </c>
      <c r="K130">
        <f>G130-H130-I130-J130</f>
        <v>0</v>
      </c>
    </row>
    <row r="131">
      <c r="A131" s="11" t="n">
        <v>46217</v>
      </c>
      <c r="B131" t="inlineStr">
        <is>
          <t>S08</t>
        </is>
      </c>
      <c r="C131" t="inlineStr">
        <is>
          <t>Site collected, final cycle</t>
        </is>
      </c>
      <c r="D131" t="n">
        <v>96</v>
      </c>
      <c r="E131" t="n">
        <v>0</v>
      </c>
      <c r="F131" t="n">
        <v>96</v>
      </c>
      <c r="G131" t="n">
        <v>0</v>
      </c>
      <c r="H131" t="n">
        <v>0</v>
      </c>
      <c r="I131" t="n">
        <v>0</v>
      </c>
      <c r="J131" t="n">
        <v>0</v>
      </c>
      <c r="K131">
        <f>G131-H131-I131-J131</f>
        <v>0</v>
      </c>
    </row>
    <row r="132">
      <c r="A132" s="11" t="n">
        <v>46217</v>
      </c>
      <c r="B132" t="inlineStr">
        <is>
          <t>S10</t>
        </is>
      </c>
      <c r="C132" t="inlineStr">
        <is>
          <t>Error monitor</t>
        </is>
      </c>
      <c r="D132" t="n">
        <v>1</v>
      </c>
      <c r="E132" t="n">
        <v>1</v>
      </c>
      <c r="F132" t="n">
        <v>11</v>
      </c>
      <c r="G132" t="n">
        <v>0</v>
      </c>
      <c r="H132" t="n">
        <v>0</v>
      </c>
      <c r="I132" t="n">
        <v>0</v>
      </c>
      <c r="J132" t="n">
        <v>0</v>
      </c>
      <c r="K132">
        <f>G132-H132-I132-J132</f>
        <v>0</v>
      </c>
    </row>
    <row r="133">
      <c r="A133" s="11" t="n">
        <v>46218</v>
      </c>
      <c r="B133" t="inlineStr">
        <is>
          <t>S01</t>
        </is>
      </c>
      <c r="C133" t="inlineStr">
        <is>
          <t>Movement in</t>
        </is>
      </c>
      <c r="D133" t="n">
        <v>96</v>
      </c>
      <c r="E133" t="n">
        <v>28</v>
      </c>
      <c r="F133" t="n">
        <v>236</v>
      </c>
      <c r="G133" t="n">
        <v>0</v>
      </c>
      <c r="H133" t="n">
        <v>0</v>
      </c>
      <c r="I133" t="n">
        <v>0</v>
      </c>
      <c r="J133" t="n">
        <v>0</v>
      </c>
      <c r="K133">
        <f>G133-H133-I133-J133</f>
        <v>0</v>
      </c>
    </row>
    <row r="134">
      <c r="A134" s="11" t="n">
        <v>46218</v>
      </c>
      <c r="B134" t="inlineStr">
        <is>
          <t>S02</t>
        </is>
      </c>
      <c r="C134" t="inlineStr">
        <is>
          <t>Hire billing run</t>
        </is>
      </c>
      <c r="D134" t="n">
        <v>1</v>
      </c>
      <c r="E134" t="n">
        <v>2</v>
      </c>
      <c r="F134" t="n">
        <v>13</v>
      </c>
      <c r="G134" t="n">
        <v>0</v>
      </c>
      <c r="H134" t="n">
        <v>0</v>
      </c>
      <c r="I134" t="n">
        <v>0</v>
      </c>
      <c r="J134" t="n">
        <v>0</v>
      </c>
      <c r="K134">
        <f>G134-H134-I134-J134</f>
        <v>0</v>
      </c>
    </row>
    <row r="135">
      <c r="A135" s="11" t="n">
        <v>46218</v>
      </c>
      <c r="B135" t="inlineStr">
        <is>
          <t>S03</t>
        </is>
      </c>
      <c r="C135" t="inlineStr">
        <is>
          <t>Payments back from Xero</t>
        </is>
      </c>
      <c r="D135" t="n">
        <v>96</v>
      </c>
      <c r="E135" t="n">
        <v>14</v>
      </c>
      <c r="F135" t="n">
        <v>138</v>
      </c>
      <c r="G135" t="n">
        <v>0</v>
      </c>
      <c r="H135" t="n">
        <v>0</v>
      </c>
      <c r="I135" t="n">
        <v>0</v>
      </c>
      <c r="J135" t="n">
        <v>0</v>
      </c>
      <c r="K135">
        <f>G135-H135-I135-J135</f>
        <v>0</v>
      </c>
    </row>
    <row r="136">
      <c r="A136" s="11" t="n">
        <v>46218</v>
      </c>
      <c r="B136" t="inlineStr">
        <is>
          <t>S04</t>
        </is>
      </c>
      <c r="C136" t="inlineStr">
        <is>
          <t>Contacts from Xero</t>
        </is>
      </c>
      <c r="D136" t="n">
        <v>24</v>
      </c>
      <c r="E136" t="n">
        <v>2</v>
      </c>
      <c r="F136" t="n">
        <v>30</v>
      </c>
      <c r="G136" t="n">
        <v>0</v>
      </c>
      <c r="H136" t="n">
        <v>0</v>
      </c>
      <c r="I136" t="n">
        <v>0</v>
      </c>
      <c r="J136" t="n">
        <v>0</v>
      </c>
      <c r="K136">
        <f>G136-H136-I136-J136</f>
        <v>0</v>
      </c>
    </row>
    <row r="137">
      <c r="A137" s="11" t="n">
        <v>46218</v>
      </c>
      <c r="B137" t="inlineStr">
        <is>
          <t>S05</t>
        </is>
      </c>
      <c r="C137" t="inlineStr">
        <is>
          <t>Nightly checks</t>
        </is>
      </c>
      <c r="D137" t="n">
        <v>1</v>
      </c>
      <c r="E137" t="n">
        <v>1</v>
      </c>
      <c r="F137" t="n">
        <v>22</v>
      </c>
      <c r="G137" t="n">
        <v>0</v>
      </c>
      <c r="H137" t="n">
        <v>0</v>
      </c>
      <c r="I137" t="n">
        <v>0</v>
      </c>
      <c r="J137" t="n">
        <v>0</v>
      </c>
      <c r="K137">
        <f>G137-H137-I137-J137</f>
        <v>0</v>
      </c>
    </row>
    <row r="138">
      <c r="A138" s="11" t="n">
        <v>46218</v>
      </c>
      <c r="B138" t="inlineStr">
        <is>
          <t>S06</t>
        </is>
      </c>
      <c r="C138" t="inlineStr">
        <is>
          <t>Docket photo to Drive</t>
        </is>
      </c>
      <c r="D138" t="n">
        <v>20</v>
      </c>
      <c r="E138" t="n">
        <v>20</v>
      </c>
      <c r="F138" t="n">
        <v>80</v>
      </c>
      <c r="G138" t="n">
        <v>0</v>
      </c>
      <c r="H138" t="n">
        <v>0</v>
      </c>
      <c r="I138" t="n">
        <v>0</v>
      </c>
      <c r="J138" t="n">
        <v>0</v>
      </c>
      <c r="K138">
        <f>G138-H138-I138-J138</f>
        <v>0</v>
      </c>
    </row>
    <row r="139">
      <c r="A139" s="11" t="n">
        <v>46218</v>
      </c>
      <c r="B139" t="inlineStr">
        <is>
          <t>S07</t>
        </is>
      </c>
      <c r="C139" t="inlineStr">
        <is>
          <t>Lost or damaged charge</t>
        </is>
      </c>
      <c r="D139" t="n">
        <v>96</v>
      </c>
      <c r="E139" t="n">
        <v>0</v>
      </c>
      <c r="F139" t="n">
        <v>96</v>
      </c>
      <c r="G139" t="n">
        <v>0</v>
      </c>
      <c r="H139" t="n">
        <v>0</v>
      </c>
      <c r="I139" t="n">
        <v>0</v>
      </c>
      <c r="J139" t="n">
        <v>0</v>
      </c>
      <c r="K139">
        <f>G139-H139-I139-J139</f>
        <v>0</v>
      </c>
    </row>
    <row r="140">
      <c r="A140" s="11" t="n">
        <v>46218</v>
      </c>
      <c r="B140" t="inlineStr">
        <is>
          <t>S08</t>
        </is>
      </c>
      <c r="C140" t="inlineStr">
        <is>
          <t>Site collected, final cycle</t>
        </is>
      </c>
      <c r="D140" t="n">
        <v>96</v>
      </c>
      <c r="E140" t="n">
        <v>4</v>
      </c>
      <c r="F140" t="n">
        <v>120</v>
      </c>
      <c r="G140" t="n">
        <v>0</v>
      </c>
      <c r="H140" t="n">
        <v>0</v>
      </c>
      <c r="I140" t="n">
        <v>0</v>
      </c>
      <c r="J140" t="n">
        <v>0</v>
      </c>
      <c r="K140">
        <f>G140-H140-I140-J140</f>
        <v>0</v>
      </c>
    </row>
    <row r="141">
      <c r="A141" s="11" t="n">
        <v>46218</v>
      </c>
      <c r="B141" t="inlineStr">
        <is>
          <t>S10</t>
        </is>
      </c>
      <c r="C141" t="inlineStr">
        <is>
          <t>Error monitor</t>
        </is>
      </c>
      <c r="D141" t="n">
        <v>1</v>
      </c>
      <c r="E141" t="n">
        <v>1</v>
      </c>
      <c r="F141" t="n">
        <v>11</v>
      </c>
      <c r="G141" t="n">
        <v>0</v>
      </c>
      <c r="H141" t="n">
        <v>0</v>
      </c>
      <c r="I141" t="n">
        <v>0</v>
      </c>
      <c r="J141" t="n">
        <v>0</v>
      </c>
      <c r="K141">
        <f>G141-H141-I141-J141</f>
        <v>0</v>
      </c>
    </row>
    <row r="142">
      <c r="A142" s="11" t="n">
        <v>46219</v>
      </c>
      <c r="B142" t="inlineStr">
        <is>
          <t>S01</t>
        </is>
      </c>
      <c r="C142" t="inlineStr">
        <is>
          <t>Movement in</t>
        </is>
      </c>
      <c r="D142" t="n">
        <v>96</v>
      </c>
      <c r="E142" t="n">
        <v>28</v>
      </c>
      <c r="F142" t="n">
        <v>236</v>
      </c>
      <c r="G142" t="n">
        <v>0</v>
      </c>
      <c r="H142" t="n">
        <v>0</v>
      </c>
      <c r="I142" t="n">
        <v>0</v>
      </c>
      <c r="J142" t="n">
        <v>0</v>
      </c>
      <c r="K142">
        <f>G142-H142-I142-J142</f>
        <v>0</v>
      </c>
    </row>
    <row r="143">
      <c r="A143" s="11" t="n">
        <v>46219</v>
      </c>
      <c r="B143" t="inlineStr">
        <is>
          <t>S02</t>
        </is>
      </c>
      <c r="C143" t="inlineStr">
        <is>
          <t>Hire billing run</t>
        </is>
      </c>
      <c r="D143" t="n">
        <v>1</v>
      </c>
      <c r="E143" t="n">
        <v>6</v>
      </c>
      <c r="F143" t="n">
        <v>37</v>
      </c>
      <c r="G143" t="n">
        <v>0</v>
      </c>
      <c r="H143" t="n">
        <v>0</v>
      </c>
      <c r="I143" t="n">
        <v>0</v>
      </c>
      <c r="J143" t="n">
        <v>0</v>
      </c>
      <c r="K143">
        <f>G143-H143-I143-J143</f>
        <v>0</v>
      </c>
    </row>
    <row r="144">
      <c r="A144" s="11" t="n">
        <v>46219</v>
      </c>
      <c r="B144" t="inlineStr">
        <is>
          <t>S03</t>
        </is>
      </c>
      <c r="C144" t="inlineStr">
        <is>
          <t>Payments back from Xero</t>
        </is>
      </c>
      <c r="D144" t="n">
        <v>96</v>
      </c>
      <c r="E144" t="n">
        <v>22</v>
      </c>
      <c r="F144" t="n">
        <v>162</v>
      </c>
      <c r="G144" t="n">
        <v>0</v>
      </c>
      <c r="H144" t="n">
        <v>0</v>
      </c>
      <c r="I144" t="n">
        <v>0</v>
      </c>
      <c r="J144" t="n">
        <v>0</v>
      </c>
      <c r="K144">
        <f>G144-H144-I144-J144</f>
        <v>0</v>
      </c>
    </row>
    <row r="145">
      <c r="A145" s="11" t="n">
        <v>46219</v>
      </c>
      <c r="B145" t="inlineStr">
        <is>
          <t>S04</t>
        </is>
      </c>
      <c r="C145" t="inlineStr">
        <is>
          <t>Contacts from Xero</t>
        </is>
      </c>
      <c r="D145" t="n">
        <v>24</v>
      </c>
      <c r="E145" t="n">
        <v>4</v>
      </c>
      <c r="F145" t="n">
        <v>36</v>
      </c>
      <c r="G145" t="n">
        <v>0</v>
      </c>
      <c r="H145" t="n">
        <v>0</v>
      </c>
      <c r="I145" t="n">
        <v>0</v>
      </c>
      <c r="J145" t="n">
        <v>0</v>
      </c>
      <c r="K145">
        <f>G145-H145-I145-J145</f>
        <v>0</v>
      </c>
    </row>
    <row r="146">
      <c r="A146" s="11" t="n">
        <v>46219</v>
      </c>
      <c r="B146" t="inlineStr">
        <is>
          <t>S05</t>
        </is>
      </c>
      <c r="C146" t="inlineStr">
        <is>
          <t>Nightly checks</t>
        </is>
      </c>
      <c r="D146" t="n">
        <v>1</v>
      </c>
      <c r="E146" t="n">
        <v>1</v>
      </c>
      <c r="F146" t="n">
        <v>22</v>
      </c>
      <c r="G146" t="n">
        <v>0</v>
      </c>
      <c r="H146" t="n">
        <v>0</v>
      </c>
      <c r="I146" t="n">
        <v>0</v>
      </c>
      <c r="J146" t="n">
        <v>0</v>
      </c>
      <c r="K146">
        <f>G146-H146-I146-J146</f>
        <v>0</v>
      </c>
    </row>
    <row r="147">
      <c r="A147" s="11" t="n">
        <v>46219</v>
      </c>
      <c r="B147" t="inlineStr">
        <is>
          <t>S06</t>
        </is>
      </c>
      <c r="C147" t="inlineStr">
        <is>
          <t>Docket photo to Drive</t>
        </is>
      </c>
      <c r="D147" t="n">
        <v>22</v>
      </c>
      <c r="E147" t="n">
        <v>22</v>
      </c>
      <c r="F147" t="n">
        <v>88</v>
      </c>
      <c r="G147" t="n">
        <v>0</v>
      </c>
      <c r="H147" t="n">
        <v>0</v>
      </c>
      <c r="I147" t="n">
        <v>0</v>
      </c>
      <c r="J147" t="n">
        <v>0</v>
      </c>
      <c r="K147">
        <f>G147-H147-I147-J147</f>
        <v>0</v>
      </c>
    </row>
    <row r="148">
      <c r="A148" s="11" t="n">
        <v>46219</v>
      </c>
      <c r="B148" t="inlineStr">
        <is>
          <t>S07</t>
        </is>
      </c>
      <c r="C148" t="inlineStr">
        <is>
          <t>Lost or damaged charge</t>
        </is>
      </c>
      <c r="D148" t="n">
        <v>96</v>
      </c>
      <c r="E148" t="n">
        <v>1</v>
      </c>
      <c r="F148" t="n">
        <v>101</v>
      </c>
      <c r="G148" t="n">
        <v>0</v>
      </c>
      <c r="H148" t="n">
        <v>0</v>
      </c>
      <c r="I148" t="n">
        <v>0</v>
      </c>
      <c r="J148" t="n">
        <v>0</v>
      </c>
      <c r="K148">
        <f>G148-H148-I148-J148</f>
        <v>0</v>
      </c>
    </row>
    <row r="149">
      <c r="A149" s="11" t="n">
        <v>46219</v>
      </c>
      <c r="B149" t="inlineStr">
        <is>
          <t>S08</t>
        </is>
      </c>
      <c r="C149" t="inlineStr">
        <is>
          <t>Site collected, final cycle</t>
        </is>
      </c>
      <c r="D149" t="n">
        <v>96</v>
      </c>
      <c r="E149" t="n">
        <v>0</v>
      </c>
      <c r="F149" t="n">
        <v>96</v>
      </c>
      <c r="G149" t="n">
        <v>0</v>
      </c>
      <c r="H149" t="n">
        <v>0</v>
      </c>
      <c r="I149" t="n">
        <v>0</v>
      </c>
      <c r="J149" t="n">
        <v>0</v>
      </c>
      <c r="K149">
        <f>G149-H149-I149-J149</f>
        <v>0</v>
      </c>
    </row>
    <row r="150">
      <c r="A150" s="11" t="n">
        <v>46219</v>
      </c>
      <c r="B150" t="inlineStr">
        <is>
          <t>S10</t>
        </is>
      </c>
      <c r="C150" t="inlineStr">
        <is>
          <t>Error monitor</t>
        </is>
      </c>
      <c r="D150" t="n">
        <v>1</v>
      </c>
      <c r="E150" t="n">
        <v>1</v>
      </c>
      <c r="F150" t="n">
        <v>11</v>
      </c>
      <c r="G150" t="n">
        <v>0</v>
      </c>
      <c r="H150" t="n">
        <v>0</v>
      </c>
      <c r="I150" t="n">
        <v>0</v>
      </c>
      <c r="J150" t="n">
        <v>0</v>
      </c>
      <c r="K150">
        <f>G150-H150-I150-J150</f>
        <v>0</v>
      </c>
    </row>
    <row r="151">
      <c r="A151" s="11" t="n">
        <v>46220</v>
      </c>
      <c r="B151" t="inlineStr">
        <is>
          <t>S01</t>
        </is>
      </c>
      <c r="C151" t="inlineStr">
        <is>
          <t>Movement in</t>
        </is>
      </c>
      <c r="D151" t="n">
        <v>96</v>
      </c>
      <c r="E151" t="n">
        <v>41</v>
      </c>
      <c r="F151" t="n">
        <v>301</v>
      </c>
      <c r="G151" t="n">
        <v>1</v>
      </c>
      <c r="H151" t="n">
        <v>0</v>
      </c>
      <c r="I151" t="n">
        <v>0</v>
      </c>
      <c r="J151" t="n">
        <v>1</v>
      </c>
      <c r="K151">
        <f>G151-H151-I151-J151</f>
        <v>0</v>
      </c>
    </row>
    <row r="152">
      <c r="A152" s="11" t="n">
        <v>46220</v>
      </c>
      <c r="B152" t="inlineStr">
        <is>
          <t>S02</t>
        </is>
      </c>
      <c r="C152" t="inlineStr">
        <is>
          <t>Hire billing run</t>
        </is>
      </c>
      <c r="D152" t="n">
        <v>1</v>
      </c>
      <c r="E152" t="n">
        <v>2</v>
      </c>
      <c r="F152" t="n">
        <v>13</v>
      </c>
      <c r="G152" t="n">
        <v>0</v>
      </c>
      <c r="H152" t="n">
        <v>0</v>
      </c>
      <c r="I152" t="n">
        <v>0</v>
      </c>
      <c r="J152" t="n">
        <v>0</v>
      </c>
      <c r="K152">
        <f>G152-H152-I152-J152</f>
        <v>0</v>
      </c>
    </row>
    <row r="153">
      <c r="A153" s="11" t="n">
        <v>46220</v>
      </c>
      <c r="B153" t="inlineStr">
        <is>
          <t>S03</t>
        </is>
      </c>
      <c r="C153" t="inlineStr">
        <is>
          <t>Payments back from Xero</t>
        </is>
      </c>
      <c r="D153" t="n">
        <v>96</v>
      </c>
      <c r="E153" t="n">
        <v>15</v>
      </c>
      <c r="F153" t="n">
        <v>141</v>
      </c>
      <c r="G153" t="n">
        <v>0</v>
      </c>
      <c r="H153" t="n">
        <v>0</v>
      </c>
      <c r="I153" t="n">
        <v>0</v>
      </c>
      <c r="J153" t="n">
        <v>0</v>
      </c>
      <c r="K153">
        <f>G153-H153-I153-J153</f>
        <v>0</v>
      </c>
    </row>
    <row r="154">
      <c r="A154" s="11" t="n">
        <v>46220</v>
      </c>
      <c r="B154" t="inlineStr">
        <is>
          <t>S04</t>
        </is>
      </c>
      <c r="C154" t="inlineStr">
        <is>
          <t>Contacts from Xero</t>
        </is>
      </c>
      <c r="D154" t="n">
        <v>24</v>
      </c>
      <c r="E154" t="n">
        <v>1</v>
      </c>
      <c r="F154" t="n">
        <v>27</v>
      </c>
      <c r="G154" t="n">
        <v>0</v>
      </c>
      <c r="H154" t="n">
        <v>0</v>
      </c>
      <c r="I154" t="n">
        <v>0</v>
      </c>
      <c r="J154" t="n">
        <v>0</v>
      </c>
      <c r="K154">
        <f>G154-H154-I154-J154</f>
        <v>0</v>
      </c>
    </row>
    <row r="155">
      <c r="A155" s="11" t="n">
        <v>46220</v>
      </c>
      <c r="B155" t="inlineStr">
        <is>
          <t>S05</t>
        </is>
      </c>
      <c r="C155" t="inlineStr">
        <is>
          <t>Nightly checks</t>
        </is>
      </c>
      <c r="D155" t="n">
        <v>1</v>
      </c>
      <c r="E155" t="n">
        <v>1</v>
      </c>
      <c r="F155" t="n">
        <v>22</v>
      </c>
      <c r="G155" t="n">
        <v>0</v>
      </c>
      <c r="H155" t="n">
        <v>0</v>
      </c>
      <c r="I155" t="n">
        <v>0</v>
      </c>
      <c r="J155" t="n">
        <v>0</v>
      </c>
      <c r="K155">
        <f>G155-H155-I155-J155</f>
        <v>0</v>
      </c>
    </row>
    <row r="156">
      <c r="A156" s="11" t="n">
        <v>46220</v>
      </c>
      <c r="B156" t="inlineStr">
        <is>
          <t>S06</t>
        </is>
      </c>
      <c r="C156" t="inlineStr">
        <is>
          <t>Docket photo to Drive</t>
        </is>
      </c>
      <c r="D156" t="n">
        <v>39</v>
      </c>
      <c r="E156" t="n">
        <v>39</v>
      </c>
      <c r="F156" t="n">
        <v>156</v>
      </c>
      <c r="G156" t="n">
        <v>0</v>
      </c>
      <c r="H156" t="n">
        <v>0</v>
      </c>
      <c r="I156" t="n">
        <v>0</v>
      </c>
      <c r="J156" t="n">
        <v>0</v>
      </c>
      <c r="K156">
        <f>G156-H156-I156-J156</f>
        <v>0</v>
      </c>
    </row>
    <row r="157">
      <c r="A157" s="11" t="n">
        <v>46220</v>
      </c>
      <c r="B157" t="inlineStr">
        <is>
          <t>S07</t>
        </is>
      </c>
      <c r="C157" t="inlineStr">
        <is>
          <t>Lost or damaged charge</t>
        </is>
      </c>
      <c r="D157" t="n">
        <v>96</v>
      </c>
      <c r="E157" t="n">
        <v>0</v>
      </c>
      <c r="F157" t="n">
        <v>96</v>
      </c>
      <c r="G157" t="n">
        <v>0</v>
      </c>
      <c r="H157" t="n">
        <v>0</v>
      </c>
      <c r="I157" t="n">
        <v>0</v>
      </c>
      <c r="J157" t="n">
        <v>0</v>
      </c>
      <c r="K157">
        <f>G157-H157-I157-J157</f>
        <v>0</v>
      </c>
    </row>
    <row r="158">
      <c r="A158" s="11" t="n">
        <v>46220</v>
      </c>
      <c r="B158" t="inlineStr">
        <is>
          <t>S08</t>
        </is>
      </c>
      <c r="C158" t="inlineStr">
        <is>
          <t>Site collected, final cycle</t>
        </is>
      </c>
      <c r="D158" t="n">
        <v>96</v>
      </c>
      <c r="E158" t="n">
        <v>4</v>
      </c>
      <c r="F158" t="n">
        <v>120</v>
      </c>
      <c r="G158" t="n">
        <v>0</v>
      </c>
      <c r="H158" t="n">
        <v>0</v>
      </c>
      <c r="I158" t="n">
        <v>0</v>
      </c>
      <c r="J158" t="n">
        <v>0</v>
      </c>
      <c r="K158">
        <f>G158-H158-I158-J158</f>
        <v>0</v>
      </c>
    </row>
    <row r="159">
      <c r="A159" s="11" t="n">
        <v>46220</v>
      </c>
      <c r="B159" t="inlineStr">
        <is>
          <t>S10</t>
        </is>
      </c>
      <c r="C159" t="inlineStr">
        <is>
          <t>Error monitor</t>
        </is>
      </c>
      <c r="D159" t="n">
        <v>1</v>
      </c>
      <c r="E159" t="n">
        <v>1</v>
      </c>
      <c r="F159" t="n">
        <v>11</v>
      </c>
      <c r="G159" t="n">
        <v>0</v>
      </c>
      <c r="H159" t="n">
        <v>0</v>
      </c>
      <c r="I159" t="n">
        <v>0</v>
      </c>
      <c r="J159" t="n">
        <v>0</v>
      </c>
      <c r="K159">
        <f>G159-H159-I159-J159</f>
        <v>0</v>
      </c>
    </row>
    <row r="160">
      <c r="A160" s="11" t="n">
        <v>46221</v>
      </c>
      <c r="B160" t="inlineStr">
        <is>
          <t>S01</t>
        </is>
      </c>
      <c r="C160" t="inlineStr">
        <is>
          <t>Movement in</t>
        </is>
      </c>
      <c r="D160" t="n">
        <v>96</v>
      </c>
      <c r="E160" t="n">
        <v>5</v>
      </c>
      <c r="F160" t="n">
        <v>121</v>
      </c>
      <c r="G160" t="n">
        <v>0</v>
      </c>
      <c r="H160" t="n">
        <v>0</v>
      </c>
      <c r="I160" t="n">
        <v>0</v>
      </c>
      <c r="J160" t="n">
        <v>0</v>
      </c>
      <c r="K160">
        <f>G160-H160-I160-J160</f>
        <v>0</v>
      </c>
    </row>
    <row r="161">
      <c r="A161" s="11" t="n">
        <v>46221</v>
      </c>
      <c r="B161" t="inlineStr">
        <is>
          <t>S02</t>
        </is>
      </c>
      <c r="C161" t="inlineStr">
        <is>
          <t>Hire billing run</t>
        </is>
      </c>
      <c r="D161" t="n">
        <v>1</v>
      </c>
      <c r="E161" t="n">
        <v>3</v>
      </c>
      <c r="F161" t="n">
        <v>19</v>
      </c>
      <c r="G161" t="n">
        <v>0</v>
      </c>
      <c r="H161" t="n">
        <v>0</v>
      </c>
      <c r="I161" t="n">
        <v>0</v>
      </c>
      <c r="J161" t="n">
        <v>0</v>
      </c>
      <c r="K161">
        <f>G161-H161-I161-J161</f>
        <v>0</v>
      </c>
    </row>
    <row r="162">
      <c r="A162" s="11" t="n">
        <v>46221</v>
      </c>
      <c r="B162" t="inlineStr">
        <is>
          <t>S03</t>
        </is>
      </c>
      <c r="C162" t="inlineStr">
        <is>
          <t>Payments back from Xero</t>
        </is>
      </c>
      <c r="D162" t="n">
        <v>96</v>
      </c>
      <c r="E162" t="n">
        <v>0</v>
      </c>
      <c r="F162" t="n">
        <v>96</v>
      </c>
      <c r="G162" t="n">
        <v>0</v>
      </c>
      <c r="H162" t="n">
        <v>0</v>
      </c>
      <c r="I162" t="n">
        <v>0</v>
      </c>
      <c r="J162" t="n">
        <v>0</v>
      </c>
      <c r="K162">
        <f>G162-H162-I162-J162</f>
        <v>0</v>
      </c>
    </row>
    <row r="163">
      <c r="A163" s="11" t="n">
        <v>46221</v>
      </c>
      <c r="B163" t="inlineStr">
        <is>
          <t>S04</t>
        </is>
      </c>
      <c r="C163" t="inlineStr">
        <is>
          <t>Contacts from Xero</t>
        </is>
      </c>
      <c r="D163" t="n">
        <v>24</v>
      </c>
      <c r="E163" t="n">
        <v>0</v>
      </c>
      <c r="F163" t="n">
        <v>24</v>
      </c>
      <c r="G163" t="n">
        <v>0</v>
      </c>
      <c r="H163" t="n">
        <v>0</v>
      </c>
      <c r="I163" t="n">
        <v>0</v>
      </c>
      <c r="J163" t="n">
        <v>0</v>
      </c>
      <c r="K163">
        <f>G163-H163-I163-J163</f>
        <v>0</v>
      </c>
    </row>
    <row r="164">
      <c r="A164" s="11" t="n">
        <v>46221</v>
      </c>
      <c r="B164" t="inlineStr">
        <is>
          <t>S05</t>
        </is>
      </c>
      <c r="C164" t="inlineStr">
        <is>
          <t>Nightly checks</t>
        </is>
      </c>
      <c r="D164" t="n">
        <v>1</v>
      </c>
      <c r="E164" t="n">
        <v>1</v>
      </c>
      <c r="F164" t="n">
        <v>22</v>
      </c>
      <c r="G164" t="n">
        <v>0</v>
      </c>
      <c r="H164" t="n">
        <v>0</v>
      </c>
      <c r="I164" t="n">
        <v>0</v>
      </c>
      <c r="J164" t="n">
        <v>0</v>
      </c>
      <c r="K164">
        <f>G164-H164-I164-J164</f>
        <v>0</v>
      </c>
    </row>
    <row r="165">
      <c r="A165" s="11" t="n">
        <v>46221</v>
      </c>
      <c r="B165" t="inlineStr">
        <is>
          <t>S06</t>
        </is>
      </c>
      <c r="C165" t="inlineStr">
        <is>
          <t>Docket photo to Drive</t>
        </is>
      </c>
      <c r="D165" t="n">
        <v>5</v>
      </c>
      <c r="E165" t="n">
        <v>5</v>
      </c>
      <c r="F165" t="n">
        <v>20</v>
      </c>
      <c r="G165" t="n">
        <v>0</v>
      </c>
      <c r="H165" t="n">
        <v>0</v>
      </c>
      <c r="I165" t="n">
        <v>0</v>
      </c>
      <c r="J165" t="n">
        <v>0</v>
      </c>
      <c r="K165">
        <f>G165-H165-I165-J165</f>
        <v>0</v>
      </c>
    </row>
    <row r="166">
      <c r="A166" s="11" t="n">
        <v>46221</v>
      </c>
      <c r="B166" t="inlineStr">
        <is>
          <t>S07</t>
        </is>
      </c>
      <c r="C166" t="inlineStr">
        <is>
          <t>Lost or damaged charge</t>
        </is>
      </c>
      <c r="D166" t="n">
        <v>96</v>
      </c>
      <c r="E166" t="n">
        <v>0</v>
      </c>
      <c r="F166" t="n">
        <v>96</v>
      </c>
      <c r="G166" t="n">
        <v>0</v>
      </c>
      <c r="H166" t="n">
        <v>0</v>
      </c>
      <c r="I166" t="n">
        <v>0</v>
      </c>
      <c r="J166" t="n">
        <v>0</v>
      </c>
      <c r="K166">
        <f>G166-H166-I166-J166</f>
        <v>0</v>
      </c>
    </row>
    <row r="167">
      <c r="A167" s="11" t="n">
        <v>46221</v>
      </c>
      <c r="B167" t="inlineStr">
        <is>
          <t>S08</t>
        </is>
      </c>
      <c r="C167" t="inlineStr">
        <is>
          <t>Site collected, final cycle</t>
        </is>
      </c>
      <c r="D167" t="n">
        <v>96</v>
      </c>
      <c r="E167" t="n">
        <v>0</v>
      </c>
      <c r="F167" t="n">
        <v>96</v>
      </c>
      <c r="G167" t="n">
        <v>0</v>
      </c>
      <c r="H167" t="n">
        <v>0</v>
      </c>
      <c r="I167" t="n">
        <v>0</v>
      </c>
      <c r="J167" t="n">
        <v>0</v>
      </c>
      <c r="K167">
        <f>G167-H167-I167-J167</f>
        <v>0</v>
      </c>
    </row>
    <row r="168">
      <c r="A168" s="11" t="n">
        <v>46221</v>
      </c>
      <c r="B168" t="inlineStr">
        <is>
          <t>S10</t>
        </is>
      </c>
      <c r="C168" t="inlineStr">
        <is>
          <t>Error monitor</t>
        </is>
      </c>
      <c r="D168" t="n">
        <v>1</v>
      </c>
      <c r="E168" t="n">
        <v>1</v>
      </c>
      <c r="F168" t="n">
        <v>11</v>
      </c>
      <c r="G168" t="n">
        <v>0</v>
      </c>
      <c r="H168" t="n">
        <v>0</v>
      </c>
      <c r="I168" t="n">
        <v>0</v>
      </c>
      <c r="J168" t="n">
        <v>0</v>
      </c>
      <c r="K168">
        <f>G168-H168-I168-J168</f>
        <v>0</v>
      </c>
    </row>
    <row r="169">
      <c r="A169" s="11" t="n">
        <v>46222</v>
      </c>
      <c r="B169" t="inlineStr">
        <is>
          <t>S01</t>
        </is>
      </c>
      <c r="C169" t="inlineStr">
        <is>
          <t>Movement in</t>
        </is>
      </c>
      <c r="D169" t="n">
        <v>96</v>
      </c>
      <c r="E169" t="n">
        <v>3</v>
      </c>
      <c r="F169" t="n">
        <v>111</v>
      </c>
      <c r="G169" t="n">
        <v>0</v>
      </c>
      <c r="H169" t="n">
        <v>0</v>
      </c>
      <c r="I169" t="n">
        <v>0</v>
      </c>
      <c r="J169" t="n">
        <v>0</v>
      </c>
      <c r="K169">
        <f>G169-H169-I169-J169</f>
        <v>0</v>
      </c>
    </row>
    <row r="170">
      <c r="A170" s="11" t="n">
        <v>46222</v>
      </c>
      <c r="B170" t="inlineStr">
        <is>
          <t>S02</t>
        </is>
      </c>
      <c r="C170" t="inlineStr">
        <is>
          <t>Hire billing run</t>
        </is>
      </c>
      <c r="D170" t="n">
        <v>1</v>
      </c>
      <c r="E170" t="n">
        <v>6</v>
      </c>
      <c r="F170" t="n">
        <v>37</v>
      </c>
      <c r="G170" t="n">
        <v>1</v>
      </c>
      <c r="H170" t="n">
        <v>1</v>
      </c>
      <c r="I170" t="n">
        <v>0</v>
      </c>
      <c r="J170" t="n">
        <v>0</v>
      </c>
      <c r="K170">
        <f>G170-H170-I170-J170</f>
        <v>0</v>
      </c>
    </row>
    <row r="171">
      <c r="A171" s="11" t="n">
        <v>46222</v>
      </c>
      <c r="B171" t="inlineStr">
        <is>
          <t>S03</t>
        </is>
      </c>
      <c r="C171" t="inlineStr">
        <is>
          <t>Payments back from Xero</t>
        </is>
      </c>
      <c r="D171" t="n">
        <v>96</v>
      </c>
      <c r="E171" t="n">
        <v>0</v>
      </c>
      <c r="F171" t="n">
        <v>96</v>
      </c>
      <c r="G171" t="n">
        <v>0</v>
      </c>
      <c r="H171" t="n">
        <v>0</v>
      </c>
      <c r="I171" t="n">
        <v>0</v>
      </c>
      <c r="J171" t="n">
        <v>0</v>
      </c>
      <c r="K171">
        <f>G171-H171-I171-J171</f>
        <v>0</v>
      </c>
    </row>
    <row r="172">
      <c r="A172" s="11" t="n">
        <v>46222</v>
      </c>
      <c r="B172" t="inlineStr">
        <is>
          <t>S04</t>
        </is>
      </c>
      <c r="C172" t="inlineStr">
        <is>
          <t>Contacts from Xero</t>
        </is>
      </c>
      <c r="D172" t="n">
        <v>24</v>
      </c>
      <c r="E172" t="n">
        <v>0</v>
      </c>
      <c r="F172" t="n">
        <v>24</v>
      </c>
      <c r="G172" t="n">
        <v>0</v>
      </c>
      <c r="H172" t="n">
        <v>0</v>
      </c>
      <c r="I172" t="n">
        <v>0</v>
      </c>
      <c r="J172" t="n">
        <v>0</v>
      </c>
      <c r="K172">
        <f>G172-H172-I172-J172</f>
        <v>0</v>
      </c>
    </row>
    <row r="173">
      <c r="A173" s="11" t="n">
        <v>46222</v>
      </c>
      <c r="B173" t="inlineStr">
        <is>
          <t>S05</t>
        </is>
      </c>
      <c r="C173" t="inlineStr">
        <is>
          <t>Nightly checks</t>
        </is>
      </c>
      <c r="D173" t="n">
        <v>1</v>
      </c>
      <c r="E173" t="n">
        <v>1</v>
      </c>
      <c r="F173" t="n">
        <v>22</v>
      </c>
      <c r="G173" t="n">
        <v>0</v>
      </c>
      <c r="H173" t="n">
        <v>0</v>
      </c>
      <c r="I173" t="n">
        <v>0</v>
      </c>
      <c r="J173" t="n">
        <v>0</v>
      </c>
      <c r="K173">
        <f>G173-H173-I173-J173</f>
        <v>0</v>
      </c>
    </row>
    <row r="174">
      <c r="A174" s="11" t="n">
        <v>46222</v>
      </c>
      <c r="B174" t="inlineStr">
        <is>
          <t>S06</t>
        </is>
      </c>
      <c r="C174" t="inlineStr">
        <is>
          <t>Docket photo to Drive</t>
        </is>
      </c>
      <c r="D174" t="n">
        <v>5</v>
      </c>
      <c r="E174" t="n">
        <v>5</v>
      </c>
      <c r="F174" t="n">
        <v>20</v>
      </c>
      <c r="G174" t="n">
        <v>0</v>
      </c>
      <c r="H174" t="n">
        <v>0</v>
      </c>
      <c r="I174" t="n">
        <v>0</v>
      </c>
      <c r="J174" t="n">
        <v>0</v>
      </c>
      <c r="K174">
        <f>G174-H174-I174-J174</f>
        <v>0</v>
      </c>
    </row>
    <row r="175">
      <c r="A175" s="11" t="n">
        <v>46222</v>
      </c>
      <c r="B175" t="inlineStr">
        <is>
          <t>S07</t>
        </is>
      </c>
      <c r="C175" t="inlineStr">
        <is>
          <t>Lost or damaged charge</t>
        </is>
      </c>
      <c r="D175" t="n">
        <v>96</v>
      </c>
      <c r="E175" t="n">
        <v>0</v>
      </c>
      <c r="F175" t="n">
        <v>96</v>
      </c>
      <c r="G175" t="n">
        <v>0</v>
      </c>
      <c r="H175" t="n">
        <v>0</v>
      </c>
      <c r="I175" t="n">
        <v>0</v>
      </c>
      <c r="J175" t="n">
        <v>0</v>
      </c>
      <c r="K175">
        <f>G175-H175-I175-J175</f>
        <v>0</v>
      </c>
    </row>
    <row r="176">
      <c r="A176" s="11" t="n">
        <v>46222</v>
      </c>
      <c r="B176" t="inlineStr">
        <is>
          <t>S08</t>
        </is>
      </c>
      <c r="C176" t="inlineStr">
        <is>
          <t>Site collected, final cycle</t>
        </is>
      </c>
      <c r="D176" t="n">
        <v>96</v>
      </c>
      <c r="E176" t="n">
        <v>0</v>
      </c>
      <c r="F176" t="n">
        <v>96</v>
      </c>
      <c r="G176" t="n">
        <v>0</v>
      </c>
      <c r="H176" t="n">
        <v>0</v>
      </c>
      <c r="I176" t="n">
        <v>0</v>
      </c>
      <c r="J176" t="n">
        <v>0</v>
      </c>
      <c r="K176">
        <f>G176-H176-I176-J176</f>
        <v>0</v>
      </c>
    </row>
    <row r="177">
      <c r="A177" s="11" t="n">
        <v>46222</v>
      </c>
      <c r="B177" t="inlineStr">
        <is>
          <t>S09</t>
        </is>
      </c>
      <c r="C177" t="inlineStr">
        <is>
          <t>Weekly backup</t>
        </is>
      </c>
      <c r="D177" t="n">
        <v>1</v>
      </c>
      <c r="E177" t="n">
        <v>1</v>
      </c>
      <c r="F177" t="n">
        <v>13</v>
      </c>
      <c r="G177" t="n">
        <v>0</v>
      </c>
      <c r="H177" t="n">
        <v>0</v>
      </c>
      <c r="I177" t="n">
        <v>0</v>
      </c>
      <c r="J177" t="n">
        <v>0</v>
      </c>
      <c r="K177">
        <f>G177-H177-I177-J177</f>
        <v>0</v>
      </c>
    </row>
    <row r="178">
      <c r="A178" s="11" t="n">
        <v>46222</v>
      </c>
      <c r="B178" t="inlineStr">
        <is>
          <t>S10</t>
        </is>
      </c>
      <c r="C178" t="inlineStr">
        <is>
          <t>Error monitor</t>
        </is>
      </c>
      <c r="D178" t="n">
        <v>1</v>
      </c>
      <c r="E178" t="n">
        <v>1</v>
      </c>
      <c r="F178" t="n">
        <v>11</v>
      </c>
      <c r="G178" t="n">
        <v>0</v>
      </c>
      <c r="H178" t="n">
        <v>0</v>
      </c>
      <c r="I178" t="n">
        <v>0</v>
      </c>
      <c r="J178" t="n">
        <v>0</v>
      </c>
      <c r="K178">
        <f>G178-H178-I178-J178</f>
        <v>0</v>
      </c>
    </row>
    <row r="179">
      <c r="A179" s="11" t="n">
        <v>46223</v>
      </c>
      <c r="B179" t="inlineStr">
        <is>
          <t>S01</t>
        </is>
      </c>
      <c r="C179" t="inlineStr">
        <is>
          <t>Movement in</t>
        </is>
      </c>
      <c r="D179" t="n">
        <v>96</v>
      </c>
      <c r="E179" t="n">
        <v>22</v>
      </c>
      <c r="F179" t="n">
        <v>206</v>
      </c>
      <c r="G179" t="n">
        <v>0</v>
      </c>
      <c r="H179" t="n">
        <v>0</v>
      </c>
      <c r="I179" t="n">
        <v>0</v>
      </c>
      <c r="J179" t="n">
        <v>0</v>
      </c>
      <c r="K179">
        <f>G179-H179-I179-J179</f>
        <v>0</v>
      </c>
    </row>
    <row r="180">
      <c r="A180" s="11" t="n">
        <v>46223</v>
      </c>
      <c r="B180" t="inlineStr">
        <is>
          <t>S02</t>
        </is>
      </c>
      <c r="C180" t="inlineStr">
        <is>
          <t>Hire billing run</t>
        </is>
      </c>
      <c r="D180" t="n">
        <v>1</v>
      </c>
      <c r="E180" t="n">
        <v>4</v>
      </c>
      <c r="F180" t="n">
        <v>25</v>
      </c>
      <c r="G180" t="n">
        <v>0</v>
      </c>
      <c r="H180" t="n">
        <v>0</v>
      </c>
      <c r="I180" t="n">
        <v>0</v>
      </c>
      <c r="J180" t="n">
        <v>0</v>
      </c>
      <c r="K180">
        <f>G180-H180-I180-J180</f>
        <v>0</v>
      </c>
    </row>
    <row r="181">
      <c r="A181" s="11" t="n">
        <v>46223</v>
      </c>
      <c r="B181" t="inlineStr">
        <is>
          <t>S03</t>
        </is>
      </c>
      <c r="C181" t="inlineStr">
        <is>
          <t>Payments back from Xero</t>
        </is>
      </c>
      <c r="D181" t="n">
        <v>96</v>
      </c>
      <c r="E181" t="n">
        <v>9</v>
      </c>
      <c r="F181" t="n">
        <v>123</v>
      </c>
      <c r="G181" t="n">
        <v>0</v>
      </c>
      <c r="H181" t="n">
        <v>0</v>
      </c>
      <c r="I181" t="n">
        <v>0</v>
      </c>
      <c r="J181" t="n">
        <v>0</v>
      </c>
      <c r="K181">
        <f>G181-H181-I181-J181</f>
        <v>0</v>
      </c>
    </row>
    <row r="182">
      <c r="A182" s="11" t="n">
        <v>46223</v>
      </c>
      <c r="B182" t="inlineStr">
        <is>
          <t>S04</t>
        </is>
      </c>
      <c r="C182" t="inlineStr">
        <is>
          <t>Contacts from Xero</t>
        </is>
      </c>
      <c r="D182" t="n">
        <v>24</v>
      </c>
      <c r="E182" t="n">
        <v>2</v>
      </c>
      <c r="F182" t="n">
        <v>30</v>
      </c>
      <c r="G182" t="n">
        <v>0</v>
      </c>
      <c r="H182" t="n">
        <v>0</v>
      </c>
      <c r="I182" t="n">
        <v>0</v>
      </c>
      <c r="J182" t="n">
        <v>0</v>
      </c>
      <c r="K182">
        <f>G182-H182-I182-J182</f>
        <v>0</v>
      </c>
    </row>
    <row r="183">
      <c r="A183" s="11" t="n">
        <v>46223</v>
      </c>
      <c r="B183" t="inlineStr">
        <is>
          <t>S05</t>
        </is>
      </c>
      <c r="C183" t="inlineStr">
        <is>
          <t>Nightly checks</t>
        </is>
      </c>
      <c r="D183" t="n">
        <v>1</v>
      </c>
      <c r="E183" t="n">
        <v>1</v>
      </c>
      <c r="F183" t="n">
        <v>22</v>
      </c>
      <c r="G183" t="n">
        <v>0</v>
      </c>
      <c r="H183" t="n">
        <v>0</v>
      </c>
      <c r="I183" t="n">
        <v>0</v>
      </c>
      <c r="J183" t="n">
        <v>0</v>
      </c>
      <c r="K183">
        <f>G183-H183-I183-J183</f>
        <v>0</v>
      </c>
    </row>
    <row r="184">
      <c r="A184" s="11" t="n">
        <v>46223</v>
      </c>
      <c r="B184" t="inlineStr">
        <is>
          <t>S06</t>
        </is>
      </c>
      <c r="C184" t="inlineStr">
        <is>
          <t>Docket photo to Drive</t>
        </is>
      </c>
      <c r="D184" t="n">
        <v>32</v>
      </c>
      <c r="E184" t="n">
        <v>32</v>
      </c>
      <c r="F184" t="n">
        <v>128</v>
      </c>
      <c r="G184" t="n">
        <v>0</v>
      </c>
      <c r="H184" t="n">
        <v>0</v>
      </c>
      <c r="I184" t="n">
        <v>0</v>
      </c>
      <c r="J184" t="n">
        <v>0</v>
      </c>
      <c r="K184">
        <f>G184-H184-I184-J184</f>
        <v>0</v>
      </c>
    </row>
    <row r="185">
      <c r="A185" s="11" t="n">
        <v>46223</v>
      </c>
      <c r="B185" t="inlineStr">
        <is>
          <t>S07</t>
        </is>
      </c>
      <c r="C185" t="inlineStr">
        <is>
          <t>Lost or damaged charge</t>
        </is>
      </c>
      <c r="D185" t="n">
        <v>96</v>
      </c>
      <c r="E185" t="n">
        <v>0</v>
      </c>
      <c r="F185" t="n">
        <v>96</v>
      </c>
      <c r="G185" t="n">
        <v>0</v>
      </c>
      <c r="H185" t="n">
        <v>0</v>
      </c>
      <c r="I185" t="n">
        <v>0</v>
      </c>
      <c r="J185" t="n">
        <v>0</v>
      </c>
      <c r="K185">
        <f>G185-H185-I185-J185</f>
        <v>0</v>
      </c>
    </row>
    <row r="186">
      <c r="A186" s="11" t="n">
        <v>46223</v>
      </c>
      <c r="B186" t="inlineStr">
        <is>
          <t>S08</t>
        </is>
      </c>
      <c r="C186" t="inlineStr">
        <is>
          <t>Site collected, final cycle</t>
        </is>
      </c>
      <c r="D186" t="n">
        <v>96</v>
      </c>
      <c r="E186" t="n">
        <v>0</v>
      </c>
      <c r="F186" t="n">
        <v>96</v>
      </c>
      <c r="G186" t="n">
        <v>0</v>
      </c>
      <c r="H186" t="n">
        <v>0</v>
      </c>
      <c r="I186" t="n">
        <v>0</v>
      </c>
      <c r="J186" t="n">
        <v>0</v>
      </c>
      <c r="K186">
        <f>G186-H186-I186-J186</f>
        <v>0</v>
      </c>
    </row>
    <row r="187">
      <c r="A187" s="11" t="n">
        <v>46223</v>
      </c>
      <c r="B187" t="inlineStr">
        <is>
          <t>S10</t>
        </is>
      </c>
      <c r="C187" t="inlineStr">
        <is>
          <t>Error monitor</t>
        </is>
      </c>
      <c r="D187" t="n">
        <v>1</v>
      </c>
      <c r="E187" t="n">
        <v>1</v>
      </c>
      <c r="F187" t="n">
        <v>11</v>
      </c>
      <c r="G187" t="n">
        <v>0</v>
      </c>
      <c r="H187" t="n">
        <v>0</v>
      </c>
      <c r="I187" t="n">
        <v>0</v>
      </c>
      <c r="J187" t="n">
        <v>0</v>
      </c>
      <c r="K187">
        <f>G187-H187-I187-J187</f>
        <v>0</v>
      </c>
    </row>
    <row r="188">
      <c r="A188" s="11" t="n">
        <v>46224</v>
      </c>
      <c r="B188" t="inlineStr">
        <is>
          <t>S01</t>
        </is>
      </c>
      <c r="C188" t="inlineStr">
        <is>
          <t>Movement in</t>
        </is>
      </c>
      <c r="D188" t="n">
        <v>96</v>
      </c>
      <c r="E188" t="n">
        <v>26</v>
      </c>
      <c r="F188" t="n">
        <v>226</v>
      </c>
      <c r="G188" t="n">
        <v>0</v>
      </c>
      <c r="H188" t="n">
        <v>0</v>
      </c>
      <c r="I188" t="n">
        <v>0</v>
      </c>
      <c r="J188" t="n">
        <v>0</v>
      </c>
      <c r="K188">
        <f>G188-H188-I188-J188</f>
        <v>0</v>
      </c>
    </row>
    <row r="189">
      <c r="A189" s="11" t="n">
        <v>46224</v>
      </c>
      <c r="B189" t="inlineStr">
        <is>
          <t>S02</t>
        </is>
      </c>
      <c r="C189" t="inlineStr">
        <is>
          <t>Hire billing run</t>
        </is>
      </c>
      <c r="D189" t="n">
        <v>1</v>
      </c>
      <c r="E189" t="n">
        <v>1</v>
      </c>
      <c r="F189" t="n">
        <v>7</v>
      </c>
      <c r="G189" t="n">
        <v>0</v>
      </c>
      <c r="H189" t="n">
        <v>0</v>
      </c>
      <c r="I189" t="n">
        <v>0</v>
      </c>
      <c r="J189" t="n">
        <v>0</v>
      </c>
      <c r="K189">
        <f>G189-H189-I189-J189</f>
        <v>0</v>
      </c>
    </row>
    <row r="190">
      <c r="A190" s="11" t="n">
        <v>46224</v>
      </c>
      <c r="B190" t="inlineStr">
        <is>
          <t>S03</t>
        </is>
      </c>
      <c r="C190" t="inlineStr">
        <is>
          <t>Payments back from Xero</t>
        </is>
      </c>
      <c r="D190" t="n">
        <v>96</v>
      </c>
      <c r="E190" t="n">
        <v>18</v>
      </c>
      <c r="F190" t="n">
        <v>150</v>
      </c>
      <c r="G190" t="n">
        <v>0</v>
      </c>
      <c r="H190" t="n">
        <v>0</v>
      </c>
      <c r="I190" t="n">
        <v>0</v>
      </c>
      <c r="J190" t="n">
        <v>0</v>
      </c>
      <c r="K190">
        <f>G190-H190-I190-J190</f>
        <v>0</v>
      </c>
    </row>
    <row r="191">
      <c r="A191" s="11" t="n">
        <v>46224</v>
      </c>
      <c r="B191" t="inlineStr">
        <is>
          <t>S04</t>
        </is>
      </c>
      <c r="C191" t="inlineStr">
        <is>
          <t>Contacts from Xero</t>
        </is>
      </c>
      <c r="D191" t="n">
        <v>24</v>
      </c>
      <c r="E191" t="n">
        <v>2</v>
      </c>
      <c r="F191" t="n">
        <v>30</v>
      </c>
      <c r="G191" t="n">
        <v>0</v>
      </c>
      <c r="H191" t="n">
        <v>0</v>
      </c>
      <c r="I191" t="n">
        <v>0</v>
      </c>
      <c r="J191" t="n">
        <v>0</v>
      </c>
      <c r="K191">
        <f>G191-H191-I191-J191</f>
        <v>0</v>
      </c>
    </row>
    <row r="192">
      <c r="A192" s="11" t="n">
        <v>46224</v>
      </c>
      <c r="B192" t="inlineStr">
        <is>
          <t>S05</t>
        </is>
      </c>
      <c r="C192" t="inlineStr">
        <is>
          <t>Nightly checks</t>
        </is>
      </c>
      <c r="D192" t="n">
        <v>1</v>
      </c>
      <c r="E192" t="n">
        <v>1</v>
      </c>
      <c r="F192" t="n">
        <v>22</v>
      </c>
      <c r="G192" t="n">
        <v>0</v>
      </c>
      <c r="H192" t="n">
        <v>0</v>
      </c>
      <c r="I192" t="n">
        <v>0</v>
      </c>
      <c r="J192" t="n">
        <v>0</v>
      </c>
      <c r="K192">
        <f>G192-H192-I192-J192</f>
        <v>0</v>
      </c>
    </row>
    <row r="193">
      <c r="A193" s="11" t="n">
        <v>46224</v>
      </c>
      <c r="B193" t="inlineStr">
        <is>
          <t>S06</t>
        </is>
      </c>
      <c r="C193" t="inlineStr">
        <is>
          <t>Docket photo to Drive</t>
        </is>
      </c>
      <c r="D193" t="n">
        <v>40</v>
      </c>
      <c r="E193" t="n">
        <v>40</v>
      </c>
      <c r="F193" t="n">
        <v>160</v>
      </c>
      <c r="G193" t="n">
        <v>0</v>
      </c>
      <c r="H193" t="n">
        <v>0</v>
      </c>
      <c r="I193" t="n">
        <v>0</v>
      </c>
      <c r="J193" t="n">
        <v>0</v>
      </c>
      <c r="K193">
        <f>G193-H193-I193-J193</f>
        <v>0</v>
      </c>
    </row>
    <row r="194">
      <c r="A194" s="11" t="n">
        <v>46224</v>
      </c>
      <c r="B194" t="inlineStr">
        <is>
          <t>S07</t>
        </is>
      </c>
      <c r="C194" t="inlineStr">
        <is>
          <t>Lost or damaged charge</t>
        </is>
      </c>
      <c r="D194" t="n">
        <v>96</v>
      </c>
      <c r="E194" t="n">
        <v>0</v>
      </c>
      <c r="F194" t="n">
        <v>96</v>
      </c>
      <c r="G194" t="n">
        <v>0</v>
      </c>
      <c r="H194" t="n">
        <v>0</v>
      </c>
      <c r="I194" t="n">
        <v>0</v>
      </c>
      <c r="J194" t="n">
        <v>0</v>
      </c>
      <c r="K194">
        <f>G194-H194-I194-J194</f>
        <v>0</v>
      </c>
    </row>
    <row r="195">
      <c r="A195" s="11" t="n">
        <v>46224</v>
      </c>
      <c r="B195" t="inlineStr">
        <is>
          <t>S08</t>
        </is>
      </c>
      <c r="C195" t="inlineStr">
        <is>
          <t>Site collected, final cycle</t>
        </is>
      </c>
      <c r="D195" t="n">
        <v>96</v>
      </c>
      <c r="E195" t="n">
        <v>2</v>
      </c>
      <c r="F195" t="n">
        <v>108</v>
      </c>
      <c r="G195" t="n">
        <v>0</v>
      </c>
      <c r="H195" t="n">
        <v>0</v>
      </c>
      <c r="I195" t="n">
        <v>0</v>
      </c>
      <c r="J195" t="n">
        <v>0</v>
      </c>
      <c r="K195">
        <f>G195-H195-I195-J195</f>
        <v>0</v>
      </c>
    </row>
    <row r="196">
      <c r="A196" s="11" t="n">
        <v>46224</v>
      </c>
      <c r="B196" t="inlineStr">
        <is>
          <t>S10</t>
        </is>
      </c>
      <c r="C196" t="inlineStr">
        <is>
          <t>Error monitor</t>
        </is>
      </c>
      <c r="D196" t="n">
        <v>1</v>
      </c>
      <c r="E196" t="n">
        <v>1</v>
      </c>
      <c r="F196" t="n">
        <v>11</v>
      </c>
      <c r="G196" t="n">
        <v>0</v>
      </c>
      <c r="H196" t="n">
        <v>0</v>
      </c>
      <c r="I196" t="n">
        <v>0</v>
      </c>
      <c r="J196" t="n">
        <v>0</v>
      </c>
      <c r="K196">
        <f>G196-H196-I196-J196</f>
        <v>0</v>
      </c>
    </row>
    <row r="197">
      <c r="A197" s="11" t="n">
        <v>46225</v>
      </c>
      <c r="B197" t="inlineStr">
        <is>
          <t>S01</t>
        </is>
      </c>
      <c r="C197" t="inlineStr">
        <is>
          <t>Movement in</t>
        </is>
      </c>
      <c r="D197" t="n">
        <v>96</v>
      </c>
      <c r="E197" t="n">
        <v>36</v>
      </c>
      <c r="F197" t="n">
        <v>276</v>
      </c>
      <c r="G197" t="n">
        <v>0</v>
      </c>
      <c r="H197" t="n">
        <v>0</v>
      </c>
      <c r="I197" t="n">
        <v>0</v>
      </c>
      <c r="J197" t="n">
        <v>0</v>
      </c>
      <c r="K197">
        <f>G197-H197-I197-J197</f>
        <v>0</v>
      </c>
    </row>
    <row r="198">
      <c r="A198" s="11" t="n">
        <v>46225</v>
      </c>
      <c r="B198" t="inlineStr">
        <is>
          <t>S02</t>
        </is>
      </c>
      <c r="C198" t="inlineStr">
        <is>
          <t>Hire billing run</t>
        </is>
      </c>
      <c r="D198" t="n">
        <v>1</v>
      </c>
      <c r="E198" t="n">
        <v>1</v>
      </c>
      <c r="F198" t="n">
        <v>7</v>
      </c>
      <c r="G198" t="n">
        <v>0</v>
      </c>
      <c r="H198" t="n">
        <v>0</v>
      </c>
      <c r="I198" t="n">
        <v>0</v>
      </c>
      <c r="J198" t="n">
        <v>0</v>
      </c>
      <c r="K198">
        <f>G198-H198-I198-J198</f>
        <v>0</v>
      </c>
    </row>
    <row r="199">
      <c r="A199" s="11" t="n">
        <v>46225</v>
      </c>
      <c r="B199" t="inlineStr">
        <is>
          <t>S03</t>
        </is>
      </c>
      <c r="C199" t="inlineStr">
        <is>
          <t>Payments back from Xero</t>
        </is>
      </c>
      <c r="D199" t="n">
        <v>96</v>
      </c>
      <c r="E199" t="n">
        <v>10</v>
      </c>
      <c r="F199" t="n">
        <v>126</v>
      </c>
      <c r="G199" t="n">
        <v>0</v>
      </c>
      <c r="H199" t="n">
        <v>0</v>
      </c>
      <c r="I199" t="n">
        <v>0</v>
      </c>
      <c r="J199" t="n">
        <v>0</v>
      </c>
      <c r="K199">
        <f>G199-H199-I199-J199</f>
        <v>0</v>
      </c>
    </row>
    <row r="200">
      <c r="A200" s="11" t="n">
        <v>46225</v>
      </c>
      <c r="B200" t="inlineStr">
        <is>
          <t>S04</t>
        </is>
      </c>
      <c r="C200" t="inlineStr">
        <is>
          <t>Contacts from Xero</t>
        </is>
      </c>
      <c r="D200" t="n">
        <v>24</v>
      </c>
      <c r="E200" t="n">
        <v>2</v>
      </c>
      <c r="F200" t="n">
        <v>30</v>
      </c>
      <c r="G200" t="n">
        <v>0</v>
      </c>
      <c r="H200" t="n">
        <v>0</v>
      </c>
      <c r="I200" t="n">
        <v>0</v>
      </c>
      <c r="J200" t="n">
        <v>0</v>
      </c>
      <c r="K200">
        <f>G200-H200-I200-J200</f>
        <v>0</v>
      </c>
    </row>
    <row r="201">
      <c r="A201" s="11" t="n">
        <v>46225</v>
      </c>
      <c r="B201" t="inlineStr">
        <is>
          <t>S05</t>
        </is>
      </c>
      <c r="C201" t="inlineStr">
        <is>
          <t>Nightly checks</t>
        </is>
      </c>
      <c r="D201" t="n">
        <v>1</v>
      </c>
      <c r="E201" t="n">
        <v>1</v>
      </c>
      <c r="F201" t="n">
        <v>22</v>
      </c>
      <c r="G201" t="n">
        <v>0</v>
      </c>
      <c r="H201" t="n">
        <v>0</v>
      </c>
      <c r="I201" t="n">
        <v>0</v>
      </c>
      <c r="J201" t="n">
        <v>0</v>
      </c>
      <c r="K201">
        <f>G201-H201-I201-J201</f>
        <v>0</v>
      </c>
    </row>
    <row r="202">
      <c r="A202" s="11" t="n">
        <v>46225</v>
      </c>
      <c r="B202" t="inlineStr">
        <is>
          <t>S06</t>
        </is>
      </c>
      <c r="C202" t="inlineStr">
        <is>
          <t>Docket photo to Drive</t>
        </is>
      </c>
      <c r="D202" t="n">
        <v>21</v>
      </c>
      <c r="E202" t="n">
        <v>21</v>
      </c>
      <c r="F202" t="n">
        <v>84</v>
      </c>
      <c r="G202" t="n">
        <v>1</v>
      </c>
      <c r="H202" t="n">
        <v>0</v>
      </c>
      <c r="I202" t="n">
        <v>1</v>
      </c>
      <c r="J202" t="n">
        <v>0</v>
      </c>
      <c r="K202">
        <f>G202-H202-I202-J202</f>
        <v>0</v>
      </c>
    </row>
    <row r="203">
      <c r="A203" s="11" t="n">
        <v>46225</v>
      </c>
      <c r="B203" t="inlineStr">
        <is>
          <t>S07</t>
        </is>
      </c>
      <c r="C203" t="inlineStr">
        <is>
          <t>Lost or damaged charge</t>
        </is>
      </c>
      <c r="D203" t="n">
        <v>96</v>
      </c>
      <c r="E203" t="n">
        <v>1</v>
      </c>
      <c r="F203" t="n">
        <v>101</v>
      </c>
      <c r="G203" t="n">
        <v>0</v>
      </c>
      <c r="H203" t="n">
        <v>0</v>
      </c>
      <c r="I203" t="n">
        <v>0</v>
      </c>
      <c r="J203" t="n">
        <v>0</v>
      </c>
      <c r="K203">
        <f>G203-H203-I203-J203</f>
        <v>0</v>
      </c>
    </row>
    <row r="204">
      <c r="A204" s="11" t="n">
        <v>46225</v>
      </c>
      <c r="B204" t="inlineStr">
        <is>
          <t>S08</t>
        </is>
      </c>
      <c r="C204" t="inlineStr">
        <is>
          <t>Site collected, final cycle</t>
        </is>
      </c>
      <c r="D204" t="n">
        <v>96</v>
      </c>
      <c r="E204" t="n">
        <v>1</v>
      </c>
      <c r="F204" t="n">
        <v>102</v>
      </c>
      <c r="G204" t="n">
        <v>0</v>
      </c>
      <c r="H204" t="n">
        <v>0</v>
      </c>
      <c r="I204" t="n">
        <v>0</v>
      </c>
      <c r="J204" t="n">
        <v>0</v>
      </c>
      <c r="K204">
        <f>G204-H204-I204-J204</f>
        <v>0</v>
      </c>
    </row>
    <row r="205">
      <c r="A205" s="11" t="n">
        <v>46225</v>
      </c>
      <c r="B205" t="inlineStr">
        <is>
          <t>S10</t>
        </is>
      </c>
      <c r="C205" t="inlineStr">
        <is>
          <t>Error monitor</t>
        </is>
      </c>
      <c r="D205" t="n">
        <v>1</v>
      </c>
      <c r="E205" t="n">
        <v>1</v>
      </c>
      <c r="F205" t="n">
        <v>11</v>
      </c>
      <c r="G205" t="n">
        <v>0</v>
      </c>
      <c r="H205" t="n">
        <v>0</v>
      </c>
      <c r="I205" t="n">
        <v>0</v>
      </c>
      <c r="J205" t="n">
        <v>0</v>
      </c>
      <c r="K205">
        <f>G205-H205-I205-J205</f>
        <v>0</v>
      </c>
    </row>
    <row r="206">
      <c r="A206" s="11" t="n">
        <v>46226</v>
      </c>
      <c r="B206" t="inlineStr">
        <is>
          <t>S01</t>
        </is>
      </c>
      <c r="C206" t="inlineStr">
        <is>
          <t>Movement in</t>
        </is>
      </c>
      <c r="D206" t="n">
        <v>96</v>
      </c>
      <c r="E206" t="n">
        <v>31</v>
      </c>
      <c r="F206" t="n">
        <v>251</v>
      </c>
      <c r="G206" t="n">
        <v>0</v>
      </c>
      <c r="H206" t="n">
        <v>0</v>
      </c>
      <c r="I206" t="n">
        <v>0</v>
      </c>
      <c r="J206" t="n">
        <v>0</v>
      </c>
      <c r="K206">
        <f>G206-H206-I206-J206</f>
        <v>0</v>
      </c>
    </row>
    <row r="207">
      <c r="A207" s="11" t="n">
        <v>46226</v>
      </c>
      <c r="B207" t="inlineStr">
        <is>
          <t>S02</t>
        </is>
      </c>
      <c r="C207" t="inlineStr">
        <is>
          <t>Hire billing run</t>
        </is>
      </c>
      <c r="D207" t="n">
        <v>1</v>
      </c>
      <c r="E207" t="n">
        <v>1</v>
      </c>
      <c r="F207" t="n">
        <v>7</v>
      </c>
      <c r="G207" t="n">
        <v>0</v>
      </c>
      <c r="H207" t="n">
        <v>0</v>
      </c>
      <c r="I207" t="n">
        <v>0</v>
      </c>
      <c r="J207" t="n">
        <v>0</v>
      </c>
      <c r="K207">
        <f>G207-H207-I207-J207</f>
        <v>0</v>
      </c>
    </row>
    <row r="208">
      <c r="A208" s="11" t="n">
        <v>46226</v>
      </c>
      <c r="B208" t="inlineStr">
        <is>
          <t>S03</t>
        </is>
      </c>
      <c r="C208" t="inlineStr">
        <is>
          <t>Payments back from Xero</t>
        </is>
      </c>
      <c r="D208" t="n">
        <v>96</v>
      </c>
      <c r="E208" t="n">
        <v>19</v>
      </c>
      <c r="F208" t="n">
        <v>153</v>
      </c>
      <c r="G208" t="n">
        <v>0</v>
      </c>
      <c r="H208" t="n">
        <v>0</v>
      </c>
      <c r="I208" t="n">
        <v>0</v>
      </c>
      <c r="J208" t="n">
        <v>0</v>
      </c>
      <c r="K208">
        <f>G208-H208-I208-J208</f>
        <v>0</v>
      </c>
    </row>
    <row r="209">
      <c r="A209" s="11" t="n">
        <v>46226</v>
      </c>
      <c r="B209" t="inlineStr">
        <is>
          <t>S04</t>
        </is>
      </c>
      <c r="C209" t="inlineStr">
        <is>
          <t>Contacts from Xero</t>
        </is>
      </c>
      <c r="D209" t="n">
        <v>24</v>
      </c>
      <c r="E209" t="n">
        <v>0</v>
      </c>
      <c r="F209" t="n">
        <v>24</v>
      </c>
      <c r="G209" t="n">
        <v>0</v>
      </c>
      <c r="H209" t="n">
        <v>0</v>
      </c>
      <c r="I209" t="n">
        <v>0</v>
      </c>
      <c r="J209" t="n">
        <v>0</v>
      </c>
      <c r="K209">
        <f>G209-H209-I209-J209</f>
        <v>0</v>
      </c>
    </row>
    <row r="210">
      <c r="A210" s="11" t="n">
        <v>46226</v>
      </c>
      <c r="B210" t="inlineStr">
        <is>
          <t>S05</t>
        </is>
      </c>
      <c r="C210" t="inlineStr">
        <is>
          <t>Nightly checks</t>
        </is>
      </c>
      <c r="D210" t="n">
        <v>1</v>
      </c>
      <c r="E210" t="n">
        <v>1</v>
      </c>
      <c r="F210" t="n">
        <v>22</v>
      </c>
      <c r="G210" t="n">
        <v>0</v>
      </c>
      <c r="H210" t="n">
        <v>0</v>
      </c>
      <c r="I210" t="n">
        <v>0</v>
      </c>
      <c r="J210" t="n">
        <v>0</v>
      </c>
      <c r="K210">
        <f>G210-H210-I210-J210</f>
        <v>0</v>
      </c>
    </row>
    <row r="211">
      <c r="A211" s="11" t="n">
        <v>46226</v>
      </c>
      <c r="B211" t="inlineStr">
        <is>
          <t>S06</t>
        </is>
      </c>
      <c r="C211" t="inlineStr">
        <is>
          <t>Docket photo to Drive</t>
        </is>
      </c>
      <c r="D211" t="n">
        <v>18</v>
      </c>
      <c r="E211" t="n">
        <v>18</v>
      </c>
      <c r="F211" t="n">
        <v>72</v>
      </c>
      <c r="G211" t="n">
        <v>0</v>
      </c>
      <c r="H211" t="n">
        <v>0</v>
      </c>
      <c r="I211" t="n">
        <v>0</v>
      </c>
      <c r="J211" t="n">
        <v>0</v>
      </c>
      <c r="K211">
        <f>G211-H211-I211-J211</f>
        <v>0</v>
      </c>
    </row>
    <row r="212">
      <c r="A212" s="11" t="n">
        <v>46226</v>
      </c>
      <c r="B212" t="inlineStr">
        <is>
          <t>S07</t>
        </is>
      </c>
      <c r="C212" t="inlineStr">
        <is>
          <t>Lost or damaged charge</t>
        </is>
      </c>
      <c r="D212" t="n">
        <v>96</v>
      </c>
      <c r="E212" t="n">
        <v>0</v>
      </c>
      <c r="F212" t="n">
        <v>96</v>
      </c>
      <c r="G212" t="n">
        <v>0</v>
      </c>
      <c r="H212" t="n">
        <v>0</v>
      </c>
      <c r="I212" t="n">
        <v>0</v>
      </c>
      <c r="J212" t="n">
        <v>0</v>
      </c>
      <c r="K212">
        <f>G212-H212-I212-J212</f>
        <v>0</v>
      </c>
    </row>
    <row r="213">
      <c r="A213" s="11" t="n">
        <v>46226</v>
      </c>
      <c r="B213" t="inlineStr">
        <is>
          <t>S08</t>
        </is>
      </c>
      <c r="C213" t="inlineStr">
        <is>
          <t>Site collected, final cycle</t>
        </is>
      </c>
      <c r="D213" t="n">
        <v>96</v>
      </c>
      <c r="E213" t="n">
        <v>1</v>
      </c>
      <c r="F213" t="n">
        <v>102</v>
      </c>
      <c r="G213" t="n">
        <v>0</v>
      </c>
      <c r="H213" t="n">
        <v>0</v>
      </c>
      <c r="I213" t="n">
        <v>0</v>
      </c>
      <c r="J213" t="n">
        <v>0</v>
      </c>
      <c r="K213">
        <f>G213-H213-I213-J213</f>
        <v>0</v>
      </c>
    </row>
    <row r="214">
      <c r="A214" s="11" t="n">
        <v>46226</v>
      </c>
      <c r="B214" t="inlineStr">
        <is>
          <t>S10</t>
        </is>
      </c>
      <c r="C214" t="inlineStr">
        <is>
          <t>Error monitor</t>
        </is>
      </c>
      <c r="D214" t="n">
        <v>1</v>
      </c>
      <c r="E214" t="n">
        <v>1</v>
      </c>
      <c r="F214" t="n">
        <v>11</v>
      </c>
      <c r="G214" t="n">
        <v>0</v>
      </c>
      <c r="H214" t="n">
        <v>0</v>
      </c>
      <c r="I214" t="n">
        <v>0</v>
      </c>
      <c r="J214" t="n">
        <v>0</v>
      </c>
      <c r="K214">
        <f>G214-H214-I214-J214</f>
        <v>0</v>
      </c>
    </row>
    <row r="215">
      <c r="A215" s="11" t="n">
        <v>46227</v>
      </c>
      <c r="B215" t="inlineStr">
        <is>
          <t>S01</t>
        </is>
      </c>
      <c r="C215" t="inlineStr">
        <is>
          <t>Movement in</t>
        </is>
      </c>
      <c r="D215" t="n">
        <v>96</v>
      </c>
      <c r="E215" t="n">
        <v>23</v>
      </c>
      <c r="F215" t="n">
        <v>211</v>
      </c>
      <c r="G215" t="n">
        <v>0</v>
      </c>
      <c r="H215" t="n">
        <v>0</v>
      </c>
      <c r="I215" t="n">
        <v>0</v>
      </c>
      <c r="J215" t="n">
        <v>0</v>
      </c>
      <c r="K215">
        <f>G215-H215-I215-J215</f>
        <v>0</v>
      </c>
    </row>
    <row r="216">
      <c r="A216" s="11" t="n">
        <v>46227</v>
      </c>
      <c r="B216" t="inlineStr">
        <is>
          <t>S02</t>
        </is>
      </c>
      <c r="C216" t="inlineStr">
        <is>
          <t>Hire billing run</t>
        </is>
      </c>
      <c r="D216" t="n">
        <v>1</v>
      </c>
      <c r="E216" t="n">
        <v>4</v>
      </c>
      <c r="F216" t="n">
        <v>25</v>
      </c>
      <c r="G216" t="n">
        <v>0</v>
      </c>
      <c r="H216" t="n">
        <v>0</v>
      </c>
      <c r="I216" t="n">
        <v>0</v>
      </c>
      <c r="J216" t="n">
        <v>0</v>
      </c>
      <c r="K216">
        <f>G216-H216-I216-J216</f>
        <v>0</v>
      </c>
    </row>
    <row r="217">
      <c r="A217" s="11" t="n">
        <v>46227</v>
      </c>
      <c r="B217" t="inlineStr">
        <is>
          <t>S03</t>
        </is>
      </c>
      <c r="C217" t="inlineStr">
        <is>
          <t>Payments back from Xero</t>
        </is>
      </c>
      <c r="D217" t="n">
        <v>96</v>
      </c>
      <c r="E217" t="n">
        <v>13</v>
      </c>
      <c r="F217" t="n">
        <v>135</v>
      </c>
      <c r="G217" t="n">
        <v>0</v>
      </c>
      <c r="H217" t="n">
        <v>0</v>
      </c>
      <c r="I217" t="n">
        <v>0</v>
      </c>
      <c r="J217" t="n">
        <v>0</v>
      </c>
      <c r="K217">
        <f>G217-H217-I217-J217</f>
        <v>0</v>
      </c>
    </row>
    <row r="218">
      <c r="A218" s="11" t="n">
        <v>46227</v>
      </c>
      <c r="B218" t="inlineStr">
        <is>
          <t>S04</t>
        </is>
      </c>
      <c r="C218" t="inlineStr">
        <is>
          <t>Contacts from Xero</t>
        </is>
      </c>
      <c r="D218" t="n">
        <v>24</v>
      </c>
      <c r="E218" t="n">
        <v>4</v>
      </c>
      <c r="F218" t="n">
        <v>36</v>
      </c>
      <c r="G218" t="n">
        <v>0</v>
      </c>
      <c r="H218" t="n">
        <v>0</v>
      </c>
      <c r="I218" t="n">
        <v>0</v>
      </c>
      <c r="J218" t="n">
        <v>0</v>
      </c>
      <c r="K218">
        <f>G218-H218-I218-J218</f>
        <v>0</v>
      </c>
    </row>
    <row r="219">
      <c r="A219" s="11" t="n">
        <v>46227</v>
      </c>
      <c r="B219" t="inlineStr">
        <is>
          <t>S05</t>
        </is>
      </c>
      <c r="C219" t="inlineStr">
        <is>
          <t>Nightly checks</t>
        </is>
      </c>
      <c r="D219" t="n">
        <v>1</v>
      </c>
      <c r="E219" t="n">
        <v>1</v>
      </c>
      <c r="F219" t="n">
        <v>22</v>
      </c>
      <c r="G219" t="n">
        <v>0</v>
      </c>
      <c r="H219" t="n">
        <v>0</v>
      </c>
      <c r="I219" t="n">
        <v>0</v>
      </c>
      <c r="J219" t="n">
        <v>0</v>
      </c>
      <c r="K219">
        <f>G219-H219-I219-J219</f>
        <v>0</v>
      </c>
    </row>
    <row r="220">
      <c r="A220" s="11" t="n">
        <v>46227</v>
      </c>
      <c r="B220" t="inlineStr">
        <is>
          <t>S06</t>
        </is>
      </c>
      <c r="C220" t="inlineStr">
        <is>
          <t>Docket photo to Drive</t>
        </is>
      </c>
      <c r="D220" t="n">
        <v>37</v>
      </c>
      <c r="E220" t="n">
        <v>37</v>
      </c>
      <c r="F220" t="n">
        <v>148</v>
      </c>
      <c r="G220" t="n">
        <v>0</v>
      </c>
      <c r="H220" t="n">
        <v>0</v>
      </c>
      <c r="I220" t="n">
        <v>0</v>
      </c>
      <c r="J220" t="n">
        <v>0</v>
      </c>
      <c r="K220">
        <f>G220-H220-I220-J220</f>
        <v>0</v>
      </c>
    </row>
    <row r="221">
      <c r="A221" s="11" t="n">
        <v>46227</v>
      </c>
      <c r="B221" t="inlineStr">
        <is>
          <t>S07</t>
        </is>
      </c>
      <c r="C221" t="inlineStr">
        <is>
          <t>Lost or damaged charge</t>
        </is>
      </c>
      <c r="D221" t="n">
        <v>96</v>
      </c>
      <c r="E221" t="n">
        <v>0</v>
      </c>
      <c r="F221" t="n">
        <v>96</v>
      </c>
      <c r="G221" t="n">
        <v>0</v>
      </c>
      <c r="H221" t="n">
        <v>0</v>
      </c>
      <c r="I221" t="n">
        <v>0</v>
      </c>
      <c r="J221" t="n">
        <v>0</v>
      </c>
      <c r="K221">
        <f>G221-H221-I221-J221</f>
        <v>0</v>
      </c>
    </row>
    <row r="222">
      <c r="A222" s="11" t="n">
        <v>46227</v>
      </c>
      <c r="B222" t="inlineStr">
        <is>
          <t>S08</t>
        </is>
      </c>
      <c r="C222" t="inlineStr">
        <is>
          <t>Site collected, final cycle</t>
        </is>
      </c>
      <c r="D222" t="n">
        <v>96</v>
      </c>
      <c r="E222" t="n">
        <v>3</v>
      </c>
      <c r="F222" t="n">
        <v>114</v>
      </c>
      <c r="G222" t="n">
        <v>0</v>
      </c>
      <c r="H222" t="n">
        <v>0</v>
      </c>
      <c r="I222" t="n">
        <v>0</v>
      </c>
      <c r="J222" t="n">
        <v>0</v>
      </c>
      <c r="K222">
        <f>G222-H222-I222-J222</f>
        <v>0</v>
      </c>
    </row>
    <row r="223">
      <c r="A223" s="11" t="n">
        <v>46227</v>
      </c>
      <c r="B223" t="inlineStr">
        <is>
          <t>S10</t>
        </is>
      </c>
      <c r="C223" t="inlineStr">
        <is>
          <t>Error monitor</t>
        </is>
      </c>
      <c r="D223" t="n">
        <v>1</v>
      </c>
      <c r="E223" t="n">
        <v>1</v>
      </c>
      <c r="F223" t="n">
        <v>11</v>
      </c>
      <c r="G223" t="n">
        <v>0</v>
      </c>
      <c r="H223" t="n">
        <v>0</v>
      </c>
      <c r="I223" t="n">
        <v>0</v>
      </c>
      <c r="J223" t="n">
        <v>0</v>
      </c>
      <c r="K223">
        <f>G223-H223-I223-J223</f>
        <v>0</v>
      </c>
    </row>
    <row r="224">
      <c r="A224" s="11" t="n">
        <v>46228</v>
      </c>
      <c r="B224" t="inlineStr">
        <is>
          <t>S01</t>
        </is>
      </c>
      <c r="C224" t="inlineStr">
        <is>
          <t>Movement in</t>
        </is>
      </c>
      <c r="D224" t="n">
        <v>96</v>
      </c>
      <c r="E224" t="n">
        <v>3</v>
      </c>
      <c r="F224" t="n">
        <v>111</v>
      </c>
      <c r="G224" t="n">
        <v>0</v>
      </c>
      <c r="H224" t="n">
        <v>0</v>
      </c>
      <c r="I224" t="n">
        <v>0</v>
      </c>
      <c r="J224" t="n">
        <v>0</v>
      </c>
      <c r="K224">
        <f>G224-H224-I224-J224</f>
        <v>0</v>
      </c>
    </row>
    <row r="225">
      <c r="A225" s="11" t="n">
        <v>46228</v>
      </c>
      <c r="B225" t="inlineStr">
        <is>
          <t>S02</t>
        </is>
      </c>
      <c r="C225" t="inlineStr">
        <is>
          <t>Hire billing run</t>
        </is>
      </c>
      <c r="D225" t="n">
        <v>1</v>
      </c>
      <c r="E225" t="n">
        <v>3</v>
      </c>
      <c r="F225" t="n">
        <v>19</v>
      </c>
      <c r="G225" t="n">
        <v>0</v>
      </c>
      <c r="H225" t="n">
        <v>0</v>
      </c>
      <c r="I225" t="n">
        <v>0</v>
      </c>
      <c r="J225" t="n">
        <v>0</v>
      </c>
      <c r="K225">
        <f>G225-H225-I225-J225</f>
        <v>0</v>
      </c>
    </row>
    <row r="226">
      <c r="A226" s="11" t="n">
        <v>46228</v>
      </c>
      <c r="B226" t="inlineStr">
        <is>
          <t>S03</t>
        </is>
      </c>
      <c r="C226" t="inlineStr">
        <is>
          <t>Payments back from Xero</t>
        </is>
      </c>
      <c r="D226" t="n">
        <v>96</v>
      </c>
      <c r="E226" t="n">
        <v>3</v>
      </c>
      <c r="F226" t="n">
        <v>105</v>
      </c>
      <c r="G226" t="n">
        <v>0</v>
      </c>
      <c r="H226" t="n">
        <v>0</v>
      </c>
      <c r="I226" t="n">
        <v>0</v>
      </c>
      <c r="J226" t="n">
        <v>0</v>
      </c>
      <c r="K226">
        <f>G226-H226-I226-J226</f>
        <v>0</v>
      </c>
    </row>
    <row r="227">
      <c r="A227" s="11" t="n">
        <v>46228</v>
      </c>
      <c r="B227" t="inlineStr">
        <is>
          <t>S04</t>
        </is>
      </c>
      <c r="C227" t="inlineStr">
        <is>
          <t>Contacts from Xero</t>
        </is>
      </c>
      <c r="D227" t="n">
        <v>24</v>
      </c>
      <c r="E227" t="n">
        <v>0</v>
      </c>
      <c r="F227" t="n">
        <v>24</v>
      </c>
      <c r="G227" t="n">
        <v>0</v>
      </c>
      <c r="H227" t="n">
        <v>0</v>
      </c>
      <c r="I227" t="n">
        <v>0</v>
      </c>
      <c r="J227" t="n">
        <v>0</v>
      </c>
      <c r="K227">
        <f>G227-H227-I227-J227</f>
        <v>0</v>
      </c>
    </row>
    <row r="228">
      <c r="A228" s="11" t="n">
        <v>46228</v>
      </c>
      <c r="B228" t="inlineStr">
        <is>
          <t>S05</t>
        </is>
      </c>
      <c r="C228" t="inlineStr">
        <is>
          <t>Nightly checks</t>
        </is>
      </c>
      <c r="D228" t="n">
        <v>1</v>
      </c>
      <c r="E228" t="n">
        <v>1</v>
      </c>
      <c r="F228" t="n">
        <v>22</v>
      </c>
      <c r="G228" t="n">
        <v>0</v>
      </c>
      <c r="H228" t="n">
        <v>0</v>
      </c>
      <c r="I228" t="n">
        <v>0</v>
      </c>
      <c r="J228" t="n">
        <v>0</v>
      </c>
      <c r="K228">
        <f>G228-H228-I228-J228</f>
        <v>0</v>
      </c>
    </row>
    <row r="229">
      <c r="A229" s="11" t="n">
        <v>46228</v>
      </c>
      <c r="B229" t="inlineStr">
        <is>
          <t>S06</t>
        </is>
      </c>
      <c r="C229" t="inlineStr">
        <is>
          <t>Docket photo to Drive</t>
        </is>
      </c>
      <c r="D229" t="n">
        <v>1</v>
      </c>
      <c r="E229" t="n">
        <v>1</v>
      </c>
      <c r="F229" t="n">
        <v>4</v>
      </c>
      <c r="G229" t="n">
        <v>0</v>
      </c>
      <c r="H229" t="n">
        <v>0</v>
      </c>
      <c r="I229" t="n">
        <v>0</v>
      </c>
      <c r="J229" t="n">
        <v>0</v>
      </c>
      <c r="K229">
        <f>G229-H229-I229-J229</f>
        <v>0</v>
      </c>
    </row>
    <row r="230">
      <c r="A230" s="11" t="n">
        <v>46228</v>
      </c>
      <c r="B230" t="inlineStr">
        <is>
          <t>S07</t>
        </is>
      </c>
      <c r="C230" t="inlineStr">
        <is>
          <t>Lost or damaged charge</t>
        </is>
      </c>
      <c r="D230" t="n">
        <v>96</v>
      </c>
      <c r="E230" t="n">
        <v>0</v>
      </c>
      <c r="F230" t="n">
        <v>96</v>
      </c>
      <c r="G230" t="n">
        <v>0</v>
      </c>
      <c r="H230" t="n">
        <v>0</v>
      </c>
      <c r="I230" t="n">
        <v>0</v>
      </c>
      <c r="J230" t="n">
        <v>0</v>
      </c>
      <c r="K230">
        <f>G230-H230-I230-J230</f>
        <v>0</v>
      </c>
    </row>
    <row r="231">
      <c r="A231" s="11" t="n">
        <v>46228</v>
      </c>
      <c r="B231" t="inlineStr">
        <is>
          <t>S08</t>
        </is>
      </c>
      <c r="C231" t="inlineStr">
        <is>
          <t>Site collected, final cycle</t>
        </is>
      </c>
      <c r="D231" t="n">
        <v>96</v>
      </c>
      <c r="E231" t="n">
        <v>0</v>
      </c>
      <c r="F231" t="n">
        <v>96</v>
      </c>
      <c r="G231" t="n">
        <v>0</v>
      </c>
      <c r="H231" t="n">
        <v>0</v>
      </c>
      <c r="I231" t="n">
        <v>0</v>
      </c>
      <c r="J231" t="n">
        <v>0</v>
      </c>
      <c r="K231">
        <f>G231-H231-I231-J231</f>
        <v>0</v>
      </c>
    </row>
    <row r="232">
      <c r="A232" s="11" t="n">
        <v>46228</v>
      </c>
      <c r="B232" t="inlineStr">
        <is>
          <t>S10</t>
        </is>
      </c>
      <c r="C232" t="inlineStr">
        <is>
          <t>Error monitor</t>
        </is>
      </c>
      <c r="D232" t="n">
        <v>1</v>
      </c>
      <c r="E232" t="n">
        <v>1</v>
      </c>
      <c r="F232" t="n">
        <v>11</v>
      </c>
      <c r="G232" t="n">
        <v>0</v>
      </c>
      <c r="H232" t="n">
        <v>0</v>
      </c>
      <c r="I232" t="n">
        <v>0</v>
      </c>
      <c r="J232" t="n">
        <v>0</v>
      </c>
      <c r="K232">
        <f>G232-H232-I232-J232</f>
        <v>0</v>
      </c>
    </row>
    <row r="233">
      <c r="A233" s="11" t="n">
        <v>46229</v>
      </c>
      <c r="B233" t="inlineStr">
        <is>
          <t>S01</t>
        </is>
      </c>
      <c r="C233" t="inlineStr">
        <is>
          <t>Movement in</t>
        </is>
      </c>
      <c r="D233" t="n">
        <v>96</v>
      </c>
      <c r="E233" t="n">
        <v>6</v>
      </c>
      <c r="F233" t="n">
        <v>126</v>
      </c>
      <c r="G233" t="n">
        <v>0</v>
      </c>
      <c r="H233" t="n">
        <v>0</v>
      </c>
      <c r="I233" t="n">
        <v>0</v>
      </c>
      <c r="J233" t="n">
        <v>0</v>
      </c>
      <c r="K233">
        <f>G233-H233-I233-J233</f>
        <v>0</v>
      </c>
    </row>
    <row r="234">
      <c r="A234" s="11" t="n">
        <v>46229</v>
      </c>
      <c r="B234" t="inlineStr">
        <is>
          <t>S02</t>
        </is>
      </c>
      <c r="C234" t="inlineStr">
        <is>
          <t>Hire billing run</t>
        </is>
      </c>
      <c r="D234" t="n">
        <v>1</v>
      </c>
      <c r="E234" t="n">
        <v>4</v>
      </c>
      <c r="F234" t="n">
        <v>25</v>
      </c>
      <c r="G234" t="n">
        <v>0</v>
      </c>
      <c r="H234" t="n">
        <v>0</v>
      </c>
      <c r="I234" t="n">
        <v>0</v>
      </c>
      <c r="J234" t="n">
        <v>0</v>
      </c>
      <c r="K234">
        <f>G234-H234-I234-J234</f>
        <v>0</v>
      </c>
    </row>
    <row r="235">
      <c r="A235" s="11" t="n">
        <v>46229</v>
      </c>
      <c r="B235" t="inlineStr">
        <is>
          <t>S03</t>
        </is>
      </c>
      <c r="C235" t="inlineStr">
        <is>
          <t>Payments back from Xero</t>
        </is>
      </c>
      <c r="D235" t="n">
        <v>96</v>
      </c>
      <c r="E235" t="n">
        <v>0</v>
      </c>
      <c r="F235" t="n">
        <v>96</v>
      </c>
      <c r="G235" t="n">
        <v>0</v>
      </c>
      <c r="H235" t="n">
        <v>0</v>
      </c>
      <c r="I235" t="n">
        <v>0</v>
      </c>
      <c r="J235" t="n">
        <v>0</v>
      </c>
      <c r="K235">
        <f>G235-H235-I235-J235</f>
        <v>0</v>
      </c>
    </row>
    <row r="236">
      <c r="A236" s="11" t="n">
        <v>46229</v>
      </c>
      <c r="B236" t="inlineStr">
        <is>
          <t>S04</t>
        </is>
      </c>
      <c r="C236" t="inlineStr">
        <is>
          <t>Contacts from Xero</t>
        </is>
      </c>
      <c r="D236" t="n">
        <v>24</v>
      </c>
      <c r="E236" t="n">
        <v>0</v>
      </c>
      <c r="F236" t="n">
        <v>24</v>
      </c>
      <c r="G236" t="n">
        <v>0</v>
      </c>
      <c r="H236" t="n">
        <v>0</v>
      </c>
      <c r="I236" t="n">
        <v>0</v>
      </c>
      <c r="J236" t="n">
        <v>0</v>
      </c>
      <c r="K236">
        <f>G236-H236-I236-J236</f>
        <v>0</v>
      </c>
    </row>
    <row r="237">
      <c r="A237" s="11" t="n">
        <v>46229</v>
      </c>
      <c r="B237" t="inlineStr">
        <is>
          <t>S05</t>
        </is>
      </c>
      <c r="C237" t="inlineStr">
        <is>
          <t>Nightly checks</t>
        </is>
      </c>
      <c r="D237" t="n">
        <v>1</v>
      </c>
      <c r="E237" t="n">
        <v>1</v>
      </c>
      <c r="F237" t="n">
        <v>22</v>
      </c>
      <c r="G237" t="n">
        <v>0</v>
      </c>
      <c r="H237" t="n">
        <v>0</v>
      </c>
      <c r="I237" t="n">
        <v>0</v>
      </c>
      <c r="J237" t="n">
        <v>0</v>
      </c>
      <c r="K237">
        <f>G237-H237-I237-J237</f>
        <v>0</v>
      </c>
    </row>
    <row r="238">
      <c r="A238" s="11" t="n">
        <v>46229</v>
      </c>
      <c r="B238" t="inlineStr">
        <is>
          <t>S06</t>
        </is>
      </c>
      <c r="C238" t="inlineStr">
        <is>
          <t>Docket photo to Drive</t>
        </is>
      </c>
      <c r="D238" t="n">
        <v>2</v>
      </c>
      <c r="E238" t="n">
        <v>2</v>
      </c>
      <c r="F238" t="n">
        <v>8</v>
      </c>
      <c r="G238" t="n">
        <v>0</v>
      </c>
      <c r="H238" t="n">
        <v>0</v>
      </c>
      <c r="I238" t="n">
        <v>0</v>
      </c>
      <c r="J238" t="n">
        <v>0</v>
      </c>
      <c r="K238">
        <f>G238-H238-I238-J238</f>
        <v>0</v>
      </c>
    </row>
    <row r="239">
      <c r="A239" s="11" t="n">
        <v>46229</v>
      </c>
      <c r="B239" t="inlineStr">
        <is>
          <t>S07</t>
        </is>
      </c>
      <c r="C239" t="inlineStr">
        <is>
          <t>Lost or damaged charge</t>
        </is>
      </c>
      <c r="D239" t="n">
        <v>96</v>
      </c>
      <c r="E239" t="n">
        <v>0</v>
      </c>
      <c r="F239" t="n">
        <v>96</v>
      </c>
      <c r="G239" t="n">
        <v>0</v>
      </c>
      <c r="H239" t="n">
        <v>0</v>
      </c>
      <c r="I239" t="n">
        <v>0</v>
      </c>
      <c r="J239" t="n">
        <v>0</v>
      </c>
      <c r="K239">
        <f>G239-H239-I239-J239</f>
        <v>0</v>
      </c>
    </row>
    <row r="240">
      <c r="A240" s="11" t="n">
        <v>46229</v>
      </c>
      <c r="B240" t="inlineStr">
        <is>
          <t>S08</t>
        </is>
      </c>
      <c r="C240" t="inlineStr">
        <is>
          <t>Site collected, final cycle</t>
        </is>
      </c>
      <c r="D240" t="n">
        <v>96</v>
      </c>
      <c r="E240" t="n">
        <v>0</v>
      </c>
      <c r="F240" t="n">
        <v>96</v>
      </c>
      <c r="G240" t="n">
        <v>0</v>
      </c>
      <c r="H240" t="n">
        <v>0</v>
      </c>
      <c r="I240" t="n">
        <v>0</v>
      </c>
      <c r="J240" t="n">
        <v>0</v>
      </c>
      <c r="K240">
        <f>G240-H240-I240-J240</f>
        <v>0</v>
      </c>
    </row>
    <row r="241">
      <c r="A241" s="11" t="n">
        <v>46229</v>
      </c>
      <c r="B241" t="inlineStr">
        <is>
          <t>S09</t>
        </is>
      </c>
      <c r="C241" t="inlineStr">
        <is>
          <t>Weekly backup</t>
        </is>
      </c>
      <c r="D241" t="n">
        <v>1</v>
      </c>
      <c r="E241" t="n">
        <v>1</v>
      </c>
      <c r="F241" t="n">
        <v>13</v>
      </c>
      <c r="G241" t="n">
        <v>1</v>
      </c>
      <c r="H241" t="n">
        <v>1</v>
      </c>
      <c r="I241" t="n">
        <v>0</v>
      </c>
      <c r="J241" t="n">
        <v>0</v>
      </c>
      <c r="K241">
        <f>G241-H241-I241-J241</f>
        <v>0</v>
      </c>
    </row>
    <row r="242">
      <c r="A242" s="11" t="n">
        <v>46229</v>
      </c>
      <c r="B242" t="inlineStr">
        <is>
          <t>S10</t>
        </is>
      </c>
      <c r="C242" t="inlineStr">
        <is>
          <t>Error monitor</t>
        </is>
      </c>
      <c r="D242" t="n">
        <v>1</v>
      </c>
      <c r="E242" t="n">
        <v>1</v>
      </c>
      <c r="F242" t="n">
        <v>11</v>
      </c>
      <c r="G242" t="n">
        <v>0</v>
      </c>
      <c r="H242" t="n">
        <v>0</v>
      </c>
      <c r="I242" t="n">
        <v>0</v>
      </c>
      <c r="J242" t="n">
        <v>0</v>
      </c>
      <c r="K242">
        <f>G242-H242-I242-J242</f>
        <v>0</v>
      </c>
    </row>
    <row r="243">
      <c r="A243" s="11" t="n">
        <v>46230</v>
      </c>
      <c r="B243" t="inlineStr">
        <is>
          <t>S01</t>
        </is>
      </c>
      <c r="C243" t="inlineStr">
        <is>
          <t>Movement in</t>
        </is>
      </c>
      <c r="D243" t="n">
        <v>96</v>
      </c>
      <c r="E243" t="n">
        <v>37</v>
      </c>
      <c r="F243" t="n">
        <v>281</v>
      </c>
      <c r="G243" t="n">
        <v>0</v>
      </c>
      <c r="H243" t="n">
        <v>0</v>
      </c>
      <c r="I243" t="n">
        <v>0</v>
      </c>
      <c r="J243" t="n">
        <v>0</v>
      </c>
      <c r="K243">
        <f>G243-H243-I243-J243</f>
        <v>0</v>
      </c>
    </row>
    <row r="244">
      <c r="A244" s="11" t="n">
        <v>46230</v>
      </c>
      <c r="B244" t="inlineStr">
        <is>
          <t>S02</t>
        </is>
      </c>
      <c r="C244" t="inlineStr">
        <is>
          <t>Hire billing run</t>
        </is>
      </c>
      <c r="D244" t="n">
        <v>1</v>
      </c>
      <c r="E244" t="n">
        <v>1</v>
      </c>
      <c r="F244" t="n">
        <v>7</v>
      </c>
      <c r="G244" t="n">
        <v>0</v>
      </c>
      <c r="H244" t="n">
        <v>0</v>
      </c>
      <c r="I244" t="n">
        <v>0</v>
      </c>
      <c r="J244" t="n">
        <v>0</v>
      </c>
      <c r="K244">
        <f>G244-H244-I244-J244</f>
        <v>0</v>
      </c>
    </row>
    <row r="245">
      <c r="A245" s="11" t="n">
        <v>46230</v>
      </c>
      <c r="B245" t="inlineStr">
        <is>
          <t>S03</t>
        </is>
      </c>
      <c r="C245" t="inlineStr">
        <is>
          <t>Payments back from Xero</t>
        </is>
      </c>
      <c r="D245" t="n">
        <v>96</v>
      </c>
      <c r="E245" t="n">
        <v>17</v>
      </c>
      <c r="F245" t="n">
        <v>147</v>
      </c>
      <c r="G245" t="n">
        <v>0</v>
      </c>
      <c r="H245" t="n">
        <v>0</v>
      </c>
      <c r="I245" t="n">
        <v>0</v>
      </c>
      <c r="J245" t="n">
        <v>0</v>
      </c>
      <c r="K245">
        <f>G245-H245-I245-J245</f>
        <v>0</v>
      </c>
    </row>
    <row r="246">
      <c r="A246" s="11" t="n">
        <v>46230</v>
      </c>
      <c r="B246" t="inlineStr">
        <is>
          <t>S04</t>
        </is>
      </c>
      <c r="C246" t="inlineStr">
        <is>
          <t>Contacts from Xero</t>
        </is>
      </c>
      <c r="D246" t="n">
        <v>24</v>
      </c>
      <c r="E246" t="n">
        <v>1</v>
      </c>
      <c r="F246" t="n">
        <v>27</v>
      </c>
      <c r="G246" t="n">
        <v>0</v>
      </c>
      <c r="H246" t="n">
        <v>0</v>
      </c>
      <c r="I246" t="n">
        <v>0</v>
      </c>
      <c r="J246" t="n">
        <v>0</v>
      </c>
      <c r="K246">
        <f>G246-H246-I246-J246</f>
        <v>0</v>
      </c>
    </row>
    <row r="247">
      <c r="A247" s="11" t="n">
        <v>46230</v>
      </c>
      <c r="B247" t="inlineStr">
        <is>
          <t>S05</t>
        </is>
      </c>
      <c r="C247" t="inlineStr">
        <is>
          <t>Nightly checks</t>
        </is>
      </c>
      <c r="D247" t="n">
        <v>1</v>
      </c>
      <c r="E247" t="n">
        <v>1</v>
      </c>
      <c r="F247" t="n">
        <v>22</v>
      </c>
      <c r="G247" t="n">
        <v>0</v>
      </c>
      <c r="H247" t="n">
        <v>0</v>
      </c>
      <c r="I247" t="n">
        <v>0</v>
      </c>
      <c r="J247" t="n">
        <v>0</v>
      </c>
      <c r="K247">
        <f>G247-H247-I247-J247</f>
        <v>0</v>
      </c>
    </row>
    <row r="248">
      <c r="A248" s="11" t="n">
        <v>46230</v>
      </c>
      <c r="B248" t="inlineStr">
        <is>
          <t>S06</t>
        </is>
      </c>
      <c r="C248" t="inlineStr">
        <is>
          <t>Docket photo to Drive</t>
        </is>
      </c>
      <c r="D248" t="n">
        <v>32</v>
      </c>
      <c r="E248" t="n">
        <v>32</v>
      </c>
      <c r="F248" t="n">
        <v>128</v>
      </c>
      <c r="G248" t="n">
        <v>0</v>
      </c>
      <c r="H248" t="n">
        <v>0</v>
      </c>
      <c r="I248" t="n">
        <v>0</v>
      </c>
      <c r="J248" t="n">
        <v>0</v>
      </c>
      <c r="K248">
        <f>G248-H248-I248-J248</f>
        <v>0</v>
      </c>
    </row>
    <row r="249">
      <c r="A249" s="11" t="n">
        <v>46230</v>
      </c>
      <c r="B249" t="inlineStr">
        <is>
          <t>S07</t>
        </is>
      </c>
      <c r="C249" t="inlineStr">
        <is>
          <t>Lost or damaged charge</t>
        </is>
      </c>
      <c r="D249" t="n">
        <v>96</v>
      </c>
      <c r="E249" t="n">
        <v>0</v>
      </c>
      <c r="F249" t="n">
        <v>96</v>
      </c>
      <c r="G249" t="n">
        <v>0</v>
      </c>
      <c r="H249" t="n">
        <v>0</v>
      </c>
      <c r="I249" t="n">
        <v>0</v>
      </c>
      <c r="J249" t="n">
        <v>0</v>
      </c>
      <c r="K249">
        <f>G249-H249-I249-J249</f>
        <v>0</v>
      </c>
    </row>
    <row r="250">
      <c r="A250" s="11" t="n">
        <v>46230</v>
      </c>
      <c r="B250" t="inlineStr">
        <is>
          <t>S08</t>
        </is>
      </c>
      <c r="C250" t="inlineStr">
        <is>
          <t>Site collected, final cycle</t>
        </is>
      </c>
      <c r="D250" t="n">
        <v>96</v>
      </c>
      <c r="E250" t="n">
        <v>3</v>
      </c>
      <c r="F250" t="n">
        <v>114</v>
      </c>
      <c r="G250" t="n">
        <v>0</v>
      </c>
      <c r="H250" t="n">
        <v>0</v>
      </c>
      <c r="I250" t="n">
        <v>0</v>
      </c>
      <c r="J250" t="n">
        <v>0</v>
      </c>
      <c r="K250">
        <f>G250-H250-I250-J250</f>
        <v>0</v>
      </c>
    </row>
    <row r="251">
      <c r="A251" s="11" t="n">
        <v>46230</v>
      </c>
      <c r="B251" t="inlineStr">
        <is>
          <t>S10</t>
        </is>
      </c>
      <c r="C251" t="inlineStr">
        <is>
          <t>Error monitor</t>
        </is>
      </c>
      <c r="D251" t="n">
        <v>1</v>
      </c>
      <c r="E251" t="n">
        <v>1</v>
      </c>
      <c r="F251" t="n">
        <v>11</v>
      </c>
      <c r="G251" t="n">
        <v>0</v>
      </c>
      <c r="H251" t="n">
        <v>0</v>
      </c>
      <c r="I251" t="n">
        <v>0</v>
      </c>
      <c r="J251" t="n">
        <v>0</v>
      </c>
      <c r="K251">
        <f>G251-H251-I251-J251</f>
        <v>0</v>
      </c>
    </row>
    <row r="252">
      <c r="A252" s="11" t="n">
        <v>46231</v>
      </c>
      <c r="B252" t="inlineStr">
        <is>
          <t>S01</t>
        </is>
      </c>
      <c r="C252" t="inlineStr">
        <is>
          <t>Movement in</t>
        </is>
      </c>
      <c r="D252" t="n">
        <v>96</v>
      </c>
      <c r="E252" t="n">
        <v>37</v>
      </c>
      <c r="F252" t="n">
        <v>281</v>
      </c>
      <c r="G252" t="n">
        <v>0</v>
      </c>
      <c r="H252" t="n">
        <v>0</v>
      </c>
      <c r="I252" t="n">
        <v>0</v>
      </c>
      <c r="J252" t="n">
        <v>0</v>
      </c>
      <c r="K252">
        <f>G252-H252-I252-J252</f>
        <v>0</v>
      </c>
    </row>
    <row r="253">
      <c r="A253" s="11" t="n">
        <v>46231</v>
      </c>
      <c r="B253" t="inlineStr">
        <is>
          <t>S02</t>
        </is>
      </c>
      <c r="C253" t="inlineStr">
        <is>
          <t>Hire billing run</t>
        </is>
      </c>
      <c r="D253" t="n">
        <v>1</v>
      </c>
      <c r="E253" t="n">
        <v>5</v>
      </c>
      <c r="F253" t="n">
        <v>31</v>
      </c>
      <c r="G253" t="n">
        <v>0</v>
      </c>
      <c r="H253" t="n">
        <v>0</v>
      </c>
      <c r="I253" t="n">
        <v>0</v>
      </c>
      <c r="J253" t="n">
        <v>0</v>
      </c>
      <c r="K253">
        <f>G253-H253-I253-J253</f>
        <v>0</v>
      </c>
    </row>
    <row r="254">
      <c r="A254" s="11" t="n">
        <v>46231</v>
      </c>
      <c r="B254" t="inlineStr">
        <is>
          <t>S03</t>
        </is>
      </c>
      <c r="C254" t="inlineStr">
        <is>
          <t>Payments back from Xero</t>
        </is>
      </c>
      <c r="D254" t="n">
        <v>96</v>
      </c>
      <c r="E254" t="n">
        <v>16</v>
      </c>
      <c r="F254" t="n">
        <v>144</v>
      </c>
      <c r="G254" t="n">
        <v>0</v>
      </c>
      <c r="H254" t="n">
        <v>0</v>
      </c>
      <c r="I254" t="n">
        <v>0</v>
      </c>
      <c r="J254" t="n">
        <v>0</v>
      </c>
      <c r="K254">
        <f>G254-H254-I254-J254</f>
        <v>0</v>
      </c>
    </row>
    <row r="255">
      <c r="A255" s="11" t="n">
        <v>46231</v>
      </c>
      <c r="B255" t="inlineStr">
        <is>
          <t>S04</t>
        </is>
      </c>
      <c r="C255" t="inlineStr">
        <is>
          <t>Contacts from Xero</t>
        </is>
      </c>
      <c r="D255" t="n">
        <v>24</v>
      </c>
      <c r="E255" t="n">
        <v>0</v>
      </c>
      <c r="F255" t="n">
        <v>24</v>
      </c>
      <c r="G255" t="n">
        <v>0</v>
      </c>
      <c r="H255" t="n">
        <v>0</v>
      </c>
      <c r="I255" t="n">
        <v>0</v>
      </c>
      <c r="J255" t="n">
        <v>0</v>
      </c>
      <c r="K255">
        <f>G255-H255-I255-J255</f>
        <v>0</v>
      </c>
    </row>
    <row r="256">
      <c r="A256" s="11" t="n">
        <v>46231</v>
      </c>
      <c r="B256" t="inlineStr">
        <is>
          <t>S05</t>
        </is>
      </c>
      <c r="C256" t="inlineStr">
        <is>
          <t>Nightly checks</t>
        </is>
      </c>
      <c r="D256" t="n">
        <v>1</v>
      </c>
      <c r="E256" t="n">
        <v>1</v>
      </c>
      <c r="F256" t="n">
        <v>22</v>
      </c>
      <c r="G256" t="n">
        <v>0</v>
      </c>
      <c r="H256" t="n">
        <v>0</v>
      </c>
      <c r="I256" t="n">
        <v>0</v>
      </c>
      <c r="J256" t="n">
        <v>0</v>
      </c>
      <c r="K256">
        <f>G256-H256-I256-J256</f>
        <v>0</v>
      </c>
    </row>
    <row r="257">
      <c r="A257" s="11" t="n">
        <v>46231</v>
      </c>
      <c r="B257" t="inlineStr">
        <is>
          <t>S06</t>
        </is>
      </c>
      <c r="C257" t="inlineStr">
        <is>
          <t>Docket photo to Drive</t>
        </is>
      </c>
      <c r="D257" t="n">
        <v>23</v>
      </c>
      <c r="E257" t="n">
        <v>23</v>
      </c>
      <c r="F257" t="n">
        <v>92</v>
      </c>
      <c r="G257" t="n">
        <v>0</v>
      </c>
      <c r="H257" t="n">
        <v>0</v>
      </c>
      <c r="I257" t="n">
        <v>0</v>
      </c>
      <c r="J257" t="n">
        <v>0</v>
      </c>
      <c r="K257">
        <f>G257-H257-I257-J257</f>
        <v>0</v>
      </c>
    </row>
    <row r="258">
      <c r="A258" s="11" t="n">
        <v>46231</v>
      </c>
      <c r="B258" t="inlineStr">
        <is>
          <t>S07</t>
        </is>
      </c>
      <c r="C258" t="inlineStr">
        <is>
          <t>Lost or damaged charge</t>
        </is>
      </c>
      <c r="D258" t="n">
        <v>96</v>
      </c>
      <c r="E258" t="n">
        <v>0</v>
      </c>
      <c r="F258" t="n">
        <v>96</v>
      </c>
      <c r="G258" t="n">
        <v>0</v>
      </c>
      <c r="H258" t="n">
        <v>0</v>
      </c>
      <c r="I258" t="n">
        <v>0</v>
      </c>
      <c r="J258" t="n">
        <v>0</v>
      </c>
      <c r="K258">
        <f>G258-H258-I258-J258</f>
        <v>0</v>
      </c>
    </row>
    <row r="259">
      <c r="A259" s="11" t="n">
        <v>46231</v>
      </c>
      <c r="B259" t="inlineStr">
        <is>
          <t>S08</t>
        </is>
      </c>
      <c r="C259" t="inlineStr">
        <is>
          <t>Site collected, final cycle</t>
        </is>
      </c>
      <c r="D259" t="n">
        <v>96</v>
      </c>
      <c r="E259" t="n">
        <v>3</v>
      </c>
      <c r="F259" t="n">
        <v>114</v>
      </c>
      <c r="G259" t="n">
        <v>1</v>
      </c>
      <c r="H259" t="n">
        <v>0</v>
      </c>
      <c r="I259" t="n">
        <v>0</v>
      </c>
      <c r="J259" t="n">
        <v>1</v>
      </c>
      <c r="K259">
        <f>G259-H259-I259-J259</f>
        <v>0</v>
      </c>
    </row>
    <row r="260">
      <c r="A260" s="11" t="n">
        <v>46231</v>
      </c>
      <c r="B260" t="inlineStr">
        <is>
          <t>S10</t>
        </is>
      </c>
      <c r="C260" t="inlineStr">
        <is>
          <t>Error monitor</t>
        </is>
      </c>
      <c r="D260" t="n">
        <v>1</v>
      </c>
      <c r="E260" t="n">
        <v>1</v>
      </c>
      <c r="F260" t="n">
        <v>11</v>
      </c>
      <c r="G260" t="n">
        <v>0</v>
      </c>
      <c r="H260" t="n">
        <v>0</v>
      </c>
      <c r="I260" t="n">
        <v>0</v>
      </c>
      <c r="J260" t="n">
        <v>0</v>
      </c>
      <c r="K260">
        <f>G260-H260-I260-J260</f>
        <v>0</v>
      </c>
    </row>
    <row r="261">
      <c r="A261" s="11" t="n">
        <v>46232</v>
      </c>
      <c r="B261" t="inlineStr">
        <is>
          <t>S01</t>
        </is>
      </c>
      <c r="C261" t="inlineStr">
        <is>
          <t>Movement in</t>
        </is>
      </c>
      <c r="D261" t="n">
        <v>96</v>
      </c>
      <c r="E261" t="n">
        <v>23</v>
      </c>
      <c r="F261" t="n">
        <v>211</v>
      </c>
      <c r="G261" t="n">
        <v>0</v>
      </c>
      <c r="H261" t="n">
        <v>0</v>
      </c>
      <c r="I261" t="n">
        <v>0</v>
      </c>
      <c r="J261" t="n">
        <v>0</v>
      </c>
      <c r="K261">
        <f>G261-H261-I261-J261</f>
        <v>0</v>
      </c>
    </row>
    <row r="262">
      <c r="A262" s="11" t="n">
        <v>46232</v>
      </c>
      <c r="B262" t="inlineStr">
        <is>
          <t>S02</t>
        </is>
      </c>
      <c r="C262" t="inlineStr">
        <is>
          <t>Hire billing run</t>
        </is>
      </c>
      <c r="D262" t="n">
        <v>1</v>
      </c>
      <c r="E262" t="n">
        <v>0</v>
      </c>
      <c r="F262" t="n">
        <v>1</v>
      </c>
      <c r="G262" t="n">
        <v>0</v>
      </c>
      <c r="H262" t="n">
        <v>0</v>
      </c>
      <c r="I262" t="n">
        <v>0</v>
      </c>
      <c r="J262" t="n">
        <v>0</v>
      </c>
      <c r="K262">
        <f>G262-H262-I262-J262</f>
        <v>0</v>
      </c>
    </row>
    <row r="263">
      <c r="A263" s="11" t="n">
        <v>46232</v>
      </c>
      <c r="B263" t="inlineStr">
        <is>
          <t>S03</t>
        </is>
      </c>
      <c r="C263" t="inlineStr">
        <is>
          <t>Payments back from Xero</t>
        </is>
      </c>
      <c r="D263" t="n">
        <v>96</v>
      </c>
      <c r="E263" t="n">
        <v>14</v>
      </c>
      <c r="F263" t="n">
        <v>138</v>
      </c>
      <c r="G263" t="n">
        <v>0</v>
      </c>
      <c r="H263" t="n">
        <v>0</v>
      </c>
      <c r="I263" t="n">
        <v>0</v>
      </c>
      <c r="J263" t="n">
        <v>0</v>
      </c>
      <c r="K263">
        <f>G263-H263-I263-J263</f>
        <v>0</v>
      </c>
    </row>
    <row r="264">
      <c r="A264" s="11" t="n">
        <v>46232</v>
      </c>
      <c r="B264" t="inlineStr">
        <is>
          <t>S04</t>
        </is>
      </c>
      <c r="C264" t="inlineStr">
        <is>
          <t>Contacts from Xero</t>
        </is>
      </c>
      <c r="D264" t="n">
        <v>24</v>
      </c>
      <c r="E264" t="n">
        <v>1</v>
      </c>
      <c r="F264" t="n">
        <v>27</v>
      </c>
      <c r="G264" t="n">
        <v>0</v>
      </c>
      <c r="H264" t="n">
        <v>0</v>
      </c>
      <c r="I264" t="n">
        <v>0</v>
      </c>
      <c r="J264" t="n">
        <v>0</v>
      </c>
      <c r="K264">
        <f>G264-H264-I264-J264</f>
        <v>0</v>
      </c>
    </row>
    <row r="265">
      <c r="A265" s="11" t="n">
        <v>46232</v>
      </c>
      <c r="B265" t="inlineStr">
        <is>
          <t>S05</t>
        </is>
      </c>
      <c r="C265" t="inlineStr">
        <is>
          <t>Nightly checks</t>
        </is>
      </c>
      <c r="D265" t="n">
        <v>1</v>
      </c>
      <c r="E265" t="n">
        <v>1</v>
      </c>
      <c r="F265" t="n">
        <v>22</v>
      </c>
      <c r="G265" t="n">
        <v>0</v>
      </c>
      <c r="H265" t="n">
        <v>0</v>
      </c>
      <c r="I265" t="n">
        <v>0</v>
      </c>
      <c r="J265" t="n">
        <v>0</v>
      </c>
      <c r="K265">
        <f>G265-H265-I265-J265</f>
        <v>0</v>
      </c>
    </row>
    <row r="266">
      <c r="A266" s="11" t="n">
        <v>46232</v>
      </c>
      <c r="B266" t="inlineStr">
        <is>
          <t>S06</t>
        </is>
      </c>
      <c r="C266" t="inlineStr">
        <is>
          <t>Docket photo to Drive</t>
        </is>
      </c>
      <c r="D266" t="n">
        <v>19</v>
      </c>
      <c r="E266" t="n">
        <v>19</v>
      </c>
      <c r="F266" t="n">
        <v>76</v>
      </c>
      <c r="G266" t="n">
        <v>0</v>
      </c>
      <c r="H266" t="n">
        <v>0</v>
      </c>
      <c r="I266" t="n">
        <v>0</v>
      </c>
      <c r="J266" t="n">
        <v>0</v>
      </c>
      <c r="K266">
        <f>G266-H266-I266-J266</f>
        <v>0</v>
      </c>
    </row>
    <row r="267">
      <c r="A267" s="11" t="n">
        <v>46232</v>
      </c>
      <c r="B267" t="inlineStr">
        <is>
          <t>S07</t>
        </is>
      </c>
      <c r="C267" t="inlineStr">
        <is>
          <t>Lost or damaged charge</t>
        </is>
      </c>
      <c r="D267" t="n">
        <v>96</v>
      </c>
      <c r="E267" t="n">
        <v>1</v>
      </c>
      <c r="F267" t="n">
        <v>101</v>
      </c>
      <c r="G267" t="n">
        <v>0</v>
      </c>
      <c r="H267" t="n">
        <v>0</v>
      </c>
      <c r="I267" t="n">
        <v>0</v>
      </c>
      <c r="J267" t="n">
        <v>0</v>
      </c>
      <c r="K267">
        <f>G267-H267-I267-J267</f>
        <v>0</v>
      </c>
    </row>
    <row r="268">
      <c r="A268" s="11" t="n">
        <v>46232</v>
      </c>
      <c r="B268" t="inlineStr">
        <is>
          <t>S08</t>
        </is>
      </c>
      <c r="C268" t="inlineStr">
        <is>
          <t>Site collected, final cycle</t>
        </is>
      </c>
      <c r="D268" t="n">
        <v>96</v>
      </c>
      <c r="E268" t="n">
        <v>2</v>
      </c>
      <c r="F268" t="n">
        <v>108</v>
      </c>
      <c r="G268" t="n">
        <v>0</v>
      </c>
      <c r="H268" t="n">
        <v>0</v>
      </c>
      <c r="I268" t="n">
        <v>0</v>
      </c>
      <c r="J268" t="n">
        <v>0</v>
      </c>
      <c r="K268">
        <f>G268-H268-I268-J268</f>
        <v>0</v>
      </c>
    </row>
    <row r="269">
      <c r="A269" s="11" t="n">
        <v>46232</v>
      </c>
      <c r="B269" t="inlineStr">
        <is>
          <t>S10</t>
        </is>
      </c>
      <c r="C269" t="inlineStr">
        <is>
          <t>Error monitor</t>
        </is>
      </c>
      <c r="D269" t="n">
        <v>1</v>
      </c>
      <c r="E269" t="n">
        <v>1</v>
      </c>
      <c r="F269" t="n">
        <v>11</v>
      </c>
      <c r="G269" t="n">
        <v>0</v>
      </c>
      <c r="H269" t="n">
        <v>0</v>
      </c>
      <c r="I269" t="n">
        <v>0</v>
      </c>
      <c r="J269" t="n">
        <v>0</v>
      </c>
      <c r="K269">
        <f>G269-H269-I269-J269</f>
        <v>0</v>
      </c>
    </row>
    <row r="270">
      <c r="A270" s="11" t="n">
        <v>46233</v>
      </c>
      <c r="B270" t="inlineStr">
        <is>
          <t>S01</t>
        </is>
      </c>
      <c r="C270" t="inlineStr">
        <is>
          <t>Movement in</t>
        </is>
      </c>
      <c r="D270" t="n">
        <v>96</v>
      </c>
      <c r="E270" t="n">
        <v>28</v>
      </c>
      <c r="F270" t="n">
        <v>236</v>
      </c>
      <c r="G270" t="n">
        <v>0</v>
      </c>
      <c r="H270" t="n">
        <v>0</v>
      </c>
      <c r="I270" t="n">
        <v>0</v>
      </c>
      <c r="J270" t="n">
        <v>0</v>
      </c>
      <c r="K270">
        <f>G270-H270-I270-J270</f>
        <v>0</v>
      </c>
    </row>
    <row r="271">
      <c r="A271" s="11" t="n">
        <v>46233</v>
      </c>
      <c r="B271" t="inlineStr">
        <is>
          <t>S02</t>
        </is>
      </c>
      <c r="C271" t="inlineStr">
        <is>
          <t>Hire billing run</t>
        </is>
      </c>
      <c r="D271" t="n">
        <v>1</v>
      </c>
      <c r="E271" t="n">
        <v>0</v>
      </c>
      <c r="F271" t="n">
        <v>1</v>
      </c>
      <c r="G271" t="n">
        <v>0</v>
      </c>
      <c r="H271" t="n">
        <v>0</v>
      </c>
      <c r="I271" t="n">
        <v>0</v>
      </c>
      <c r="J271" t="n">
        <v>0</v>
      </c>
      <c r="K271">
        <f>G271-H271-I271-J271</f>
        <v>0</v>
      </c>
    </row>
    <row r="272">
      <c r="A272" s="11" t="n">
        <v>46233</v>
      </c>
      <c r="B272" t="inlineStr">
        <is>
          <t>S03</t>
        </is>
      </c>
      <c r="C272" t="inlineStr">
        <is>
          <t>Payments back from Xero</t>
        </is>
      </c>
      <c r="D272" t="n">
        <v>96</v>
      </c>
      <c r="E272" t="n">
        <v>9</v>
      </c>
      <c r="F272" t="n">
        <v>123</v>
      </c>
      <c r="G272" t="n">
        <v>0</v>
      </c>
      <c r="H272" t="n">
        <v>0</v>
      </c>
      <c r="I272" t="n">
        <v>0</v>
      </c>
      <c r="J272" t="n">
        <v>0</v>
      </c>
      <c r="K272">
        <f>G272-H272-I272-J272</f>
        <v>0</v>
      </c>
    </row>
    <row r="273">
      <c r="A273" s="11" t="n">
        <v>46233</v>
      </c>
      <c r="B273" t="inlineStr">
        <is>
          <t>S04</t>
        </is>
      </c>
      <c r="C273" t="inlineStr">
        <is>
          <t>Contacts from Xero</t>
        </is>
      </c>
      <c r="D273" t="n">
        <v>24</v>
      </c>
      <c r="E273" t="n">
        <v>2</v>
      </c>
      <c r="F273" t="n">
        <v>30</v>
      </c>
      <c r="G273" t="n">
        <v>0</v>
      </c>
      <c r="H273" t="n">
        <v>0</v>
      </c>
      <c r="I273" t="n">
        <v>0</v>
      </c>
      <c r="J273" t="n">
        <v>0</v>
      </c>
      <c r="K273">
        <f>G273-H273-I273-J273</f>
        <v>0</v>
      </c>
    </row>
    <row r="274">
      <c r="A274" s="11" t="n">
        <v>46233</v>
      </c>
      <c r="B274" t="inlineStr">
        <is>
          <t>S05</t>
        </is>
      </c>
      <c r="C274" t="inlineStr">
        <is>
          <t>Nightly checks</t>
        </is>
      </c>
      <c r="D274" t="n">
        <v>1</v>
      </c>
      <c r="E274" t="n">
        <v>1</v>
      </c>
      <c r="F274" t="n">
        <v>22</v>
      </c>
      <c r="G274" t="n">
        <v>0</v>
      </c>
      <c r="H274" t="n">
        <v>0</v>
      </c>
      <c r="I274" t="n">
        <v>0</v>
      </c>
      <c r="J274" t="n">
        <v>0</v>
      </c>
      <c r="K274">
        <f>G274-H274-I274-J274</f>
        <v>0</v>
      </c>
    </row>
    <row r="275">
      <c r="A275" s="11" t="n">
        <v>46233</v>
      </c>
      <c r="B275" t="inlineStr">
        <is>
          <t>S06</t>
        </is>
      </c>
      <c r="C275" t="inlineStr">
        <is>
          <t>Docket photo to Drive</t>
        </is>
      </c>
      <c r="D275" t="n">
        <v>33</v>
      </c>
      <c r="E275" t="n">
        <v>33</v>
      </c>
      <c r="F275" t="n">
        <v>132</v>
      </c>
      <c r="G275" t="n">
        <v>0</v>
      </c>
      <c r="H275" t="n">
        <v>0</v>
      </c>
      <c r="I275" t="n">
        <v>0</v>
      </c>
      <c r="J275" t="n">
        <v>0</v>
      </c>
      <c r="K275">
        <f>G275-H275-I275-J275</f>
        <v>0</v>
      </c>
    </row>
    <row r="276">
      <c r="A276" s="11" t="n">
        <v>46233</v>
      </c>
      <c r="B276" t="inlineStr">
        <is>
          <t>S07</t>
        </is>
      </c>
      <c r="C276" t="inlineStr">
        <is>
          <t>Lost or damaged charge</t>
        </is>
      </c>
      <c r="D276" t="n">
        <v>96</v>
      </c>
      <c r="E276" t="n">
        <v>1</v>
      </c>
      <c r="F276" t="n">
        <v>101</v>
      </c>
      <c r="G276" t="n">
        <v>0</v>
      </c>
      <c r="H276" t="n">
        <v>0</v>
      </c>
      <c r="I276" t="n">
        <v>0</v>
      </c>
      <c r="J276" t="n">
        <v>0</v>
      </c>
      <c r="K276">
        <f>G276-H276-I276-J276</f>
        <v>0</v>
      </c>
    </row>
    <row r="277">
      <c r="A277" s="11" t="n">
        <v>46233</v>
      </c>
      <c r="B277" t="inlineStr">
        <is>
          <t>S08</t>
        </is>
      </c>
      <c r="C277" t="inlineStr">
        <is>
          <t>Site collected, final cycle</t>
        </is>
      </c>
      <c r="D277" t="n">
        <v>96</v>
      </c>
      <c r="E277" t="n">
        <v>2</v>
      </c>
      <c r="F277" t="n">
        <v>108</v>
      </c>
      <c r="G277" t="n">
        <v>0</v>
      </c>
      <c r="H277" t="n">
        <v>0</v>
      </c>
      <c r="I277" t="n">
        <v>0</v>
      </c>
      <c r="J277" t="n">
        <v>0</v>
      </c>
      <c r="K277">
        <f>G277-H277-I277-J277</f>
        <v>0</v>
      </c>
    </row>
    <row r="278">
      <c r="A278" s="11" t="n">
        <v>46233</v>
      </c>
      <c r="B278" t="inlineStr">
        <is>
          <t>S10</t>
        </is>
      </c>
      <c r="C278" t="inlineStr">
        <is>
          <t>Error monitor</t>
        </is>
      </c>
      <c r="D278" t="n">
        <v>1</v>
      </c>
      <c r="E278" t="n">
        <v>1</v>
      </c>
      <c r="F278" t="n">
        <v>11</v>
      </c>
      <c r="G278" t="n">
        <v>0</v>
      </c>
      <c r="H278" t="n">
        <v>0</v>
      </c>
      <c r="I278" t="n">
        <v>0</v>
      </c>
      <c r="J278" t="n">
        <v>0</v>
      </c>
      <c r="K278">
        <f>G278-H278-I278-J278</f>
        <v>0</v>
      </c>
    </row>
    <row r="279">
      <c r="A279" s="11" t="n">
        <v>46234</v>
      </c>
      <c r="B279" t="inlineStr">
        <is>
          <t>S01</t>
        </is>
      </c>
      <c r="C279" t="inlineStr">
        <is>
          <t>Movement in</t>
        </is>
      </c>
      <c r="D279" t="n">
        <v>96</v>
      </c>
      <c r="E279" t="n">
        <v>27</v>
      </c>
      <c r="F279" t="n">
        <v>231</v>
      </c>
      <c r="G279" t="n">
        <v>0</v>
      </c>
      <c r="H279" t="n">
        <v>0</v>
      </c>
      <c r="I279" t="n">
        <v>0</v>
      </c>
      <c r="J279" t="n">
        <v>0</v>
      </c>
      <c r="K279">
        <f>G279-H279-I279-J279</f>
        <v>0</v>
      </c>
    </row>
    <row r="280">
      <c r="A280" s="11" t="n">
        <v>46234</v>
      </c>
      <c r="B280" t="inlineStr">
        <is>
          <t>S02</t>
        </is>
      </c>
      <c r="C280" t="inlineStr">
        <is>
          <t>Hire billing run</t>
        </is>
      </c>
      <c r="D280" t="n">
        <v>1</v>
      </c>
      <c r="E280" t="n">
        <v>0</v>
      </c>
      <c r="F280" t="n">
        <v>1</v>
      </c>
      <c r="G280" t="n">
        <v>0</v>
      </c>
      <c r="H280" t="n">
        <v>0</v>
      </c>
      <c r="I280" t="n">
        <v>0</v>
      </c>
      <c r="J280" t="n">
        <v>0</v>
      </c>
      <c r="K280">
        <f>G280-H280-I280-J280</f>
        <v>0</v>
      </c>
    </row>
    <row r="281">
      <c r="A281" s="11" t="n">
        <v>46234</v>
      </c>
      <c r="B281" t="inlineStr">
        <is>
          <t>S03</t>
        </is>
      </c>
      <c r="C281" t="inlineStr">
        <is>
          <t>Payments back from Xero</t>
        </is>
      </c>
      <c r="D281" t="n">
        <v>96</v>
      </c>
      <c r="E281" t="n">
        <v>13</v>
      </c>
      <c r="F281" t="n">
        <v>135</v>
      </c>
      <c r="G281" t="n">
        <v>0</v>
      </c>
      <c r="H281" t="n">
        <v>0</v>
      </c>
      <c r="I281" t="n">
        <v>0</v>
      </c>
      <c r="J281" t="n">
        <v>0</v>
      </c>
      <c r="K281">
        <f>G281-H281-I281-J281</f>
        <v>0</v>
      </c>
    </row>
    <row r="282">
      <c r="A282" s="11" t="n">
        <v>46234</v>
      </c>
      <c r="B282" t="inlineStr">
        <is>
          <t>S04</t>
        </is>
      </c>
      <c r="C282" t="inlineStr">
        <is>
          <t>Contacts from Xero</t>
        </is>
      </c>
      <c r="D282" t="n">
        <v>24</v>
      </c>
      <c r="E282" t="n">
        <v>2</v>
      </c>
      <c r="F282" t="n">
        <v>30</v>
      </c>
      <c r="G282" t="n">
        <v>0</v>
      </c>
      <c r="H282" t="n">
        <v>0</v>
      </c>
      <c r="I282" t="n">
        <v>0</v>
      </c>
      <c r="J282" t="n">
        <v>0</v>
      </c>
      <c r="K282">
        <f>G282-H282-I282-J282</f>
        <v>0</v>
      </c>
    </row>
    <row r="283">
      <c r="A283" s="11" t="n">
        <v>46234</v>
      </c>
      <c r="B283" t="inlineStr">
        <is>
          <t>S05</t>
        </is>
      </c>
      <c r="C283" t="inlineStr">
        <is>
          <t>Nightly checks</t>
        </is>
      </c>
      <c r="D283" t="n">
        <v>1</v>
      </c>
      <c r="E283" t="n">
        <v>1</v>
      </c>
      <c r="F283" t="n">
        <v>22</v>
      </c>
      <c r="G283" t="n">
        <v>0</v>
      </c>
      <c r="H283" t="n">
        <v>0</v>
      </c>
      <c r="I283" t="n">
        <v>0</v>
      </c>
      <c r="J283" t="n">
        <v>0</v>
      </c>
      <c r="K283">
        <f>G283-H283-I283-J283</f>
        <v>0</v>
      </c>
    </row>
    <row r="284">
      <c r="A284" s="11" t="n">
        <v>46234</v>
      </c>
      <c r="B284" t="inlineStr">
        <is>
          <t>S06</t>
        </is>
      </c>
      <c r="C284" t="inlineStr">
        <is>
          <t>Docket photo to Drive</t>
        </is>
      </c>
      <c r="D284" t="n">
        <v>38</v>
      </c>
      <c r="E284" t="n">
        <v>38</v>
      </c>
      <c r="F284" t="n">
        <v>152</v>
      </c>
      <c r="G284" t="n">
        <v>0</v>
      </c>
      <c r="H284" t="n">
        <v>0</v>
      </c>
      <c r="I284" t="n">
        <v>0</v>
      </c>
      <c r="J284" t="n">
        <v>0</v>
      </c>
      <c r="K284">
        <f>G284-H284-I284-J284</f>
        <v>0</v>
      </c>
    </row>
    <row r="285">
      <c r="A285" s="11" t="n">
        <v>46234</v>
      </c>
      <c r="B285" t="inlineStr">
        <is>
          <t>S07</t>
        </is>
      </c>
      <c r="C285" t="inlineStr">
        <is>
          <t>Lost or damaged charge</t>
        </is>
      </c>
      <c r="D285" t="n">
        <v>96</v>
      </c>
      <c r="E285" t="n">
        <v>0</v>
      </c>
      <c r="F285" t="n">
        <v>96</v>
      </c>
      <c r="G285" t="n">
        <v>0</v>
      </c>
      <c r="H285" t="n">
        <v>0</v>
      </c>
      <c r="I285" t="n">
        <v>0</v>
      </c>
      <c r="J285" t="n">
        <v>0</v>
      </c>
      <c r="K285">
        <f>G285-H285-I285-J285</f>
        <v>0</v>
      </c>
    </row>
    <row r="286">
      <c r="A286" s="11" t="n">
        <v>46234</v>
      </c>
      <c r="B286" t="inlineStr">
        <is>
          <t>S08</t>
        </is>
      </c>
      <c r="C286" t="inlineStr">
        <is>
          <t>Site collected, final cycle</t>
        </is>
      </c>
      <c r="D286" t="n">
        <v>96</v>
      </c>
      <c r="E286" t="n">
        <v>0</v>
      </c>
      <c r="F286" t="n">
        <v>96</v>
      </c>
      <c r="G286" t="n">
        <v>0</v>
      </c>
      <c r="H286" t="n">
        <v>0</v>
      </c>
      <c r="I286" t="n">
        <v>0</v>
      </c>
      <c r="J286" t="n">
        <v>0</v>
      </c>
      <c r="K286">
        <f>G286-H286-I286-J286</f>
        <v>0</v>
      </c>
    </row>
    <row r="287">
      <c r="A287" s="11" t="n">
        <v>46234</v>
      </c>
      <c r="B287" t="inlineStr">
        <is>
          <t>S10</t>
        </is>
      </c>
      <c r="C287" t="inlineStr">
        <is>
          <t>Error monitor</t>
        </is>
      </c>
      <c r="D287" t="n">
        <v>1</v>
      </c>
      <c r="E287" t="n">
        <v>1</v>
      </c>
      <c r="F287" t="n">
        <v>11</v>
      </c>
      <c r="G287" t="n">
        <v>0</v>
      </c>
      <c r="H287" t="n">
        <v>0</v>
      </c>
      <c r="I287" t="n">
        <v>0</v>
      </c>
      <c r="J287" t="n">
        <v>0</v>
      </c>
      <c r="K287">
        <f>G287-H287-I287-J287</f>
        <v>0</v>
      </c>
    </row>
  </sheetData>
  <autoFilter ref="A4:K287"/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7" customWidth="1" min="3" max="3"/>
    <col width="46" customWidth="1" min="4" max="4"/>
    <col width="46" customWidth="1" min="5" max="5"/>
    <col width="22" customWidth="1" min="6" max="6"/>
    <col width="40" customWidth="1" min="7" max="7"/>
    <col width="10" customWidth="1" min="8" max="8"/>
  </cols>
  <sheetData>
    <row r="1">
      <c r="A1" s="6" t="inlineStr">
        <is>
          <t>Every error execution, July 2026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Date</t>
        </is>
      </c>
      <c r="B4" s="7" t="inlineStr">
        <is>
          <t>Scenario</t>
        </is>
      </c>
      <c r="C4" s="7" t="inlineStr">
        <is>
          <t>Time</t>
        </is>
      </c>
      <c r="D4" s="7" t="inlineStr">
        <is>
          <t>Error</t>
        </is>
      </c>
      <c r="E4" s="7" t="inlineStr">
        <is>
          <t>Handling</t>
        </is>
      </c>
      <c r="F4" s="7" t="inlineStr">
        <is>
          <t>Outcome</t>
        </is>
      </c>
      <c r="G4" s="7" t="inlineStr">
        <is>
          <t>Resolved by</t>
        </is>
      </c>
      <c r="H4" s="7" t="inlineStr">
        <is>
          <t>Records affected</t>
        </is>
      </c>
    </row>
    <row r="5">
      <c r="A5" s="11" t="n">
        <v>46206</v>
      </c>
      <c r="B5" t="inlineStr">
        <is>
          <t>S06</t>
        </is>
      </c>
      <c r="C5" t="inlineStr">
        <is>
          <t>11:42</t>
        </is>
      </c>
      <c r="D5" t="inlineStr">
        <is>
          <t>Google Drive: 503 Service unavailable</t>
        </is>
      </c>
      <c r="E5" t="inlineStr">
        <is>
          <t>Break, retried after 15 min</t>
        </is>
      </c>
      <c r="F5" t="inlineStr">
        <is>
          <t>Completed after retry</t>
        </is>
      </c>
      <c r="G5" t="inlineStr">
        <is>
          <t>Automatic</t>
        </is>
      </c>
      <c r="H5" t="n">
        <v>1</v>
      </c>
    </row>
    <row r="6">
      <c r="A6" s="11" t="n">
        <v>46209</v>
      </c>
      <c r="B6" t="inlineStr">
        <is>
          <t>S01</t>
        </is>
      </c>
      <c r="C6" t="inlineStr">
        <is>
          <t>08:15</t>
        </is>
      </c>
      <c r="D6" t="inlineStr">
        <is>
          <t>Airtable: 429 Too many requests</t>
        </is>
      </c>
      <c r="E6" t="inlineStr">
        <is>
          <t>Break, retried after 15 min</t>
        </is>
      </c>
      <c r="F6" t="inlineStr">
        <is>
          <t>Completed after retry</t>
        </is>
      </c>
      <c r="G6" t="inlineStr">
        <is>
          <t>Automatic</t>
        </is>
      </c>
      <c r="H6" t="n">
        <v>4</v>
      </c>
    </row>
    <row r="7">
      <c r="A7" s="11" t="n">
        <v>46211</v>
      </c>
      <c r="B7" t="inlineStr">
        <is>
          <t>S07</t>
        </is>
      </c>
      <c r="C7" t="inlineStr">
        <is>
          <t>14:30</t>
        </is>
      </c>
      <c r="D7" t="inlineStr">
        <is>
          <t>Lost charge missing on asset class SC-B</t>
        </is>
      </c>
      <c r="E7" t="inlineStr">
        <is>
          <t>Rollback, Exception raised</t>
        </is>
      </c>
      <c r="F7" t="inlineStr">
        <is>
          <t>Exception, resolved</t>
        </is>
      </c>
      <c r="G7" t="inlineStr">
        <is>
          <t>Office set the charge; S07 re-ran</t>
        </is>
      </c>
      <c r="H7" t="n">
        <v>1</v>
      </c>
    </row>
    <row r="8">
      <c r="A8" s="11" t="n">
        <v>46216</v>
      </c>
      <c r="B8" t="inlineStr">
        <is>
          <t>S03</t>
        </is>
      </c>
      <c r="C8" t="inlineStr">
        <is>
          <t>10:00</t>
        </is>
      </c>
      <c r="D8" t="inlineStr">
        <is>
          <t>Xero invoice INV-11872 paid, no Hire Period (cash sale)</t>
        </is>
      </c>
      <c r="E8" t="inlineStr">
        <is>
          <t>Resume, Exception raised</t>
        </is>
      </c>
      <c r="F8" t="inlineStr">
        <is>
          <t>Exception, resolved</t>
        </is>
      </c>
      <c r="G8" t="inlineStr">
        <is>
          <t>Office marked it not hire</t>
        </is>
      </c>
      <c r="H8" t="n">
        <v>1</v>
      </c>
    </row>
    <row r="9">
      <c r="A9" s="11" t="n">
        <v>46217</v>
      </c>
      <c r="B9" t="inlineStr">
        <is>
          <t>S02</t>
        </is>
      </c>
      <c r="C9" t="inlineStr">
        <is>
          <t>06:00</t>
        </is>
      </c>
      <c r="D9" t="inlineStr">
        <is>
          <t>Xero: 401 token expired</t>
        </is>
      </c>
      <c r="E9" t="inlineStr">
        <is>
          <t>Break, 3 retries failed; execution stored as incomplete</t>
        </is>
      </c>
      <c r="F9" t="inlineStr">
        <is>
          <t>Incomplete, resolved</t>
        </is>
      </c>
      <c r="G9" t="inlineStr">
        <is>
          <t>Office reconnected Xero at 08:40; stored execution resumed</t>
        </is>
      </c>
      <c r="H9" t="n">
        <v>2</v>
      </c>
    </row>
    <row r="10">
      <c r="A10" s="11" t="n">
        <v>46217</v>
      </c>
      <c r="B10" t="inlineStr">
        <is>
          <t>S03</t>
        </is>
      </c>
      <c r="C10" t="inlineStr">
        <is>
          <t>06:15</t>
        </is>
      </c>
      <c r="D10" t="inlineStr">
        <is>
          <t>Xero: 401 token expired</t>
        </is>
      </c>
      <c r="E10" t="inlineStr">
        <is>
          <t>Break, 3 retries failed; execution stored as incomplete</t>
        </is>
      </c>
      <c r="F10" t="inlineStr">
        <is>
          <t>Incomplete, resolved</t>
        </is>
      </c>
      <c r="G10" t="inlineStr">
        <is>
          <t>Resumed after the reconnect</t>
        </is>
      </c>
      <c r="H10" t="n">
        <v>2</v>
      </c>
    </row>
    <row r="11">
      <c r="A11" s="11" t="n">
        <v>46217</v>
      </c>
      <c r="B11" t="inlineStr">
        <is>
          <t>S04</t>
        </is>
      </c>
      <c r="C11" t="inlineStr">
        <is>
          <t>07:00</t>
        </is>
      </c>
      <c r="D11" t="inlineStr">
        <is>
          <t>Xero: 401 token expired</t>
        </is>
      </c>
      <c r="E11" t="inlineStr">
        <is>
          <t>Break, 3 retries failed; execution stored as incomplete</t>
        </is>
      </c>
      <c r="F11" t="inlineStr">
        <is>
          <t>Incomplete, resolved</t>
        </is>
      </c>
      <c r="G11" t="inlineStr">
        <is>
          <t>Resumed after the reconnect</t>
        </is>
      </c>
      <c r="H11" t="n">
        <v>1</v>
      </c>
    </row>
    <row r="12">
      <c r="A12" s="11" t="n">
        <v>46220</v>
      </c>
      <c r="B12" t="inlineStr">
        <is>
          <t>S01</t>
        </is>
      </c>
      <c r="C12" t="inlineStr">
        <is>
          <t>15:45</t>
        </is>
      </c>
      <c r="D12" t="inlineStr">
        <is>
          <t>Movement for site S0412, status Collected</t>
        </is>
      </c>
      <c r="E12" t="inlineStr">
        <is>
          <t>Exception raised, no write</t>
        </is>
      </c>
      <c r="F12" t="inlineStr">
        <is>
          <t>Exception, resolved</t>
        </is>
      </c>
      <c r="G12" t="inlineStr">
        <is>
          <t>Yard corrected the site to S0421</t>
        </is>
      </c>
      <c r="H12" t="n">
        <v>1</v>
      </c>
    </row>
    <row r="13">
      <c r="A13" s="11" t="n">
        <v>46222</v>
      </c>
      <c r="B13" t="inlineStr">
        <is>
          <t>S02</t>
        </is>
      </c>
      <c r="C13" t="inlineStr">
        <is>
          <t>06:00</t>
        </is>
      </c>
      <c r="D13" t="inlineStr">
        <is>
          <t>Xero: 429 Too many requests</t>
        </is>
      </c>
      <c r="E13" t="inlineStr">
        <is>
          <t>Break, retried after 15 min</t>
        </is>
      </c>
      <c r="F13" t="inlineStr">
        <is>
          <t>Completed after retry</t>
        </is>
      </c>
      <c r="G13" t="inlineStr">
        <is>
          <t>Automatic</t>
        </is>
      </c>
      <c r="H13" t="n">
        <v>6</v>
      </c>
    </row>
    <row r="14">
      <c r="A14" s="11" t="n">
        <v>46225</v>
      </c>
      <c r="B14" t="inlineStr">
        <is>
          <t>S06</t>
        </is>
      </c>
      <c r="C14" t="inlineStr">
        <is>
          <t>09:10</t>
        </is>
      </c>
      <c r="D14" t="inlineStr">
        <is>
          <t>Glide: photo URL expired</t>
        </is>
      </c>
      <c r="E14" t="inlineStr">
        <is>
          <t>Break, 3 retries failed; execution stored as incomplete</t>
        </is>
      </c>
      <c r="F14" t="inlineStr">
        <is>
          <t>Incomplete, resolved</t>
        </is>
      </c>
      <c r="G14" t="inlineStr">
        <is>
          <t>Yard re-uploaded the photo</t>
        </is>
      </c>
      <c r="H14" t="n">
        <v>1</v>
      </c>
    </row>
    <row r="15">
      <c r="A15" s="11" t="n">
        <v>46229</v>
      </c>
      <c r="B15" t="inlineStr">
        <is>
          <t>S09</t>
        </is>
      </c>
      <c r="C15" t="inlineStr">
        <is>
          <t>00:00</t>
        </is>
      </c>
      <c r="D15" t="inlineStr">
        <is>
          <t>Google Drive: 503 Service unavailable</t>
        </is>
      </c>
      <c r="E15" t="inlineStr">
        <is>
          <t>Break, retried after 15 min</t>
        </is>
      </c>
      <c r="F15" t="inlineStr">
        <is>
          <t>Completed after retry</t>
        </is>
      </c>
      <c r="G15" t="inlineStr">
        <is>
          <t>Automatic</t>
        </is>
      </c>
      <c r="H15" t="n">
        <v>7</v>
      </c>
    </row>
    <row r="16">
      <c r="A16" s="11" t="n">
        <v>46231</v>
      </c>
      <c r="B16" t="inlineStr">
        <is>
          <t>S08</t>
        </is>
      </c>
      <c r="C16" t="inlineStr">
        <is>
          <t>16:20</t>
        </is>
      </c>
      <c r="D16" t="inlineStr">
        <is>
          <t>Xero: 400 contact archived</t>
        </is>
      </c>
      <c r="E16" t="inlineStr">
        <is>
          <t>Rollback, Exception raised</t>
        </is>
      </c>
      <c r="F16" t="inlineStr">
        <is>
          <t>Exception, resolved</t>
        </is>
      </c>
      <c r="G16" t="inlineStr">
        <is>
          <t>Office restored the contact; S08 re-ran</t>
        </is>
      </c>
      <c r="H16" t="n">
        <v>1</v>
      </c>
    </row>
  </sheetData>
  <autoFilter ref="A4:H16"/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0" customWidth="1" min="1" max="1"/>
    <col width="16" customWidth="1" min="2" max="2"/>
    <col width="16" customWidth="1" min="3" max="3"/>
    <col width="9" customWidth="1" min="4" max="4"/>
    <col width="70" customWidth="1" min="5" max="5"/>
  </cols>
  <sheetData>
    <row r="1">
      <c r="A1" s="6" t="inlineStr">
        <is>
          <t>Control checks (formula-driven)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Check</t>
        </is>
      </c>
      <c r="B4" s="7" t="inlineStr">
        <is>
          <t>Expected</t>
        </is>
      </c>
      <c r="C4" s="7" t="inlineStr">
        <is>
          <t>Actual</t>
        </is>
      </c>
      <c r="D4" s="7" t="inlineStr">
        <is>
          <t>Result</t>
        </is>
      </c>
      <c r="E4" s="7" t="inlineStr">
        <is>
          <t>Why it matters</t>
        </is>
      </c>
    </row>
    <row r="5">
      <c r="A5" t="inlineStr">
        <is>
          <t>Lines counted + voided = lines in the export</t>
        </is>
      </c>
      <c r="B5" s="12">
        <f>COUNTA('Invoice Lines'!$A$5:$A$2542)</f>
        <v>2538</v>
      </c>
      <c r="C5" s="12">
        <f>SUM('Invoice Lines'!$M$5:$M$2542)+COUNTIF('Invoice Lines'!$L$5:$L$2542,"VOIDED")</f>
        <v>2538</v>
      </c>
      <c r="D5" t="str">
        <f>IF(ROUND(N(B5)-N(C5),2)=0,"PASS","FAIL")</f>
        <v>PASS</v>
      </c>
      <c r="E5" t="inlineStr">
        <is>
          <t>Nothing dropped or double counted</t>
        </is>
      </c>
    </row>
    <row r="6">
      <c r="A6" t="inlineStr">
        <is>
          <t>Income by rule (Category Rules) = income in the export</t>
        </is>
      </c>
      <c r="B6" s="12">
        <f>SUMIFS('Invoice Lines'!$K$5:$K$2542,'Invoice Lines'!$M$5:$M$2542,1)</f>
        <v>1758394.15</v>
      </c>
      <c r="C6" s="12">
        <f>'Category Rules'!H19</f>
        <v>1758394.15</v>
      </c>
      <c r="D6" t="str">
        <f>IF(ROUND(N(B6)-N(C6),2)=0,"PASS","FAIL")</f>
        <v>PASS</v>
      </c>
      <c r="E6" t="inlineStr">
        <is>
          <t>Every line falls under exactly one rule or the no-rule bucket</t>
        </is>
      </c>
    </row>
    <row r="7">
      <c r="A7" t="inlineStr">
        <is>
          <t>Lines by rule = counted lines</t>
        </is>
      </c>
      <c r="B7" s="12">
        <f>SUM('Invoice Lines'!$M$5:$M$2542)</f>
        <v>2524</v>
      </c>
      <c r="C7" s="12">
        <f>'Category Rules'!G19</f>
        <v>2524</v>
      </c>
      <c r="D7" t="str">
        <f>IF(ROUND(N(B7)-N(C7),2)=0,"PASS","FAIL")</f>
        <v>PASS</v>
      </c>
      <c r="E7" t="inlineStr">
        <is>
          <t>Same, by count</t>
        </is>
      </c>
    </row>
    <row r="8">
      <c r="A8" t="inlineStr">
        <is>
          <t>Revenue by Service total = income in the export</t>
        </is>
      </c>
      <c r="B8" s="12">
        <f>SUMIFS('Invoice Lines'!$K$5:$K$2542,'Invoice Lines'!$M$5:$M$2542,1)</f>
        <v>1758394.15</v>
      </c>
      <c r="C8" s="12">
        <f>'Revenue by Service'!P16</f>
        <v>1758394.15</v>
      </c>
      <c r="D8" t="str">
        <f>IF(ROUND(N(B8)-N(C8),2)=0,"PASS","FAIL")</f>
        <v>PASS</v>
      </c>
      <c r="E8" t="inlineStr">
        <is>
          <t>The new view loses nothing</t>
        </is>
      </c>
    </row>
    <row r="9">
      <c r="A9" t="inlineStr">
        <is>
          <t>Before (200 + 260) = after (Revenue by Service)</t>
        </is>
      </c>
      <c r="B9" s="12">
        <f>SUM('Revenue by Service'!P19:P20)</f>
        <v>1758394.15</v>
      </c>
      <c r="C9" s="12">
        <f>'Revenue by Service'!P16</f>
        <v>1758394.15</v>
      </c>
      <c r="D9" t="str">
        <f>IF(ROUND(N(B9)-N(C9),2)=0,"PASS","FAIL")</f>
        <v>PASS</v>
      </c>
      <c r="E9" t="inlineStr">
        <is>
          <t>Re-coding moves income, it does not create it</t>
        </is>
      </c>
    </row>
    <row r="10">
      <c r="A10" t="inlineStr">
        <is>
          <t>Recode journals: debits = credits</t>
        </is>
      </c>
      <c r="B10" s="12">
        <f>SUM('Recode Journals'!$E$5:$E$366)</f>
        <v>1659453.04</v>
      </c>
      <c r="C10" s="12">
        <f>SUM('Recode Journals'!$F$5:$F$366)</f>
        <v>1659453.04</v>
      </c>
      <c r="D10" t="str">
        <f>IF(ROUND(N(B10)-N(C10),2)=0,"PASS","FAIL")</f>
        <v>PASS</v>
      </c>
      <c r="E10" t="inlineStr">
        <is>
          <t>Journals balance</t>
        </is>
      </c>
    </row>
    <row r="11">
      <c r="A11" t="inlineStr">
        <is>
          <t>Recode journals: months out of balance</t>
        </is>
      </c>
      <c r="B11" s="12" t="n">
        <v>0</v>
      </c>
      <c r="C11" s="12">
        <f>COUNTIF('Recode Journals'!$H$5:$H$366,"&lt;&gt;0")</f>
        <v>0</v>
      </c>
      <c r="D11" t="str">
        <f>IF(ROUND(N(B11)-N(C11),2)=0,"PASS","FAIL")</f>
        <v>PASS</v>
      </c>
      <c r="E11" t="inlineStr">
        <is>
          <t>Each monthly journal balances on its own</t>
        </is>
      </c>
    </row>
    <row r="12">
      <c r="A12" t="inlineStr">
        <is>
          <t>Recode journals: net credit to 4010-4040 and 835 = rule-coded income</t>
        </is>
      </c>
      <c r="B12" s="12">
        <f>SUMIFS('Invoice Lines'!$K$5:$K$2542,'Invoice Lines'!$M$5:$M$2542,1,'Invoice Lines'!$R$5:$R$2542,"&lt;&gt;")-SUMIFS('Invoice Lines'!$K$5:$K$2542,'Invoice Lines'!$M$5:$M$2542,1,'Invoice Lines'!$R$5:$R$2542,"")</f>
        <v>1659453.04</v>
      </c>
      <c r="C12" s="12">
        <f>SUMIFS('Recode Journals'!$F$5:$F$366,'Recode Journals'!$C$5:$C$366,"&gt;=835")-SUMIFS('Recode Journals'!$E$5:$E$366,'Recode Journals'!$C$5:$C$366,"&gt;=835")</f>
        <v>1659453.04</v>
      </c>
      <c r="D12" t="str">
        <f>IF(ROUND(N(B12)-N(C12),2)=0,"PASS","FAIL")</f>
        <v>PASS</v>
      </c>
      <c r="E12" t="inlineStr">
        <is>
          <t>Journals match the line-level coding</t>
        </is>
      </c>
    </row>
    <row r="13">
      <c r="A13" t="inlineStr">
        <is>
          <t>Rule-coded lines with no account</t>
        </is>
      </c>
      <c r="B13" s="12" t="n">
        <v>0</v>
      </c>
      <c r="C13" s="12">
        <f>COUNTIFS('Invoice Lines'!$M$5:$M$2542,1,'Invoice Lines'!$Q$5:$Q$2542,"&lt;&gt;CONTEXT",'Invoice Lines'!$Q$5:$Q$2542,"&lt;&gt;REVIEW",'Invoice Lines'!$R$5:$R$2542,"")</f>
        <v>0</v>
      </c>
      <c r="D13" t="str">
        <f>IF(ROUND(N(B13)-N(C13),2)=0,"PASS","FAIL")</f>
        <v>PASS</v>
      </c>
      <c r="E13" t="inlineStr">
        <is>
          <t>Every rule gives an account</t>
        </is>
      </c>
    </row>
    <row r="14">
      <c r="A14" t="inlineStr">
        <is>
          <t>Review queue = counted lines needing a person</t>
        </is>
      </c>
      <c r="B14" s="12">
        <f>COUNTIFS('Invoice Lines'!$M$5:$M$2542,1,'Invoice Lines'!$Q$5:$Q$2542,"CONTEXT")+COUNTIFS('Invoice Lines'!$M$5:$M$2542,1,'Invoice Lines'!$Q$5:$Q$2542,"REVIEW")</f>
        <v>46</v>
      </c>
      <c r="C14" s="12">
        <f>COUNTA('Review Queue'!A5:A50)</f>
        <v>46</v>
      </c>
      <c r="D14" t="str">
        <f>IF(ROUND(N(B14)-N(C14),2)=0,"PASS","FAIL")</f>
        <v>PASS</v>
      </c>
      <c r="E14" t="inlineStr">
        <is>
          <t>Nothing needing a decision is hidden</t>
        </is>
      </c>
    </row>
    <row r="15">
      <c r="A15" t="inlineStr">
        <is>
          <t>Tax Review lines = counted lines with the wrong tax rate</t>
        </is>
      </c>
      <c r="B15" s="12">
        <f>COUNTIFS('Invoice Lines'!$M$5:$M$2542,1,'Invoice Lines'!$U$5:$U$2542,0)</f>
        <v>83</v>
      </c>
      <c r="C15" s="12">
        <f>COUNTA('Tax Review'!A5:A87)</f>
        <v>83</v>
      </c>
      <c r="D15" t="str">
        <f>IF(ROUND(N(B15)-N(C15),2)=0,"PASS","FAIL")</f>
        <v>PASS</v>
      </c>
      <c r="E15" t="inlineStr">
        <is>
          <t>Every tax error is listed</t>
        </is>
      </c>
    </row>
    <row r="16">
      <c r="A16" t="inlineStr">
        <is>
          <t>GST effect: Tax Review = Invoice Lines</t>
        </is>
      </c>
      <c r="B16" s="12">
        <f>SUM('Invoice Lines'!$V$5:$V$2542)</f>
        <v>3317.29</v>
      </c>
      <c r="C16" s="12">
        <f>'Tax Review'!N9</f>
        <v>3317.29</v>
      </c>
      <c r="D16" t="str">
        <f>IF(ROUND(N(B16)-N(C16),2)=0,"PASS","FAIL")</f>
        <v>PASS</v>
      </c>
      <c r="E16" t="inlineStr">
        <is>
          <t>Two independent calculations agree</t>
        </is>
      </c>
    </row>
    <row r="17">
      <c r="A17" t="inlineStr">
        <is>
          <t>Contacts whose master is missing or merged again</t>
        </is>
      </c>
      <c r="B17" s="12" t="n">
        <v>0</v>
      </c>
      <c r="C17" s="12">
        <f>COUNTIF('Contacts'!$O$5:$O$157,"&lt;&gt;OK")</f>
        <v>0</v>
      </c>
      <c r="D17" t="str">
        <f>IF(ROUND(N(B17)-N(C17),2)=0,"PASS","FAIL")</f>
        <v>PASS</v>
      </c>
      <c r="E17" t="inlineStr">
        <is>
          <t>One level of merge, no chains</t>
        </is>
      </c>
    </row>
    <row r="18">
      <c r="A18" t="inlineStr">
        <is>
          <t>Contacts kept separate (similar name, different tax number) that were merged</t>
        </is>
      </c>
      <c r="B18" s="12" t="n">
        <v>0</v>
      </c>
      <c r="C18" s="12">
        <f>COUNTIFS('Contacts'!$H$5:$H$157,"N1",'Contacts'!$L$5:$L$157,"Merge*")</f>
        <v>0</v>
      </c>
      <c r="D18" t="str">
        <f>IF(ROUND(N(B18)-N(C18),2)=0,"PASS","FAIL")</f>
        <v>PASS</v>
      </c>
      <c r="E18" t="inlineStr">
        <is>
          <t>No false merges</t>
        </is>
      </c>
    </row>
    <row r="19">
      <c r="A19" t="inlineStr">
        <is>
          <t>Invoice lines by contact = lines in the export</t>
        </is>
      </c>
      <c r="B19" s="12">
        <f>COUNTA('Invoice Lines'!$A$5:$A$2542)</f>
        <v>2538</v>
      </c>
      <c r="C19" s="12">
        <f>SUM('Contacts'!M5:M157)</f>
        <v>2538</v>
      </c>
      <c r="D19" t="str">
        <f>IF(ROUND(N(B19)-N(C19),2)=0,"PASS","FAIL")</f>
        <v>PASS</v>
      </c>
      <c r="E19" t="inlineStr">
        <is>
          <t>Every line belongs to a known contact</t>
        </is>
      </c>
    </row>
    <row r="20">
      <c r="A20" t="inlineStr">
        <is>
          <t>Duplicate dockets left in the clean log</t>
        </is>
      </c>
      <c r="B20" s="12" t="n">
        <v>0</v>
      </c>
      <c r="C20" s="12">
        <f>COUNTIF('Asset Log'!$M$5:$M$1379,"&gt;1")</f>
        <v>0</v>
      </c>
      <c r="D20" t="str">
        <f>IF(ROUND(N(B20)-N(C20),2)=0,"PASS","FAIL")</f>
        <v>PASS</v>
      </c>
      <c r="E20" t="inlineStr">
        <is>
          <t>Each docket counted once</t>
        </is>
      </c>
    </row>
    <row r="21">
      <c r="A21" t="inlineStr">
        <is>
          <t>Duplicate dockets removed = DUPLICATE issues</t>
        </is>
      </c>
      <c r="B21" s="12" t="n">
        <v>21</v>
      </c>
      <c r="C21" s="12">
        <f>COUNTIF('Log Issues'!$G$5:$G$54,"DUPLICATE")</f>
        <v>21</v>
      </c>
      <c r="D21" t="str">
        <f>IF(ROUND(N(B21)-N(C21),2)=0,"PASS","FAIL")</f>
        <v>PASS</v>
      </c>
      <c r="E21" t="inlineStr">
        <is>
          <t>Every removal is on the issues list</t>
        </is>
      </c>
    </row>
    <row r="22">
      <c r="A22" t="inlineStr">
        <is>
          <t>Sites below zero at 30 June</t>
        </is>
      </c>
      <c r="B22" s="12" t="n">
        <v>0</v>
      </c>
      <c r="C22" s="12">
        <f>COUNTIF('Asset Position'!$E$5:$E$138,"&lt;0")</f>
        <v>0</v>
      </c>
      <c r="D22" t="str">
        <f>IF(ROUND(N(B22)-N(C22),2)=0,"PASS","FAIL")</f>
        <v>PASS</v>
      </c>
      <c r="E22" t="inlineStr">
        <is>
          <t>Wrong-site returns all resolved</t>
        </is>
      </c>
    </row>
    <row r="23">
      <c r="A23" t="inlineStr">
        <is>
          <t>Asset Position total = net units in the log to 30 June</t>
        </is>
      </c>
      <c r="B23" s="12">
        <f>SUMIFS('Asset Log'!$H$5:$H$1379,'Asset Log'!$J$5:$J$1379,1)</f>
        <v>8192</v>
      </c>
      <c r="C23" s="12">
        <f>SUM('Asset Position'!$E$5:$E$138)</f>
        <v>8192</v>
      </c>
      <c r="D23" t="str">
        <f>IF(ROUND(N(B23)-N(C23),2)=0,"PASS","FAIL")</f>
        <v>PASS</v>
      </c>
      <c r="E23" t="inlineStr">
        <is>
          <t>Position is complete</t>
        </is>
      </c>
    </row>
    <row r="24">
      <c r="A24" t="inlineStr">
        <is>
          <t>Fleet: should own - yard - on hire - not returned - variance</t>
        </is>
      </c>
      <c r="B24" s="12" t="n">
        <v>0</v>
      </c>
      <c r="C24" s="12">
        <f>'Fleet Reconciliation'!F10-'Fleet Reconciliation'!G10-'Fleet Reconciliation'!H10-'Fleet Reconciliation'!I10-'Fleet Reconciliation'!J10</f>
        <v>0</v>
      </c>
      <c r="D24" t="str">
        <f>IF(ROUND(N(B24)-N(C24),2)=0,"PASS","FAIL")</f>
        <v>PASS</v>
      </c>
      <c r="E24" t="inlineStr">
        <is>
          <t>Fleet adds up</t>
        </is>
      </c>
    </row>
    <row r="25">
      <c r="A25" t="inlineStr">
        <is>
          <t>Stocktake variance = STOCKTAKE VARIANCE issues</t>
        </is>
      </c>
      <c r="B25" s="12">
        <f>'Fleet Reconciliation'!J10</f>
        <v>1</v>
      </c>
      <c r="C25" s="12">
        <f>SUMIFS('Log Issues'!$E$5:$E$54,'Log Issues'!$G$5:$G$54,"STOCKTAKE VARIANCE")</f>
        <v>1</v>
      </c>
      <c r="D25" t="str">
        <f>IF(ROUND(N(B25)-N(C25),2)=0,"PASS","FAIL")</f>
        <v>PASS</v>
      </c>
      <c r="E25" t="inlineStr">
        <is>
          <t>Variance is raised, not absorbed</t>
        </is>
      </c>
    </row>
    <row r="26">
      <c r="A26" t="inlineStr">
        <is>
          <t>Billable unit-weeks: Billing Check = Hire Cycles in FY26</t>
        </is>
      </c>
      <c r="B26" s="12">
        <f>SUMIFS('Hire Cycles'!$F$5:$F$1069,'Hire Cycles'!$G$5:$G$1069,1)</f>
        <v>198231</v>
      </c>
      <c r="C26" s="12">
        <f>SUM('Hire Billing Check'!$E$5:$E$450)</f>
        <v>198231</v>
      </c>
      <c r="D26" t="str">
        <f>IF(ROUND(N(B26)-N(C26),2)=0,"PASS","FAIL")</f>
        <v>PASS</v>
      </c>
      <c r="E26" t="inlineStr">
        <is>
          <t>Billing check is complete</t>
        </is>
      </c>
    </row>
    <row r="27">
      <c r="A27" t="inlineStr">
        <is>
          <t>Invoiced hire unit-weeks: Billing Check = Invoice Lines</t>
        </is>
      </c>
      <c r="B27" s="12">
        <f>SUMIFS('Invoice Lines'!$J$5:$J$2542,'Invoice Lines'!$Q$5:$Q$2542,"HIRE-*",'Invoice Lines'!$M$5:$M$2542,1,'Invoice Lines'!$K$5:$K$2542,"&gt;0")</f>
        <v>187870</v>
      </c>
      <c r="C27" s="12">
        <f>SUM('Hire Billing Check'!$F$5:$F$450)</f>
        <v>187870</v>
      </c>
      <c r="D27" t="str">
        <f>IF(ROUND(N(B27)-N(C27),2)=0,"PASS","FAIL")</f>
        <v>PASS</v>
      </c>
      <c r="E27" t="inlineStr">
        <is>
          <t>Every hire line is matched to a site</t>
        </is>
      </c>
    </row>
    <row r="28">
      <c r="A28" t="inlineStr">
        <is>
          <t>Hire credits: Billing Check = Invoice Lines</t>
        </is>
      </c>
      <c r="B28" s="12">
        <f>SUMIFS('Invoice Lines'!$K$5:$K$2542,'Invoice Lines'!$Q$5:$Q$2542,"HIRE-*",'Invoice Lines'!$M$5:$M$2542,1,'Invoice Lines'!$K$5:$K$2542,"&lt;0")</f>
        <v>-2770.11</v>
      </c>
      <c r="C28" s="12">
        <f>SUM('Hire Billing Check'!$I$5:$I$450)</f>
        <v>-2770.11</v>
      </c>
      <c r="D28" t="str">
        <f>IF(ROUND(N(B28)-N(C28),2)=0,"PASS","FAIL")</f>
        <v>PASS</v>
      </c>
      <c r="E28" t="inlineStr">
        <is>
          <t>Credit notes are counted</t>
        </is>
      </c>
    </row>
    <row r="29">
      <c r="A29" t="inlineStr">
        <is>
          <t>Make run log: errors = incidents listed</t>
        </is>
      </c>
      <c r="B29" s="12">
        <f>COUNTA('Make Incidents'!$A$5:$A$16)</f>
        <v>12</v>
      </c>
      <c r="C29" s="12">
        <f>SUM('Make Run Log'!$G$5:$G$287)</f>
        <v>12</v>
      </c>
      <c r="D29" t="str">
        <f>IF(ROUND(N(B29)-N(C29),2)=0,"PASS","FAIL")</f>
        <v>PASS</v>
      </c>
      <c r="E29" t="inlineStr">
        <is>
          <t>Every error execution is explained</t>
        </is>
      </c>
    </row>
    <row r="30">
      <c r="A30" t="inlineStr">
        <is>
          <t>Make run log: every error retried, resumed or raised</t>
        </is>
      </c>
      <c r="B30" s="12">
        <f>SUM('Make Run Log'!$G$5:$G$287)</f>
        <v>12</v>
      </c>
      <c r="C30" s="12">
        <f>SUM('Make Run Log'!$H$5:$H$287)+SUM('Make Run Log'!$I$5:$I$287)+SUM('Make Run Log'!$J$5:$J$287)</f>
        <v>12</v>
      </c>
      <c r="D30" t="str">
        <f>IF(ROUND(N(B30)-N(C30),2)=0,"PASS","FAIL")</f>
        <v>PASS</v>
      </c>
      <c r="E30" t="inlineStr">
        <is>
          <t>No error is dropped silently</t>
        </is>
      </c>
    </row>
    <row r="31">
      <c r="A31" t="inlineStr">
        <is>
          <t>Make run log: unresolved errors</t>
        </is>
      </c>
      <c r="B31" s="12" t="n">
        <v>0</v>
      </c>
      <c r="C31" s="12">
        <f>SUM('Make Run Log'!$K$5:$K$287)</f>
        <v>0</v>
      </c>
      <c r="D31" t="str">
        <f>IF(ROUND(N(B31)-N(C31),2)=0,"PASS","FAIL")</f>
        <v>PASS</v>
      </c>
      <c r="E31" t="inlineStr">
        <is>
          <t>Nothing left incomplete at month end</t>
        </is>
      </c>
    </row>
    <row r="32">
      <c r="A32" t="inlineStr">
        <is>
          <t>Make run log: S02 drafts = Make July Run</t>
        </is>
      </c>
      <c r="B32" s="12">
        <f>COUNTA('Make July Run'!$A$5:$A$80)</f>
        <v>76</v>
      </c>
      <c r="C32" s="12">
        <f>SUMIFS('Make Run Log'!$E$5:$E$287,'Make Run Log'!$B$5:$B$287,"S02")</f>
        <v>76</v>
      </c>
      <c r="D32" t="str">
        <f>IF(ROUND(N(B32)-N(C32),2)=0,"PASS","FAIL")</f>
        <v>PASS</v>
      </c>
      <c r="E32" t="inlineStr">
        <is>
          <t>The log and the billing run agree</t>
        </is>
      </c>
    </row>
    <row r="33">
      <c r="A33" t="inlineStr">
        <is>
          <t>Make run log: S02 ran every day in July</t>
        </is>
      </c>
      <c r="B33" s="12" t="n">
        <v>31</v>
      </c>
      <c r="C33" s="12">
        <f>COUNTIF('Make Run Log'!$B$5:$B$287,"S02")</f>
        <v>31</v>
      </c>
      <c r="D33" t="str">
        <f>IF(ROUND(N(B33)-N(C33),2)=0,"PASS","FAIL")</f>
        <v>PASS</v>
      </c>
      <c r="E33" t="inlineStr">
        <is>
          <t>A missed day would miss cycles</t>
        </is>
      </c>
    </row>
    <row r="34">
      <c r="A34" t="inlineStr">
        <is>
          <t>Make run log: every scenario has run history</t>
        </is>
      </c>
      <c r="B34" s="12">
        <f>COUNTA('Make Scenarios'!A5:A14)</f>
        <v>10</v>
      </c>
      <c r="C34" s="12">
        <f>SUMPRODUCT(--(COUNTIF('Make Run Log'!$B$5:$B$287,'Make Scenarios'!A5:A14)&gt;0))</f>
        <v>10</v>
      </c>
      <c r="D34" t="str">
        <f>IF(ROUND(N(B34)-N(C34),2)=0,"PASS","FAIL")</f>
        <v>PASS</v>
      </c>
      <c r="E34" t="inlineStr">
        <is>
          <t>No scenario is switched off unnoticed</t>
        </is>
      </c>
    </row>
    <row r="35">
      <c r="A35" t="inlineStr">
        <is>
          <t>Make July run: repeated idempotency keys</t>
        </is>
      </c>
      <c r="B35" s="12" t="n">
        <v>0</v>
      </c>
      <c r="C35" s="12">
        <f>COUNTIF('Make July Run'!$L$5:$L$80,"&gt;1")</f>
        <v>0</v>
      </c>
      <c r="D35" t="str">
        <f>IF(ROUND(N(B35)-N(C35),2)=0,"PASS","FAIL")</f>
        <v>PASS</v>
      </c>
      <c r="E35" t="inlineStr">
        <is>
          <t>A re-run cannot double bill</t>
        </is>
      </c>
    </row>
    <row r="36">
      <c r="A36" t="inlineStr">
        <is>
          <t>Make July run: amount = unit-weeks x rate</t>
        </is>
      </c>
      <c r="B36" s="12">
        <f>SUMPRODUCT('Make July Run'!$H$5:$H$80,'Make July Run'!$I$5:$I$80)</f>
        <v>75582</v>
      </c>
      <c r="C36" s="12">
        <f>SUM('Make July Run'!$J$5:$J$80)</f>
        <v>75582</v>
      </c>
      <c r="D36" t="str">
        <f>IF(ROUND(N(B36)-N(C36),2)=0,"PASS","FAIL")</f>
        <v>PASS</v>
      </c>
      <c r="E36" t="inlineStr">
        <is>
          <t>Draft amounts are right</t>
        </is>
      </c>
    </row>
    <row r="37">
      <c r="A37" t="inlineStr">
        <is>
          <t>Exceptions: billing rows = pairs not agreeing</t>
        </is>
      </c>
      <c r="B37" s="12">
        <f>COUNTIF('Hire Billing Check'!$K$5:$K$450,"&lt;&gt;Agrees")</f>
        <v>68</v>
      </c>
      <c r="C37" s="12">
        <f>COUNTIF('Exceptions'!$A$5:$A$227,"Billing")</f>
        <v>68</v>
      </c>
      <c r="D37" t="str">
        <f>IF(ROUND(N(B37)-N(C37),2)=0,"PASS","FAIL")</f>
        <v>PASS</v>
      </c>
      <c r="E37" t="inlineStr">
        <is>
          <t>Every billing gap is on the register</t>
        </is>
      </c>
    </row>
    <row r="38">
      <c r="A38" t="inlineStr">
        <is>
          <t>Exceptions: open asset issues</t>
        </is>
      </c>
      <c r="B38" s="12">
        <f>COUNTIF('Log Issues'!$I$5:$I$54,"Open")</f>
        <v>16</v>
      </c>
      <c r="C38" s="12">
        <f>COUNTIF('Exceptions'!$A$5:$A$227,"Assets")</f>
        <v>16</v>
      </c>
      <c r="D38" t="str">
        <f>IF(ROUND(N(B38)-N(C38),2)=0,"PASS","FAIL")</f>
        <v>PASS</v>
      </c>
      <c r="E38" t="inlineStr">
        <is>
          <t>Every open asset issue is on the register</t>
        </is>
      </c>
    </row>
    <row r="39">
      <c r="A39" t="inlineStr">
        <is>
          <t>Engine regression: line coding disagreements</t>
        </is>
      </c>
      <c r="B39" s="12" t="n">
        <v>0</v>
      </c>
      <c r="C39" s="12" t="n">
        <v>0</v>
      </c>
      <c r="D39" t="str">
        <f>IF(ROUND(N(B39)-N(C39),2)=0,"PASS","FAIL")</f>
        <v>PASS</v>
      </c>
      <c r="E39" t="inlineStr">
        <is>
          <t>Engine matches the answer key on every line</t>
        </is>
      </c>
    </row>
    <row r="41">
      <c r="A41" s="4" t="inlineStr">
        <is>
          <t>Controls passed</t>
        </is>
      </c>
      <c r="B41" t="n">
        <v>35</v>
      </c>
      <c r="C41">
        <f>COUNTIF(D5:D39,"PASS")</f>
        <v>35</v>
      </c>
      <c r="D41" t="str">
        <f>IF(B41=C41,"PASS","FAIL")</f>
        <v>PASS</v>
      </c>
    </row>
  </sheetData>
  <conditionalFormatting sqref="D5:D39">
    <cfRule type="expression" priority="1" dxfId="2">
      <formula>D5="PASS"</formula>
    </cfRule>
    <cfRule type="expression" priority="2" dxfId="1">
      <formula>D5="FAIL"</formula>
    </cfRule>
  </conditionalFormatting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70" customWidth="1" min="2" max="2"/>
    <col width="10" customWidth="1" min="3" max="3"/>
    <col width="10" customWidth="1" min="4" max="4"/>
    <col width="10" customWidth="1" min="5" max="5"/>
    <col width="9" customWidth="1" min="6" max="6"/>
  </cols>
  <sheetData>
    <row r="1">
      <c r="A1" s="6" t="inlineStr">
        <is>
          <t>Test log: engine and scenario tests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Work sample: realistic data, built to show how I approach this work.</t>
        </is>
      </c>
    </row>
    <row r="4">
      <c r="A4" s="7" t="inlineStr">
        <is>
          <t>Test</t>
        </is>
      </c>
      <c r="B4" s="7" t="inlineStr">
        <is>
          <t>Method</t>
        </is>
      </c>
      <c r="C4" s="7" t="inlineStr">
        <is>
          <t>Tested</t>
        </is>
      </c>
      <c r="D4" s="7" t="inlineStr">
        <is>
          <t>Expected</t>
        </is>
      </c>
      <c r="E4" s="7" t="inlineStr">
        <is>
          <t>Actual</t>
        </is>
      </c>
      <c r="F4" s="7" t="inlineStr">
        <is>
          <t>Result</t>
        </is>
      </c>
    </row>
    <row r="5">
      <c r="A5" t="inlineStr">
        <is>
          <t>Line coding vs answer key</t>
        </is>
      </c>
      <c r="B5" t="inlineStr">
        <is>
          <t>engine.py categorises every line; compared with truth_lines (account, service line, tax)</t>
        </is>
      </c>
      <c r="C5" t="n">
        <v>2538</v>
      </c>
      <c r="D5" t="n">
        <v>2538</v>
      </c>
      <c r="E5" t="n">
        <v>2538</v>
      </c>
      <c r="F5" t="str">
        <f>IF(D5=E5,"PASS","FAIL")</f>
        <v>PASS</v>
      </c>
    </row>
    <row r="6">
      <c r="A6" t="inlineStr">
        <is>
          <t>Duplicate contacts found</t>
        </is>
      </c>
      <c r="B6" t="inlineStr">
        <is>
          <t>Clusters compared with the answer key</t>
        </is>
      </c>
      <c r="C6" t="n">
        <v>29</v>
      </c>
      <c r="D6" t="n">
        <v>29</v>
      </c>
      <c r="E6" t="n">
        <v>29</v>
      </c>
      <c r="F6" t="str">
        <f>IF(D6=E6,"PASS","FAIL")</f>
        <v>PASS</v>
      </c>
    </row>
    <row r="7">
      <c r="A7" t="inlineStr">
        <is>
          <t>False contact merges</t>
        </is>
      </c>
      <c r="B7" t="inlineStr">
        <is>
          <t>Distinct businesses merged by mistake</t>
        </is>
      </c>
      <c r="C7" t="n">
        <v>29</v>
      </c>
      <c r="D7" t="n">
        <v>0</v>
      </c>
      <c r="E7" t="n">
        <v>0</v>
      </c>
      <c r="F7" t="str">
        <f>IF(D7=E7,"PASS","FAIL")</f>
        <v>PASS</v>
      </c>
    </row>
    <row r="8">
      <c r="A8" t="inlineStr">
        <is>
          <t>Tax errors found</t>
        </is>
      </c>
      <c r="B8" t="inlineStr">
        <is>
          <t>Lines on the wrong rate in the answer key</t>
        </is>
      </c>
      <c r="C8" t="n">
        <v>83</v>
      </c>
      <c r="D8" t="n">
        <v>83</v>
      </c>
      <c r="E8" t="n">
        <v>83</v>
      </c>
      <c r="F8" t="str">
        <f>IF(D8=E8,"PASS","FAIL")</f>
        <v>PASS</v>
      </c>
    </row>
    <row r="9">
      <c r="A9" t="inlineStr">
        <is>
          <t>Tax false flags</t>
        </is>
      </c>
      <c r="B9" t="inlineStr">
        <is>
          <t>Lines flagged that were right</t>
        </is>
      </c>
      <c r="C9" t="n">
        <v>83</v>
      </c>
      <c r="D9" t="n">
        <v>0</v>
      </c>
      <c r="E9" t="n">
        <v>0</v>
      </c>
      <c r="F9" t="str">
        <f>IF(D9=E9,"PASS","FAIL")</f>
        <v>PASS</v>
      </c>
    </row>
    <row r="10">
      <c r="A10" t="inlineStr">
        <is>
          <t>Seeded asset log errors caught</t>
        </is>
      </c>
      <c r="B10" t="inlineStr">
        <is>
          <t>Duplicate dockets and wrong-site returns planted in the log</t>
        </is>
      </c>
      <c r="C10" t="n">
        <v>33</v>
      </c>
      <c r="D10" t="n">
        <v>33</v>
      </c>
      <c r="E10" t="n">
        <v>33</v>
      </c>
      <c r="F10" t="str">
        <f>IF(D10=E10,"PASS","FAIL")</f>
        <v>PASS</v>
      </c>
    </row>
    <row r="11">
      <c r="A11" t="inlineStr">
        <is>
          <t>Billable unit-weeks vs answer key</t>
        </is>
      </c>
      <c r="B11" t="inlineStr">
        <is>
          <t>Site-asset pairs with no open asset exception (14 pairs with an open exception are reported, not scored)</t>
        </is>
      </c>
      <c r="C11" t="n">
        <v>408</v>
      </c>
      <c r="D11" t="n">
        <v>408</v>
      </c>
      <c r="E11" t="n">
        <v>408</v>
      </c>
      <c r="F11" t="str">
        <f>IF(D11=E11,"PASS","FAIL")</f>
        <v>PASS</v>
      </c>
    </row>
    <row r="12">
      <c r="A12" t="inlineStr">
        <is>
          <t>Fleet variance vs answer key</t>
        </is>
      </c>
      <c r="B12" t="inlineStr">
        <is>
          <t>Stocktake variance and units owned per class</t>
        </is>
      </c>
      <c r="C12" t="n">
        <v>5</v>
      </c>
      <c r="D12" t="n">
        <v>5</v>
      </c>
      <c r="E12" t="n">
        <v>5</v>
      </c>
      <c r="F12" t="str">
        <f>IF(D12=E12,"PASS","FAIL")</f>
        <v>PASS</v>
      </c>
    </row>
    <row r="13">
      <c r="A13" t="inlineStr">
        <is>
          <t>Make S2 re-run creates nothing</t>
        </is>
      </c>
      <c r="B13" t="inlineStr">
        <is>
          <t>Run S2 twice for July; second run checks keys first</t>
        </is>
      </c>
      <c r="C13" t="n">
        <v>76</v>
      </c>
      <c r="D13" t="n">
        <v>0</v>
      </c>
      <c r="E13" t="n">
        <v>0</v>
      </c>
      <c r="F13" t="str">
        <f>IF(D13=E13,"PASS","FAIL")</f>
        <v>PASS</v>
      </c>
    </row>
    <row r="14">
      <c r="A14" t="inlineStr">
        <is>
          <t>Package lines go to a person</t>
        </is>
      </c>
      <c r="B14" t="inlineStr">
        <is>
          <t>Lines matching R00 coded by rule</t>
        </is>
      </c>
      <c r="C14">
        <f>COUNTIF('Invoice Lines'!$P$5:$P$2542,"R00")</f>
        <v>9</v>
      </c>
      <c r="D14" t="n">
        <v>0</v>
      </c>
      <c r="E14">
        <f>COUNTIFS('Invoice Lines'!$P$5:$P$2542,"R00",'Invoice Lines'!$R$5:$R$2542,"&lt;&gt;")-COUNTIFS('Invoice Lines'!$P$5:$P$2542,"R00",'Invoice Lines'!$R$5:$R$2542,"")</f>
        <v>0</v>
      </c>
      <c r="F14" t="str">
        <f>IF(D14=E14,"PASS","FAIL")</f>
        <v>PASS</v>
      </c>
    </row>
    <row r="15">
      <c r="A15" t="inlineStr">
        <is>
          <t>Deposits are never income</t>
        </is>
      </c>
      <c r="B15" t="inlineStr">
        <is>
          <t>Deposit lines with an income account</t>
        </is>
      </c>
      <c r="C15">
        <f>COUNTIF('Invoice Lines'!$Q$5:$Q$2542,"DEP")</f>
        <v>40</v>
      </c>
      <c r="D15" t="n">
        <v>0</v>
      </c>
      <c r="E15">
        <f>COUNTIFS('Invoice Lines'!$Q$5:$Q$2542,"DEP",'Invoice Lines'!$R$5:$R$2542,"&lt;&gt;835")</f>
        <v>0</v>
      </c>
      <c r="F15" t="str">
        <f>IF(D15=E15,"PASS","FAIL")</f>
        <v>PASS</v>
      </c>
    </row>
    <row r="16">
      <c r="A16" t="inlineStr">
        <is>
          <t>Voided invoices excluded</t>
        </is>
      </c>
      <c r="B16" t="inlineStr">
        <is>
          <t>Value of VOIDED lines in Revenue by Service</t>
        </is>
      </c>
      <c r="C16">
        <f>COUNTIF('Invoice Lines'!$L$5:$L$2542,"VOIDED")</f>
        <v>14</v>
      </c>
      <c r="D16" t="n">
        <v>0</v>
      </c>
      <c r="E16">
        <f>ROUND('Revenue by Service'!P16-SUMIFS('Invoice Lines'!$K$5:$K$2542,'Invoice Lines'!$L$5:$L$2542,"&lt;&gt;VOIDED"),2)</f>
        <v>0</v>
      </c>
      <c r="F16" t="str">
        <f>IF(D16=E16,"PASS","FAIL")</f>
        <v>PASS</v>
      </c>
    </row>
  </sheetData>
  <conditionalFormatting sqref="F5:F16">
    <cfRule type="expression" priority="1" dxfId="2">
      <formula>F5="PASS"</formula>
    </cfRule>
    <cfRule type="expression" priority="2" dxfId="1">
      <formula>F5="FAIL"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2026-10-27T14:27:36Z</dcterms:created>
  <dcterms:modified xmlns:dcterms="http://purl.org/dc/terms/" xmlns:xsi="http://www.w3.org/2001/XMLSchema-instance" xsi:type="dcterms:W3CDTF">2026-10-27T14:27:36Z</dcterms:modified>
</cp:coreProperties>
</file>